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integral-my.sharepoint.com/personal/trey_williams_integral-online_com/Documents/2023 4% Apps/Ashley Collegetown/2023-5xxAshCollegeTownP1AppFldr/001CompetitiveReview/"/>
    </mc:Choice>
  </mc:AlternateContent>
  <xr:revisionPtr revIDLastSave="725" documentId="8_{C8C05381-DA20-4D63-B8F5-34A7B564440F}" xr6:coauthVersionLast="47" xr6:coauthVersionMax="47" xr10:uidLastSave="{18E05140-000C-45B1-BC32-9AAB675C623F}"/>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Delta="9.9999923259019852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4" i="102" l="1"/>
  <c r="B32" i="74"/>
  <c r="C32" i="74" s="1"/>
  <c r="D32" i="74" s="1"/>
  <c r="E32" i="74" s="1"/>
  <c r="F32" i="74" s="1"/>
  <c r="G32" i="74" s="1"/>
  <c r="H32" i="74" s="1"/>
  <c r="I32" i="74" s="1"/>
  <c r="J32" i="74" s="1"/>
  <c r="K32" i="74" s="1"/>
  <c r="C121" i="74"/>
  <c r="D121" i="74"/>
  <c r="E121" i="74"/>
  <c r="F121" i="74"/>
  <c r="B121" i="74"/>
  <c r="K91" i="74"/>
  <c r="J91" i="74"/>
  <c r="I91" i="74"/>
  <c r="H91" i="74"/>
  <c r="G91" i="74"/>
  <c r="F91" i="74"/>
  <c r="E91" i="74"/>
  <c r="D91" i="74"/>
  <c r="C91" i="74"/>
  <c r="B91" i="74"/>
  <c r="K59" i="74"/>
  <c r="J59" i="74"/>
  <c r="I59" i="74"/>
  <c r="H59" i="74"/>
  <c r="G59" i="74"/>
  <c r="F59" i="74"/>
  <c r="E59" i="74"/>
  <c r="D59" i="74"/>
  <c r="C59" i="74"/>
  <c r="B59" i="74"/>
  <c r="C27" i="74"/>
  <c r="D27" i="74"/>
  <c r="E27" i="74"/>
  <c r="F27" i="74"/>
  <c r="G27" i="74"/>
  <c r="H27" i="74"/>
  <c r="I27" i="74"/>
  <c r="J27" i="74"/>
  <c r="K27" i="74"/>
  <c r="B27" i="74"/>
  <c r="F123" i="78"/>
  <c r="G122" i="78"/>
  <c r="G126" i="78" s="1"/>
  <c r="P126" i="78" s="1"/>
  <c r="L23" i="68"/>
  <c r="G64" i="78"/>
  <c r="P68" i="78"/>
  <c r="S65" i="78"/>
  <c r="P65" i="78"/>
  <c r="P63" i="78"/>
  <c r="S63" i="78"/>
  <c r="P142" i="78"/>
  <c r="S118" i="78"/>
  <c r="P55" i="78"/>
  <c r="G109" i="78"/>
  <c r="S109" i="78" s="1"/>
  <c r="M9" i="78"/>
  <c r="P71" i="78"/>
  <c r="G66" i="78"/>
  <c r="P66" i="78"/>
  <c r="P67" i="78"/>
  <c r="P69" i="78"/>
  <c r="P70" i="78"/>
  <c r="P122" i="78"/>
  <c r="L19" i="76"/>
  <c r="K19" i="76"/>
  <c r="J19" i="76"/>
  <c r="S82" i="78"/>
  <c r="P82" i="78"/>
  <c r="P88" i="78"/>
  <c r="S98" i="78"/>
  <c r="S99" i="78"/>
  <c r="S100" i="78"/>
  <c r="S101" i="78"/>
  <c r="S102" i="78"/>
  <c r="S97" i="78"/>
  <c r="S106" i="78"/>
  <c r="S107" i="78"/>
  <c r="S110" i="78"/>
  <c r="S111" i="78"/>
  <c r="S112" i="78"/>
  <c r="S113" i="78"/>
  <c r="S105" i="78"/>
  <c r="S130" i="78"/>
  <c r="S129" i="78"/>
  <c r="P133" i="78"/>
  <c r="G31" i="78"/>
  <c r="G81" i="78"/>
  <c r="P81" i="78" s="1"/>
  <c r="P76" i="78"/>
  <c r="P77" i="78"/>
  <c r="P78" i="78"/>
  <c r="P79" i="78"/>
  <c r="P80" i="78"/>
  <c r="P83" i="78"/>
  <c r="P84" i="78"/>
  <c r="P85" i="78"/>
  <c r="P75" i="78"/>
  <c r="P31" i="78"/>
  <c r="P26" i="78"/>
  <c r="M23" i="78"/>
  <c r="P10" i="78"/>
  <c r="P11" i="78"/>
  <c r="P12" i="78"/>
  <c r="P13" i="78"/>
  <c r="P14" i="78"/>
  <c r="P15" i="78"/>
  <c r="P16" i="78"/>
  <c r="P17" i="78"/>
  <c r="G83" i="78"/>
  <c r="P97" i="102"/>
  <c r="O97" i="102"/>
  <c r="P94" i="102"/>
  <c r="O94" i="102"/>
  <c r="AK1600" i="103"/>
  <c r="AL1600" i="103"/>
  <c r="AM1600" i="103"/>
  <c r="AG1600" i="103"/>
  <c r="AQ430" i="102"/>
  <c r="AQ1581" i="103" s="1"/>
  <c r="AQ1582"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3" i="103"/>
  <c r="S242" i="103"/>
  <c r="G245" i="103"/>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M153" i="103"/>
  <c r="M152" i="103"/>
  <c r="M151" i="103"/>
  <c r="J153" i="103"/>
  <c r="J152" i="103"/>
  <c r="J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1583" i="103" s="1"/>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BG423" i="102"/>
  <c r="P1228" i="103"/>
  <c r="BG1574" i="103" s="1"/>
  <c r="C36" i="102"/>
  <c r="AH449" i="102" s="1"/>
  <c r="AH1600" i="103" s="1"/>
  <c r="R312" i="102"/>
  <c r="O1463" i="103"/>
  <c r="BF440" i="102"/>
  <c r="BF432" i="102"/>
  <c r="P1351" i="103"/>
  <c r="BF1583" i="103" s="1"/>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E34" i="102"/>
  <c r="AJ449" i="102"/>
  <c r="AJ1600" i="103" s="1"/>
  <c r="C1187" i="103"/>
  <c r="O404" i="102"/>
  <c r="O1555" i="103" s="1"/>
  <c r="AI449" i="102"/>
  <c r="AI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BG449" i="102"/>
  <c r="BG1600"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K613" i="103"/>
  <c r="O6" i="102"/>
  <c r="P6" i="102"/>
  <c r="BF424" i="102"/>
  <c r="BF449" i="102" s="1"/>
  <c r="BF1600" i="103" s="1"/>
  <c r="L179" i="102"/>
  <c r="AZ430" i="102"/>
  <c r="AZ449" i="102" s="1"/>
  <c r="AZ1600" i="103" s="1"/>
  <c r="N144" i="102"/>
  <c r="E19" i="102"/>
  <c r="E1170" i="103" s="1"/>
  <c r="AY430" i="102"/>
  <c r="AY449" i="102" s="1"/>
  <c r="AY1600" i="103" s="1"/>
  <c r="Q612" i="103" l="1"/>
  <c r="L618" i="103"/>
  <c r="N526" i="103"/>
  <c r="M535" i="103"/>
  <c r="M523" i="103"/>
  <c r="M529" i="103"/>
  <c r="M526" i="103"/>
  <c r="M618"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34" i="75"/>
  <c r="J481" i="103" s="1"/>
  <c r="L481" i="103" s="1"/>
  <c r="M481" i="103" s="1"/>
  <c r="J25" i="75"/>
  <c r="J472" i="103" s="1"/>
  <c r="L472" i="103" s="1"/>
  <c r="M472"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4" i="86"/>
  <c r="G49" i="86"/>
  <c r="F49" i="86"/>
  <c r="E49" i="86"/>
  <c r="D49" i="86"/>
  <c r="F78" i="89"/>
  <c r="E185" i="90" s="1"/>
  <c r="F76" i="89"/>
  <c r="E173" i="90" s="1"/>
  <c r="Q67" i="85"/>
  <c r="N67" i="85"/>
  <c r="F103" i="92"/>
  <c r="E97" i="90"/>
  <c r="E93" i="90"/>
  <c r="F40" i="89"/>
  <c r="D80" i="90" s="1"/>
  <c r="H4" i="86"/>
  <c r="D56" i="86" s="1"/>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G40" i="78" s="1"/>
  <c r="D39" i="78"/>
  <c r="E39" i="78" s="1"/>
  <c r="G39" i="78" s="1"/>
  <c r="D38" i="78"/>
  <c r="E38" i="78" s="1"/>
  <c r="G38" i="78" s="1"/>
  <c r="P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44" i="75" s="1"/>
  <c r="J491" i="103" s="1"/>
  <c r="L491" i="103" s="1"/>
  <c r="M491" i="103" s="1"/>
  <c r="K22" i="76"/>
  <c r="J22" i="76"/>
  <c r="J36" i="75" s="1"/>
  <c r="J483" i="103" s="1"/>
  <c r="L483" i="103" s="1"/>
  <c r="M483" i="103" s="1"/>
  <c r="I22" i="76"/>
  <c r="J182" i="78"/>
  <c r="J179" i="78"/>
  <c r="W175" i="78"/>
  <c r="W161" i="78"/>
  <c r="V159" i="78"/>
  <c r="P159" i="78"/>
  <c r="P163" i="78" s="1"/>
  <c r="J159" i="78"/>
  <c r="J163" i="78" s="1"/>
  <c r="W151" i="78"/>
  <c r="W150" i="78"/>
  <c r="V144" i="78"/>
  <c r="U143" i="78"/>
  <c r="A143" i="78"/>
  <c r="W141" i="78"/>
  <c r="O141" i="78"/>
  <c r="V135" i="78"/>
  <c r="U134" i="78"/>
  <c r="A134"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C766" i="103"/>
  <c r="C774" i="103" s="1"/>
  <c r="G28" i="74"/>
  <c r="D60" i="74"/>
  <c r="C828" i="103"/>
  <c r="C835" i="103" s="1"/>
  <c r="K798" i="103"/>
  <c r="K805"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734" i="103"/>
  <c r="H742"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P45" i="68"/>
  <c r="P88" i="103" s="1"/>
  <c r="H76" i="74"/>
  <c r="H783" i="103" s="1"/>
  <c r="I76" i="74"/>
  <c r="I783" i="103" s="1"/>
  <c r="J76" i="74"/>
  <c r="J783" i="103" s="1"/>
  <c r="K76" i="74"/>
  <c r="K783" i="103" s="1"/>
  <c r="B120" i="74" l="1"/>
  <c r="B827" i="103" s="1"/>
  <c r="J58" i="74"/>
  <c r="J765" i="103" s="1"/>
  <c r="H26" i="74"/>
  <c r="H733" i="103" s="1"/>
  <c r="B26" i="74"/>
  <c r="I26" i="74"/>
  <c r="I733" i="103" s="1"/>
  <c r="D120" i="74"/>
  <c r="D827" i="103" s="1"/>
  <c r="J19" i="75"/>
  <c r="J466" i="103" s="1"/>
  <c r="L466" i="103" s="1"/>
  <c r="M466" i="103" s="1"/>
  <c r="J18" i="75"/>
  <c r="J465" i="103" s="1"/>
  <c r="L465" i="103" s="1"/>
  <c r="M465" i="103" s="1"/>
  <c r="J26" i="75"/>
  <c r="J473" i="103" s="1"/>
  <c r="L473" i="103" s="1"/>
  <c r="M473" i="103" s="1"/>
  <c r="J27" i="75"/>
  <c r="J474" i="103" s="1"/>
  <c r="L474" i="103" s="1"/>
  <c r="M474" i="103" s="1"/>
  <c r="J28" i="75"/>
  <c r="J475" i="103" s="1"/>
  <c r="L475" i="103" s="1"/>
  <c r="M475" i="103" s="1"/>
  <c r="J29" i="75"/>
  <c r="J476" i="103" s="1"/>
  <c r="L476" i="103" s="1"/>
  <c r="M476" i="103" s="1"/>
  <c r="J30" i="75"/>
  <c r="J477" i="103" s="1"/>
  <c r="L477" i="103" s="1"/>
  <c r="M477" i="103" s="1"/>
  <c r="J31" i="75"/>
  <c r="J478" i="103" s="1"/>
  <c r="L478" i="103" s="1"/>
  <c r="M478" i="103" s="1"/>
  <c r="J32" i="75"/>
  <c r="J479" i="103" s="1"/>
  <c r="L479" i="103" s="1"/>
  <c r="M479" i="103" s="1"/>
  <c r="J33" i="75"/>
  <c r="J480" i="103" s="1"/>
  <c r="L480" i="103" s="1"/>
  <c r="M480" i="103" s="1"/>
  <c r="J35" i="75"/>
  <c r="J482" i="103" s="1"/>
  <c r="L482" i="103" s="1"/>
  <c r="M482" i="103" s="1"/>
  <c r="J37" i="75"/>
  <c r="J484" i="103" s="1"/>
  <c r="L484" i="103" s="1"/>
  <c r="M484" i="103" s="1"/>
  <c r="J38" i="75"/>
  <c r="J485" i="103" s="1"/>
  <c r="L485" i="103" s="1"/>
  <c r="M485" i="103" s="1"/>
  <c r="J39" i="75"/>
  <c r="J486" i="103" s="1"/>
  <c r="L486" i="103" s="1"/>
  <c r="M486" i="103" s="1"/>
  <c r="J40" i="75"/>
  <c r="J487" i="103" s="1"/>
  <c r="L487" i="103" s="1"/>
  <c r="M487" i="103" s="1"/>
  <c r="J41" i="75"/>
  <c r="J488" i="103" s="1"/>
  <c r="L488" i="103" s="1"/>
  <c r="M488" i="103" s="1"/>
  <c r="J42" i="75"/>
  <c r="J489" i="103" s="1"/>
  <c r="L489" i="103" s="1"/>
  <c r="M489" i="103" s="1"/>
  <c r="J22" i="75"/>
  <c r="J469" i="103" s="1"/>
  <c r="L469" i="103" s="1"/>
  <c r="M469" i="103" s="1"/>
  <c r="J43" i="75"/>
  <c r="J490" i="103" s="1"/>
  <c r="L490" i="103" s="1"/>
  <c r="M490" i="103" s="1"/>
  <c r="J24" i="75"/>
  <c r="J471" i="103" s="1"/>
  <c r="L471" i="103" s="1"/>
  <c r="M471" i="103" s="1"/>
  <c r="P151" i="103"/>
  <c r="G152" i="103"/>
  <c r="P39" i="78"/>
  <c r="P152" i="103" s="1"/>
  <c r="G153" i="103"/>
  <c r="P40" i="78"/>
  <c r="P153" i="103" s="1"/>
  <c r="G151" i="103"/>
  <c r="G41" i="78"/>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I69" i="74"/>
  <c r="J99" i="74"/>
  <c r="B16" i="87"/>
  <c r="F99" i="74"/>
  <c r="B14" i="87"/>
  <c r="B34" i="87"/>
  <c r="C128" i="74"/>
  <c r="E41" i="87"/>
  <c r="E21" i="87"/>
  <c r="F84" i="92"/>
  <c r="G36" i="74"/>
  <c r="B29" i="87"/>
  <c r="H68" i="74"/>
  <c r="I36" i="74"/>
  <c r="D36" i="74"/>
  <c r="C68" i="74"/>
  <c r="E130" i="74"/>
  <c r="B10" i="87"/>
  <c r="B17" i="87"/>
  <c r="D99" i="74"/>
  <c r="B68" i="74"/>
  <c r="H36" i="74"/>
  <c r="G68" i="74"/>
  <c r="B42" i="87"/>
  <c r="B13" i="87"/>
  <c r="H99" i="74"/>
  <c r="E39" i="87"/>
  <c r="B40" i="87"/>
  <c r="B28" i="87"/>
  <c r="B129" i="74"/>
  <c r="J68" i="74"/>
  <c r="E99" i="74"/>
  <c r="F69" i="74"/>
  <c r="B33" i="87"/>
  <c r="D68" i="74"/>
  <c r="E16" i="87"/>
  <c r="L266" i="72"/>
  <c r="L46" i="75"/>
  <c r="M46" i="75" s="1"/>
  <c r="L22" i="75"/>
  <c r="M22" i="75" s="1"/>
  <c r="L47" i="75"/>
  <c r="M47" i="75" s="1"/>
  <c r="L25" i="75"/>
  <c r="M25" i="75" s="1"/>
  <c r="L34" i="75"/>
  <c r="M34" i="75" s="1"/>
  <c r="L19" i="75"/>
  <c r="M19" i="75" s="1"/>
  <c r="L27" i="75"/>
  <c r="M27" i="75" s="1"/>
  <c r="L28" i="75"/>
  <c r="M28" i="75" s="1"/>
  <c r="L36" i="75"/>
  <c r="M36" i="75" s="1"/>
  <c r="L29" i="75"/>
  <c r="M29" i="75" s="1"/>
  <c r="C32" i="86"/>
  <c r="G32" i="86"/>
  <c r="I12" i="86"/>
  <c r="L48" i="75"/>
  <c r="M48" i="75" s="1"/>
  <c r="L44" i="75"/>
  <c r="M44" i="75" s="1"/>
  <c r="L18" i="75"/>
  <c r="M18" i="75" s="1"/>
  <c r="L45" i="75"/>
  <c r="M45" i="75" s="1"/>
  <c r="Q266" i="72"/>
  <c r="C64" i="74"/>
  <c r="B5" i="92"/>
  <c r="J21" i="75"/>
  <c r="J468" i="103" s="1"/>
  <c r="L468" i="103" s="1"/>
  <c r="M468" i="103" s="1"/>
  <c r="F40" i="78"/>
  <c r="F38" i="78"/>
  <c r="J23" i="75"/>
  <c r="J470" i="103" s="1"/>
  <c r="L470" i="103" s="1"/>
  <c r="M470" i="103" s="1"/>
  <c r="C21" i="90"/>
  <c r="M146" i="78"/>
  <c r="M162" i="78" s="1"/>
  <c r="M164" i="78" s="1"/>
  <c r="M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B130" i="74"/>
  <c r="H35" i="74"/>
  <c r="K100" i="74"/>
  <c r="I32" i="86"/>
  <c r="D32" i="86"/>
  <c r="F12" i="86"/>
  <c r="C99" i="74"/>
  <c r="E32" i="86"/>
  <c r="E64" i="74"/>
  <c r="K99" i="74"/>
  <c r="H52" i="86"/>
  <c r="B36" i="74"/>
  <c r="B53" i="82"/>
  <c r="G56" i="86"/>
  <c r="F56" i="86"/>
  <c r="C129" i="74"/>
  <c r="K98" i="74"/>
  <c r="D52" i="86"/>
  <c r="I68" i="74"/>
  <c r="G99" i="74"/>
  <c r="H32" i="86"/>
  <c r="F68" i="74"/>
  <c r="E68" i="74"/>
  <c r="F32" i="86"/>
  <c r="E12" i="86"/>
  <c r="D12" i="86"/>
  <c r="D130" i="74"/>
  <c r="E56" i="86"/>
  <c r="F129" i="74"/>
  <c r="B99" i="74"/>
  <c r="E52" i="86"/>
  <c r="H12" i="86"/>
  <c r="C29" i="84"/>
  <c r="K26" i="84" s="1"/>
  <c r="H56" i="86"/>
  <c r="K68" i="74"/>
  <c r="C67" i="74"/>
  <c r="G12" i="86"/>
  <c r="C31" i="74"/>
  <c r="C738" i="103" s="1"/>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D739" i="103" l="1"/>
  <c r="B771" i="103"/>
  <c r="C739" i="103"/>
  <c r="F771" i="103"/>
  <c r="I739" i="103"/>
  <c r="C771" i="103"/>
  <c r="J739" i="103"/>
  <c r="F739" i="103"/>
  <c r="E771" i="103"/>
  <c r="D14" i="86"/>
  <c r="B739" i="103"/>
  <c r="B44" i="74"/>
  <c r="B751" i="103" s="1"/>
  <c r="E739" i="103"/>
  <c r="G739" i="103"/>
  <c r="K739" i="103"/>
  <c r="D771" i="103"/>
  <c r="H739" i="103"/>
  <c r="D828" i="103"/>
  <c r="D835" i="103" s="1"/>
  <c r="G766" i="103"/>
  <c r="G774" i="103" s="1"/>
  <c r="G798" i="103"/>
  <c r="G805" i="103" s="1"/>
  <c r="G734" i="103"/>
  <c r="G742" i="103" s="1"/>
  <c r="C798" i="103"/>
  <c r="C805" i="103" s="1"/>
  <c r="B798" i="103"/>
  <c r="B805" i="103" s="1"/>
  <c r="D766" i="103"/>
  <c r="D774" i="103" s="1"/>
  <c r="D734" i="103"/>
  <c r="D742" i="103" s="1"/>
  <c r="B766" i="103"/>
  <c r="B774" i="103" s="1"/>
  <c r="H798" i="103"/>
  <c r="H805" i="103" s="1"/>
  <c r="I766" i="103"/>
  <c r="I774" i="103" s="1"/>
  <c r="E828" i="103"/>
  <c r="E835" i="103" s="1"/>
  <c r="B828" i="103"/>
  <c r="B835" i="103" s="1"/>
  <c r="F734" i="103"/>
  <c r="F742" i="103" s="1"/>
  <c r="B734" i="103"/>
  <c r="B742" i="103" s="1"/>
  <c r="B41" i="74"/>
  <c r="C41" i="74" s="1"/>
  <c r="D41" i="74" s="1"/>
  <c r="J766" i="103"/>
  <c r="J774" i="103" s="1"/>
  <c r="F798" i="103"/>
  <c r="F805" i="103" s="1"/>
  <c r="C75" i="100"/>
  <c r="C77" i="100" s="1"/>
  <c r="E798" i="103"/>
  <c r="E805" i="103" s="1"/>
  <c r="E734" i="103"/>
  <c r="E742" i="103" s="1"/>
  <c r="F766" i="103"/>
  <c r="F774" i="103" s="1"/>
  <c r="K734" i="103"/>
  <c r="K742" i="103" s="1"/>
  <c r="J734" i="103"/>
  <c r="J742" i="103" s="1"/>
  <c r="I734" i="103"/>
  <c r="I742" i="103" s="1"/>
  <c r="J798" i="103"/>
  <c r="J805" i="103" s="1"/>
  <c r="H766" i="103"/>
  <c r="H774" i="103" s="1"/>
  <c r="C734" i="103"/>
  <c r="C742" i="103" s="1"/>
  <c r="E766" i="103"/>
  <c r="E774" i="103" s="1"/>
  <c r="D798" i="103"/>
  <c r="D805" i="103" s="1"/>
  <c r="I798" i="103"/>
  <c r="I805" i="103" s="1"/>
  <c r="F828" i="103"/>
  <c r="F835" i="103" s="1"/>
  <c r="K766" i="103"/>
  <c r="K774" i="103" s="1"/>
  <c r="B733" i="103"/>
  <c r="B20" i="87"/>
  <c r="B23" i="87"/>
  <c r="B12" i="87"/>
  <c r="B43" i="87"/>
  <c r="B37" i="87"/>
  <c r="B36" i="87"/>
  <c r="B27" i="87"/>
  <c r="B32" i="87"/>
  <c r="B26" i="87"/>
  <c r="B30" i="87"/>
  <c r="B22" i="87"/>
  <c r="B25" i="87"/>
  <c r="B35" i="87"/>
  <c r="B31" i="87"/>
  <c r="C40" i="74"/>
  <c r="C747" i="103" s="1"/>
  <c r="B44" i="87"/>
  <c r="J797" i="103"/>
  <c r="K733" i="103"/>
  <c r="B39" i="87"/>
  <c r="B41" i="87"/>
  <c r="B11" i="87"/>
  <c r="L30" i="75"/>
  <c r="M30" i="75" s="1"/>
  <c r="L33" i="75"/>
  <c r="M33" i="75" s="1"/>
  <c r="L32" i="75"/>
  <c r="M32" i="75" s="1"/>
  <c r="L40" i="75"/>
  <c r="M40" i="75" s="1"/>
  <c r="L37" i="75"/>
  <c r="M37" i="75" s="1"/>
  <c r="L38" i="75"/>
  <c r="M38" i="75" s="1"/>
  <c r="L26" i="75"/>
  <c r="M26" i="75" s="1"/>
  <c r="L42" i="75"/>
  <c r="M42" i="75" s="1"/>
  <c r="L41" i="75"/>
  <c r="M41" i="75" s="1"/>
  <c r="L31" i="75"/>
  <c r="M31" i="75" s="1"/>
  <c r="L24" i="75"/>
  <c r="M24" i="75" s="1"/>
  <c r="L35" i="75"/>
  <c r="M35" i="75" s="1"/>
  <c r="L39" i="75"/>
  <c r="M39" i="75" s="1"/>
  <c r="L43" i="75"/>
  <c r="M43" i="75" s="1"/>
  <c r="M496" i="103"/>
  <c r="M497" i="103" s="1"/>
  <c r="P41" i="78"/>
  <c r="P154" i="103"/>
  <c r="G43" i="78"/>
  <c r="G55" i="78" s="1"/>
  <c r="C49" i="78"/>
  <c r="G154" i="103"/>
  <c r="G150" i="103" s="1"/>
  <c r="Q675" i="103"/>
  <c r="O669" i="103"/>
  <c r="O668"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P139" i="75"/>
  <c r="P114" i="75"/>
  <c r="G14" i="86"/>
  <c r="C44" i="74" l="1"/>
  <c r="K75" i="100"/>
  <c r="K77" i="100" s="1"/>
  <c r="D748" i="103"/>
  <c r="E41" i="74"/>
  <c r="C748" i="103"/>
  <c r="E11" i="86"/>
  <c r="B748" i="103"/>
  <c r="C11" i="86"/>
  <c r="D11" i="86"/>
  <c r="G75" i="100"/>
  <c r="G77" i="100" s="1"/>
  <c r="I75" i="100"/>
  <c r="I77" i="100" s="1"/>
  <c r="E75" i="100"/>
  <c r="E77" i="100" s="1"/>
  <c r="D40" i="74"/>
  <c r="D747" i="103" s="1"/>
  <c r="D10" i="86"/>
  <c r="C81" i="100"/>
  <c r="C80" i="100"/>
  <c r="P168" i="103"/>
  <c r="P259" i="103"/>
  <c r="P275" i="103" s="1"/>
  <c r="P277" i="103" s="1"/>
  <c r="P279" i="103" s="1"/>
  <c r="P146" i="78"/>
  <c r="P162" i="78" s="1"/>
  <c r="G156" i="103"/>
  <c r="C162" i="103"/>
  <c r="H18" i="100"/>
  <c r="B58" i="78"/>
  <c r="G168" i="103"/>
  <c r="F55" i="78"/>
  <c r="AD109" i="78"/>
  <c r="AF109" i="78" s="1"/>
  <c r="AB222" i="103"/>
  <c r="AB223" i="103"/>
  <c r="AD223" i="103" s="1"/>
  <c r="AB227" i="103"/>
  <c r="AD227" i="103" s="1"/>
  <c r="P676" i="103"/>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I47" i="68"/>
  <c r="I90" i="103" s="1"/>
  <c r="P149" i="75"/>
  <c r="P147" i="75"/>
  <c r="P150" i="75"/>
  <c r="F14" i="74"/>
  <c r="E24" i="74"/>
  <c r="E731" i="103" s="1"/>
  <c r="P153" i="75"/>
  <c r="P100" i="75"/>
  <c r="C751" i="103" l="1"/>
  <c r="D44" i="74"/>
  <c r="F244" i="103"/>
  <c r="G131" i="78"/>
  <c r="E748" i="103"/>
  <c r="F41" i="74"/>
  <c r="F11" i="86"/>
  <c r="B728" i="103"/>
  <c r="B746" i="103" s="1"/>
  <c r="B39" i="74"/>
  <c r="H7" i="100"/>
  <c r="E27" i="89" s="1"/>
  <c r="P164" i="78"/>
  <c r="P166" i="78" s="1"/>
  <c r="E3" i="86"/>
  <c r="S55" i="78"/>
  <c r="J18" i="100"/>
  <c r="C40" i="100"/>
  <c r="F168" i="103"/>
  <c r="B171" i="103"/>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65" i="75"/>
  <c r="D21" i="74"/>
  <c r="C21" i="74"/>
  <c r="E13" i="84"/>
  <c r="G14" i="74"/>
  <c r="F24" i="74"/>
  <c r="F731" i="103" s="1"/>
  <c r="K168" i="75"/>
  <c r="P168" i="75" s="1"/>
  <c r="P166" i="75"/>
  <c r="F21" i="74"/>
  <c r="D751" i="103" l="1"/>
  <c r="E44" i="74"/>
  <c r="S131" i="78"/>
  <c r="G244" i="103"/>
  <c r="G135" i="78"/>
  <c r="J131" i="78"/>
  <c r="F74" i="89"/>
  <c r="E168" i="90" s="1"/>
  <c r="F748" i="103"/>
  <c r="G41" i="74"/>
  <c r="G11" i="86"/>
  <c r="C728" i="103"/>
  <c r="C746" i="103" s="1"/>
  <c r="C39" i="74"/>
  <c r="D728" i="103"/>
  <c r="D746" i="103" s="1"/>
  <c r="D39" i="74"/>
  <c r="E728" i="103"/>
  <c r="E746" i="103" s="1"/>
  <c r="E39" i="74"/>
  <c r="F728" i="103"/>
  <c r="F746" i="103" s="1"/>
  <c r="F39" i="74"/>
  <c r="P280" i="103"/>
  <c r="P281" i="103" s="1"/>
  <c r="P283" i="103" s="1"/>
  <c r="S168" i="103"/>
  <c r="F15" i="86"/>
  <c r="E15" i="86"/>
  <c r="E35" i="86"/>
  <c r="D55" i="86"/>
  <c r="H15" i="86"/>
  <c r="G15" i="86"/>
  <c r="G55" i="86"/>
  <c r="C15" i="86"/>
  <c r="F35" i="86"/>
  <c r="H55" i="86"/>
  <c r="G35" i="86"/>
  <c r="O17" i="86"/>
  <c r="E55" i="86"/>
  <c r="F55" i="86"/>
  <c r="I15" i="86"/>
  <c r="D35" i="86"/>
  <c r="O16" i="86"/>
  <c r="I35" i="86"/>
  <c r="H35" i="86"/>
  <c r="C35" i="86"/>
  <c r="D15" i="86"/>
  <c r="C55"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E751" i="103" l="1"/>
  <c r="F44" i="74"/>
  <c r="J244" i="103"/>
  <c r="G248" i="103"/>
  <c r="S244" i="103"/>
  <c r="S248" i="103" s="1"/>
  <c r="S135" i="78"/>
  <c r="O19" i="86"/>
  <c r="O23" i="86" s="1"/>
  <c r="O25" i="86" s="1"/>
  <c r="O31" i="86" s="1"/>
  <c r="G748" i="103"/>
  <c r="H41" i="74"/>
  <c r="I11" i="86" s="1"/>
  <c r="H11" i="86"/>
  <c r="G728" i="103"/>
  <c r="G746" i="103" s="1"/>
  <c r="G39" i="74"/>
  <c r="J284" i="103"/>
  <c r="Q243" i="75"/>
  <c r="Q234" i="75" s="1"/>
  <c r="Q681" i="103" s="1"/>
  <c r="N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94" i="103"/>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O385" i="72"/>
  <c r="O386" i="72" s="1"/>
  <c r="AE124" i="78"/>
  <c r="H226" i="72"/>
  <c r="F133" i="78"/>
  <c r="F246" i="103" s="1"/>
  <c r="C13" i="84"/>
  <c r="P229" i="75"/>
  <c r="AE123" i="78"/>
  <c r="D35" i="90"/>
  <c r="I64" i="92" s="1"/>
  <c r="AE126" i="78"/>
  <c r="J170" i="78"/>
  <c r="J171" i="78" s="1"/>
  <c r="G15" i="82"/>
  <c r="G19" i="82" s="1"/>
  <c r="H24" i="74"/>
  <c r="H731" i="103" s="1"/>
  <c r="I14" i="74"/>
  <c r="H16" i="74"/>
  <c r="H723" i="103" s="1"/>
  <c r="H15" i="74"/>
  <c r="H722" i="103" s="1"/>
  <c r="H21" i="74"/>
  <c r="F751" i="103" l="1"/>
  <c r="G44" i="74"/>
  <c r="L72" i="103"/>
  <c r="H748" i="103"/>
  <c r="I41" i="74"/>
  <c r="H53" i="82"/>
  <c r="H738" i="103"/>
  <c r="H728" i="103"/>
  <c r="H746" i="103" s="1"/>
  <c r="H39" i="74"/>
  <c r="B23" i="74"/>
  <c r="B730" i="103" s="1"/>
  <c r="Q682" i="103"/>
  <c r="Q247" i="75"/>
  <c r="E174" i="90"/>
  <c r="E175" i="90" s="1"/>
  <c r="C66" i="84"/>
  <c r="E66" i="84" s="1"/>
  <c r="N235" i="75"/>
  <c r="Q235" i="75"/>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E23" i="74"/>
  <c r="E730" i="103" s="1"/>
  <c r="B20" i="74"/>
  <c r="K66" i="84"/>
  <c r="H23" i="74"/>
  <c r="H730" i="103" s="1"/>
  <c r="I23" i="74"/>
  <c r="I730" i="103" s="1"/>
  <c r="C23" i="74"/>
  <c r="C730" i="103" s="1"/>
  <c r="C13" i="86"/>
  <c r="D23" i="74"/>
  <c r="D730" i="103" s="1"/>
  <c r="G23" i="74"/>
  <c r="G730" i="103" s="1"/>
  <c r="P57"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AF125" i="78"/>
  <c r="AH125" i="78" s="1"/>
  <c r="H19" i="84"/>
  <c r="AF122" i="78"/>
  <c r="H17" i="74"/>
  <c r="H724" i="103" s="1"/>
  <c r="I53" i="82"/>
  <c r="J31" i="74"/>
  <c r="J738" i="103" s="1"/>
  <c r="I24" i="74"/>
  <c r="I731" i="103" s="1"/>
  <c r="J14" i="74"/>
  <c r="I16" i="74"/>
  <c r="I723" i="103" s="1"/>
  <c r="I15" i="74"/>
  <c r="I722" i="103" s="1"/>
  <c r="I21" i="74"/>
  <c r="L71" i="103" l="1"/>
  <c r="L76" i="103" s="1"/>
  <c r="L33" i="68"/>
  <c r="G751" i="103"/>
  <c r="H44" i="74"/>
  <c r="I748" i="103"/>
  <c r="J41" i="74"/>
  <c r="C31" i="86"/>
  <c r="I728" i="103"/>
  <c r="I746" i="103" s="1"/>
  <c r="I39" i="74"/>
  <c r="C70" i="84"/>
  <c r="C72" i="84" s="1"/>
  <c r="G66" i="84"/>
  <c r="I66" i="84"/>
  <c r="I70" i="84" s="1"/>
  <c r="I76" i="84" s="1"/>
  <c r="I73" i="84" s="1"/>
  <c r="G20" i="74"/>
  <c r="G727" i="103" s="1"/>
  <c r="G732" i="103" s="1"/>
  <c r="B25" i="74"/>
  <c r="B727" i="103"/>
  <c r="B732" i="103" s="1"/>
  <c r="E56" i="100"/>
  <c r="E64" i="100" s="1"/>
  <c r="E70" i="100" s="1"/>
  <c r="K56" i="100"/>
  <c r="K64" i="100" s="1"/>
  <c r="K70" i="100"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H20" i="84"/>
  <c r="J40" i="74"/>
  <c r="J747" i="103" s="1"/>
  <c r="E20" i="74"/>
  <c r="E727" i="103" s="1"/>
  <c r="E732" i="103" s="1"/>
  <c r="D20" i="74"/>
  <c r="D727" i="103" s="1"/>
  <c r="D732" i="103" s="1"/>
  <c r="G56" i="84"/>
  <c r="G64" i="84" s="1"/>
  <c r="C76" i="84"/>
  <c r="C73" i="84" s="1"/>
  <c r="F20" i="74"/>
  <c r="F727" i="103" s="1"/>
  <c r="F732" i="103" s="1"/>
  <c r="E72" i="84"/>
  <c r="K31" i="74"/>
  <c r="K738" i="103" s="1"/>
  <c r="J53" i="82"/>
  <c r="K14" i="74"/>
  <c r="J24" i="74"/>
  <c r="J731" i="103" s="1"/>
  <c r="J15" i="74"/>
  <c r="J722" i="103" s="1"/>
  <c r="J16" i="74"/>
  <c r="J723" i="103" s="1"/>
  <c r="J21" i="74"/>
  <c r="J23" i="74"/>
  <c r="J730" i="103" s="1"/>
  <c r="I17" i="74"/>
  <c r="I724" i="103" s="1"/>
  <c r="H20" i="74"/>
  <c r="H727" i="103" s="1"/>
  <c r="H732" i="103" s="1"/>
  <c r="H751" i="103" l="1"/>
  <c r="I44" i="74"/>
  <c r="J748" i="103"/>
  <c r="K41" i="74"/>
  <c r="D31" i="86"/>
  <c r="E740" i="103"/>
  <c r="E741" i="103"/>
  <c r="E745" i="103"/>
  <c r="B33" i="74"/>
  <c r="C9" i="86" s="1"/>
  <c r="B34" i="74"/>
  <c r="B38" i="74"/>
  <c r="D740" i="103"/>
  <c r="D741" i="103"/>
  <c r="D745" i="103"/>
  <c r="G740" i="103"/>
  <c r="G741" i="103"/>
  <c r="G745" i="103"/>
  <c r="B740" i="103"/>
  <c r="B741" i="103"/>
  <c r="B745" i="103"/>
  <c r="F740" i="103"/>
  <c r="F741" i="103"/>
  <c r="F745" i="103"/>
  <c r="H740" i="103"/>
  <c r="H741" i="103"/>
  <c r="H745" i="103"/>
  <c r="J728" i="103"/>
  <c r="J746" i="103" s="1"/>
  <c r="J39" i="74"/>
  <c r="B44" i="82"/>
  <c r="B51" i="82" s="1"/>
  <c r="G70" i="84"/>
  <c r="G76" i="84" s="1"/>
  <c r="G73" i="84" s="1"/>
  <c r="G25" i="74"/>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B46" i="82"/>
  <c r="F25" i="74"/>
  <c r="G33" i="74"/>
  <c r="I20" i="74"/>
  <c r="I727" i="103" s="1"/>
  <c r="I732" i="103" s="1"/>
  <c r="K24" i="74"/>
  <c r="K731" i="103" s="1"/>
  <c r="B46" i="74"/>
  <c r="K15" i="74"/>
  <c r="K722" i="103" s="1"/>
  <c r="K16" i="74"/>
  <c r="K723" i="103" s="1"/>
  <c r="K21" i="74"/>
  <c r="K23" i="74"/>
  <c r="K730" i="103" s="1"/>
  <c r="H25" i="74"/>
  <c r="D33" i="86"/>
  <c r="B63" i="74"/>
  <c r="B770" i="103" s="1"/>
  <c r="K53" i="82"/>
  <c r="J17" i="74"/>
  <c r="J724" i="103" s="1"/>
  <c r="S21" i="74" l="1"/>
  <c r="I751" i="103"/>
  <c r="J44" i="74"/>
  <c r="K748" i="103"/>
  <c r="B73" i="74"/>
  <c r="E31" i="86"/>
  <c r="I740" i="103"/>
  <c r="I741" i="103"/>
  <c r="I745" i="103"/>
  <c r="D38" i="74"/>
  <c r="D34" i="74"/>
  <c r="E34" i="74"/>
  <c r="E38" i="74"/>
  <c r="C33" i="74"/>
  <c r="S22" i="74" s="1"/>
  <c r="C38" i="74"/>
  <c r="C34" i="74"/>
  <c r="C740" i="103"/>
  <c r="C741" i="103"/>
  <c r="C745" i="103"/>
  <c r="G44" i="82"/>
  <c r="G51" i="82" s="1"/>
  <c r="G34" i="74"/>
  <c r="G38" i="74"/>
  <c r="H38" i="74"/>
  <c r="H34" i="74"/>
  <c r="F34" i="74"/>
  <c r="F38" i="74"/>
  <c r="G72" i="84"/>
  <c r="K728" i="103"/>
  <c r="K746" i="103" s="1"/>
  <c r="K39" i="74"/>
  <c r="C44" i="82"/>
  <c r="C46" i="82" s="1"/>
  <c r="E30" i="86"/>
  <c r="E33" i="74"/>
  <c r="F9" i="86" s="1"/>
  <c r="D44" i="82"/>
  <c r="D46" i="82" s="1"/>
  <c r="B72" i="74"/>
  <c r="B779" i="103" s="1"/>
  <c r="E44" i="82"/>
  <c r="E46" i="82" s="1"/>
  <c r="D33" i="74"/>
  <c r="G46" i="82"/>
  <c r="F44" i="82"/>
  <c r="F33" i="74"/>
  <c r="H9" i="86"/>
  <c r="I25" i="74"/>
  <c r="J20" i="74"/>
  <c r="J727" i="103" s="1"/>
  <c r="J732" i="103" s="1"/>
  <c r="H44" i="82"/>
  <c r="H33" i="74"/>
  <c r="K17" i="74"/>
  <c r="K724" i="103" s="1"/>
  <c r="C46" i="74"/>
  <c r="B56" i="74"/>
  <c r="B48" i="74"/>
  <c r="B755" i="103" s="1"/>
  <c r="B47" i="74"/>
  <c r="B754" i="103" s="1"/>
  <c r="B53" i="74"/>
  <c r="B55" i="74"/>
  <c r="B762" i="103" s="1"/>
  <c r="C63" i="74"/>
  <c r="C770" i="103" s="1"/>
  <c r="B73" i="82"/>
  <c r="E33" i="86"/>
  <c r="J751" i="103" l="1"/>
  <c r="K44" i="74"/>
  <c r="D9" i="86"/>
  <c r="B780" i="103"/>
  <c r="C73" i="74"/>
  <c r="G31" i="86" s="1"/>
  <c r="F31" i="86"/>
  <c r="J740" i="103"/>
  <c r="J745" i="103"/>
  <c r="J741" i="103"/>
  <c r="I34" i="74"/>
  <c r="I38" i="74"/>
  <c r="C51" i="82"/>
  <c r="B760" i="103"/>
  <c r="B778" i="103" s="1"/>
  <c r="B71" i="74"/>
  <c r="F30" i="86"/>
  <c r="D51" i="82"/>
  <c r="C72" i="74"/>
  <c r="C779" i="103" s="1"/>
  <c r="E51" i="82"/>
  <c r="S26" i="74"/>
  <c r="S23" i="74"/>
  <c r="S24" i="74"/>
  <c r="E9" i="86"/>
  <c r="G9" i="86"/>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K751" i="103" l="1"/>
  <c r="B76" i="74"/>
  <c r="C780" i="103"/>
  <c r="D73" i="74"/>
  <c r="K740" i="103"/>
  <c r="K741" i="103"/>
  <c r="K745" i="103"/>
  <c r="J34" i="74"/>
  <c r="J38" i="74"/>
  <c r="C760" i="103"/>
  <c r="C778" i="103" s="1"/>
  <c r="C71" i="74"/>
  <c r="G30" i="86"/>
  <c r="D72" i="74"/>
  <c r="D779" i="103" s="1"/>
  <c r="I46" i="82"/>
  <c r="J33" i="74"/>
  <c r="J44" i="82"/>
  <c r="J46" i="82" s="1"/>
  <c r="C29" i="86"/>
  <c r="S28" i="74"/>
  <c r="E46" i="74"/>
  <c r="D56" i="74"/>
  <c r="D48" i="74"/>
  <c r="D755" i="103" s="1"/>
  <c r="D47" i="74"/>
  <c r="D754" i="103" s="1"/>
  <c r="D53" i="74"/>
  <c r="D55" i="74"/>
  <c r="D762" i="103" s="1"/>
  <c r="E63" i="74"/>
  <c r="E770" i="103" s="1"/>
  <c r="D73" i="82"/>
  <c r="G33" i="86"/>
  <c r="K25" i="74"/>
  <c r="B52" i="74"/>
  <c r="B759" i="103" s="1"/>
  <c r="B764" i="103" s="1"/>
  <c r="C49" i="74"/>
  <c r="C756" i="103" s="1"/>
  <c r="B783" i="103" l="1"/>
  <c r="C76" i="74"/>
  <c r="D780" i="103"/>
  <c r="E73" i="74"/>
  <c r="H31" i="86"/>
  <c r="B772" i="103"/>
  <c r="B777" i="103"/>
  <c r="B773" i="103"/>
  <c r="K38" i="74"/>
  <c r="K34" i="74"/>
  <c r="D760" i="103"/>
  <c r="D778" i="103" s="1"/>
  <c r="D71" i="74"/>
  <c r="H30" i="86"/>
  <c r="E72" i="74"/>
  <c r="E779" i="103" s="1"/>
  <c r="J51" i="82"/>
  <c r="S29" i="74"/>
  <c r="D29" i="86"/>
  <c r="C52" i="74"/>
  <c r="C759" i="103" s="1"/>
  <c r="C764" i="103" s="1"/>
  <c r="E73" i="82"/>
  <c r="F63" i="74"/>
  <c r="F770" i="103" s="1"/>
  <c r="D49" i="74"/>
  <c r="D756" i="103" s="1"/>
  <c r="B57" i="74"/>
  <c r="K44" i="82"/>
  <c r="K33" i="74"/>
  <c r="E47" i="74"/>
  <c r="E754" i="103" s="1"/>
  <c r="E56" i="74"/>
  <c r="F46" i="74"/>
  <c r="E48" i="74"/>
  <c r="E755" i="103" s="1"/>
  <c r="E53" i="74"/>
  <c r="E55" i="74"/>
  <c r="E762" i="103" s="1"/>
  <c r="H33" i="86"/>
  <c r="C783" i="103" l="1"/>
  <c r="D76" i="74"/>
  <c r="E780" i="103"/>
  <c r="F73" i="74"/>
  <c r="C51" i="86" s="1"/>
  <c r="I31" i="86"/>
  <c r="C772" i="103"/>
  <c r="C773" i="103"/>
  <c r="C777" i="103"/>
  <c r="B66" i="74"/>
  <c r="B70" i="74"/>
  <c r="E760" i="103"/>
  <c r="E778" i="103" s="1"/>
  <c r="E71"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D783" i="103" l="1"/>
  <c r="E76" i="74"/>
  <c r="F780" i="103"/>
  <c r="G73" i="74"/>
  <c r="C70" i="74"/>
  <c r="C66" i="74"/>
  <c r="D772" i="103"/>
  <c r="D773" i="103"/>
  <c r="D777" i="103"/>
  <c r="F760" i="103"/>
  <c r="F778" i="103" s="1"/>
  <c r="F71"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S31" i="74"/>
  <c r="F29" i="86"/>
  <c r="H63" i="74"/>
  <c r="H770" i="103" s="1"/>
  <c r="G73" i="82"/>
  <c r="B66" i="82"/>
  <c r="B71" i="82"/>
  <c r="C53" i="86"/>
  <c r="D57" i="74"/>
  <c r="G56" i="74"/>
  <c r="G48" i="74"/>
  <c r="G755" i="103" s="1"/>
  <c r="H46" i="74"/>
  <c r="G47" i="74"/>
  <c r="G754" i="103" s="1"/>
  <c r="G53" i="74"/>
  <c r="G55" i="74"/>
  <c r="G762" i="103" s="1"/>
  <c r="E783" i="103" l="1"/>
  <c r="F76" i="74"/>
  <c r="G780" i="103"/>
  <c r="H73" i="74"/>
  <c r="D51" i="86"/>
  <c r="E772" i="103"/>
  <c r="E773" i="103"/>
  <c r="E777" i="103"/>
  <c r="D70" i="74"/>
  <c r="D66" i="74"/>
  <c r="G760" i="103"/>
  <c r="G778" i="103" s="1"/>
  <c r="G71" i="74"/>
  <c r="D50" i="86"/>
  <c r="H72" i="74"/>
  <c r="H779" i="103" s="1"/>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E55" i="82"/>
  <c r="E56" i="82" s="1"/>
  <c r="G49" i="74"/>
  <c r="G756" i="103" s="1"/>
  <c r="D65" i="74"/>
  <c r="D64" i="82"/>
  <c r="F783" i="103" l="1"/>
  <c r="G76" i="74"/>
  <c r="G783" i="103" s="1"/>
  <c r="H780" i="103"/>
  <c r="I73" i="74"/>
  <c r="E51" i="86"/>
  <c r="F772" i="103"/>
  <c r="F773" i="103"/>
  <c r="F777" i="103"/>
  <c r="E66" i="74"/>
  <c r="E70" i="74"/>
  <c r="H760" i="103"/>
  <c r="H778" i="103" s="1"/>
  <c r="H71" i="74"/>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52" i="74"/>
  <c r="G759" i="103" s="1"/>
  <c r="G764" i="103" s="1"/>
  <c r="H49" i="74"/>
  <c r="H756" i="103" s="1"/>
  <c r="J63" i="74"/>
  <c r="J770" i="103" s="1"/>
  <c r="I73" i="82"/>
  <c r="F57" i="74"/>
  <c r="I780" i="103" l="1"/>
  <c r="J73" i="74"/>
  <c r="G51" i="86" s="1"/>
  <c r="F51" i="86"/>
  <c r="F70" i="74"/>
  <c r="F66" i="74"/>
  <c r="G772" i="103"/>
  <c r="G777" i="103"/>
  <c r="G773" i="103"/>
  <c r="I760" i="103"/>
  <c r="I778" i="103" s="1"/>
  <c r="I71" i="74"/>
  <c r="E57" i="86"/>
  <c r="E58" i="86" s="1"/>
  <c r="E60" i="86" s="1"/>
  <c r="E64" i="86" s="1"/>
  <c r="K22" i="86" s="1"/>
  <c r="F50" i="86"/>
  <c r="J72" i="74"/>
  <c r="J779" i="103" s="1"/>
  <c r="E66" i="82"/>
  <c r="S34" i="74"/>
  <c r="I29" i="86"/>
  <c r="J48" i="74"/>
  <c r="J755" i="103" s="1"/>
  <c r="K46" i="74"/>
  <c r="J56" i="74"/>
  <c r="J47" i="74"/>
  <c r="J754" i="103" s="1"/>
  <c r="J53" i="74"/>
  <c r="J55" i="74"/>
  <c r="J762" i="103" s="1"/>
  <c r="G57" i="74"/>
  <c r="F65" i="74"/>
  <c r="F64" i="82"/>
  <c r="I49" i="74"/>
  <c r="I756" i="103" s="1"/>
  <c r="J73" i="82"/>
  <c r="K63" i="74"/>
  <c r="K770" i="103" s="1"/>
  <c r="D75" i="82"/>
  <c r="D76" i="82" s="1"/>
  <c r="E75" i="82"/>
  <c r="E76" i="82" s="1"/>
  <c r="H52" i="74"/>
  <c r="H759" i="103" s="1"/>
  <c r="H764" i="103" s="1"/>
  <c r="F53" i="86"/>
  <c r="J780" i="103" l="1"/>
  <c r="K73" i="74"/>
  <c r="H772" i="103"/>
  <c r="H773" i="103"/>
  <c r="H777" i="103"/>
  <c r="G70" i="74"/>
  <c r="G66" i="74"/>
  <c r="J760" i="103"/>
  <c r="J778" i="103" s="1"/>
  <c r="J71"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80" i="103" l="1"/>
  <c r="B104" i="74"/>
  <c r="H51" i="86"/>
  <c r="I772" i="103"/>
  <c r="I773" i="103"/>
  <c r="I777" i="103"/>
  <c r="H66" i="74"/>
  <c r="H70" i="74"/>
  <c r="K760" i="103"/>
  <c r="K778" i="103" s="1"/>
  <c r="K71" i="74"/>
  <c r="G57" i="86"/>
  <c r="G58" i="86" s="1"/>
  <c r="G60" i="86" s="1"/>
  <c r="G64" i="86" s="1"/>
  <c r="K24" i="86" s="1"/>
  <c r="B103" i="74"/>
  <c r="B810" i="103" s="1"/>
  <c r="L100" i="85"/>
  <c r="O8" i="86"/>
  <c r="O14" i="86" s="1"/>
  <c r="O33" i="86" s="1"/>
  <c r="H63" i="86" s="1"/>
  <c r="L70" i="85"/>
  <c r="H50" i="86"/>
  <c r="F47" i="68"/>
  <c r="F90" i="103" s="1"/>
  <c r="I57" i="74"/>
  <c r="J52" i="74"/>
  <c r="J759" i="103" s="1"/>
  <c r="J764" i="103"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811" i="103" l="1"/>
  <c r="C104" i="74"/>
  <c r="J772" i="103"/>
  <c r="J773" i="103"/>
  <c r="J777" i="103"/>
  <c r="I70" i="74"/>
  <c r="I66" i="74"/>
  <c r="B792" i="103"/>
  <c r="B809" i="103" s="1"/>
  <c r="B102"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811" i="103" l="1"/>
  <c r="D104" i="74"/>
  <c r="K772" i="103"/>
  <c r="K777" i="103"/>
  <c r="K773" i="103"/>
  <c r="J66" i="74"/>
  <c r="J70" i="74"/>
  <c r="C792" i="103"/>
  <c r="C809" i="103" s="1"/>
  <c r="C102"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811" i="103" l="1"/>
  <c r="E104" i="74"/>
  <c r="K66" i="74"/>
  <c r="K70" i="74"/>
  <c r="B803" i="103"/>
  <c r="B804" i="103"/>
  <c r="B808" i="103"/>
  <c r="D792" i="103"/>
  <c r="D809" i="103" s="1"/>
  <c r="D102"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811" i="103" l="1"/>
  <c r="F104" i="74"/>
  <c r="C803" i="103"/>
  <c r="C804" i="103"/>
  <c r="C808" i="103"/>
  <c r="B101" i="74"/>
  <c r="B97" i="74"/>
  <c r="E792" i="103"/>
  <c r="E809" i="103" s="1"/>
  <c r="E102"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811" i="103" l="1"/>
  <c r="G104" i="74"/>
  <c r="C97" i="74"/>
  <c r="C101" i="74"/>
  <c r="D803" i="103"/>
  <c r="D804" i="103"/>
  <c r="D808" i="103"/>
  <c r="F792" i="103"/>
  <c r="F809" i="103" s="1"/>
  <c r="F102"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811" i="103" l="1"/>
  <c r="H104" i="74"/>
  <c r="E803" i="103"/>
  <c r="E804" i="103"/>
  <c r="E808" i="103"/>
  <c r="D101" i="74"/>
  <c r="D97" i="74"/>
  <c r="G792" i="103"/>
  <c r="G809" i="103" s="1"/>
  <c r="G102" i="74"/>
  <c r="H103" i="74"/>
  <c r="H810" i="103" s="1"/>
  <c r="D96" i="74"/>
  <c r="E89" i="74"/>
  <c r="F84" i="74"/>
  <c r="F791" i="103" s="1"/>
  <c r="F796" i="103" s="1"/>
  <c r="H88" i="74"/>
  <c r="H80" i="74"/>
  <c r="H787" i="103" s="1"/>
  <c r="H79" i="74"/>
  <c r="H786" i="103" s="1"/>
  <c r="I78" i="74"/>
  <c r="H85" i="74"/>
  <c r="H87" i="74"/>
  <c r="H794" i="103" s="1"/>
  <c r="G81" i="74"/>
  <c r="G788" i="103" s="1"/>
  <c r="I95" i="74"/>
  <c r="I802" i="103" s="1"/>
  <c r="H811" i="103" l="1"/>
  <c r="I104" i="74"/>
  <c r="E97" i="74"/>
  <c r="E101" i="74"/>
  <c r="F803" i="103"/>
  <c r="F804" i="103"/>
  <c r="F808" i="103"/>
  <c r="H792" i="103"/>
  <c r="H809" i="103" s="1"/>
  <c r="H102" i="74"/>
  <c r="I103" i="74"/>
  <c r="I810" i="103" s="1"/>
  <c r="E96" i="74"/>
  <c r="F89" i="74"/>
  <c r="G84" i="74"/>
  <c r="G791" i="103" s="1"/>
  <c r="G796" i="103" s="1"/>
  <c r="I88" i="74"/>
  <c r="I79" i="74"/>
  <c r="I786" i="103" s="1"/>
  <c r="J78" i="74"/>
  <c r="I80" i="74"/>
  <c r="I787" i="103" s="1"/>
  <c r="I85" i="74"/>
  <c r="I87" i="74"/>
  <c r="I794" i="103" s="1"/>
  <c r="H81" i="74"/>
  <c r="H788" i="103" s="1"/>
  <c r="J95" i="74"/>
  <c r="J802" i="103" s="1"/>
  <c r="I811" i="103" l="1"/>
  <c r="J104" i="74"/>
  <c r="G803" i="103"/>
  <c r="G804" i="103"/>
  <c r="G808" i="103"/>
  <c r="F97" i="74"/>
  <c r="F101" i="74"/>
  <c r="I792" i="103"/>
  <c r="I809" i="103" s="1"/>
  <c r="I102" i="74"/>
  <c r="J103" i="74"/>
  <c r="J810" i="103" s="1"/>
  <c r="F96" i="74"/>
  <c r="J80" i="74"/>
  <c r="J787" i="103" s="1"/>
  <c r="K78" i="74"/>
  <c r="J79" i="74"/>
  <c r="J786" i="103" s="1"/>
  <c r="J88" i="74"/>
  <c r="J85" i="74"/>
  <c r="J87" i="74"/>
  <c r="J794" i="103" s="1"/>
  <c r="I81" i="74"/>
  <c r="I788" i="103" s="1"/>
  <c r="K95" i="74"/>
  <c r="K802" i="103" s="1"/>
  <c r="G89" i="74"/>
  <c r="H84" i="74"/>
  <c r="H791" i="103" s="1"/>
  <c r="H796" i="103" s="1"/>
  <c r="J811" i="103" l="1"/>
  <c r="K104" i="74"/>
  <c r="G97" i="74"/>
  <c r="G101" i="74"/>
  <c r="H803" i="103"/>
  <c r="H808" i="103"/>
  <c r="H804" i="103"/>
  <c r="J792" i="103"/>
  <c r="J809" i="103" s="1"/>
  <c r="J102" i="74"/>
  <c r="K103" i="74"/>
  <c r="K810" i="103" s="1"/>
  <c r="G96" i="74"/>
  <c r="H89" i="74"/>
  <c r="J81" i="74"/>
  <c r="J788" i="103" s="1"/>
  <c r="B125" i="74"/>
  <c r="B832" i="103" s="1"/>
  <c r="K80" i="74"/>
  <c r="K787" i="103" s="1"/>
  <c r="B108" i="74"/>
  <c r="K88" i="74"/>
  <c r="K79" i="74"/>
  <c r="K786" i="103" s="1"/>
  <c r="K85" i="74"/>
  <c r="K87" i="74"/>
  <c r="K794" i="103" s="1"/>
  <c r="I84" i="74"/>
  <c r="I791" i="103" s="1"/>
  <c r="I796" i="103" s="1"/>
  <c r="K811" i="103" l="1"/>
  <c r="B134" i="74"/>
  <c r="H101" i="74"/>
  <c r="H97" i="74"/>
  <c r="I803" i="103"/>
  <c r="I808" i="103"/>
  <c r="I804" i="103"/>
  <c r="K792" i="103"/>
  <c r="K809" i="103" s="1"/>
  <c r="K102" i="74"/>
  <c r="B133" i="74"/>
  <c r="B840" i="103" s="1"/>
  <c r="H96" i="74"/>
  <c r="J84" i="74"/>
  <c r="J791" i="103" s="1"/>
  <c r="J796" i="103" s="1"/>
  <c r="K81" i="74"/>
  <c r="K788" i="103" s="1"/>
  <c r="C125" i="74"/>
  <c r="C832" i="103" s="1"/>
  <c r="I89" i="74"/>
  <c r="B109" i="74"/>
  <c r="B816" i="103" s="1"/>
  <c r="C108" i="74"/>
  <c r="B110" i="74"/>
  <c r="B817" i="103" s="1"/>
  <c r="B118" i="74"/>
  <c r="B115" i="74"/>
  <c r="B117" i="74"/>
  <c r="B824" i="103" s="1"/>
  <c r="B841" i="103" l="1"/>
  <c r="C134" i="74"/>
  <c r="I97" i="74"/>
  <c r="I101" i="74"/>
  <c r="J803" i="103"/>
  <c r="J804" i="103"/>
  <c r="J808" i="103"/>
  <c r="B822" i="103"/>
  <c r="B839" i="103" s="1"/>
  <c r="B132" i="74"/>
  <c r="C133" i="74"/>
  <c r="C840" i="103" s="1"/>
  <c r="I96" i="74"/>
  <c r="J89" i="74"/>
  <c r="K84" i="74"/>
  <c r="K791" i="103" s="1"/>
  <c r="K796" i="103" s="1"/>
  <c r="D108" i="74"/>
  <c r="C109" i="74"/>
  <c r="C816" i="103" s="1"/>
  <c r="C118" i="74"/>
  <c r="C110" i="74"/>
  <c r="C817" i="103" s="1"/>
  <c r="C115" i="74"/>
  <c r="C117" i="74"/>
  <c r="C824" i="103" s="1"/>
  <c r="D125" i="74"/>
  <c r="D832" i="103" s="1"/>
  <c r="B111" i="74"/>
  <c r="B818" i="103" s="1"/>
  <c r="C841" i="103" l="1"/>
  <c r="D134" i="74"/>
  <c r="J97" i="74"/>
  <c r="J101" i="74"/>
  <c r="K803" i="103"/>
  <c r="K804" i="103"/>
  <c r="K808" i="103"/>
  <c r="C822" i="103"/>
  <c r="C839" i="103" s="1"/>
  <c r="C132"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41" i="103" l="1"/>
  <c r="E134" i="74"/>
  <c r="K101" i="74"/>
  <c r="K97" i="74"/>
  <c r="B833" i="103"/>
  <c r="B834" i="103"/>
  <c r="B838" i="103"/>
  <c r="D822" i="103"/>
  <c r="D839" i="103" s="1"/>
  <c r="D132"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41" i="103" l="1"/>
  <c r="F134" i="74"/>
  <c r="F841" i="103" s="1"/>
  <c r="B127" i="74"/>
  <c r="B131" i="74"/>
  <c r="C833" i="103"/>
  <c r="C834" i="103"/>
  <c r="C838" i="103"/>
  <c r="E822" i="103"/>
  <c r="E839" i="103" s="1"/>
  <c r="E132" i="74"/>
  <c r="F133" i="74"/>
  <c r="F840" i="103" s="1"/>
  <c r="B126" i="74"/>
  <c r="C119" i="74"/>
  <c r="E111" i="74"/>
  <c r="E818" i="103" s="1"/>
  <c r="F118" i="74"/>
  <c r="F110" i="74"/>
  <c r="F817" i="103" s="1"/>
  <c r="F109" i="74"/>
  <c r="F816" i="103" s="1"/>
  <c r="F115" i="74"/>
  <c r="F117" i="74"/>
  <c r="F824" i="103" s="1"/>
  <c r="D114" i="74"/>
  <c r="D821" i="103" s="1"/>
  <c r="D826" i="103" s="1"/>
  <c r="D833" i="103" l="1"/>
  <c r="D834" i="103"/>
  <c r="D838" i="103"/>
  <c r="C127" i="74"/>
  <c r="C131" i="74"/>
  <c r="F822" i="103"/>
  <c r="F839" i="103" s="1"/>
  <c r="F132" i="74"/>
  <c r="C126" i="74"/>
  <c r="E114" i="74"/>
  <c r="E821" i="103" s="1"/>
  <c r="E826" i="103" s="1"/>
  <c r="F111" i="74"/>
  <c r="F818" i="103" s="1"/>
  <c r="D119" i="74"/>
  <c r="D127" i="74" l="1"/>
  <c r="D131" i="74"/>
  <c r="E833" i="103"/>
  <c r="E834" i="103"/>
  <c r="E838" i="103"/>
  <c r="D126" i="74"/>
  <c r="E119" i="74"/>
  <c r="F114" i="74"/>
  <c r="F821" i="103" s="1"/>
  <c r="F826" i="103" s="1"/>
  <c r="E127" i="74" l="1"/>
  <c r="E131" i="74"/>
  <c r="F833" i="103"/>
  <c r="F838" i="103"/>
  <c r="F834"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 r="E5" i="86" l="1"/>
  <c r="K5" i="86"/>
  <c r="E6"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G11" i="91"/>
  <c r="L11" i="95"/>
  <c r="P53" i="98"/>
  <c r="P56" i="98"/>
  <c r="B4" i="82"/>
  <c r="B6" i="82"/>
  <c r="B7" i="82"/>
  <c r="B10" i="82"/>
  <c r="B11" i="82"/>
  <c r="B14" i="82"/>
  <c r="B15" i="82"/>
  <c r="B20" i="82"/>
  <c r="G20" i="82"/>
  <c r="B21" i="82"/>
  <c r="G21" i="82"/>
  <c r="I9" i="103"/>
  <c r="L77" i="103"/>
  <c r="L78" i="103"/>
  <c r="P90" i="103"/>
  <c r="I94" i="103"/>
  <c r="L94" i="103"/>
  <c r="N94" i="103"/>
  <c r="P94" i="103"/>
  <c r="I95" i="103"/>
  <c r="L95" i="103"/>
  <c r="N95" i="103"/>
  <c r="P95" i="103"/>
  <c r="P96" i="103"/>
  <c r="I103" i="103"/>
  <c r="I104" i="103"/>
  <c r="I105" i="103"/>
  <c r="E221" i="103"/>
  <c r="G221" i="103"/>
  <c r="J221" i="103"/>
  <c r="S221" i="103"/>
  <c r="G227" i="103"/>
  <c r="S227" i="103"/>
  <c r="G259" i="103"/>
  <c r="S259" i="103"/>
  <c r="D261" i="103"/>
  <c r="G261" i="103"/>
  <c r="J289" i="103"/>
  <c r="J290" i="103"/>
  <c r="J291" i="103"/>
  <c r="J293" i="103"/>
  <c r="J296" i="103"/>
  <c r="J300" i="103"/>
  <c r="J302" i="103"/>
  <c r="M302" i="103"/>
  <c r="J304" i="103"/>
  <c r="A21" i="83"/>
  <c r="E108" i="78"/>
  <c r="G108" i="78"/>
  <c r="J108" i="78"/>
  <c r="S108" i="78"/>
  <c r="G114" i="78"/>
  <c r="S114" i="78"/>
  <c r="G146" i="78"/>
  <c r="S146" i="78"/>
  <c r="D148" i="78"/>
  <c r="G148" i="78"/>
  <c r="J176" i="78"/>
  <c r="J177" i="78"/>
  <c r="J178" i="78"/>
  <c r="J180" i="78"/>
  <c r="J183" i="78"/>
  <c r="J187" i="78"/>
  <c r="J189" i="78"/>
  <c r="M189" i="78"/>
  <c r="J191" i="78"/>
  <c r="L34" i="68"/>
  <c r="L35" i="68"/>
  <c r="P47" i="68"/>
  <c r="I51" i="68"/>
  <c r="L51" i="68"/>
  <c r="N51" i="68"/>
  <c r="P51" i="68"/>
  <c r="I52" i="68"/>
  <c r="L52" i="68"/>
  <c r="N52" i="68"/>
  <c r="P52" i="68"/>
  <c r="P53" i="68"/>
  <c r="I60" i="68"/>
  <c r="I61" i="68"/>
  <c r="I62" i="68"/>
  <c r="I10" i="66"/>
  <c r="C18" i="100"/>
  <c r="D18" i="100"/>
  <c r="C19" i="100"/>
  <c r="C20" i="100"/>
  <c r="C30" i="100"/>
  <c r="C38" i="100"/>
  <c r="K40" i="100"/>
  <c r="C18" i="84"/>
  <c r="D18" i="84"/>
  <c r="C19" i="84"/>
  <c r="C20" i="84"/>
  <c r="C30" i="84"/>
  <c r="C38" i="84"/>
  <c r="K40" i="84"/>
  <c r="A67" i="85"/>
  <c r="L67" i="85"/>
  <c r="M67" i="85"/>
  <c r="O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<sst xmlns="http://schemas.openxmlformats.org/spreadsheetml/2006/main" count="19362" uniqueCount="7092">
  <si>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</si>
  <si>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</si>
  <si>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</si>
  <si>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</si>
  <si>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</si>
  <si>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</si>
  <si>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</si>
  <si>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</si>
  <si>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</si>
  <si>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</si>
  <si>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</si>
  <si>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</si>
  <si>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</si>
  <si>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</si>
  <si>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</si>
  <si>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</si>
  <si>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</si>
  <si>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</si>
  <si>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</si>
  <si>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</si>
  <si>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</si>
  <si>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</si>
  <si>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</si>
  <si>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</si>
  <si>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</si>
  <si>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</si>
  <si>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</si>
  <si>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</si>
  <si>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</si>
  <si>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</si>
  <si>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&lt;&lt;Enter Pre-App Nbr&gt;&gt;</t>
  </si>
  <si>
    <t>III.</t>
  </si>
  <si>
    <t>APPLICANT CONTACT FOR APPLICATION SUBMISSION AND REVIEW</t>
  </si>
  <si>
    <t>(Enter all phone numbers without using hyphens, parentheses, decimals, etc - for example: 1234567890)</t>
  </si>
  <si>
    <t>Organization Name</t>
  </si>
  <si>
    <t>Integral</t>
  </si>
  <si>
    <t>Contact</t>
  </si>
  <si>
    <t>Trey Williams</t>
  </si>
  <si>
    <t>Title</t>
  </si>
  <si>
    <t>Vice President</t>
  </si>
  <si>
    <t>Office Phone</t>
  </si>
  <si>
    <t>Ext.</t>
  </si>
  <si>
    <t>Direct Line</t>
  </si>
  <si>
    <t>E-mail</t>
  </si>
  <si>
    <t>twilliams@integral-online.com</t>
  </si>
  <si>
    <t>Cellular</t>
  </si>
  <si>
    <t>Alternate Contact</t>
  </si>
  <si>
    <t>Valerie Edwards</t>
  </si>
  <si>
    <t>Executive Vice President</t>
  </si>
  <si>
    <t>vedwards@integral-online.com</t>
  </si>
  <si>
    <t>IV.</t>
  </si>
  <si>
    <t>PROJECT LOCATION</t>
  </si>
  <si>
    <t>Project Name</t>
  </si>
  <si>
    <t>QCT?</t>
  </si>
  <si>
    <t>City</t>
  </si>
  <si>
    <t>Atlanta</t>
  </si>
  <si>
    <t>County</t>
  </si>
  <si>
    <t>DDA?</t>
  </si>
  <si>
    <t>Site is predominantly located within:</t>
  </si>
  <si>
    <t>City Limits</t>
  </si>
  <si>
    <t>(Adjust County if needed)</t>
  </si>
  <si>
    <t>Site Acreage</t>
  </si>
  <si>
    <t>In USDA Rural Area?</t>
  </si>
  <si>
    <t>No</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</si>
  <si>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</si>
  <si>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</si>
  <si>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</si>
  <si>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</si>
  <si>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</si>
  <si>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</si>
  <si>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</si>
  <si>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</si>
  <si>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</si>
  <si>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</si>
  <si>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</si>
  <si>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</si>
  <si>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</si>
  <si>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</si>
  <si>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</si>
  <si>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</si>
  <si>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</si>
  <si>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</si>
  <si>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</si>
  <si>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</si>
  <si>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</si>
  <si>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</si>
  <si>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</si>
  <si>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</si>
  <si>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</si>
  <si>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</si>
  <si>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</si>
  <si>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</si>
  <si>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</si>
  <si>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</si>
  <si>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</si>
  <si>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</si>
  <si>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</si>
  <si>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</si>
  <si>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</si>
  <si>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</si>
  <si>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</si>
  <si>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</si>
  <si>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</si>
  <si>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</si>
  <si>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</si>
  <si>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</si>
  <si>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</si>
  <si>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</si>
  <si>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</si>
  <si>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</si>
  <si>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</si>
  <si>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</si>
  <si>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</si>
  <si>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</si>
  <si>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</si>
  <si>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</si>
  <si>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</si>
  <si>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</si>
  <si>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</si>
  <si>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</si>
  <si>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</si>
  <si>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</si>
  <si>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</si>
  <si>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</si>
  <si>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</si>
  <si>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</si>
  <si>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</si>
  <si>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</si>
  <si>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</si>
  <si>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</si>
  <si>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</si>
  <si>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</si>
  <si>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</si>
  <si>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</si>
  <si>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</si>
  <si>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</si>
  <si>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</si>
  <si>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</si>
  <si>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</si>
  <si>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</si>
  <si>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</si>
  <si>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</si>
  <si>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</si>
  <si>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</si>
  <si>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</si>
  <si>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</si>
  <si>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</si>
  <si>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</si>
  <si>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</si>
  <si>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</si>
  <si>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</si>
  <si>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</si>
  <si>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</si>
  <si>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</si>
  <si>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</si>
  <si>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</si>
  <si>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</si>
  <si>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</si>
  <si>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</si>
  <si>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</si>
  <si>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</si>
  <si>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</si>
  <si>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</si>
  <si>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</si>
  <si>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</si>
  <si>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</si>
  <si>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</si>
  <si>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</si>
  <si>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</si>
  <si>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</si>
  <si>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</si>
  <si>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</si>
  <si>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</si>
  <si>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</si>
  <si>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</si>
  <si>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</si>
  <si>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</si>
  <si>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</si>
  <si>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</si>
  <si>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</si>
  <si>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</si>
  <si>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</si>
  <si>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</si>
  <si>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</si>
  <si>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</si>
  <si>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</si>
  <si>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</si>
  <si>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</si>
  <si>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</si>
  <si>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</si>
  <si>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</si>
  <si>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</si>
  <si>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</si>
  <si>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</si>
  <si>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</si>
  <si>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</si>
  <si>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</si>
  <si>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</si>
  <si>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</si>
  <si>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</si>
  <si>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</si>
  <si>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</si>
  <si>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</si>
  <si>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</si>
  <si>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</si>
  <si>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</si>
  <si>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</si>
  <si>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</si>
  <si>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</si>
  <si>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</si>
  <si>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</si>
  <si>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</si>
  <si>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</si>
  <si>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</si>
  <si>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</si>
  <si>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</si>
  <si>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</si>
  <si>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</si>
  <si>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</si>
  <si>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</si>
  <si>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</si>
  <si>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</si>
  <si>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</si>
  <si>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</si>
  <si>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</si>
  <si>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</si>
  <si>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</si>
  <si>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</si>
  <si>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</si>
  <si>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</si>
  <si>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</si>
  <si>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</si>
  <si>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</si>
  <si>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</si>
  <si>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</si>
  <si>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</si>
  <si>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</si>
  <si>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</si>
  <si>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</si>
  <si>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</si>
  <si>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</si>
  <si>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</si>
  <si>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</si>
  <si>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</si>
  <si>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</si>
  <si>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</si>
  <si>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</si>
  <si>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</si>
  <si>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</si>
  <si>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</si>
  <si>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</si>
  <si>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</si>
  <si>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</si>
  <si>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</si>
  <si>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</si>
  <si>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</si>
  <si>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</si>
  <si>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</si>
  <si>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</si>
  <si>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</si>
  <si>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</si>
  <si>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</si>
  <si>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</si>
  <si>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</si>
  <si>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</si>
  <si>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</si>
  <si>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</si>
  <si>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</si>
  <si>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</si>
  <si>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</si>
  <si>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</si>
  <si>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</si>
  <si>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</si>
  <si>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</si>
  <si>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</si>
  <si>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</si>
  <si>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</si>
  <si>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</si>
  <si>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</si>
  <si>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</si>
  <si>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</si>
  <si>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</si>
  <si>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</si>
  <si>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</si>
  <si>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</si>
  <si>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</si>
  <si>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</si>
  <si>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</si>
  <si>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</si>
  <si>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</si>
  <si>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</si>
  <si>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</si>
  <si>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</si>
  <si>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</si>
  <si>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</si>
  <si>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</si>
  <si>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</si>
  <si>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</si>
  <si>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</si>
  <si>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</si>
  <si>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</si>
  <si>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</si>
  <si>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</si>
  <si>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</si>
  <si>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</si>
  <si>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</si>
  <si>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</si>
  <si>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</si>
  <si>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</si>
  <si>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</si>
  <si>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</si>
  <si>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</si>
  <si>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</si>
  <si>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</si>
  <si>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</si>
  <si>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</si>
  <si>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</si>
  <si>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</si>
  <si>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</si>
  <si>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</si>
  <si>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</si>
  <si>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</si>
  <si>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</si>
  <si>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</si>
  <si>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</si>
  <si>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</si>
  <si>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</si>
  <si>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</si>
  <si>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</si>
  <si>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</si>
  <si>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</si>
  <si>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</si>
  <si>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</si>
  <si>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</si>
  <si>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</si>
  <si>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</si>
  <si>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</si>
  <si>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</si>
  <si>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</si>
  <si>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</si>
  <si>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</si>
  <si>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</si>
  <si>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</si>
  <si>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</si>
  <si>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</si>
  <si>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</si>
  <si>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</si>
  <si>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</si>
  <si>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</si>
  <si>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</si>
  <si>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</si>
  <si>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</si>
  <si>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</si>
  <si>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</si>
  <si>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</si>
  <si>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</si>
  <si>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</si>
  <si>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</si>
  <si>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</si>
  <si>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</si>
  <si>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</si>
  <si>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</si>
  <si>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</si>
  <si>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</si>
  <si>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</si>
  <si>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</si>
  <si>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</si>
  <si>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</si>
  <si>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</si>
  <si>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</si>
  <si>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</si>
  <si>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</si>
  <si>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</si>
  <si>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</si>
  <si>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</si>
  <si>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</si>
  <si>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</si>
  <si>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</si>
  <si>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</si>
  <si>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</si>
  <si>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</si>
  <si>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</si>
  <si>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</si>
  <si>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</si>
  <si>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</si>
  <si>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</si>
  <si>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</si>
  <si>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</si>
  <si>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</si>
  <si>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</si>
  <si>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</si>
  <si>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</si>
  <si>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</si>
  <si>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</si>
  <si>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</si>
  <si>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</si>
  <si>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</si>
  <si>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</si>
  <si>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</si>
  <si>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</si>
  <si>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</si>
  <si>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</si>
  <si>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</si>
  <si>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</si>
  <si>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</si>
  <si>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</si>
  <si>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</si>
  <si>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</si>
  <si>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</si>
  <si>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</si>
  <si>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</si>
  <si>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</si>
  <si>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</si>
  <si>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</si>
  <si>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</si>
  <si>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</si>
  <si>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</si>
  <si>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</si>
  <si>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</si>
  <si>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</si>
  <si>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</si>
  <si>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</si>
  <si>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</si>
  <si>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</si>
  <si>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</si>
  <si>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</si>
  <si>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</si>
  <si>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</si>
  <si>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</si>
  <si>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</si>
  <si>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</si>
  <si>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</si>
  <si>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</si>
  <si>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</si>
  <si>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</si>
  <si>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</si>
  <si>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</si>
  <si>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</si>
  <si>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</si>
  <si>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</si>
  <si>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</si>
  <si>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</si>
  <si>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</si>
  <si>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</si>
  <si>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</si>
  <si>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</si>
  <si>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</si>
  <si>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</si>
  <si>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</si>
  <si>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</si>
  <si>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</si>
  <si>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</si>
  <si>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</si>
  <si>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</si>
  <si>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</si>
  <si>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</si>
  <si>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</si>
  <si>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</si>
  <si>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</si>
  <si>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</si>
  <si>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</si>
  <si>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</si>
  <si>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</si>
  <si>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</si>
  <si>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</si>
  <si>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</si>
  <si>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</si>
  <si>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</si>
  <si>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</si>
  <si>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</si>
  <si>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</si>
  <si>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</si>
  <si>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</si>
  <si>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</si>
  <si>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</si>
  <si>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</si>
  <si>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</si>
  <si>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</si>
  <si>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</si>
  <si>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</si>
  <si>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</si>
  <si>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</si>
  <si>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</si>
  <si>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</si>
  <si>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</si>
  <si>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</si>
  <si>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</si>
  <si>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</si>
  <si>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</si>
  <si>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</si>
  <si>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</si>
  <si>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</si>
  <si>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</si>
  <si>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</si>
  <si>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</si>
  <si>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</si>
  <si>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</si>
  <si>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</si>
  <si>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</si>
  <si>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</si>
  <si>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</si>
  <si>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</si>
  <si>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</si>
  <si>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</si>
  <si>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</si>
  <si>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</si>
  <si>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</si>
  <si>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</si>
  <si>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</si>
  <si>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</si>
  <si>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</si>
  <si>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</si>
  <si>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</si>
  <si>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</si>
  <si>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</si>
  <si>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</si>
  <si>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</si>
  <si>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</si>
  <si>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</si>
  <si>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</si>
  <si>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</si>
  <si>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</si>
  <si>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</si>
  <si>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</si>
  <si>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</si>
  <si>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</si>
  <si>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</si>
  <si>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</si>
  <si>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</si>
  <si>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</si>
  <si>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</si>
  <si>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</si>
  <si>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</si>
  <si>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</si>
  <si>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</si>
  <si>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</si>
  <si>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</si>
  <si>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</si>
  <si>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</si>
  <si>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</si>
  <si>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</si>
  <si>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</si>
  <si>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</si>
  <si>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</si>
  <si>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</si>
  <si>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</si>
  <si>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</si>
  <si>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</si>
  <si>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</si>
  <si>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</si>
  <si>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</si>
  <si>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</si>
  <si>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</si>
  <si>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</si>
  <si>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</si>
  <si>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</si>
  <si>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</si>
  <si>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</si>
  <si>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</si>
  <si>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</si>
  <si>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</si>
  <si>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</si>
  <si>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</si>
  <si>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</si>
  <si>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</si>
  <si>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</si>
  <si>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</si>
  <si>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</si>
  <si>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</si>
  <si>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</si>
  <si>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</si>
  <si>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</si>
  <si>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</si>
  <si>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</si>
  <si>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</si>
  <si>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</si>
  <si>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</si>
  <si>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</si>
  <si>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</si>
  <si>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</si>
  <si>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</si>
  <si>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</si>
  <si>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</si>
  <si>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</si>
  <si>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</si>
  <si>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</si>
  <si>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</si>
  <si>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</si>
  <si>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</si>
  <si>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</si>
  <si>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</si>
  <si>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</si>
  <si>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</si>
  <si>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</si>
  <si>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</si>
  <si>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</si>
  <si>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</si>
  <si>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</si>
  <si>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</si>
  <si>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</si>
  <si>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</si>
  <si>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</si>
  <si>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</si>
  <si>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</si>
  <si>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</si>
  <si>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</si>
  <si>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</si>
  <si>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</si>
  <si>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</si>
  <si>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</si>
  <si>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</si>
  <si>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</si>
  <si>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</si>
  <si>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</si>
  <si>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</si>
  <si>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</si>
  <si>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</si>
  <si>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</si>
  <si>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</si>
  <si>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</si>
  <si>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</si>
  <si>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</si>
  <si>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</si>
  <si>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</si>
  <si>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</si>
  <si>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</si>
  <si>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</si>
  <si>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</si>
  <si>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</si>
  <si>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</si>
  <si>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</si>
  <si>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</si>
  <si>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</si>
  <si>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</si>
  <si>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</si>
  <si>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</si>
  <si>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</si>
  <si>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</si>
  <si>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</si>
  <si>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</si>
  <si>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</si>
  <si>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</si>
  <si>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</si>
  <si>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</si>
  <si>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</si>
  <si>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</si>
  <si>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</si>
  <si>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</si>
  <si>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</si>
  <si>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</si>
  <si>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</si>
  <si>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</si>
  <si>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</si>
  <si>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</si>
  <si>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</si>
  <si>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</si>
  <si>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</si>
  <si>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</si>
  <si>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</si>
  <si>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</si>
  <si>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</si>
  <si>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</si>
  <si>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</si>
  <si>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</si>
  <si>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</si>
  <si>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</si>
  <si>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</si>
  <si>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</si>
  <si>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</si>
  <si>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</si>
  <si>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</si>
  <si>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</si>
  <si>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</si>
  <si>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</si>
  <si>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</si>
  <si>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</si>
  <si>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</si>
  <si>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</si>
  <si>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</si>
  <si>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</si>
  <si>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</si>
  <si>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</si>
  <si>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</si>
  <si>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</si>
  <si>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</si>
  <si>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</si>
  <si>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</si>
  <si>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</si>
  <si>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</si>
  <si>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</si>
  <si>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</si>
  <si>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</si>
  <si>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</si>
  <si>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</si>
  <si>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</si>
  <si>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</si>
  <si>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</si>
  <si>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</si>
  <si>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</si>
  <si>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</si>
  <si>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</si>
  <si>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</si>
  <si>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</si>
  <si>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</si>
  <si>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</si>
  <si>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</si>
  <si>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</si>
  <si>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</si>
  <si>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</si>
  <si>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</si>
  <si>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</si>
  <si>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</si>
  <si>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</si>
  <si>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</si>
  <si>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</si>
  <si>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</si>
  <si>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</si>
  <si>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</si>
  <si>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</si>
  <si>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</si>
  <si>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</si>
  <si>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</si>
  <si>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</si>
  <si>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</si>
  <si>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</si>
  <si>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</si>
  <si>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</si>
  <si>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</si>
  <si>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</si>
  <si>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</si>
  <si>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</si>
  <si>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</si>
  <si>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</si>
  <si>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</si>
  <si>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</si>
  <si>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</si>
  <si>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</si>
  <si>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</si>
  <si>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</si>
  <si>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</si>
  <si>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</si>
  <si>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</si>
  <si>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</si>
  <si>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</si>
  <si>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</si>
  <si>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</si>
  <si>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</si>
  <si>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</si>
  <si>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</si>
  <si>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</si>
  <si>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</si>
  <si>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</si>
  <si>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</si>
  <si>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</si>
  <si>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</si>
  <si>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</si>
  <si>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</si>
  <si>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</si>
  <si>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</si>
  <si>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</si>
  <si>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</si>
  <si>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</si>
  <si>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</si>
  <si>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</si>
  <si>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</si>
  <si>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</si>
  <si>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</si>
  <si>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</si>
  <si>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</si>
  <si>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</si>
  <si>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</si>
  <si>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</si>
  <si>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</si>
  <si>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</si>
  <si>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</si>
  <si>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</si>
  <si>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</si>
  <si>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</si>
  <si>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</si>
  <si>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</si>
  <si>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</si>
  <si>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</si>
  <si>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</si>
  <si>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</si>
  <si>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</si>
  <si>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</si>
  <si>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</si>
  <si>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</si>
  <si>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</si>
  <si>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</si>
  <si>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</si>
  <si>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</si>
  <si>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</si>
  <si>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</si>
  <si>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</si>
  <si>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</si>
  <si>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</si>
  <si>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</si>
  <si>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</si>
  <si>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</si>
  <si>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</si>
  <si>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</si>
  <si>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</si>
  <si>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</si>
  <si>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</si>
  <si>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</si>
  <si>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</si>
  <si>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</si>
  <si>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</si>
  <si>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</si>
  <si>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</si>
  <si>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</si>
  <si>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</si>
  <si>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</si>
  <si>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</si>
  <si>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</si>
  <si>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</si>
  <si>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</si>
  <si>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</si>
  <si>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</si>
  <si>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</si>
  <si>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</si>
  <si>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</si>
  <si>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</si>
  <si>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</si>
  <si>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</si>
  <si>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</si>
  <si>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</si>
  <si>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</si>
  <si>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</si>
  <si>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</si>
  <si>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</si>
  <si>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</si>
  <si>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</si>
  <si>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</si>
  <si>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</si>
  <si>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</si>
  <si>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</si>
  <si>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</si>
  <si>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</si>
  <si>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</si>
  <si>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</si>
  <si>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</si>
  <si>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</si>
  <si>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</si>
  <si>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</si>
  <si>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</si>
  <si>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</si>
  <si>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</si>
  <si>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</si>
  <si>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</si>
  <si>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</si>
  <si>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</si>
  <si>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</si>
  <si>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</si>
  <si>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</si>
  <si>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</si>
  <si>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</si>
  <si>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</si>
  <si>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</si>
  <si>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</si>
  <si>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</si>
  <si>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</si>
  <si>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</si>
  <si>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</si>
  <si>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</si>
  <si>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</si>
  <si>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</si>
  <si>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</si>
  <si>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</si>
  <si>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</si>
  <si>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</si>
  <si>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</si>
  <si>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</si>
  <si>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</si>
  <si>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</si>
  <si>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</si>
  <si>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</si>
  <si>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</si>
  <si>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</si>
  <si>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</si>
  <si>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</si>
  <si>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</si>
  <si>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</si>
  <si>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</si>
  <si>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</si>
  <si>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</si>
  <si>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</si>
  <si>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</si>
  <si>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</si>
  <si>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</si>
  <si>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</si>
  <si>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</si>
  <si>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</si>
  <si>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</si>
  <si>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</si>
  <si>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</si>
  <si>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</si>
  <si>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</si>
  <si>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</si>
  <si>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</si>
  <si>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</si>
  <si>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</si>
  <si>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</si>
  <si>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</si>
  <si>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</si>
  <si>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</si>
  <si>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</si>
  <si>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</si>
  <si>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</si>
  <si>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</si>
  <si>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</si>
  <si>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</si>
  <si>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</si>
  <si>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</si>
  <si>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</si>
  <si>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</si>
  <si>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</si>
  <si>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</si>
  <si>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</si>
  <si>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</si>
  <si>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</si>
  <si>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</si>
  <si>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</si>
  <si>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</si>
  <si>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</si>
  <si>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</si>
  <si>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</si>
  <si>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</si>
  <si>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</si>
  <si>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</si>
  <si>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</si>
  <si>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</si>
  <si>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</si>
  <si>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</si>
  <si>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</si>
  <si>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</si>
  <si>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</si>
  <si>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</si>
  <si>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</si>
  <si>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</si>
  <si>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</si>
  <si>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</si>
  <si>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</si>
  <si>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</si>
  <si>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</si>
  <si>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</si>
  <si>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</si>
  <si>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</si>
  <si>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</si>
  <si>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</si>
  <si>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</si>
  <si>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</si>
  <si>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</si>
  <si>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</si>
  <si>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</si>
  <si>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</si>
  <si>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</si>
  <si>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</si>
  <si>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</si>
  <si>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</si>
  <si>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</si>
  <si>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</si>
  <si>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</si>
  <si>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</si>
  <si>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</si>
  <si>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</si>
  <si>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</si>
  <si>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</si>
  <si>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</si>
  <si>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</si>
  <si>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</si>
  <si>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</si>
  <si>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</si>
  <si>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</si>
  <si>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</si>
  <si>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</si>
  <si>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</si>
  <si>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</si>
  <si>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</si>
  <si>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</si>
  <si>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</si>
  <si>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</si>
  <si>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</si>
  <si>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</si>
  <si>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</si>
  <si>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</si>
  <si>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</si>
  <si>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</si>
  <si>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</si>
  <si>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</si>
  <si>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</si>
  <si>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</si>
  <si>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</si>
  <si>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</si>
  <si>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</si>
  <si>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</si>
  <si>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</si>
  <si>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</si>
  <si>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</si>
  <si>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</si>
  <si>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</si>
  <si>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</si>
  <si>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</si>
  <si>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</si>
  <si>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</si>
  <si>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</si>
  <si>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</si>
  <si>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</si>
  <si>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</si>
  <si>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</si>
  <si>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</si>
  <si>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</si>
  <si>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</si>
  <si>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</si>
  <si>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</si>
  <si>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</si>
  <si>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</si>
  <si>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</si>
  <si>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</si>
  <si>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</si>
  <si>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</si>
  <si>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</si>
  <si>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</si>
  <si>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</si>
  <si>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</si>
  <si>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</si>
  <si>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</si>
  <si>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</si>
  <si>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</si>
  <si>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</si>
  <si>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</si>
  <si>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</si>
  <si>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</si>
  <si>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</si>
  <si>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</si>
  <si>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</si>
  <si>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</si>
  <si>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</si>
  <si>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</si>
  <si>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</si>
  <si>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</si>
  <si>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</si>
  <si>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</si>
  <si>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</si>
  <si>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</si>
  <si>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</si>
  <si>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</si>
  <si>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</si>
  <si>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</si>
  <si>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</si>
  <si>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</si>
  <si>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</si>
  <si>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</si>
  <si>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</si>
  <si>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</si>
  <si>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</si>
  <si>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</si>
  <si>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</si>
  <si>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</si>
  <si>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</si>
  <si>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</si>
  <si>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</si>
  <si>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</si>
  <si>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</si>
  <si>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</si>
  <si>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</si>
  <si>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</si>
  <si>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</si>
  <si>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</si>
  <si>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</si>
  <si>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</si>
  <si>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</si>
  <si>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</si>
  <si>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</si>
  <si>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</si>
  <si>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</si>
  <si>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</si>
  <si>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</si>
  <si>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</si>
  <si>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</si>
  <si>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</si>
  <si>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</si>
  <si>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</si>
  <si>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</si>
  <si>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</si>
  <si>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</si>
  <si>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</si>
  <si>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</si>
  <si>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</si>
  <si>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</si>
  <si>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</si>
  <si>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</si>
  <si>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</si>
  <si>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</si>
  <si>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</si>
  <si>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</si>
  <si>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</si>
  <si>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</si>
  <si>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</si>
  <si>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</si>
  <si>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</si>
  <si>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</si>
  <si>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</si>
  <si>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</si>
  <si>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</si>
  <si>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</si>
  <si>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</si>
  <si>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</si>
  <si>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</si>
  <si>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</si>
  <si>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</si>
  <si>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</si>
  <si>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</si>
  <si>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</si>
  <si>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</si>
  <si>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</si>
  <si>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</si>
  <si>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</si>
  <si>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</si>
  <si>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</si>
  <si>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</si>
  <si>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</si>
  <si>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</si>
  <si>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</si>
  <si>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</si>
  <si>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</si>
  <si>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</si>
  <si>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</si>
  <si>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</si>
  <si>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</si>
  <si>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</si>
  <si>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</si>
  <si>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</si>
  <si>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</si>
  <si>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</si>
  <si>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</si>
  <si>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</si>
  <si>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</si>
  <si>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</si>
  <si>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</si>
  <si>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</si>
  <si>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</si>
  <si>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</si>
  <si>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</si>
  <si>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</si>
  <si>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</si>
  <si>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</si>
  <si>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</si>
  <si>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</si>
  <si>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</si>
  <si>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</si>
  <si>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</si>
  <si>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</si>
  <si>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</si>
  <si>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</si>
  <si>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</si>
  <si>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</si>
  <si>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</si>
  <si>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</si>
  <si>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</si>
  <si>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</si>
  <si>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</si>
  <si>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</si>
  <si>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</si>
  <si>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</si>
  <si>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</si>
  <si>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</si>
  <si>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</si>
  <si>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</si>
  <si>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</si>
  <si>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</si>
  <si>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</si>
  <si>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</si>
  <si>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</si>
  <si>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</si>
  <si>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</si>
  <si>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</si>
  <si>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</si>
  <si>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</si>
  <si>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</si>
  <si>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</si>
  <si>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</si>
  <si>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</si>
  <si>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</si>
  <si>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</si>
  <si>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</si>
  <si>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</si>
  <si>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</si>
  <si>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</si>
  <si>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</si>
  <si>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</si>
  <si>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</si>
  <si>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</si>
  <si>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</si>
  <si>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</si>
  <si>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</si>
  <si>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</si>
  <si>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</si>
  <si>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</si>
  <si>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</si>
  <si>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</si>
  <si>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</si>
  <si>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</si>
  <si>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</si>
  <si>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</si>
  <si>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</si>
  <si>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</si>
  <si>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</si>
  <si>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</si>
  <si>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</si>
  <si>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</si>
  <si>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</si>
  <si>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</si>
  <si>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</si>
  <si>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</si>
  <si>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</si>
  <si>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</si>
  <si>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</si>
  <si>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</si>
  <si>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</si>
  <si>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</si>
  <si>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</si>
  <si>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</si>
  <si>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</si>
  <si>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</si>
  <si>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</si>
  <si>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</si>
  <si>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</si>
  <si>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</si>
  <si>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</si>
  <si>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</si>
  <si>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</si>
  <si>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</si>
  <si>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</si>
  <si>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</si>
  <si>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</si>
  <si>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</si>
  <si>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</si>
  <si>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</si>
  <si>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</si>
  <si>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</si>
  <si>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</si>
  <si>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</si>
  <si>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</si>
  <si>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</si>
  <si>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</si>
  <si>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</si>
  <si>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</si>
  <si>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</si>
  <si>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</si>
  <si>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</si>
  <si>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</si>
  <si>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</si>
  <si>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</si>
  <si>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</si>
  <si>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</si>
  <si>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</si>
  <si>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</si>
  <si>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</si>
  <si>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</si>
  <si>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</si>
  <si>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</si>
  <si>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</si>
  <si>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</si>
  <si>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</si>
  <si>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</si>
  <si>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</si>
  <si>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</si>
  <si>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</si>
  <si>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</si>
  <si>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</si>
  <si>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</si>
  <si>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</si>
  <si>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</si>
  <si>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</si>
  <si>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</si>
  <si>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</si>
  <si>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</si>
  <si>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</si>
  <si>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</si>
  <si>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</si>
  <si>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</si>
  <si>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</si>
  <si>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</si>
  <si>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</si>
  <si>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</si>
  <si>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</si>
  <si>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</si>
  <si>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</si>
  <si>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</si>
  <si>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</si>
  <si>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</si>
  <si>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</si>
  <si>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</si>
  <si>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</si>
  <si>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</si>
  <si>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</si>
  <si>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</si>
  <si>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</si>
  <si>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</si>
  <si>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</si>
  <si>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</si>
  <si>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</si>
  <si>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</si>
  <si>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</si>
  <si>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</si>
  <si>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</si>
  <si>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</si>
  <si>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</si>
  <si>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</si>
  <si>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</si>
  <si>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</si>
  <si>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</si>
  <si>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</si>
  <si>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</si>
  <si>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</si>
  <si>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</si>
  <si>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</si>
  <si>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</si>
  <si>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</si>
  <si>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</si>
  <si>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</si>
  <si>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</si>
  <si>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</si>
  <si>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</si>
  <si>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</si>
  <si>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</si>
  <si>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</si>
  <si>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</si>
  <si>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</si>
  <si>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</si>
  <si>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</si>
  <si>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</si>
  <si>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</si>
  <si>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</si>
  <si>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</si>
  <si>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</si>
  <si>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</si>
  <si>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</si>
  <si>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</si>
  <si>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</si>
  <si>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</si>
  <si>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</si>
  <si>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</si>
  <si>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</si>
  <si>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</si>
  <si>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</si>
  <si>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</si>
  <si>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</si>
  <si>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</si>
  <si>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</si>
  <si>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</si>
  <si>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</si>
  <si>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</si>
  <si>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</si>
  <si>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</si>
  <si>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</si>
  <si>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</si>
  <si>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</si>
  <si>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</si>
  <si>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</si>
  <si>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</si>
  <si>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</si>
  <si>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</si>
  <si>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</si>
  <si>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</si>
  <si>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</si>
  <si>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</si>
  <si>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</si>
  <si>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</si>
  <si>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</si>
  <si>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</si>
  <si>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</si>
  <si>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</si>
  <si>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</si>
  <si>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</si>
  <si>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</si>
  <si>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</si>
  <si>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</si>
  <si>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</si>
  <si>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</si>
  <si>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</si>
  <si>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</si>
  <si>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</si>
  <si>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</si>
  <si>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</si>
  <si>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</si>
  <si>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</si>
  <si>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</si>
  <si>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</si>
  <si>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</si>
  <si>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</si>
  <si>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</si>
  <si>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</si>
  <si>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</si>
  <si>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</si>
  <si>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</si>
  <si>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</si>
  <si>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</si>
  <si>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</si>
  <si>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</si>
  <si>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Yes</t>
  </si>
  <si>
    <t>Threshold Justification per Applicant</t>
  </si>
  <si>
    <t>REQUIRED SERVICES</t>
  </si>
  <si>
    <r>
      <t xml:space="preserve">Applicant certifies that they will meet all requirements of the </t>
    </r>
    <r>
      <rPr>
        <i/>
        <sz val="11"/>
        <rFont val="Arial"/>
        <family val="2"/>
      </rPr>
      <t>2023 QAP, IV. Required Services.</t>
    </r>
  </si>
  <si>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</si>
  <si>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</si>
  <si>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</si>
  <si>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</si>
  <si>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</si>
  <si>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</si>
  <si>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</si>
  <si>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</si>
  <si>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</si>
  <si>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</si>
  <si>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</si>
  <si>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ENVIRONMENTAL REQUIREMENTS</t>
  </si>
  <si>
    <t>Name of Company that prepared the Phase I Assessment in accordance with ASTM 1527-13:</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</si>
  <si>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</si>
  <si>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</si>
  <si>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</si>
  <si>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</si>
  <si>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</si>
  <si>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</si>
  <si>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</si>
  <si>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</si>
  <si>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VIII.</t>
  </si>
  <si>
    <t>SITE CONTROL</t>
  </si>
  <si>
    <t>Form of site control:</t>
  </si>
  <si>
    <t>Purchase Contract</t>
  </si>
  <si>
    <t>Name of Entity with site control:</t>
  </si>
  <si>
    <t>IX.</t>
  </si>
  <si>
    <t>SITE ACCESS</t>
  </si>
  <si>
    <t>X.</t>
  </si>
  <si>
    <t>SITE ZONING</t>
  </si>
  <si>
    <t>XI.</t>
  </si>
  <si>
    <t>OPERATING UTILITIES</t>
  </si>
  <si>
    <t>Enter applicable utility provider name:</t>
  </si>
  <si>
    <t>Gas:</t>
  </si>
  <si>
    <t>&lt;&lt;Enter Provider Name Here&gt;&gt;</t>
  </si>
  <si>
    <t>Electric:</t>
  </si>
  <si>
    <t>Georgia Power</t>
  </si>
  <si>
    <t>XII.</t>
  </si>
  <si>
    <t>PUBLIC WATER/SANITARY SEWER</t>
  </si>
  <si>
    <t>Enter applicable provider name:</t>
  </si>
  <si>
    <t>Public water:</t>
  </si>
  <si>
    <t>City of Atlanta</t>
  </si>
  <si>
    <t>Sanitary sewer:</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</si>
  <si>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</si>
  <si>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</si>
  <si>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</si>
  <si>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</si>
  <si>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</si>
  <si>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</si>
  <si>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</si>
  <si>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</si>
  <si>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</si>
  <si>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</si>
  <si>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</si>
  <si>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</si>
  <si>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</si>
  <si>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</si>
  <si>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</si>
  <si>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</si>
  <si>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</si>
  <si>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</si>
  <si>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</si>
  <si>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</si>
  <si>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</si>
  <si>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</si>
  <si>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</si>
  <si>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</si>
  <si>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</si>
  <si>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</si>
  <si>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</si>
  <si>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</si>
  <si>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</si>
  <si>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</si>
  <si>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</si>
  <si>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</si>
  <si>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</si>
  <si>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</si>
  <si>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</si>
  <si>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</si>
  <si>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</si>
  <si>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</si>
  <si>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</si>
  <si>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</si>
  <si>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</si>
  <si>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</si>
  <si>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</si>
  <si>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</si>
  <si>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</si>
  <si>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</si>
  <si>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</si>
  <si>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</si>
  <si>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</si>
  <si>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</si>
  <si>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</si>
  <si>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XIX.</t>
  </si>
  <si>
    <t>EXPERIENCE, CAPACITY &amp; PERFORMANCE REQUIREMENTS FOR GENERAL PARTNER &amp; DEVELOPER ENTITIES</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</si>
  <si>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</si>
  <si>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</si>
  <si>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</si>
  <si>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</si>
  <si>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</si>
  <si>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</si>
  <si>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</si>
  <si>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</si>
  <si>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</si>
  <si>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</si>
  <si>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</si>
  <si>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</si>
  <si>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</si>
  <si>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</si>
  <si>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</si>
  <si>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</si>
  <si>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</si>
  <si>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</si>
  <si>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</si>
  <si>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</si>
  <si>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</si>
  <si>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</si>
  <si>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</si>
  <si>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</si>
  <si>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</si>
  <si>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</si>
  <si>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</si>
  <si>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</si>
  <si>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</si>
  <si>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</si>
  <si>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</si>
  <si>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</si>
  <si>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</si>
  <si>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</si>
  <si>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</si>
  <si>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</si>
  <si>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</si>
  <si>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</si>
  <si>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</si>
  <si>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</si>
  <si>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</si>
  <si>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</si>
  <si>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</si>
  <si>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</si>
  <si>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</si>
  <si>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</si>
  <si>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</si>
  <si>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</si>
  <si>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</si>
  <si>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</si>
  <si>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</si>
  <si>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</si>
  <si>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</si>
  <si>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</si>
  <si>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XXV.</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</si>
  <si>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</si>
  <si>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</si>
  <si>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</si>
  <si>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</si>
  <si>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</si>
  <si>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</si>
  <si>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</si>
  <si>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</si>
  <si>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</si>
  <si>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</si>
  <si>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</si>
  <si>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</si>
  <si>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</si>
  <si>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</si>
  <si>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</si>
  <si>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</si>
  <si>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</si>
  <si>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</si>
  <si>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</si>
  <si>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</si>
  <si>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</si>
  <si>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</si>
  <si>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</si>
  <si>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</si>
  <si>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</si>
  <si>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</si>
  <si>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</si>
  <si>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</si>
  <si>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</si>
  <si>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</si>
  <si>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</si>
  <si>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</si>
  <si>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</si>
  <si>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</si>
  <si>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</si>
  <si>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</si>
  <si>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</si>
  <si>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</si>
  <si>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</si>
  <si>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</si>
  <si>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</si>
  <si>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</si>
  <si>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</si>
  <si>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</si>
  <si>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</si>
  <si>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</si>
  <si>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</si>
  <si>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</si>
  <si>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</si>
  <si>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</si>
  <si>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</si>
  <si>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</si>
  <si>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</si>
  <si>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</si>
  <si>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</si>
  <si>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</si>
  <si>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</si>
  <si>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</si>
  <si>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</si>
  <si>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</si>
  <si>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</si>
  <si>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</si>
  <si>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</si>
  <si>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</si>
  <si>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</si>
  <si>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</si>
  <si>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</si>
  <si>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</si>
  <si>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</si>
  <si>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</si>
  <si>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</si>
  <si>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</si>
  <si>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</si>
  <si>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</si>
  <si>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</si>
  <si>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</si>
  <si>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</si>
  <si>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</si>
  <si>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</si>
  <si>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</si>
  <si>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</si>
  <si>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</si>
  <si>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</si>
  <si>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</si>
  <si>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</si>
  <si>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</si>
  <si>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</si>
  <si>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</si>
  <si>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</si>
  <si>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</si>
  <si>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</si>
  <si>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</si>
  <si>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</si>
  <si>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</si>
  <si>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</si>
  <si>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</si>
  <si>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</si>
  <si>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</si>
  <si>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</si>
  <si>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</si>
  <si>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</si>
  <si>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</si>
  <si>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</si>
  <si>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</si>
  <si>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</si>
  <si>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</si>
  <si>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</si>
  <si>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</si>
  <si>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</si>
  <si>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</si>
  <si>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</si>
  <si>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</si>
  <si>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</si>
  <si>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</si>
  <si>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</si>
  <si>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</si>
  <si>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</si>
  <si>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</si>
  <si>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</si>
  <si>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</si>
  <si>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</si>
  <si>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</si>
  <si>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</si>
  <si>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</si>
  <si>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</si>
  <si>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</si>
  <si>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</si>
  <si>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</si>
  <si>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</si>
  <si>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</si>
  <si>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</si>
  <si>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</si>
  <si>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</si>
  <si>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</si>
  <si>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</si>
  <si>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</si>
  <si>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</si>
  <si>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</si>
  <si>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</si>
  <si>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</si>
  <si>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</si>
  <si>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</si>
  <si>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</si>
  <si>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</si>
  <si>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</si>
  <si>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</si>
  <si>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</si>
  <si>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</si>
  <si>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</si>
  <si>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</si>
  <si>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</si>
  <si>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</si>
  <si>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</si>
  <si>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</si>
  <si>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</si>
  <si>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</si>
  <si>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Preservation</t>
  </si>
  <si>
    <t>Atlanta Metro</t>
  </si>
  <si>
    <t>APPLICATION COMPLETENESS</t>
  </si>
  <si>
    <t>X</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</si>
  <si>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</si>
  <si>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</si>
  <si>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</si>
  <si>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</si>
  <si>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</si>
  <si>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</si>
  <si>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</si>
  <si>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</si>
  <si>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</si>
  <si>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</si>
  <si>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</si>
  <si>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</si>
  <si>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</si>
  <si>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</si>
  <si>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</si>
  <si>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</si>
  <si>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</si>
  <si>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</si>
  <si>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</si>
  <si>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</si>
  <si>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</si>
  <si>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</si>
  <si>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</si>
  <si>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</si>
  <si>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</si>
  <si>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</si>
  <si>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</si>
  <si>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</si>
  <si>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</si>
  <si>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</si>
  <si>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</si>
  <si>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</si>
  <si>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</si>
  <si>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</si>
  <si>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</si>
  <si>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</si>
  <si>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</si>
  <si>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</si>
  <si>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</si>
  <si>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</si>
  <si>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</si>
  <si>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</si>
  <si>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</si>
  <si>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</si>
  <si>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</si>
  <si>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</si>
  <si>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</si>
  <si>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</si>
  <si>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</si>
  <si>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</si>
  <si>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</si>
  <si>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</si>
  <si>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</si>
  <si>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</si>
  <si>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</si>
  <si>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&lt;Page # from Plan&gt;</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</si>
  <si>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</si>
  <si>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</si>
  <si>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</si>
  <si>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</si>
  <si>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</si>
  <si>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</si>
  <si>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</si>
  <si>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</si>
  <si>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</si>
  <si>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</si>
  <si>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</si>
  <si>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Not applicable to 4% Credit applications</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</si>
  <si>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</si>
  <si>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</si>
  <si>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</si>
  <si>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</si>
  <si>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</si>
  <si>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</si>
  <si>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</si>
  <si>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</si>
  <si>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</si>
  <si>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</si>
  <si>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</si>
  <si>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</si>
  <si>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</si>
  <si>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</si>
  <si>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</si>
  <si>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</si>
  <si>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</si>
  <si>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</si>
  <si>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</si>
  <si>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</si>
  <si>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</si>
  <si>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</si>
  <si>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</si>
  <si>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</si>
  <si>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</si>
  <si>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</si>
  <si>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</si>
  <si>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</si>
  <si>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</si>
  <si>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</si>
  <si>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</si>
  <si>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</si>
  <si>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</si>
  <si>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</si>
  <si>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</si>
  <si>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</si>
  <si>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</si>
  <si>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</si>
  <si>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</si>
  <si>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</si>
  <si>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</si>
  <si>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</si>
  <si>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</si>
  <si>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</si>
  <si>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</si>
  <si>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</si>
  <si>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</si>
  <si>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</si>
  <si>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NAICS Code for proposed QB:</t>
  </si>
  <si>
    <t>Applicable Certification of QB:</t>
  </si>
  <si>
    <t>Select Certification</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</si>
  <si>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</si>
  <si>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</si>
  <si>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</si>
  <si>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</si>
  <si>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</si>
  <si>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</si>
  <si>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</si>
  <si>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</si>
  <si>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</si>
  <si>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</si>
  <si>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</si>
  <si>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</si>
  <si>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</si>
  <si>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</si>
  <si>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</si>
  <si>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</si>
  <si>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</si>
  <si>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</si>
  <si>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</si>
  <si>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</si>
  <si>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</si>
  <si>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</si>
  <si>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</si>
  <si>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</si>
  <si>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</si>
  <si>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</si>
  <si>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</si>
  <si>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</si>
  <si>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</si>
  <si>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</si>
  <si>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</si>
  <si>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</si>
  <si>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</si>
  <si>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</si>
  <si>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</si>
  <si>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</si>
  <si>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</si>
  <si>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</si>
  <si>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</si>
  <si>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</si>
  <si>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</si>
  <si>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</si>
  <si>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</si>
  <si>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</si>
  <si>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</si>
  <si>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</si>
  <si>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</si>
  <si>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</si>
  <si>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</si>
  <si>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</si>
  <si>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</si>
  <si>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</si>
  <si>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</si>
  <si>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</si>
  <si>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</si>
  <si>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</si>
  <si>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</si>
  <si>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</si>
  <si>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</si>
  <si>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</si>
  <si>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</si>
  <si>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</si>
  <si>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</si>
  <si>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</si>
  <si>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</si>
  <si>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</si>
  <si>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</si>
  <si>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</si>
  <si>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</si>
  <si>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</si>
  <si>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</si>
  <si>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</si>
  <si>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</si>
  <si>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</si>
  <si>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</si>
  <si>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</si>
  <si>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</si>
  <si>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</si>
  <si>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</si>
  <si>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</si>
  <si>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</si>
  <si>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</si>
  <si>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</si>
  <si>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</si>
  <si>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</si>
  <si>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</si>
  <si>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</si>
  <si>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</si>
  <si>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</si>
  <si>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</si>
  <si>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</si>
  <si>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</si>
  <si>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</si>
  <si>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</si>
  <si>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</si>
  <si>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</si>
  <si>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</si>
  <si>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</si>
  <si>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</si>
  <si>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New Supply</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</si>
  <si>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</si>
  <si>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</si>
  <si>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</si>
  <si>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</si>
  <si>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</si>
  <si>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</si>
  <si>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</si>
  <si>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</si>
  <si>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</si>
  <si>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</si>
  <si>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</si>
  <si>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</si>
  <si>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</si>
  <si>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</si>
  <si>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</si>
  <si>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</si>
  <si>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</si>
  <si>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</si>
  <si>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</si>
  <si>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</si>
  <si>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</si>
  <si>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</si>
  <si>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</si>
  <si>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</si>
  <si>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</si>
  <si>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</si>
  <si>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</si>
  <si>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</si>
  <si>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</si>
  <si>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</si>
  <si>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</si>
  <si>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</si>
  <si>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</si>
  <si>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</si>
  <si>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</si>
  <si>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</si>
  <si>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</si>
  <si>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</si>
  <si>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</si>
  <si>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</si>
  <si>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</si>
  <si>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</si>
  <si>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</si>
  <si>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</si>
  <si>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</si>
  <si>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</si>
  <si>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</si>
  <si>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</si>
  <si>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</si>
  <si>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</si>
  <si>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</si>
  <si>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</si>
  <si>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</si>
  <si>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</si>
  <si>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</si>
  <si>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</si>
  <si>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</si>
  <si>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</si>
  <si>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</si>
  <si>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</si>
  <si>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</si>
  <si>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</si>
  <si>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</si>
  <si>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</si>
  <si>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</si>
  <si>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</si>
  <si>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</si>
  <si>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</si>
  <si>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</si>
  <si>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</si>
  <si>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</si>
  <si>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</si>
  <si>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</si>
  <si>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</si>
  <si>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</si>
  <si>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</si>
  <si>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</si>
  <si>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</si>
  <si>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</si>
  <si>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</si>
  <si>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</si>
  <si>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</si>
  <si>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</si>
  <si>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</si>
  <si>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</si>
  <si>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</si>
  <si>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</si>
  <si>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</si>
  <si>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</si>
  <si>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</si>
  <si>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</si>
  <si>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</si>
  <si>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</si>
  <si>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</si>
  <si>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</si>
  <si>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</si>
  <si>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</si>
  <si>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</si>
  <si>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</si>
  <si>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</si>
  <si>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</si>
  <si>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</si>
  <si>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</si>
  <si>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</si>
  <si>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</si>
  <si>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</si>
  <si>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</si>
  <si>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</si>
  <si>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</si>
  <si>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</si>
  <si>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</si>
  <si>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</si>
  <si>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</si>
  <si>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</si>
  <si>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</si>
  <si>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</si>
  <si>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</si>
  <si>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</si>
  <si>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</si>
  <si>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</si>
  <si>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</si>
  <si>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</si>
  <si>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</si>
  <si>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</si>
  <si>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</si>
  <si>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</si>
  <si>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</si>
  <si>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</si>
  <si>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</si>
  <si>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</si>
  <si>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</si>
  <si>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</si>
  <si>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</si>
  <si>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</si>
  <si>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</si>
  <si>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</si>
  <si>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</si>
  <si>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</si>
  <si>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</si>
  <si>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</si>
  <si>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</si>
  <si>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</si>
  <si>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</si>
  <si>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</si>
  <si>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</si>
  <si>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</si>
  <si>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</si>
  <si>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</si>
  <si>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</si>
  <si>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</si>
  <si>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</si>
  <si>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</si>
  <si>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</si>
  <si>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</si>
  <si>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</si>
  <si>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</si>
  <si>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</si>
  <si>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</si>
  <si>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</si>
  <si>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</si>
  <si>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</si>
  <si>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</si>
  <si>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</si>
  <si>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</si>
  <si>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</si>
  <si>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</si>
  <si>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</si>
  <si>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</si>
  <si>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</si>
  <si>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</si>
  <si>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</si>
  <si>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</si>
  <si>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</si>
  <si>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</si>
  <si>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</si>
  <si>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</si>
  <si>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</si>
  <si>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</si>
  <si>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</si>
  <si>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</si>
  <si>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</si>
  <si>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</si>
  <si>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</si>
  <si>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</si>
  <si>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</si>
  <si>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</si>
  <si>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</si>
  <si>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</si>
  <si>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</si>
  <si>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</si>
  <si>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</si>
  <si>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</si>
  <si>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</si>
  <si>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</si>
  <si>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</si>
  <si>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</si>
  <si>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</si>
  <si>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</si>
  <si>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</si>
  <si>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</si>
  <si>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</si>
  <si>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</si>
  <si>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</si>
  <si>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</si>
  <si>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</si>
  <si>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</si>
  <si>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</si>
  <si>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</si>
  <si>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</si>
  <si>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</si>
  <si>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</si>
  <si>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</si>
  <si>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</si>
  <si>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</si>
  <si>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</si>
  <si>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</si>
  <si>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</si>
  <si>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</si>
  <si>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</si>
  <si>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</si>
  <si>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</si>
  <si>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</si>
  <si>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</si>
  <si>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</si>
  <si>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</si>
  <si>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</si>
  <si>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</si>
  <si>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</si>
  <si>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</si>
  <si>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</si>
  <si>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</si>
  <si>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</si>
  <si>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</si>
  <si>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</si>
  <si>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</si>
  <si>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</si>
  <si>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</si>
  <si>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</si>
  <si>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</si>
  <si>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</si>
  <si>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</si>
  <si>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</si>
  <si>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</si>
  <si>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</si>
  <si>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</si>
  <si>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</si>
  <si>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</si>
  <si>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</si>
  <si>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</si>
  <si>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</si>
  <si>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</si>
  <si>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</si>
  <si>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</si>
  <si>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</si>
  <si>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</si>
  <si>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</si>
  <si>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</si>
  <si>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</si>
  <si>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</si>
  <si>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</si>
  <si>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</si>
  <si>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</si>
  <si>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</si>
  <si>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</si>
  <si>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</si>
  <si>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</si>
  <si>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</si>
  <si>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</si>
  <si>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</si>
  <si>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</si>
  <si>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</si>
  <si>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</si>
  <si>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</si>
  <si>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</si>
  <si>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</si>
  <si>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</si>
  <si>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</si>
  <si>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</si>
  <si>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</si>
  <si>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</si>
  <si>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</si>
  <si>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</si>
  <si>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</si>
  <si>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</si>
  <si>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</si>
  <si>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</si>
  <si>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</si>
  <si>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</si>
  <si>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</si>
  <si>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</si>
  <si>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</si>
  <si>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</si>
  <si>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</si>
  <si>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</si>
  <si>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</si>
  <si>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</si>
  <si>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</si>
  <si>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</si>
  <si>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</si>
  <si>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</si>
  <si>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</si>
  <si>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</si>
  <si>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</si>
  <si>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</si>
  <si>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</si>
  <si>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</si>
  <si>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</si>
  <si>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</si>
  <si>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</si>
  <si>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</si>
  <si>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</si>
  <si>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</si>
  <si>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</si>
  <si>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</si>
  <si>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</si>
  <si>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</si>
  <si>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</si>
  <si>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</si>
  <si>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</si>
  <si>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</si>
  <si>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</si>
  <si>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</si>
  <si>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</si>
  <si>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</si>
  <si>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</si>
  <si>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</si>
  <si>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</si>
  <si>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</si>
  <si>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</si>
  <si>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</si>
  <si>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</si>
  <si>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</si>
  <si>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</si>
  <si>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</si>
  <si>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</si>
  <si>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</si>
  <si>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</si>
  <si>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</si>
  <si>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</si>
  <si>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</si>
  <si>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</si>
  <si>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</si>
  <si>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</si>
  <si>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</si>
  <si>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</si>
  <si>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</si>
  <si>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</si>
  <si>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</si>
  <si>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</si>
  <si>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</si>
  <si>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</si>
  <si>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</si>
  <si>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</si>
  <si>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</si>
  <si>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</si>
  <si>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</si>
  <si>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</si>
  <si>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</si>
  <si>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</si>
  <si>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</si>
  <si>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</si>
  <si>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</si>
  <si>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</si>
  <si>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</si>
  <si>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</si>
  <si>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</si>
  <si>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</si>
  <si>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</si>
  <si>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</si>
  <si>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</si>
  <si>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</si>
  <si>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</si>
  <si>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</si>
  <si>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</si>
  <si>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</si>
  <si>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</si>
  <si>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</si>
  <si>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</si>
  <si>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</si>
  <si>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</si>
  <si>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</si>
  <si>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</si>
  <si>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</si>
  <si>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</si>
  <si>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</si>
  <si>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</si>
  <si>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</si>
  <si>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</si>
  <si>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</si>
  <si>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</si>
  <si>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</si>
  <si>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</si>
  <si>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</si>
  <si>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</si>
  <si>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</si>
  <si>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</si>
  <si>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</si>
  <si>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</si>
  <si>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</si>
  <si>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</si>
  <si>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</si>
  <si>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</si>
  <si>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</si>
  <si>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</si>
  <si>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</si>
  <si>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</si>
  <si>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</si>
  <si>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</si>
  <si>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</si>
  <si>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</si>
  <si>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</si>
  <si>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</si>
  <si>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</si>
  <si>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</si>
  <si>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</si>
  <si>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</si>
  <si>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</si>
  <si>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</si>
  <si>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</si>
  <si>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</si>
  <si>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</si>
  <si>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</si>
  <si>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</si>
  <si>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</si>
  <si>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</si>
  <si>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</si>
  <si>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</si>
  <si>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</si>
  <si>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</si>
  <si>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</si>
  <si>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</si>
  <si>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</si>
  <si>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</si>
  <si>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</si>
  <si>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</si>
  <si>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</si>
  <si>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</si>
  <si>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</si>
  <si>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</si>
  <si>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</si>
  <si>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</si>
  <si>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</si>
  <si>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</si>
  <si>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</si>
  <si>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</si>
  <si>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</si>
  <si>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</si>
  <si>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</si>
  <si>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</si>
  <si>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</si>
  <si>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</si>
  <si>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</si>
  <si>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</si>
  <si>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</si>
  <si>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</si>
  <si>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</si>
  <si>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</si>
  <si>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</si>
  <si>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</si>
  <si>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</si>
  <si>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</si>
  <si>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</si>
  <si>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</si>
  <si>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</si>
  <si>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</si>
  <si>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</si>
  <si>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</si>
  <si>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</si>
  <si>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</si>
  <si>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</si>
  <si>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</si>
  <si>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</si>
  <si>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</si>
  <si>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</si>
  <si>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</si>
  <si>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</si>
  <si>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</si>
  <si>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</si>
  <si>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</si>
  <si>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</si>
  <si>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</si>
  <si>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</si>
  <si>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</si>
  <si>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</si>
  <si>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</si>
  <si>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</si>
  <si>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</si>
  <si>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</si>
  <si>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</si>
  <si>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</si>
  <si>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</si>
  <si>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</si>
  <si>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</si>
  <si>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</si>
  <si>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</si>
  <si>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</si>
  <si>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</si>
  <si>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</si>
  <si>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</si>
  <si>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</si>
  <si>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</si>
  <si>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</si>
  <si>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</si>
  <si>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</si>
  <si>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</si>
  <si>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</si>
  <si>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</si>
  <si>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</si>
  <si>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</si>
  <si>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</si>
  <si>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</si>
  <si>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</si>
  <si>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</si>
  <si>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</si>
  <si>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</si>
  <si>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</si>
  <si>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</si>
  <si>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</si>
  <si>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</si>
  <si>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</si>
  <si>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</si>
  <si>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</si>
  <si>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</si>
  <si>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</si>
  <si>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</si>
  <si>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</si>
  <si>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</si>
  <si>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</si>
  <si>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</si>
  <si>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</si>
  <si>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</si>
  <si>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</si>
  <si>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</si>
  <si>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</si>
  <si>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</si>
  <si>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</si>
  <si>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</si>
  <si>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</si>
  <si>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</si>
  <si>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</si>
  <si>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</si>
  <si>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</si>
  <si>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</si>
  <si>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</si>
  <si>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</si>
  <si>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</si>
  <si>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</si>
  <si>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</si>
  <si>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</si>
  <si>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</si>
  <si>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</si>
  <si>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</si>
  <si>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</si>
  <si>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</si>
  <si>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</si>
  <si>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</si>
  <si>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</si>
  <si>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</si>
  <si>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</si>
  <si>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</si>
  <si>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</si>
  <si>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</si>
  <si>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</si>
  <si>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</si>
  <si>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</si>
  <si>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</si>
  <si>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</si>
  <si>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</si>
  <si>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</si>
  <si>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</si>
  <si>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</si>
  <si>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</si>
  <si>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</si>
  <si>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</si>
  <si>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</si>
  <si>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</si>
  <si>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</si>
  <si>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</si>
  <si>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</si>
  <si>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</si>
  <si>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</si>
  <si>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</si>
  <si>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</si>
  <si>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</si>
  <si>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</si>
  <si>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</si>
  <si>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</si>
  <si>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</si>
  <si>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</si>
  <si>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</si>
  <si>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</si>
  <si>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</si>
  <si>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</si>
  <si>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</si>
  <si>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</si>
  <si>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</si>
  <si>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</si>
  <si>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</si>
  <si>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</si>
  <si>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</si>
  <si>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</si>
  <si>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</si>
  <si>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</si>
  <si>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</si>
  <si>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</si>
  <si>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</si>
  <si>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</si>
  <si>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</si>
  <si>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</si>
  <si>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</si>
  <si>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</si>
  <si>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</si>
  <si>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</si>
  <si>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</si>
  <si>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</si>
  <si>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</si>
  <si>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</si>
  <si>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</si>
  <si>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</si>
  <si>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</si>
  <si>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</si>
  <si>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</si>
  <si>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</si>
  <si>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</si>
  <si>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</si>
  <si>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</si>
  <si>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</si>
  <si>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</si>
  <si>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</si>
  <si>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</si>
  <si>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</si>
  <si>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</si>
  <si>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</si>
  <si>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</si>
  <si>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</si>
  <si>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</si>
  <si>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</si>
  <si>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</si>
  <si>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</si>
  <si>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</si>
  <si>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</si>
  <si>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</si>
  <si>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</si>
  <si>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</si>
  <si>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</si>
  <si>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</si>
  <si>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</si>
  <si>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</si>
  <si>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</si>
  <si>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</si>
  <si>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</si>
  <si>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</si>
  <si>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</si>
  <si>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</si>
  <si>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</si>
  <si>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</si>
  <si>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</si>
  <si>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N/A</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</si>
  <si>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</si>
  <si>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</si>
  <si>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</si>
  <si>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</si>
  <si>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</si>
  <si>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</si>
  <si>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</si>
  <si>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</si>
  <si>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</si>
  <si>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</si>
  <si>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</si>
  <si>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</si>
  <si>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</si>
  <si>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</si>
  <si>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</si>
  <si>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</si>
  <si>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</si>
  <si>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</si>
  <si>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</si>
  <si>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</si>
  <si>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</si>
  <si>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</si>
  <si>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</si>
  <si>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</si>
  <si>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</si>
  <si>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</si>
  <si>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</si>
  <si>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</si>
  <si>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</si>
  <si>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</si>
  <si>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</si>
  <si>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</si>
  <si>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</si>
  <si>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</si>
  <si>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</si>
  <si>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</si>
  <si>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</si>
  <si>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</si>
  <si>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</si>
  <si>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</si>
  <si>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</si>
  <si>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</si>
  <si>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</si>
  <si>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</si>
  <si>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</si>
  <si>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</si>
  <si>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</si>
  <si>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</si>
  <si>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</si>
  <si>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</si>
  <si>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</si>
  <si>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</si>
  <si>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</si>
  <si>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</si>
  <si>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</si>
  <si>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</si>
  <si>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</si>
  <si>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</si>
  <si>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</si>
  <si>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</si>
  <si>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</si>
  <si>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</si>
  <si>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</si>
  <si>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</si>
  <si>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</si>
  <si>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</si>
  <si>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</si>
  <si>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</si>
  <si>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</si>
  <si>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</si>
  <si>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</si>
  <si>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</si>
  <si>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</si>
  <si>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</si>
  <si>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</si>
  <si>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</si>
  <si>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</si>
  <si>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</si>
  <si>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</si>
  <si>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</si>
  <si>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</si>
  <si>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</si>
  <si>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</si>
  <si>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</si>
  <si>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</si>
  <si>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</si>
  <si>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</si>
  <si>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</si>
  <si>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</si>
  <si>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</si>
  <si>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</si>
  <si>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</si>
  <si>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</si>
  <si>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</si>
  <si>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</si>
  <si>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</si>
  <si>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</si>
  <si>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</si>
  <si>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</si>
  <si>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</si>
  <si>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</si>
  <si>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</si>
  <si>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</si>
  <si>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</si>
  <si>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</si>
  <si>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</si>
  <si>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</si>
  <si>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</si>
  <si>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</si>
  <si>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</si>
  <si>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</si>
  <si>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</si>
  <si>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</si>
  <si>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</si>
  <si>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</si>
  <si>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</si>
  <si>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</si>
  <si>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</si>
  <si>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</si>
  <si>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</si>
  <si>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</si>
  <si>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</si>
  <si>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</si>
  <si>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</si>
  <si>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</si>
  <si>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</si>
  <si>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</si>
  <si>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</si>
  <si>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</si>
  <si>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</si>
  <si>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</si>
  <si>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</si>
  <si>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</si>
  <si>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</si>
  <si>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</si>
  <si>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</si>
  <si>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</si>
  <si>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</si>
  <si>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</si>
  <si>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</si>
  <si>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</si>
  <si>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</si>
  <si>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</si>
  <si>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</si>
  <si>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</si>
  <si>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</si>
  <si>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</si>
  <si>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</si>
  <si>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</si>
  <si>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</si>
  <si>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</si>
  <si>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</si>
  <si>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</si>
  <si>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</si>
  <si>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</si>
  <si>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</si>
  <si>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</si>
  <si>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</si>
  <si>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</si>
  <si>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</si>
  <si>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</si>
  <si>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</si>
  <si>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</si>
  <si>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</si>
  <si>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</si>
  <si>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</si>
  <si>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</si>
  <si>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</si>
  <si>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</si>
  <si>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</si>
  <si>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</si>
  <si>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</si>
  <si>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</si>
  <si>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</si>
  <si>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</si>
  <si>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</si>
  <si>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</si>
  <si>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</si>
  <si>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</si>
  <si>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</si>
  <si>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</si>
  <si>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</si>
  <si>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</si>
  <si>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</si>
  <si>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</si>
  <si>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</si>
  <si>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</si>
  <si>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</si>
  <si>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</si>
  <si>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</si>
  <si>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</si>
  <si>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</si>
  <si>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</si>
  <si>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</si>
  <si>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</si>
  <si>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</si>
  <si>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</si>
  <si>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</si>
  <si>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</si>
  <si>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</si>
  <si>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</si>
  <si>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</si>
  <si>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</si>
  <si>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</si>
  <si>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</si>
  <si>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</si>
  <si>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</si>
  <si>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</si>
  <si>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</si>
  <si>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</si>
  <si>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</si>
  <si>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</si>
  <si>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</si>
  <si>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</si>
  <si>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</si>
  <si>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</si>
  <si>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</si>
  <si>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</si>
  <si>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</si>
  <si>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</si>
  <si>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</si>
  <si>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</si>
  <si>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</si>
  <si>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</si>
  <si>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</si>
  <si>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</si>
  <si>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</si>
  <si>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</si>
  <si>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</si>
  <si>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</si>
  <si>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</si>
  <si>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</si>
  <si>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</si>
  <si>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</si>
  <si>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</si>
  <si>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</si>
  <si>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</si>
  <si>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</si>
  <si>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</si>
  <si>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</si>
  <si>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</si>
  <si>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</si>
  <si>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</si>
  <si>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</si>
  <si>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</si>
  <si>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</si>
  <si>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</si>
  <si>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</si>
  <si>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</si>
  <si>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</si>
  <si>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</si>
  <si>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</si>
  <si>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</si>
  <si>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</si>
  <si>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</si>
  <si>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</si>
  <si>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</si>
  <si>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</si>
  <si>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</si>
  <si>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</si>
  <si>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</si>
  <si>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</si>
  <si>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</si>
  <si>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</si>
  <si>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</si>
  <si>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</si>
  <si>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</si>
  <si>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</si>
  <si>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</si>
  <si>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</si>
  <si>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</si>
  <si>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</si>
  <si>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</si>
  <si>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</si>
  <si>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</si>
  <si>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</si>
  <si>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</si>
  <si>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</si>
  <si>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</si>
  <si>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</si>
  <si>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</si>
  <si>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</si>
  <si>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</si>
  <si>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</si>
  <si>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</si>
  <si>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</si>
  <si>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</si>
  <si>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</si>
  <si>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</si>
  <si>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</si>
  <si>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</si>
  <si>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</si>
  <si>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</si>
  <si>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</si>
  <si>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</si>
  <si>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</si>
  <si>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</si>
  <si>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</si>
  <si>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</si>
  <si>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</si>
  <si>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</si>
  <si>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</si>
  <si>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</si>
  <si>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</si>
  <si>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</si>
  <si>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</si>
  <si>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</si>
  <si>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</si>
  <si>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</si>
  <si>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</si>
  <si>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</si>
  <si>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</si>
  <si>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</si>
  <si>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</si>
  <si>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</si>
  <si>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</si>
  <si>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</si>
  <si>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</si>
  <si>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</si>
  <si>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</si>
  <si>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</si>
  <si>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</si>
  <si>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</si>
  <si>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</si>
  <si>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</si>
  <si>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</si>
  <si>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</si>
  <si>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</si>
  <si>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</si>
  <si>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</si>
  <si>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</si>
  <si>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</si>
  <si>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</si>
  <si>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</si>
  <si>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</si>
  <si>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</si>
  <si>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</si>
  <si>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</si>
  <si>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</si>
  <si>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</si>
  <si>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</si>
  <si>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</si>
  <si>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</si>
  <si>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</si>
  <si>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</si>
  <si>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</si>
  <si>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</si>
  <si>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</si>
  <si>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</si>
  <si>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</si>
  <si>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</si>
  <si>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</si>
  <si>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</si>
  <si>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</si>
  <si>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</si>
  <si>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</si>
  <si>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</si>
  <si>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</si>
  <si>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</si>
  <si>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</si>
  <si>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</si>
  <si>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</si>
  <si>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</si>
  <si>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</si>
  <si>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</si>
  <si>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</si>
  <si>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</si>
  <si>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</si>
  <si>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</si>
  <si>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</si>
  <si>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</si>
  <si>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</si>
  <si>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</si>
  <si>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</si>
  <si>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</si>
  <si>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</si>
  <si>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</si>
  <si>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</si>
  <si>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</si>
  <si>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</si>
  <si>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</si>
  <si>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</si>
  <si>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</si>
  <si>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</si>
  <si>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</si>
  <si>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</si>
  <si>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</si>
  <si>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</si>
  <si>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</si>
  <si>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</si>
  <si>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</si>
  <si>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</si>
  <si>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</si>
  <si>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</si>
  <si>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</si>
  <si>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</si>
  <si>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</si>
  <si>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</si>
  <si>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</si>
  <si>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</si>
  <si>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</si>
  <si>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</si>
  <si>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</si>
  <si>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</si>
  <si>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</si>
  <si>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</si>
  <si>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</si>
  <si>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</si>
  <si>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</si>
  <si>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</si>
  <si>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</si>
  <si>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</si>
  <si>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</si>
  <si>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</si>
  <si>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</si>
  <si>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</si>
  <si>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</si>
  <si>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</si>
  <si>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</si>
  <si>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</si>
  <si>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</si>
  <si>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</si>
  <si>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</si>
  <si>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</si>
  <si>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</si>
  <si>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</si>
  <si>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</si>
  <si>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</si>
  <si>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</si>
  <si>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</si>
  <si>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</si>
  <si>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</si>
  <si>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</si>
  <si>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</si>
  <si>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</si>
  <si>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</si>
  <si>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</si>
  <si>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</si>
  <si>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</si>
  <si>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</si>
  <si>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</si>
  <si>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</si>
  <si>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</si>
  <si>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</si>
  <si>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</si>
  <si>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</si>
  <si>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</si>
  <si>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</si>
  <si>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</si>
  <si>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</si>
  <si>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</si>
  <si>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</si>
  <si>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</si>
  <si>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</si>
  <si>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</si>
  <si>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</si>
  <si>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</si>
  <si>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</si>
  <si>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</si>
  <si>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</si>
  <si>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</si>
  <si>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</si>
  <si>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</si>
  <si>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</si>
  <si>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</si>
  <si>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</si>
  <si>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</si>
  <si>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</si>
  <si>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</si>
  <si>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</si>
  <si>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</si>
  <si>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</si>
  <si>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</si>
  <si>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</si>
  <si>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</si>
  <si>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</si>
  <si>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</si>
  <si>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</si>
  <si>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</si>
  <si>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</si>
  <si>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</si>
  <si>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</si>
  <si>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</si>
  <si>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</si>
  <si>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</si>
  <si>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</si>
  <si>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</si>
  <si>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</si>
  <si>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</si>
  <si>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</si>
  <si>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</si>
  <si>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</si>
  <si>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</si>
  <si>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</si>
  <si>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</si>
  <si>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</si>
  <si>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</si>
  <si>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</si>
  <si>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</si>
  <si>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</si>
  <si>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</si>
  <si>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</si>
  <si>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</si>
  <si>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</si>
  <si>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</si>
  <si>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</si>
  <si>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</si>
  <si>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</si>
  <si>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</si>
  <si>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</si>
  <si>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</si>
  <si>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</si>
  <si>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</si>
  <si>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</si>
  <si>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</si>
  <si>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</si>
  <si>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</si>
  <si>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</si>
  <si>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</si>
  <si>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</si>
  <si>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</si>
  <si>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</si>
  <si>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</si>
  <si>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</si>
  <si>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</si>
  <si>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</si>
  <si>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</si>
  <si>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</si>
  <si>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</si>
  <si>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</si>
  <si>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</si>
  <si>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</si>
  <si>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</si>
  <si>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</si>
  <si>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</si>
  <si>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</si>
  <si>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</si>
  <si>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</si>
  <si>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</si>
  <si>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</si>
  <si>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</si>
  <si>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</si>
  <si>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</si>
  <si>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</si>
  <si>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</si>
  <si>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</si>
  <si>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</si>
  <si>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</si>
  <si>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</si>
  <si>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</si>
  <si>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</si>
  <si>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</si>
  <si>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</si>
  <si>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</si>
  <si>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</si>
  <si>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</si>
  <si>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</si>
  <si>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</si>
  <si>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</si>
  <si>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</si>
  <si>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</si>
  <si>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</si>
  <si>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</si>
  <si>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</si>
  <si>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</si>
  <si>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</si>
  <si>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</si>
  <si>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</si>
  <si>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</si>
  <si>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</si>
  <si>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</si>
  <si>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</si>
  <si>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</si>
  <si>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</si>
  <si>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</si>
  <si>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</si>
  <si>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</si>
  <si>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</si>
  <si>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</si>
  <si>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</si>
  <si>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</si>
  <si>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</si>
  <si>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</si>
  <si>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</si>
  <si>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</si>
  <si>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</si>
  <si>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</si>
  <si>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</si>
  <si>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</si>
  <si>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</si>
  <si>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</si>
  <si>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</si>
  <si>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</si>
  <si>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</si>
  <si>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</si>
  <si>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</si>
  <si>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</si>
  <si>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</si>
  <si>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</si>
  <si>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</si>
  <si>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</si>
  <si>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</si>
  <si>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</si>
  <si>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</si>
  <si>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</si>
  <si>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</si>
  <si>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</si>
  <si>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</si>
  <si>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</si>
  <si>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</si>
  <si>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</si>
  <si>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</si>
  <si>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</si>
  <si>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</si>
  <si>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</si>
  <si>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</si>
  <si>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</si>
  <si>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</si>
  <si>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</si>
  <si>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</si>
  <si>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</si>
  <si>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</si>
  <si>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</si>
  <si>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</si>
  <si>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</si>
  <si>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</si>
  <si>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</si>
  <si>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</si>
  <si>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</si>
  <si>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</si>
  <si>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</si>
  <si>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</si>
  <si>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</si>
  <si>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</si>
  <si>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</si>
  <si>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</si>
  <si>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</si>
  <si>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</si>
  <si>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</si>
  <si>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</si>
  <si>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</si>
  <si>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</si>
  <si>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</si>
  <si>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</si>
  <si>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</si>
  <si>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</si>
  <si>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</si>
  <si>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</si>
  <si>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</si>
  <si>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</si>
  <si>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</si>
  <si>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</si>
  <si>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</si>
  <si>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</si>
  <si>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</si>
  <si>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</si>
  <si>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</si>
  <si>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</si>
  <si>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</si>
  <si>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</si>
  <si>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</si>
  <si>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</si>
  <si>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</si>
  <si>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</si>
  <si>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</si>
  <si>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</si>
  <si>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</si>
  <si>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</si>
  <si>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</si>
  <si>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</si>
  <si>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</si>
  <si>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</si>
  <si>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</si>
  <si>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</si>
  <si>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</si>
  <si>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</si>
  <si>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</si>
  <si>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</si>
  <si>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</si>
  <si>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</si>
  <si>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</si>
  <si>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</si>
  <si>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</si>
  <si>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</si>
  <si>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</si>
  <si>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</si>
  <si>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</si>
  <si>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</si>
  <si>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</si>
  <si>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</si>
  <si>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</si>
  <si>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</si>
  <si>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</si>
  <si>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</si>
  <si>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</si>
  <si>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</si>
  <si>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</si>
  <si>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</si>
  <si>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</si>
  <si>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</si>
  <si>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</si>
  <si>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</si>
  <si>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</si>
  <si>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</si>
  <si>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</si>
  <si>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</si>
  <si>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</si>
  <si>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</si>
  <si>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</si>
  <si>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</si>
  <si>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</si>
  <si>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</si>
  <si>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</si>
  <si>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</si>
  <si>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</si>
  <si>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</si>
  <si>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</si>
  <si>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</si>
  <si>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</si>
  <si>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</si>
  <si>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</si>
  <si>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</si>
  <si>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</si>
  <si>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</si>
  <si>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</si>
  <si>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</si>
  <si>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</si>
  <si>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</si>
  <si>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</si>
  <si>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</si>
  <si>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</si>
  <si>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</si>
  <si>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</si>
  <si>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</si>
  <si>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</si>
  <si>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</si>
  <si>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</si>
  <si>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</si>
  <si>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</si>
  <si>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</si>
  <si>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</si>
  <si>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</si>
  <si>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</si>
  <si>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</si>
  <si>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</si>
  <si>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</si>
  <si>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</si>
  <si>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</si>
  <si>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</si>
  <si>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</si>
  <si>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</si>
  <si>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</si>
  <si>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</si>
  <si>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</si>
  <si>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</si>
  <si>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</si>
  <si>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</si>
  <si>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</si>
  <si>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</si>
  <si>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</si>
  <si>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</si>
  <si>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</si>
  <si>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</si>
  <si>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</si>
  <si>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</si>
  <si>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</si>
  <si>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</si>
  <si>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</si>
  <si>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</si>
  <si>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</si>
  <si>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</si>
  <si>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</si>
  <si>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</si>
  <si>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</si>
  <si>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</si>
  <si>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</si>
  <si>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</si>
  <si>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</si>
  <si>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</si>
  <si>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</si>
  <si>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</si>
  <si>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</si>
  <si>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</si>
  <si>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</si>
  <si>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</si>
  <si>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</si>
  <si>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</si>
  <si>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</si>
  <si>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</si>
  <si>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</si>
  <si>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</si>
  <si>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</si>
  <si>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</si>
  <si>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</si>
  <si>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</si>
  <si>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</si>
  <si>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</si>
  <si>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</si>
  <si>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</si>
  <si>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</si>
  <si>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</si>
  <si>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</si>
  <si>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</si>
  <si>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</si>
  <si>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</si>
  <si>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</si>
  <si>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</si>
  <si>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</si>
  <si>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</si>
  <si>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</si>
  <si>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</si>
  <si>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</si>
  <si>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</si>
  <si>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</si>
  <si>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</si>
  <si>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</si>
  <si>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</si>
  <si>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</si>
  <si>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</si>
  <si>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</si>
  <si>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</si>
  <si>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</si>
  <si>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</si>
  <si>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</si>
  <si>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</si>
  <si>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</si>
  <si>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</si>
  <si>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</si>
  <si>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</si>
  <si>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</si>
  <si>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</si>
  <si>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</si>
  <si>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</si>
  <si>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</si>
  <si>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</si>
  <si>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</si>
  <si>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</si>
  <si>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</si>
  <si>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</si>
  <si>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</si>
  <si>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</si>
  <si>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</si>
  <si>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</si>
  <si>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</si>
  <si>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</si>
  <si>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</si>
  <si>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</si>
  <si>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</si>
  <si>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</si>
  <si>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</si>
  <si>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</si>
  <si>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</si>
  <si>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</si>
  <si>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</si>
  <si>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</si>
  <si>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</si>
  <si>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</si>
  <si>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</si>
  <si>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</si>
  <si>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</si>
  <si>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</si>
  <si>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</si>
  <si>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</si>
  <si>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</si>
  <si>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</si>
  <si>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</si>
  <si>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</si>
  <si>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</si>
  <si>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</si>
  <si>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</si>
  <si>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</si>
  <si>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</si>
  <si>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</si>
  <si>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</si>
  <si>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</si>
  <si>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</si>
  <si>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</si>
  <si>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</si>
  <si>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</si>
  <si>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</si>
  <si>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</si>
  <si>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</si>
  <si>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</si>
  <si>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</si>
  <si>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</si>
  <si>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</si>
  <si>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</si>
  <si>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</si>
  <si>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</si>
  <si>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</si>
  <si>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</si>
  <si>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</si>
  <si>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</si>
  <si>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</si>
  <si>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</si>
  <si>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</si>
  <si>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</si>
  <si>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</si>
  <si>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</si>
  <si>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</si>
  <si>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</si>
  <si>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</si>
  <si>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</si>
  <si>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</si>
  <si>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</si>
  <si>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</si>
  <si>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</si>
  <si>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</si>
  <si>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</si>
  <si>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</si>
  <si>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</si>
  <si>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</si>
  <si>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</si>
  <si>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</si>
  <si>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</si>
  <si>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</si>
  <si>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</si>
  <si>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</si>
  <si>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</si>
  <si>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</si>
  <si>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</si>
  <si>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</si>
  <si>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</si>
  <si>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</si>
  <si>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</si>
  <si>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</si>
  <si>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</si>
  <si>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</si>
  <si>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</si>
  <si>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</si>
  <si>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</si>
  <si>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</si>
  <si>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</si>
  <si>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</si>
  <si>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</si>
  <si>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</si>
  <si>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</si>
  <si>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</si>
  <si>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</si>
  <si>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</si>
  <si>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</si>
  <si>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</si>
  <si>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</si>
  <si>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</si>
  <si>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</si>
  <si>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</si>
  <si>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</si>
  <si>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</si>
  <si>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</si>
  <si>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</si>
  <si>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</si>
  <si>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</si>
  <si>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</si>
  <si>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</si>
  <si>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</si>
  <si>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</si>
  <si>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</si>
  <si>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</si>
  <si>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</si>
  <si>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</si>
  <si>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</si>
  <si>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</si>
  <si>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</si>
  <si>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</si>
  <si>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</si>
  <si>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</si>
  <si>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</si>
  <si>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</si>
  <si>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</si>
  <si>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</si>
  <si>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</si>
  <si>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</si>
  <si>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</si>
  <si>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</si>
  <si>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</si>
  <si>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</si>
  <si>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</si>
  <si>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</si>
  <si>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</si>
  <si>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</si>
  <si>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</si>
  <si>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</si>
  <si>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</si>
  <si>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</si>
  <si>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</si>
  <si>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</si>
  <si>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</si>
  <si>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</si>
  <si>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</si>
  <si>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</si>
  <si>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</si>
  <si>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</si>
  <si>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</si>
  <si>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</si>
  <si>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</si>
  <si>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</si>
  <si>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</si>
  <si>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</si>
  <si>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</si>
  <si>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</si>
  <si>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</si>
  <si>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</si>
  <si>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</si>
  <si>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</si>
  <si>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</si>
  <si>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</si>
  <si>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</si>
  <si>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</si>
  <si>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</si>
  <si>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</si>
  <si>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</si>
  <si>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</si>
  <si>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</si>
  <si>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</si>
  <si>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</si>
  <si>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</si>
  <si>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</si>
  <si>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</si>
  <si>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</si>
  <si>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</si>
  <si>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</si>
  <si>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</si>
  <si>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</si>
  <si>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</si>
  <si>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</si>
  <si>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</si>
  <si>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</si>
  <si>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</si>
  <si>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</si>
  <si>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</si>
  <si>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</si>
  <si>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</si>
  <si>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</si>
  <si>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</si>
  <si>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</si>
  <si>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</si>
  <si>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</si>
  <si>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</si>
  <si>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</si>
  <si>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</si>
  <si>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</si>
  <si>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</si>
  <si>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</si>
  <si>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</si>
  <si>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</si>
  <si>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</si>
  <si>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</si>
  <si>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</si>
  <si>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</si>
  <si>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</si>
  <si>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</si>
  <si>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</si>
  <si>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</si>
  <si>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</si>
  <si>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</si>
  <si>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</si>
  <si>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</si>
  <si>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</si>
  <si>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</si>
  <si>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</si>
  <si>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</si>
  <si>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</si>
  <si>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</si>
  <si>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</si>
  <si>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</si>
  <si>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</si>
  <si>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</si>
  <si>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</si>
  <si>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</si>
  <si>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</si>
  <si>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</si>
  <si>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</si>
  <si>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</si>
  <si>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</si>
  <si>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</si>
  <si>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</si>
  <si>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</si>
  <si>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</si>
  <si>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</si>
  <si>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</si>
  <si>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</si>
  <si>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</si>
  <si>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</si>
  <si>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</si>
  <si>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</si>
  <si>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</si>
  <si>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</si>
  <si>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</si>
  <si>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</si>
  <si>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</si>
  <si>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</si>
  <si>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</si>
  <si>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</si>
  <si>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</si>
  <si>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</si>
  <si>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</si>
  <si>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</si>
  <si>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</si>
  <si>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</si>
  <si>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</si>
  <si>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</si>
  <si>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</si>
  <si>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</si>
  <si>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</si>
  <si>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</si>
  <si>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</si>
  <si>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</si>
  <si>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</si>
  <si>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</si>
  <si>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</si>
  <si>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</si>
  <si>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</si>
  <si>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</si>
  <si>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</si>
  <si>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</si>
  <si>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</si>
  <si>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</si>
  <si>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</si>
  <si>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</si>
  <si>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</si>
  <si>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</si>
  <si>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</si>
  <si>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</si>
  <si>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</si>
  <si>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</si>
  <si>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</si>
  <si>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</si>
  <si>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</si>
  <si>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</si>
  <si>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</si>
  <si>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</si>
  <si>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</si>
  <si>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</si>
  <si>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</si>
  <si>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</si>
  <si>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</si>
  <si>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</si>
  <si>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</si>
  <si>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</si>
  <si>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</si>
  <si>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</si>
  <si>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</si>
  <si>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</si>
  <si>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</si>
  <si>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</si>
  <si>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</si>
  <si>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</si>
  <si>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</si>
  <si>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</si>
  <si>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</si>
  <si>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</si>
  <si>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</si>
  <si>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</si>
  <si>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</si>
  <si>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</si>
  <si>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</si>
  <si>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</si>
  <si>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</si>
  <si>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</si>
  <si>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</si>
  <si>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</si>
  <si>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</si>
  <si>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</si>
  <si>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</si>
  <si>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</si>
  <si>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</si>
  <si>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</si>
  <si>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</si>
  <si>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</si>
  <si>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</si>
  <si>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</si>
  <si>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</si>
  <si>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</si>
  <si>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</si>
  <si>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</si>
  <si>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</si>
  <si>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</si>
  <si>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</si>
  <si>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</si>
  <si>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</si>
  <si>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</si>
  <si>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</si>
  <si>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</si>
  <si>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</si>
  <si>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</si>
  <si>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</si>
  <si>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</si>
  <si>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</si>
  <si>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</si>
  <si>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</si>
  <si>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</si>
  <si>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</si>
  <si>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</si>
  <si>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</si>
  <si>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</si>
  <si>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</si>
  <si>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</si>
  <si>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</si>
  <si>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</si>
  <si>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</si>
  <si>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</si>
  <si>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</si>
  <si>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</si>
  <si>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</si>
  <si>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</si>
  <si>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</si>
  <si>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</si>
  <si>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</si>
  <si>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</si>
  <si>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</si>
  <si>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</si>
  <si>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</si>
  <si>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</si>
  <si>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</si>
  <si>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</si>
  <si>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</si>
  <si>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</si>
  <si>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</si>
  <si>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</si>
  <si>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</si>
  <si>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</si>
  <si>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</si>
  <si>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</si>
  <si>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</si>
  <si>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</si>
  <si>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</si>
  <si>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</si>
  <si>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</si>
  <si>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</si>
  <si>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</si>
  <si>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</si>
  <si>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</si>
  <si>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</si>
  <si>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</si>
  <si>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</si>
  <si>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</si>
  <si>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</si>
  <si>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</si>
  <si>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</si>
  <si>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</si>
  <si>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</si>
  <si>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</si>
  <si>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</si>
  <si>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</si>
  <si>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</si>
  <si>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</si>
  <si>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</si>
  <si>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</si>
  <si>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</si>
  <si>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</si>
  <si>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</si>
  <si>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</si>
  <si>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</si>
  <si>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</si>
  <si>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</si>
  <si>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</si>
  <si>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</si>
  <si>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</si>
  <si>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</si>
  <si>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</si>
  <si>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</si>
  <si>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</si>
  <si>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</si>
  <si>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</si>
  <si>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</si>
  <si>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</si>
  <si>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</si>
  <si>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</si>
  <si>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</si>
  <si>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</si>
  <si>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</si>
  <si>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</si>
  <si>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</si>
  <si>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</si>
  <si>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</si>
  <si>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</si>
  <si>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</si>
  <si>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</si>
  <si>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</si>
  <si>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</si>
  <si>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</si>
  <si>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</si>
  <si>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</si>
  <si>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</si>
  <si>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</si>
  <si>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</si>
  <si>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</si>
  <si>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</si>
  <si>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</si>
  <si>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</si>
  <si>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</si>
  <si>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</si>
  <si>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</si>
  <si>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</si>
  <si>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</si>
  <si>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</si>
  <si>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</si>
  <si>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</si>
  <si>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</si>
  <si>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</si>
  <si>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</si>
  <si>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</si>
  <si>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</si>
  <si>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</si>
  <si>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</si>
  <si>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</si>
  <si>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</si>
  <si>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</si>
  <si>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</si>
  <si>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</si>
  <si>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</si>
  <si>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</si>
  <si>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</si>
  <si>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</si>
  <si>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</si>
  <si>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</si>
  <si>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</si>
  <si>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</si>
  <si>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</si>
  <si>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</si>
  <si>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</si>
  <si>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</si>
  <si>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</si>
  <si>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</si>
  <si>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</si>
  <si>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</si>
  <si>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</si>
  <si>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</si>
  <si>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</si>
  <si>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</si>
  <si>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</si>
  <si>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</si>
  <si>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</si>
  <si>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</si>
  <si>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</si>
  <si>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</si>
  <si>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</si>
  <si>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</si>
  <si>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</si>
  <si>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</si>
  <si>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</si>
  <si>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</si>
  <si>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</si>
  <si>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</si>
  <si>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</si>
  <si>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</si>
  <si>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</si>
  <si>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</si>
  <si>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</si>
  <si>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</si>
  <si>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</si>
  <si>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</si>
  <si>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</si>
  <si>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</si>
  <si>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</si>
  <si>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</si>
  <si>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</si>
  <si>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</si>
  <si>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</si>
  <si>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</si>
  <si>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</si>
  <si>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</si>
  <si>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</si>
  <si>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</si>
  <si>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</si>
  <si>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</si>
  <si>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</si>
  <si>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</si>
  <si>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</si>
  <si>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</si>
  <si>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</si>
  <si>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</si>
  <si>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</si>
  <si>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</si>
  <si>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</si>
  <si>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</si>
  <si>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</si>
  <si>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</si>
  <si>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</si>
  <si>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</si>
  <si>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</si>
  <si>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</si>
  <si>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</si>
  <si>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</si>
  <si>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</si>
  <si>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</si>
  <si>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</si>
  <si>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</si>
  <si>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</si>
  <si>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</si>
  <si>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</si>
  <si>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</si>
  <si>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</si>
  <si>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</si>
  <si>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</si>
  <si>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</si>
  <si>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</si>
  <si>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</si>
  <si>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</si>
  <si>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</si>
  <si>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</si>
  <si>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</si>
  <si>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</si>
  <si>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</si>
  <si>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</si>
  <si>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</si>
  <si>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</si>
  <si>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</si>
  <si>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</si>
  <si>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</si>
  <si>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</si>
  <si>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</si>
  <si>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</si>
  <si>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</si>
  <si>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</si>
  <si>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</si>
  <si>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</si>
  <si>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</si>
  <si>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</si>
  <si>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</si>
  <si>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</si>
  <si>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</si>
  <si>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</si>
  <si>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</si>
  <si>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</si>
  <si>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</si>
  <si>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</si>
  <si>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</si>
  <si>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</si>
  <si>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</si>
  <si>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</si>
  <si>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</si>
  <si>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</si>
  <si>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</si>
  <si>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</si>
  <si>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</si>
  <si>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</si>
  <si>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</si>
  <si>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</si>
  <si>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</si>
  <si>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</si>
  <si>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</si>
  <si>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</si>
  <si>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</si>
  <si>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</si>
  <si>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</si>
  <si>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</si>
  <si>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</si>
  <si>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</si>
  <si>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</si>
  <si>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</si>
  <si>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</si>
  <si>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</si>
  <si>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</si>
  <si>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</si>
  <si>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</si>
  <si>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</si>
  <si>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</si>
  <si>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</si>
  <si>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</si>
  <si>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</si>
  <si>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</si>
  <si>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</si>
  <si>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</si>
  <si>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</si>
  <si>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</si>
  <si>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</si>
  <si>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</si>
  <si>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</si>
  <si>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</si>
  <si>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</si>
  <si>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</si>
  <si>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</si>
  <si>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</si>
  <si>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</si>
  <si>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</si>
  <si>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</si>
  <si>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</si>
  <si>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</si>
  <si>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</si>
  <si>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</si>
  <si>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</si>
  <si>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</si>
  <si>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</si>
  <si>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</si>
  <si>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</si>
  <si>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</si>
  <si>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</si>
  <si>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</si>
  <si>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</si>
  <si>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</si>
  <si>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</si>
  <si>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</si>
  <si>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</si>
  <si>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</si>
  <si>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</si>
  <si>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</si>
  <si>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</si>
  <si>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</si>
  <si>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</si>
  <si>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</si>
  <si>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</si>
  <si>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</si>
  <si>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</si>
  <si>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</si>
  <si>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</si>
  <si>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</si>
  <si>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</si>
  <si>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</si>
  <si>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</si>
  <si>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</si>
  <si>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</si>
  <si>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</si>
  <si>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</si>
  <si>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</si>
  <si>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</si>
  <si>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</si>
  <si>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</si>
  <si>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</si>
  <si>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</si>
  <si>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</si>
  <si>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</si>
  <si>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</si>
  <si>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</si>
  <si>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</si>
  <si>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</si>
  <si>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</si>
  <si>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</si>
  <si>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</si>
  <si>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</si>
  <si>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</si>
  <si>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</si>
  <si>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</si>
  <si>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</si>
  <si>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</si>
  <si>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</si>
  <si>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</si>
  <si>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</si>
  <si>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</si>
  <si>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</si>
  <si>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</si>
  <si>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</si>
  <si>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</si>
  <si>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</si>
  <si>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</si>
  <si>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</si>
  <si>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</si>
  <si>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</si>
  <si>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</si>
  <si>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</si>
  <si>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</si>
  <si>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</si>
  <si>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</si>
  <si>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</si>
  <si>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</si>
  <si>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</si>
  <si>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</si>
  <si>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</si>
  <si>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</si>
  <si>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</si>
  <si>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</si>
  <si>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</si>
  <si>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</si>
  <si>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</si>
  <si>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</si>
  <si>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</si>
  <si>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</si>
  <si>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</si>
  <si>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</si>
  <si>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</si>
  <si>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</si>
  <si>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</si>
  <si>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</si>
  <si>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</si>
  <si>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</si>
  <si>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</si>
  <si>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</si>
  <si>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</si>
  <si>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</si>
  <si>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</si>
  <si>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</si>
  <si>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</si>
  <si>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</si>
  <si>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</si>
  <si>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</si>
  <si>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</si>
  <si>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</si>
  <si>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</si>
  <si>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</si>
  <si>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</si>
  <si>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</si>
  <si>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</si>
  <si>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</si>
  <si>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</si>
  <si>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</si>
  <si>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</si>
  <si>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</si>
  <si>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</si>
  <si>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</si>
  <si>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</si>
  <si>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</si>
  <si>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</si>
  <si>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</si>
  <si>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</si>
  <si>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</si>
  <si>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</si>
  <si>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</si>
  <si>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</si>
  <si>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</si>
  <si>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</si>
  <si>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</si>
  <si>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</si>
  <si>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</si>
  <si>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</si>
  <si>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</si>
  <si>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</si>
  <si>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</si>
  <si>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</si>
  <si>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</si>
  <si>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</si>
  <si>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</si>
  <si>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</si>
  <si>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</si>
  <si>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</si>
  <si>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</si>
  <si>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</si>
  <si>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</si>
  <si>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</si>
  <si>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</si>
  <si>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</si>
  <si>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</si>
  <si>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</si>
  <si>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</si>
  <si>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</si>
  <si>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</si>
  <si>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</si>
  <si>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</si>
  <si>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</si>
  <si>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</si>
  <si>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</si>
  <si>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</si>
  <si>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</si>
  <si>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</si>
  <si>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</si>
  <si>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</si>
  <si>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</si>
  <si>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</si>
  <si>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</si>
  <si>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</si>
  <si>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</si>
  <si>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</si>
  <si>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</si>
  <si>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</si>
  <si>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</si>
  <si>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</si>
  <si>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</si>
  <si>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</si>
  <si>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</si>
  <si>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</si>
  <si>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</si>
  <si>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</si>
  <si>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</si>
  <si>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</si>
  <si>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</si>
  <si>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</si>
  <si>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</si>
  <si>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</si>
  <si>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</si>
  <si>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</si>
  <si>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</si>
  <si>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</si>
  <si>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</si>
  <si>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</si>
  <si>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</si>
  <si>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</si>
  <si>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</si>
  <si>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</si>
  <si>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</si>
  <si>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</si>
  <si>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</si>
  <si>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</si>
  <si>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</si>
  <si>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</si>
  <si>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</si>
  <si>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</si>
  <si>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</si>
  <si>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</si>
  <si>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</si>
  <si>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</si>
  <si>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</si>
  <si>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</si>
  <si>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</si>
  <si>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</si>
  <si>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</si>
  <si>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</si>
  <si>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</si>
  <si>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</si>
  <si>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</si>
  <si>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</si>
  <si>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</si>
  <si>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</si>
  <si>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</si>
  <si>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</si>
  <si>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</si>
  <si>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</si>
  <si>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</si>
  <si>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</si>
  <si>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</si>
  <si>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</si>
  <si>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</si>
  <si>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</si>
  <si>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</si>
  <si>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</si>
  <si>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</si>
  <si>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</si>
  <si>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</si>
  <si>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</si>
  <si>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</si>
  <si>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</si>
  <si>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</si>
  <si>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</si>
  <si>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</si>
  <si>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</si>
  <si>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</si>
  <si>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</si>
  <si>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</si>
  <si>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</si>
  <si>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</si>
  <si>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</si>
  <si>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</si>
  <si>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</si>
  <si>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</si>
  <si>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</si>
  <si>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</si>
  <si>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</si>
  <si>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</si>
  <si>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</si>
  <si>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</si>
  <si>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</si>
  <si>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</si>
  <si>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</si>
  <si>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</si>
  <si>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</si>
  <si>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</si>
  <si>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</si>
  <si>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</si>
  <si>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</si>
  <si>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</si>
  <si>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</si>
  <si>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</si>
  <si>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</si>
  <si>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</si>
  <si>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</si>
  <si>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</si>
  <si>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</si>
  <si>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</si>
  <si>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</si>
  <si>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</si>
  <si>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</si>
  <si>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</si>
  <si>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</si>
  <si>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</si>
  <si>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</si>
  <si>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</si>
  <si>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</si>
  <si>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</si>
  <si>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</si>
  <si>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</si>
  <si>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</si>
  <si>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</si>
  <si>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</si>
  <si>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</si>
  <si>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</si>
  <si>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</si>
  <si>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</si>
  <si>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</si>
  <si>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</si>
  <si>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</si>
  <si>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</si>
  <si>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</si>
  <si>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</si>
  <si>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</si>
  <si>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</si>
  <si>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</si>
  <si>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</si>
  <si>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</si>
  <si>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</si>
  <si>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</si>
  <si>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</si>
  <si>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</si>
  <si>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</si>
  <si>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</si>
  <si>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</si>
  <si>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</si>
  <si>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</si>
  <si>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</si>
  <si>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</si>
  <si>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</si>
  <si>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</si>
  <si>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</si>
  <si>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</si>
  <si>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</si>
  <si>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</si>
  <si>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</si>
  <si>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</si>
  <si>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</si>
  <si>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</si>
  <si>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</si>
  <si>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</si>
  <si>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</si>
  <si>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</si>
  <si>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</si>
  <si>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</si>
  <si>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</si>
  <si>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</si>
  <si>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</si>
  <si>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</si>
  <si>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</si>
  <si>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</si>
  <si>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</si>
  <si>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</si>
  <si>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</si>
  <si>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</si>
  <si>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</si>
  <si>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</si>
  <si>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</si>
  <si>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</si>
  <si>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</si>
  <si>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</si>
  <si>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</si>
  <si>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</si>
  <si>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</si>
  <si>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</si>
  <si>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</si>
  <si>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</si>
  <si>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</si>
  <si>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</si>
  <si>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</si>
  <si>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</si>
  <si>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</si>
  <si>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</si>
  <si>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</si>
  <si>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</si>
  <si>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</si>
  <si>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</si>
  <si>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</si>
  <si>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</si>
  <si>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</si>
  <si>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</si>
  <si>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</si>
  <si>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</si>
  <si>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</si>
  <si>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</si>
  <si>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</si>
  <si>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</si>
  <si>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</si>
  <si>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</si>
  <si>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</si>
  <si>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</si>
  <si>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</si>
  <si>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</si>
  <si>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</si>
  <si>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</si>
  <si>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</si>
  <si>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</si>
  <si>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</si>
  <si>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</si>
  <si>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</si>
  <si>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</si>
  <si>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</si>
  <si>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</si>
  <si>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</si>
  <si>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</si>
  <si>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</si>
  <si>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</si>
  <si>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</si>
  <si>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</si>
  <si>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</si>
  <si>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</si>
  <si>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</si>
  <si>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</si>
  <si>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</si>
  <si>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</si>
  <si>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</si>
  <si>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</si>
  <si>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</si>
  <si>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</si>
  <si>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</si>
  <si>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</si>
  <si>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</si>
  <si>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</si>
  <si>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</si>
  <si>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</si>
  <si>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</si>
  <si>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</si>
  <si>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</si>
  <si>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</si>
  <si>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</si>
  <si>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</si>
  <si>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</si>
  <si>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</si>
  <si>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</si>
  <si>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</si>
  <si>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</si>
  <si>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</si>
  <si>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</si>
  <si>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</si>
  <si>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</si>
  <si>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</si>
  <si>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</si>
  <si>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</si>
  <si>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</si>
  <si>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</si>
  <si>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</si>
  <si>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</si>
  <si>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</si>
  <si>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</si>
  <si>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</si>
  <si>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</si>
  <si>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</si>
  <si>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</si>
  <si>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</si>
  <si>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</si>
  <si>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</si>
  <si>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</si>
  <si>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</si>
  <si>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</si>
  <si>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</si>
  <si>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</si>
  <si>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</si>
  <si>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</si>
  <si>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</si>
  <si>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</si>
  <si>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</si>
  <si>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</si>
  <si>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</si>
  <si>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</si>
  <si>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</si>
  <si>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</si>
  <si>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</si>
  <si>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</si>
  <si>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</si>
  <si>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</si>
  <si>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</si>
  <si>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</si>
  <si>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</si>
  <si>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</si>
  <si>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</si>
  <si>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</si>
  <si>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</si>
  <si>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</si>
  <si>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</si>
  <si>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</si>
  <si>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</si>
  <si>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</si>
  <si>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</si>
  <si>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</si>
  <si>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</si>
  <si>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</si>
  <si>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</si>
  <si>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</si>
  <si>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</si>
  <si>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</si>
  <si>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</si>
  <si>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</si>
  <si>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</si>
  <si>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</si>
  <si>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</si>
  <si>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</si>
  <si>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</si>
  <si>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</si>
  <si>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</si>
  <si>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</si>
  <si>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</si>
  <si>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</si>
  <si>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</si>
  <si>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</si>
  <si>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</si>
  <si>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</si>
  <si>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</si>
  <si>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</si>
  <si>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</si>
  <si>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</si>
  <si>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</si>
  <si>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</si>
  <si>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</si>
  <si>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</si>
  <si>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</si>
  <si>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</si>
  <si>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</si>
  <si>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</si>
  <si>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</si>
  <si>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</si>
  <si>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</si>
  <si>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</si>
  <si>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</si>
  <si>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</si>
  <si>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</si>
  <si>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</si>
  <si>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</si>
  <si>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</si>
  <si>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</si>
  <si>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</si>
  <si>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</si>
  <si>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</si>
  <si>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</si>
  <si>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</si>
  <si>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</si>
  <si>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</si>
  <si>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</si>
  <si>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</si>
  <si>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</si>
  <si>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</si>
  <si>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</si>
  <si>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</si>
  <si>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</si>
  <si>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</si>
  <si>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</si>
  <si>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</si>
  <si>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</si>
  <si>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</si>
  <si>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</si>
  <si>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</si>
  <si>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</si>
  <si>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</si>
  <si>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</si>
  <si>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</si>
  <si>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</si>
  <si>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</si>
  <si>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</si>
  <si>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</si>
  <si>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</si>
  <si>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</si>
  <si>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</si>
  <si>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</si>
  <si>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</si>
  <si>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</si>
  <si>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</si>
  <si>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</si>
  <si>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</si>
  <si>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</si>
  <si>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</si>
  <si>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</si>
  <si>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</si>
  <si>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</si>
  <si>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</si>
  <si>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</si>
  <si>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</si>
  <si>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</si>
  <si>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</si>
  <si>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</si>
  <si>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</si>
  <si>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</si>
  <si>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</si>
  <si>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</si>
  <si>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</si>
  <si>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</si>
  <si>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</si>
  <si>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</si>
  <si>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</si>
  <si>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</si>
  <si>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</si>
  <si>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</si>
  <si>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</si>
  <si>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</si>
  <si>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</si>
  <si>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</si>
  <si>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</si>
  <si>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</si>
  <si>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</si>
  <si>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</si>
  <si>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</si>
  <si>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</si>
  <si>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</si>
  <si>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</si>
  <si>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</si>
  <si>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</si>
  <si>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</si>
  <si>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</si>
  <si>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</si>
  <si>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</si>
  <si>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</si>
  <si>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</si>
  <si>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</si>
  <si>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</si>
  <si>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</si>
  <si>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</si>
  <si>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</si>
  <si>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</si>
  <si>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</si>
  <si>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</si>
  <si>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</si>
  <si>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</si>
  <si>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</si>
  <si>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</si>
  <si>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</si>
  <si>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</si>
  <si>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</si>
  <si>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</si>
  <si>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</si>
  <si>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</si>
  <si>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</si>
  <si>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</si>
  <si>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</si>
  <si>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</si>
  <si>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</si>
  <si>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</si>
  <si>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</si>
  <si>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</si>
  <si>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</si>
  <si>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</si>
  <si>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</si>
  <si>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</si>
  <si>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</si>
  <si>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</si>
  <si>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</si>
  <si>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</si>
  <si>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</si>
  <si>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</si>
  <si>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</si>
  <si>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</si>
  <si>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</si>
  <si>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</si>
  <si>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</si>
  <si>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</si>
  <si>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</si>
  <si>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</si>
  <si>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</si>
  <si>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</si>
  <si>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</si>
  <si>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</si>
  <si>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</si>
  <si>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</si>
  <si>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</si>
  <si>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</si>
  <si>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</si>
  <si>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</si>
  <si>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</si>
  <si>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</si>
  <si>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</si>
  <si>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</si>
  <si>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</si>
  <si>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</si>
  <si>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</si>
  <si>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</si>
  <si>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</si>
  <si>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</si>
  <si>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</si>
  <si>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</si>
  <si>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</si>
  <si>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</si>
  <si>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</si>
  <si>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</si>
  <si>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</si>
  <si>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</si>
  <si>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</si>
  <si>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</si>
  <si>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</si>
  <si>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</si>
  <si>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</si>
  <si>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</si>
  <si>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</si>
  <si>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</si>
  <si>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</si>
  <si>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</si>
  <si>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</si>
  <si>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</si>
  <si>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</si>
  <si>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</si>
  <si>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</si>
  <si>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</si>
  <si>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</si>
  <si>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</si>
  <si>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</si>
  <si>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</si>
  <si>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</si>
  <si>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</si>
  <si>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</si>
  <si>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</si>
  <si>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</si>
  <si>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</si>
  <si>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</si>
  <si>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</si>
  <si>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</si>
  <si>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</si>
  <si>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</si>
  <si>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</si>
  <si>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</si>
  <si>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</si>
  <si>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</si>
  <si>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</si>
  <si>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</si>
  <si>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</si>
  <si>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</si>
  <si>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</si>
  <si>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</si>
  <si>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</si>
  <si>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</si>
  <si>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</si>
  <si>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</si>
  <si>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</si>
  <si>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</si>
  <si>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</si>
  <si>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</si>
  <si>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</si>
  <si>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</si>
  <si>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</si>
  <si>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</si>
  <si>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</si>
  <si>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</si>
  <si>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</si>
  <si>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</si>
  <si>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</si>
  <si>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</si>
  <si>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</si>
  <si>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</si>
  <si>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</si>
  <si>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</si>
  <si>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</si>
  <si>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</si>
  <si>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</si>
  <si>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</si>
  <si>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</si>
  <si>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</si>
  <si>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</si>
  <si>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</si>
  <si>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</si>
  <si>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</si>
  <si>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</si>
  <si>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</si>
  <si>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</si>
  <si>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</si>
  <si>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</si>
  <si>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</si>
  <si>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</si>
  <si>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</si>
  <si>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</si>
  <si>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</si>
  <si>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</si>
  <si>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</si>
  <si>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</si>
  <si>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</si>
  <si>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</si>
  <si>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</si>
  <si>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</si>
  <si>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</si>
  <si>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</si>
  <si>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</si>
  <si>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</si>
  <si>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</si>
  <si>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</si>
  <si>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</si>
  <si>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</si>
  <si>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</si>
  <si>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</si>
  <si>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</si>
  <si>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</si>
  <si>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</si>
  <si>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</si>
  <si>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</si>
  <si>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</si>
  <si>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</si>
  <si>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</si>
  <si>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</si>
  <si>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</si>
  <si>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</si>
  <si>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</si>
  <si>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</si>
  <si>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</si>
  <si>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</si>
  <si>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</si>
  <si>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</si>
  <si>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</si>
  <si>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</si>
  <si>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</si>
  <si>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</si>
  <si>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</si>
  <si>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</si>
  <si>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</si>
  <si>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</si>
  <si>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</si>
  <si>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</si>
  <si>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</si>
  <si>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</si>
  <si>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</si>
  <si>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</si>
  <si>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</si>
  <si>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</si>
  <si>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</si>
  <si>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</si>
  <si>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</si>
  <si>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</si>
  <si>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</si>
  <si>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</si>
  <si>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</si>
  <si>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</si>
  <si>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</si>
  <si>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</si>
  <si>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</si>
  <si>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</si>
  <si>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</si>
  <si>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</si>
  <si>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</si>
  <si>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</si>
  <si>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</si>
  <si>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</si>
  <si>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</si>
  <si>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</si>
  <si>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</si>
  <si>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</si>
  <si>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</si>
  <si>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</si>
  <si>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</si>
  <si>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</si>
  <si>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</si>
  <si>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</si>
  <si>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</si>
  <si>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</si>
  <si>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</si>
  <si>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</si>
  <si>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</si>
  <si>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</si>
  <si>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</si>
  <si>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</si>
  <si>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</si>
  <si>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</si>
  <si>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</si>
  <si>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</si>
  <si>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</si>
  <si>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</si>
  <si>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</si>
  <si>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</si>
  <si>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</si>
  <si>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</si>
  <si>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</si>
  <si>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</si>
  <si>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</si>
  <si>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</si>
  <si>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</si>
  <si>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</si>
  <si>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</si>
  <si>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</si>
  <si>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</si>
  <si>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</si>
  <si>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</si>
  <si>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</si>
  <si>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</si>
  <si>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</si>
  <si>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</si>
  <si>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</si>
  <si>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</si>
  <si>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</si>
  <si>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</si>
  <si>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</si>
  <si>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</si>
  <si>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</si>
  <si>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</si>
  <si>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</si>
  <si>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</si>
  <si>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</si>
  <si>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</si>
  <si>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</si>
  <si>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</si>
  <si>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</si>
  <si>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</si>
  <si>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</si>
  <si>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</si>
  <si>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</si>
  <si>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</si>
  <si>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</si>
  <si>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</si>
  <si>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</si>
  <si>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</si>
  <si>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</si>
  <si>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</si>
  <si>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</si>
  <si>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</si>
  <si>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</si>
  <si>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</si>
  <si>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</si>
  <si>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</si>
  <si>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</si>
  <si>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</si>
  <si>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</si>
  <si>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</si>
  <si>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</si>
  <si>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</si>
  <si>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</si>
  <si>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</si>
  <si>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</si>
  <si>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</si>
  <si>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</si>
  <si>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</si>
  <si>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</si>
  <si>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</si>
  <si>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</si>
  <si>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</si>
  <si>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</si>
  <si>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</si>
  <si>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</si>
  <si>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</si>
  <si>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</si>
  <si>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</si>
  <si>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</si>
  <si>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</si>
  <si>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</si>
  <si>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</si>
  <si>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</si>
  <si>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</si>
  <si>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</si>
  <si>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</si>
  <si>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</si>
  <si>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</si>
  <si>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</si>
  <si>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</si>
  <si>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</si>
  <si>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</si>
  <si>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</si>
  <si>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</si>
  <si>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</si>
  <si>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</si>
  <si>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</si>
  <si>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</si>
  <si>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</si>
  <si>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</si>
  <si>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</si>
  <si>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</si>
  <si>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</si>
  <si>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</si>
  <si>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</si>
  <si>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</si>
  <si>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</si>
  <si>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</si>
  <si>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</si>
  <si>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</si>
  <si>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</si>
  <si>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</si>
  <si>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</si>
  <si>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</si>
  <si>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</si>
  <si>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</si>
  <si>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</si>
  <si>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</si>
  <si>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</si>
  <si>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</si>
  <si>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</si>
  <si>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</si>
  <si>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</si>
  <si>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</si>
  <si>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</si>
  <si>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</si>
  <si>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</si>
  <si>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</si>
  <si>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</si>
  <si>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</si>
  <si>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</si>
  <si>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</si>
  <si>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</si>
  <si>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</si>
  <si>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</si>
  <si>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</si>
  <si>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</si>
  <si>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</si>
  <si>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</si>
  <si>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</si>
  <si>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</si>
  <si>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</si>
  <si>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</si>
  <si>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</si>
  <si>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</si>
  <si>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</si>
  <si>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</si>
  <si>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</si>
  <si>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</si>
  <si>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</si>
  <si>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</si>
  <si>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</si>
  <si>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</si>
  <si>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</si>
  <si>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</si>
  <si>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</si>
  <si>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</si>
  <si>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</si>
  <si>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</si>
  <si>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</si>
  <si>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</si>
  <si>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</si>
  <si>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</si>
  <si>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</si>
  <si>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</si>
  <si>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</si>
  <si>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</si>
  <si>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</si>
  <si>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</si>
  <si>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</si>
  <si>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</si>
  <si>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</si>
  <si>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</si>
  <si>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</si>
  <si>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</si>
  <si>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</si>
  <si>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</si>
  <si>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</si>
  <si>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</si>
  <si>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</si>
  <si>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</si>
  <si>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</si>
  <si>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</si>
  <si>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</si>
  <si>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</si>
  <si>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</si>
  <si>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</si>
  <si>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</si>
  <si>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</si>
  <si>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</si>
  <si>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</si>
  <si>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</si>
  <si>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</si>
  <si>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</si>
  <si>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</si>
  <si>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</si>
  <si>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</si>
  <si>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</si>
  <si>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</si>
  <si>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</si>
  <si>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</si>
  <si>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</si>
  <si>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</si>
  <si>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</si>
  <si>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</si>
  <si>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</si>
  <si>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</si>
  <si>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</si>
  <si>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</si>
  <si>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</si>
  <si>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</si>
  <si>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</si>
  <si>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</si>
  <si>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</si>
  <si>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</si>
  <si>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</si>
  <si>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</si>
  <si>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</si>
  <si>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</si>
  <si>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</si>
  <si>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</si>
  <si>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</si>
  <si>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</si>
  <si>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</si>
  <si>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</si>
  <si>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</si>
  <si>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</si>
  <si>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</si>
  <si>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</si>
  <si>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</si>
  <si>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</si>
  <si>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</si>
  <si>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</si>
  <si>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</si>
  <si>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</si>
  <si>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</si>
  <si>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</si>
  <si>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</si>
  <si>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</si>
  <si>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</si>
  <si>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</si>
  <si>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</si>
  <si>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</si>
  <si>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</si>
  <si>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</si>
  <si>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</si>
  <si>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</si>
  <si>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</si>
  <si>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</si>
  <si>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</si>
  <si>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</si>
  <si>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</si>
  <si>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</si>
  <si>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</si>
  <si>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</si>
  <si>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</si>
  <si>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</si>
  <si>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</si>
  <si>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</si>
  <si>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</si>
  <si>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</si>
  <si>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</si>
  <si>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</si>
  <si>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</si>
  <si>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</si>
  <si>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</si>
  <si>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</si>
  <si>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</si>
  <si>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</si>
  <si>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</si>
  <si>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</si>
  <si>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</si>
  <si>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</si>
  <si>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</si>
  <si>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</si>
  <si>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</si>
  <si>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</si>
  <si>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</si>
  <si>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</si>
  <si>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</si>
  <si>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</si>
  <si>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</si>
  <si>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</si>
  <si>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</si>
  <si>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</si>
  <si>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</si>
  <si>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</si>
  <si>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</si>
  <si>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</si>
  <si>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</si>
  <si>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</si>
  <si>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</si>
  <si>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</si>
  <si>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</si>
  <si>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</si>
  <si>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</si>
  <si>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</si>
  <si>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</si>
  <si>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</si>
  <si>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</si>
  <si>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</si>
  <si>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</si>
  <si>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</si>
  <si>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</si>
  <si>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</si>
  <si>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</si>
  <si>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</si>
  <si>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</si>
  <si>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</si>
  <si>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</si>
  <si>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</si>
  <si>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</si>
  <si>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</si>
  <si>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</si>
  <si>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</si>
  <si>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</si>
  <si>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</si>
  <si>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</si>
  <si>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</si>
  <si>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</si>
  <si>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</si>
  <si>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</si>
  <si>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</si>
  <si>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</si>
  <si>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</si>
  <si>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</si>
  <si>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</si>
  <si>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</si>
  <si>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</si>
  <si>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</si>
  <si>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</si>
  <si>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</si>
  <si>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</si>
  <si>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</si>
  <si>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</si>
  <si>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</si>
  <si>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</si>
  <si>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</si>
  <si>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</si>
  <si>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</si>
  <si>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</si>
  <si>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</si>
  <si>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</si>
  <si>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</si>
  <si>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</si>
  <si>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</si>
  <si>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</si>
  <si>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</si>
  <si>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</si>
  <si>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</si>
  <si>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</si>
  <si>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</si>
  <si>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</si>
  <si>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</si>
  <si>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</si>
  <si>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</si>
  <si>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</si>
  <si>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</si>
  <si>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</si>
  <si>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</si>
  <si>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</si>
  <si>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</si>
  <si>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</si>
  <si>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</si>
  <si>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</si>
  <si>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</si>
  <si>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</si>
  <si>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</si>
  <si>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</si>
  <si>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</si>
  <si>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</si>
  <si>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</si>
  <si>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</si>
  <si>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</si>
  <si>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</si>
  <si>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</si>
  <si>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</si>
  <si>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</si>
  <si>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</si>
  <si>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</si>
  <si>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</si>
  <si>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</si>
  <si>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</si>
  <si>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</si>
  <si>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</si>
  <si>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</si>
  <si>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</si>
  <si>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</si>
  <si>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</si>
  <si>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</si>
  <si>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</si>
  <si>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</si>
  <si>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</si>
  <si>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</si>
  <si>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</si>
  <si>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</si>
  <si>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</si>
  <si>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</si>
  <si>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</si>
  <si>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</si>
  <si>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</si>
  <si>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</si>
  <si>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</si>
  <si>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</si>
  <si>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</si>
  <si>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</si>
  <si>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</si>
  <si>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</si>
  <si>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</si>
  <si>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</si>
  <si>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</si>
  <si>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</si>
  <si>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</si>
  <si>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</si>
  <si>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</si>
  <si>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</si>
  <si>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</si>
  <si>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</si>
  <si>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</si>
  <si>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</si>
  <si>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</si>
  <si>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</si>
  <si>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</si>
  <si>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</si>
  <si>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</si>
  <si>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</si>
  <si>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</si>
  <si>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</si>
  <si>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</si>
  <si>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</si>
  <si>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</si>
  <si>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</si>
  <si>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</si>
  <si>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</si>
  <si>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</si>
  <si>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</si>
  <si>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</si>
  <si>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</si>
  <si>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</si>
  <si>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</si>
  <si>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</si>
  <si>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</si>
  <si>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</si>
  <si>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</si>
  <si>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</si>
  <si>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</si>
  <si>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</si>
  <si>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</si>
  <si>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</si>
  <si>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</si>
  <si>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</si>
  <si>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</si>
  <si>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</si>
  <si>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</si>
  <si>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</si>
  <si>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</si>
  <si>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</si>
  <si>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</si>
  <si>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</si>
  <si>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</si>
  <si>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</si>
  <si>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</si>
  <si>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</si>
  <si>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</si>
  <si>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</si>
  <si>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</si>
  <si>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</si>
  <si>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</si>
  <si>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</si>
  <si>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</si>
  <si>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</si>
  <si>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</si>
  <si>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</si>
  <si>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</si>
  <si>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</si>
  <si>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</si>
  <si>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</si>
  <si>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</si>
  <si>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</si>
  <si>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</si>
  <si>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</si>
  <si>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</si>
  <si>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</si>
  <si>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</si>
  <si>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</si>
  <si>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</si>
  <si>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</si>
  <si>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</si>
  <si>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</si>
  <si>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</si>
  <si>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</si>
  <si>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</si>
  <si>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</si>
  <si>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</si>
  <si>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</si>
  <si>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</si>
  <si>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</si>
  <si>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</si>
  <si>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</si>
  <si>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</si>
  <si>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</si>
  <si>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</si>
  <si>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</si>
  <si>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</si>
  <si>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</si>
  <si>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</si>
  <si>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</si>
  <si>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</si>
  <si>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</si>
  <si>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</si>
  <si>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</si>
  <si>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</si>
  <si>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</si>
  <si>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</si>
  <si>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</si>
  <si>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</si>
  <si>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</si>
  <si>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</si>
  <si>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</si>
  <si>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</si>
  <si>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</si>
  <si>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</si>
  <si>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</si>
  <si>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</si>
  <si>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</si>
  <si>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</si>
  <si>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</si>
  <si>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</si>
  <si>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</si>
  <si>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</si>
  <si>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</si>
  <si>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</si>
  <si>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</si>
  <si>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</si>
  <si>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</si>
  <si>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</si>
  <si>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</si>
  <si>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</si>
  <si>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</si>
  <si>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</si>
  <si>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</si>
  <si>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</si>
  <si>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</si>
  <si>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</si>
  <si>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</si>
  <si>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</si>
  <si>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</si>
  <si>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</si>
  <si>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</si>
  <si>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</si>
  <si>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</si>
  <si>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</si>
  <si>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</si>
  <si>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</si>
  <si>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</si>
  <si>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</si>
  <si>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</si>
  <si>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</si>
  <si>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</si>
  <si>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</si>
  <si>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</si>
  <si>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</si>
  <si>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</si>
  <si>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</si>
  <si>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</si>
  <si>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</si>
  <si>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</si>
  <si>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</si>
  <si>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</si>
  <si>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</si>
  <si>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</si>
  <si>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</si>
  <si>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</si>
  <si>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</si>
  <si>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</si>
  <si>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</si>
  <si>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</si>
  <si>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</si>
  <si>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</si>
  <si>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</si>
  <si>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</si>
  <si>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</si>
  <si>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</si>
  <si>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</si>
  <si>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</si>
  <si>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</si>
  <si>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</si>
  <si>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</si>
  <si>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</si>
  <si>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</si>
  <si>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</si>
  <si>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</si>
  <si>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</si>
  <si>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</si>
  <si>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</si>
  <si>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</si>
  <si>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</si>
  <si>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</si>
  <si>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</si>
  <si>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</si>
  <si>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</si>
  <si>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</si>
  <si>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</si>
  <si>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</si>
  <si>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</si>
  <si>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</si>
  <si>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</si>
  <si>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</si>
  <si>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</si>
  <si>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</si>
  <si>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</si>
  <si>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</si>
  <si>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</si>
  <si>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</si>
  <si>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</si>
  <si>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</si>
  <si>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</si>
  <si>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</si>
  <si>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</si>
  <si>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</si>
  <si>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</si>
  <si>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</si>
  <si>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</si>
  <si>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</si>
  <si>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</si>
  <si>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</si>
  <si>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</si>
  <si>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</si>
  <si>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</si>
  <si>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</si>
  <si>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</si>
  <si>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</si>
  <si>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</si>
  <si>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</si>
  <si>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</si>
  <si>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</si>
  <si>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</si>
  <si>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</si>
  <si>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</si>
  <si>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</si>
  <si>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</si>
  <si>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</si>
  <si>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</si>
  <si>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</si>
  <si>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</si>
  <si>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</si>
  <si>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</si>
  <si>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</si>
  <si>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</si>
  <si>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</si>
  <si>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</si>
  <si>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</si>
  <si>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</si>
  <si>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</si>
  <si>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</si>
  <si>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</si>
  <si>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</si>
  <si>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</si>
  <si>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</si>
  <si>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</si>
  <si>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</si>
  <si>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</si>
  <si>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</si>
  <si>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</si>
  <si>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</si>
  <si>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</si>
  <si>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</si>
  <si>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</si>
  <si>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</si>
  <si>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</si>
  <si>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</si>
  <si>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</si>
  <si>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</si>
  <si>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</si>
  <si>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</si>
  <si>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</si>
  <si>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</si>
  <si>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</si>
  <si>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</si>
  <si>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</si>
  <si>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</si>
  <si>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</si>
  <si>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</si>
  <si>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</si>
  <si>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</si>
  <si>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</si>
  <si>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</si>
  <si>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</si>
  <si>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</si>
  <si>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</si>
  <si>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</si>
  <si>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</si>
  <si>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</si>
  <si>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</si>
  <si>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</si>
  <si>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</si>
  <si>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</si>
  <si>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</si>
  <si>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</si>
  <si>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</si>
  <si>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</si>
  <si>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</si>
  <si>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</si>
  <si>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</si>
  <si>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</si>
  <si>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</si>
  <si>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</si>
  <si>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</si>
  <si>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</si>
  <si>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</si>
  <si>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</si>
  <si>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</si>
  <si>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</si>
  <si>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</si>
  <si>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</si>
  <si>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</si>
  <si>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</si>
  <si>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</si>
  <si>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</si>
  <si>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</si>
  <si>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</si>
  <si>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</si>
  <si>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</si>
  <si>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</si>
  <si>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</si>
  <si>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</si>
  <si>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</si>
  <si>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</si>
  <si>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</si>
  <si>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</si>
  <si>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</si>
  <si>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</si>
  <si>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</si>
  <si>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</si>
  <si>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</si>
  <si>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</si>
  <si>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</si>
  <si>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</si>
  <si>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</si>
  <si>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</si>
  <si>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</si>
  <si>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</si>
  <si>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</si>
  <si>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</si>
  <si>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</si>
  <si>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</si>
  <si>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</si>
  <si>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</si>
  <si>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</si>
  <si>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</si>
  <si>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</si>
  <si>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</si>
  <si>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</si>
  <si>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</si>
  <si>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</si>
  <si>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</si>
  <si>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</si>
  <si>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</si>
  <si>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</si>
  <si>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</si>
  <si>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</si>
  <si>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</si>
  <si>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</si>
  <si>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</si>
  <si>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</si>
  <si>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</si>
  <si>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</si>
  <si>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</si>
  <si>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</si>
  <si>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</si>
  <si>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</si>
  <si>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</si>
  <si>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</si>
  <si>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</si>
  <si>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</si>
  <si>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</si>
  <si>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</si>
  <si>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</si>
  <si>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</si>
  <si>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</si>
  <si>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</si>
  <si>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</si>
  <si>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</si>
  <si>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</si>
  <si>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</si>
  <si>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</si>
  <si>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</si>
  <si>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</si>
  <si>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</si>
  <si>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</si>
  <si>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</si>
  <si>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</si>
  <si>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</si>
  <si>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</si>
  <si>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</si>
  <si>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</si>
  <si>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</si>
  <si>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</si>
  <si>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</si>
  <si>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</si>
  <si>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</si>
  <si>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</si>
  <si>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</si>
  <si>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</si>
  <si>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</si>
  <si>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</si>
  <si>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</si>
  <si>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</si>
  <si>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</si>
  <si>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</si>
  <si>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</si>
  <si>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</si>
  <si>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</si>
  <si>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</si>
  <si>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</si>
  <si>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</si>
  <si>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</si>
  <si>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</si>
  <si>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</si>
  <si>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</si>
  <si>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</si>
  <si>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</si>
  <si>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</si>
  <si>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</si>
  <si>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</si>
  <si>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</si>
  <si>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</si>
  <si>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</si>
  <si>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</si>
  <si>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</si>
  <si>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</si>
  <si>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</si>
  <si>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</si>
  <si>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</si>
  <si>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</si>
  <si>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</si>
  <si>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</si>
  <si>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</si>
  <si>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</si>
  <si>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</si>
  <si>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</si>
  <si>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</si>
  <si>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</si>
  <si>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</si>
  <si>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</si>
  <si>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</si>
  <si>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</si>
  <si>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</si>
  <si>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</si>
  <si>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</si>
  <si>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</si>
  <si>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</si>
  <si>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</si>
  <si>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</si>
  <si>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</si>
  <si>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</si>
  <si>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</si>
  <si>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</si>
  <si>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</si>
  <si>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</si>
  <si>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</si>
  <si>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</si>
  <si>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</si>
  <si>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</si>
  <si>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</si>
  <si>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</si>
  <si>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</si>
  <si>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</si>
  <si>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</si>
  <si>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</si>
  <si>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</si>
  <si>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</si>
  <si>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</si>
  <si>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</si>
  <si>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</si>
  <si>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</si>
  <si>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</si>
  <si>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</si>
  <si>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</si>
  <si>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</si>
  <si>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</si>
  <si>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</si>
  <si>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</si>
  <si>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</si>
  <si>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</si>
  <si>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</si>
  <si>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</si>
  <si>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</si>
  <si>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</si>
  <si>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</si>
  <si>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</si>
  <si>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</si>
  <si>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</si>
  <si>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</si>
  <si>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</si>
  <si>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</si>
  <si>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</si>
  <si>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</si>
  <si>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</si>
  <si>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</si>
  <si>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</si>
  <si>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</si>
  <si>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</si>
  <si>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</si>
  <si>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</si>
  <si>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</si>
  <si>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</si>
  <si>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</si>
  <si>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</si>
  <si>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</si>
  <si>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</si>
  <si>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</si>
  <si>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</si>
  <si>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</si>
  <si>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</si>
  <si>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</si>
  <si>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</si>
  <si>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</si>
  <si>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</si>
  <si>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</si>
  <si>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</si>
  <si>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</si>
  <si>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</si>
  <si>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</si>
  <si>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</si>
  <si>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</si>
  <si>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</si>
  <si>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</si>
  <si>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</si>
  <si>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</si>
  <si>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</si>
  <si>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</si>
  <si>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</si>
  <si>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</si>
  <si>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</si>
  <si>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</si>
  <si>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</si>
  <si>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</si>
  <si>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</si>
  <si>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</si>
  <si>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</si>
  <si>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</si>
  <si>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</si>
  <si>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</si>
  <si>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</si>
  <si>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</si>
  <si>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</si>
  <si>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</si>
  <si>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</si>
  <si>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</si>
  <si>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</si>
  <si>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</si>
  <si>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</si>
  <si>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</si>
  <si>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</si>
  <si>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</si>
  <si>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</si>
  <si>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</si>
  <si>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</si>
  <si>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</si>
  <si>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</si>
  <si>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</si>
  <si>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</si>
  <si>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</si>
  <si>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</si>
  <si>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</si>
  <si>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</si>
  <si>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</si>
  <si>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</si>
  <si>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</si>
  <si>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</si>
  <si>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</si>
  <si>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</si>
  <si>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</si>
  <si>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</si>
  <si>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</si>
  <si>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</si>
  <si>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</si>
  <si>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</si>
  <si>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</si>
  <si>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</si>
  <si>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</si>
  <si>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</si>
  <si>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</si>
  <si>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</si>
  <si>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</si>
  <si>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</si>
  <si>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</si>
  <si>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</si>
  <si>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</si>
  <si>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</si>
  <si>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</si>
  <si>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</si>
  <si>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</si>
  <si>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</si>
  <si>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</si>
  <si>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</si>
  <si>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</si>
  <si>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</si>
  <si>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</si>
  <si>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</si>
  <si>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</si>
  <si>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</si>
  <si>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</si>
  <si>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</si>
  <si>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</si>
  <si>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</si>
  <si>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</si>
  <si>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</si>
  <si>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</si>
  <si>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</si>
  <si>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</si>
  <si>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</si>
  <si>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</si>
  <si>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</si>
  <si>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</si>
  <si>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</si>
  <si>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</si>
  <si>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</si>
  <si>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</si>
  <si>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</si>
  <si>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</si>
  <si>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</si>
  <si>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</si>
  <si>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</si>
  <si>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</si>
  <si>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</si>
  <si>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</si>
  <si>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</si>
  <si>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</si>
  <si>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</si>
  <si>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</si>
  <si>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</si>
  <si>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</si>
  <si>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</si>
  <si>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</si>
  <si>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</si>
  <si>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</si>
  <si>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</si>
  <si>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</si>
  <si>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</si>
  <si>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</si>
  <si>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</si>
  <si>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</si>
  <si>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</si>
  <si>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</si>
  <si>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</si>
  <si>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</si>
  <si>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</si>
  <si>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</si>
  <si>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</si>
  <si>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</si>
  <si>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</si>
  <si>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</si>
  <si>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</si>
  <si>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</si>
  <si>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</si>
  <si>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</si>
  <si>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</si>
  <si>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</si>
  <si>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</si>
  <si>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</si>
  <si>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</si>
  <si>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</si>
  <si>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</si>
  <si>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</si>
  <si>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</si>
  <si>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</si>
  <si>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</si>
  <si>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</si>
  <si>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</si>
  <si>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</si>
  <si>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</si>
  <si>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</si>
  <si>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</si>
  <si>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</si>
  <si>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</si>
  <si>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</si>
  <si>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</si>
  <si>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</si>
  <si>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</si>
  <si>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</si>
  <si>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</si>
  <si>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</si>
  <si>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</si>
  <si>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</si>
  <si>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</si>
  <si>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</si>
  <si>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</si>
  <si>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</si>
  <si>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</si>
  <si>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</si>
  <si>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</si>
  <si>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</si>
  <si>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</si>
  <si>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</si>
  <si>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</si>
  <si>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</si>
  <si>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</si>
  <si>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</si>
  <si>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</si>
  <si>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</si>
  <si>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</si>
  <si>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</si>
  <si>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</si>
  <si>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</si>
  <si>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</si>
  <si>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</si>
  <si>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</si>
  <si>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</si>
  <si>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</si>
  <si>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</si>
  <si>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</si>
  <si>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</si>
  <si>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</si>
  <si>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</si>
  <si>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</si>
  <si>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</si>
  <si>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</si>
  <si>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</si>
  <si>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</si>
  <si>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</si>
  <si>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</si>
  <si>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</si>
  <si>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</si>
  <si>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</si>
  <si>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</si>
  <si>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</si>
  <si>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</si>
  <si>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</si>
  <si>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</si>
  <si>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</si>
  <si>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</si>
  <si>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</si>
  <si>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</si>
  <si>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</si>
  <si>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</si>
  <si>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</si>
  <si>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</si>
  <si>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</si>
  <si>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</si>
  <si>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</si>
  <si>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</si>
  <si>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</si>
  <si>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</si>
  <si>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</si>
  <si>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</si>
  <si>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</si>
  <si>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</si>
  <si>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</si>
  <si>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</si>
  <si>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</si>
  <si>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</si>
  <si>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</si>
  <si>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</si>
  <si>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</si>
  <si>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</si>
  <si>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</si>
  <si>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</si>
  <si>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</si>
  <si>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</si>
  <si>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</si>
  <si>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</si>
  <si>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</si>
  <si>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</si>
  <si>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</si>
  <si>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</si>
  <si>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</si>
  <si>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</si>
  <si>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</si>
  <si>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</si>
  <si>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</si>
  <si>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</si>
  <si>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</si>
  <si>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</si>
  <si>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</si>
  <si>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</si>
  <si>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</si>
  <si>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</si>
  <si>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</si>
  <si>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</si>
  <si>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</si>
  <si>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</si>
  <si>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</si>
  <si>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</si>
  <si>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</si>
  <si>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</si>
  <si>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</si>
  <si>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</si>
  <si>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</si>
  <si>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</si>
  <si>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</si>
  <si>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</si>
  <si>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</si>
  <si>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</si>
  <si>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</si>
  <si>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</si>
  <si>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</si>
  <si>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</si>
  <si>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</si>
  <si>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</si>
  <si>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</si>
  <si>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</si>
  <si>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</si>
  <si>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</si>
  <si>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</si>
  <si>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</si>
  <si>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</si>
  <si>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</si>
  <si>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</si>
  <si>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</si>
  <si>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</si>
  <si>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</si>
  <si>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</si>
  <si>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</si>
  <si>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</si>
  <si>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</si>
  <si>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</si>
  <si>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</si>
  <si>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</si>
  <si>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</si>
  <si>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</si>
  <si>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</si>
  <si>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</si>
  <si>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</si>
  <si>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</si>
  <si>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</si>
  <si>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</si>
  <si>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</si>
  <si>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</si>
  <si>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</si>
  <si>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</si>
  <si>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</si>
  <si>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</si>
  <si>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</si>
  <si>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</si>
  <si>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</si>
  <si>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</si>
  <si>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</si>
  <si>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</si>
  <si>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</si>
  <si>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</si>
  <si>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</si>
  <si>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</si>
  <si>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</si>
  <si>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</si>
  <si>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</si>
  <si>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</si>
  <si>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</si>
  <si>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</si>
  <si>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</si>
  <si>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</si>
  <si>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</si>
  <si>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</si>
  <si>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</si>
  <si>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</si>
  <si>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</si>
  <si>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</si>
  <si>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</si>
  <si>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</si>
  <si>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</si>
  <si>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</si>
  <si>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</si>
  <si>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</si>
  <si>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</si>
  <si>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</si>
  <si>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</si>
  <si>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</si>
  <si>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</si>
  <si>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</si>
  <si>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</si>
  <si>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</si>
  <si>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</si>
  <si>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</si>
  <si>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</si>
  <si>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</si>
  <si>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</si>
  <si>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</si>
  <si>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</si>
  <si>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</si>
  <si>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</si>
  <si>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</si>
  <si>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</si>
  <si>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</si>
  <si>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</si>
  <si>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</si>
  <si>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</si>
  <si>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</si>
  <si>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</si>
  <si>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</si>
  <si>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</si>
  <si>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</si>
  <si>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</si>
  <si>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</si>
  <si>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</si>
  <si>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</si>
  <si>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</si>
  <si>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</si>
  <si>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</si>
  <si>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</si>
  <si>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</si>
  <si>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</si>
  <si>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</si>
  <si>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</si>
  <si>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</si>
  <si>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</si>
  <si>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</si>
  <si>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</si>
  <si>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</si>
  <si>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</si>
  <si>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</si>
  <si>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</si>
  <si>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</si>
  <si>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</si>
  <si>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</si>
  <si>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</si>
  <si>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</si>
  <si>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</si>
  <si>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</si>
  <si>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</si>
  <si>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</si>
  <si>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</si>
  <si>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</si>
  <si>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</si>
  <si>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</si>
  <si>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</si>
  <si>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</si>
  <si>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</si>
  <si>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</si>
  <si>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</si>
  <si>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</si>
  <si>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</si>
  <si>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</si>
  <si>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</si>
  <si>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</si>
  <si>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</si>
  <si>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</si>
  <si>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</si>
  <si>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</si>
  <si>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</si>
  <si>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</si>
  <si>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</si>
  <si>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</si>
  <si>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</si>
  <si>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</si>
  <si>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</si>
  <si>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</si>
  <si>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</si>
  <si>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</si>
  <si>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</si>
  <si>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</si>
  <si>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</si>
  <si>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</si>
  <si>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</si>
  <si>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</si>
  <si>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</si>
  <si>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</si>
  <si>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</si>
  <si>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</si>
  <si>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</si>
  <si>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</si>
  <si>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</si>
  <si>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</si>
  <si>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</si>
  <si>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</si>
  <si>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</si>
  <si>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</si>
  <si>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</si>
  <si>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</si>
  <si>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</si>
  <si>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</si>
  <si>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</si>
  <si>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</si>
  <si>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</si>
  <si>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</si>
  <si>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</si>
  <si>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</si>
  <si>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</si>
  <si>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</si>
  <si>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</si>
  <si>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</si>
  <si>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</si>
  <si>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</si>
  <si>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</si>
  <si>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</si>
  <si>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</si>
  <si>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</si>
  <si>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</si>
  <si>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</si>
  <si>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</si>
  <si>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</si>
  <si>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</si>
  <si>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</si>
  <si>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</si>
  <si>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</si>
  <si>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</si>
  <si>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</si>
  <si>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</si>
  <si>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</si>
  <si>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</si>
  <si>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</si>
  <si>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</si>
  <si>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</si>
  <si>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</si>
  <si>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</si>
  <si>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</si>
  <si>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</si>
  <si>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</si>
  <si>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</si>
  <si>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</si>
  <si>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</si>
  <si>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</si>
  <si>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</si>
  <si>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</si>
  <si>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</si>
  <si>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</si>
  <si>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</si>
  <si>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</si>
  <si>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</si>
  <si>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</si>
  <si>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</si>
  <si>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</si>
  <si>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</si>
  <si>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</si>
  <si>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</si>
  <si>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</si>
  <si>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</si>
  <si>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</si>
  <si>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</si>
  <si>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</si>
  <si>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</si>
  <si>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</si>
  <si>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</si>
  <si>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</si>
  <si>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</si>
  <si>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</si>
  <si>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</si>
  <si>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</si>
  <si>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</si>
  <si>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</si>
  <si>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</si>
  <si>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</si>
  <si>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</si>
  <si>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</si>
  <si>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</si>
  <si>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</si>
  <si>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</si>
  <si>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</si>
  <si>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</si>
  <si>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</si>
  <si>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</si>
  <si>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</si>
  <si>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</si>
  <si>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</si>
  <si>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</si>
  <si>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</si>
  <si>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</si>
  <si>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</si>
  <si>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</si>
  <si>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</si>
  <si>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</si>
  <si>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</si>
  <si>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</si>
  <si>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</si>
  <si>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</si>
  <si>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</si>
  <si>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</si>
  <si>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</si>
  <si>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</si>
  <si>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</si>
  <si>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</si>
  <si>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</si>
  <si>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</si>
  <si>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</si>
  <si>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</si>
  <si>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</si>
  <si>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</si>
  <si>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</si>
  <si>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</si>
  <si>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</si>
  <si>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</si>
  <si>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</si>
  <si>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</si>
  <si>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</si>
  <si>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</si>
  <si>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</si>
  <si>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</si>
  <si>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</si>
  <si>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</si>
  <si>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</si>
  <si>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</si>
  <si>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</si>
  <si>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</si>
  <si>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</si>
  <si>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</si>
  <si>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</si>
  <si>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</si>
  <si>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</si>
  <si>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</si>
  <si>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</si>
  <si>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</si>
  <si>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</si>
  <si>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</si>
  <si>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</si>
  <si>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</si>
  <si>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</si>
  <si>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</si>
  <si>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</si>
  <si>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</si>
  <si>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</si>
  <si>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</si>
  <si>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</si>
  <si>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</si>
  <si>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</si>
  <si>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</si>
  <si>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</si>
  <si>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</si>
  <si>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</si>
  <si>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</si>
  <si>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</si>
  <si>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</si>
  <si>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</si>
  <si>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</si>
  <si>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</si>
  <si>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</si>
  <si>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</si>
  <si>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</si>
  <si>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</si>
  <si>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</si>
  <si>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</si>
  <si>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</si>
  <si>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</si>
  <si>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</si>
  <si>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</si>
  <si>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</si>
  <si>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</si>
  <si>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</si>
  <si>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</si>
  <si>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</si>
  <si>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</si>
  <si>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</si>
  <si>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</si>
  <si>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</si>
  <si>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</si>
  <si>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</si>
  <si>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</si>
  <si>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</si>
  <si>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</si>
  <si>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</si>
  <si>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</si>
  <si>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</si>
  <si>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</si>
  <si>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</si>
  <si>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</si>
  <si>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</si>
  <si>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</si>
  <si>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</si>
  <si>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</si>
  <si>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</si>
  <si>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</si>
  <si>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</si>
  <si>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</si>
  <si>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</si>
  <si>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</si>
  <si>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</si>
  <si>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</si>
  <si>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</si>
  <si>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</si>
  <si>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</si>
  <si>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</si>
  <si>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</si>
  <si>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</si>
  <si>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</si>
  <si>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</si>
  <si>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</si>
  <si>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</si>
  <si>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</si>
  <si>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</si>
  <si>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</si>
  <si>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</si>
  <si>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</si>
  <si>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</si>
  <si>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</si>
  <si>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</si>
  <si>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</si>
  <si>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</si>
  <si>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</si>
  <si>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</si>
  <si>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</si>
  <si>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</si>
  <si>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</si>
  <si>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</si>
  <si>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</si>
  <si>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</si>
  <si>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</si>
  <si>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</si>
  <si>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</si>
  <si>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</si>
  <si>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</si>
  <si>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</si>
  <si>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</si>
  <si>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</si>
  <si>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</si>
  <si>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</si>
  <si>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</si>
  <si>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</si>
  <si>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</si>
  <si>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</si>
  <si>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</si>
  <si>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</si>
  <si>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</si>
  <si>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</si>
  <si>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</si>
  <si>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</si>
  <si>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</si>
  <si>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</si>
  <si>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</si>
  <si>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</si>
  <si>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</si>
  <si>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</si>
  <si>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</si>
  <si>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</si>
  <si>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</si>
  <si>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</si>
  <si>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</si>
  <si>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</si>
  <si>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</si>
  <si>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</si>
  <si>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</si>
  <si>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</si>
  <si>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</si>
  <si>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</si>
  <si>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</si>
  <si>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</si>
  <si>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</si>
  <si>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</si>
  <si>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</si>
  <si>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</si>
  <si>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</si>
  <si>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</si>
  <si>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</si>
  <si>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</si>
  <si>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</si>
  <si>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</si>
  <si>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</si>
  <si>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</si>
  <si>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</si>
  <si>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</si>
  <si>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</si>
  <si>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</si>
  <si>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</si>
  <si>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</si>
  <si>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</si>
  <si>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</si>
  <si>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</si>
  <si>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</si>
  <si>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</si>
  <si>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</si>
  <si>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</si>
  <si>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</si>
  <si>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</si>
  <si>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</si>
  <si>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</si>
  <si>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</si>
  <si>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</si>
  <si>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</si>
  <si>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</si>
  <si>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</si>
  <si>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</si>
  <si>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</si>
  <si>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</si>
  <si>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</si>
  <si>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</si>
  <si>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</si>
  <si>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</si>
  <si>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</si>
  <si>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</si>
  <si>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</si>
  <si>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</si>
  <si>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</si>
  <si>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</si>
  <si>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</si>
  <si>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</si>
  <si>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</si>
  <si>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</si>
  <si>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</si>
  <si>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</si>
  <si>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</si>
  <si>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</si>
  <si>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</si>
  <si>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</si>
  <si>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</si>
  <si>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</si>
  <si>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</si>
  <si>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</si>
  <si>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</si>
  <si>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</si>
  <si>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</si>
  <si>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</si>
  <si>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</si>
  <si>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</si>
  <si>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</si>
  <si>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</si>
  <si>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</si>
  <si>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</si>
  <si>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</si>
  <si>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</si>
  <si>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</si>
  <si>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</si>
  <si>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</si>
  <si>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</si>
  <si>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</si>
  <si>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</si>
  <si>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</si>
  <si>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</si>
  <si>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</si>
  <si>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</si>
  <si>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</si>
  <si>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</si>
  <si>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</si>
  <si>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</si>
  <si>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</si>
  <si>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</si>
  <si>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</si>
  <si>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</si>
  <si>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</si>
  <si>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</si>
  <si>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</si>
  <si>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</si>
  <si>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</si>
  <si>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</si>
  <si>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</si>
  <si>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</si>
  <si>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</si>
  <si>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</si>
  <si>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</si>
  <si>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</si>
  <si>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</si>
  <si>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</si>
  <si>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</si>
  <si>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</si>
  <si>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</si>
  <si>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</si>
  <si>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</si>
  <si>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</si>
  <si>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</si>
  <si>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</si>
  <si>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</si>
  <si>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</si>
  <si>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</si>
  <si>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</si>
  <si>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</si>
  <si>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</si>
  <si>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</si>
  <si>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</si>
  <si>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</si>
  <si>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</si>
  <si>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</si>
  <si>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</si>
  <si>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</si>
  <si>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</si>
  <si>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</si>
  <si>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</si>
  <si>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</si>
  <si>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</si>
  <si>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</si>
  <si>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</si>
  <si>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</si>
  <si>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</si>
  <si>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</si>
  <si>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</si>
  <si>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</si>
  <si>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</si>
  <si>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</si>
  <si>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</si>
  <si>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</si>
  <si>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</si>
  <si>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</si>
  <si>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</si>
  <si>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</si>
  <si>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</si>
  <si>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</si>
  <si>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</si>
  <si>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</si>
  <si>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</si>
  <si>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</si>
  <si>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</si>
  <si>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</si>
  <si>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</si>
  <si>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</si>
  <si>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</si>
  <si>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</si>
  <si>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</si>
  <si>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</si>
  <si>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</si>
  <si>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</si>
  <si>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</si>
  <si>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</si>
  <si>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</si>
  <si>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</si>
  <si>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</si>
  <si>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</si>
  <si>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</si>
  <si>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</si>
  <si>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</si>
  <si>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</si>
  <si>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</si>
  <si>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</si>
  <si>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</si>
  <si>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</si>
  <si>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</si>
  <si>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</si>
  <si>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</si>
  <si>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</si>
  <si>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</si>
  <si>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</si>
  <si>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</si>
  <si>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</si>
  <si>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</si>
  <si>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</si>
  <si>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</si>
  <si>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</si>
  <si>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</si>
  <si>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</si>
  <si>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</si>
  <si>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</si>
  <si>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</si>
  <si>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</si>
  <si>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</si>
  <si>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</si>
  <si>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</si>
  <si>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</si>
  <si>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</si>
  <si>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</si>
  <si>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</si>
  <si>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</si>
  <si>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</si>
  <si>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</si>
  <si>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</si>
  <si>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</si>
  <si>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</si>
  <si>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</si>
  <si>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</si>
  <si>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</si>
  <si>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</si>
  <si>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</si>
  <si>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</si>
  <si>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</si>
  <si>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</si>
  <si>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</si>
  <si>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</si>
  <si>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</si>
  <si>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</si>
  <si>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</si>
  <si>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</si>
  <si>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</si>
  <si>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</si>
  <si>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</si>
  <si>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</si>
  <si>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</si>
  <si>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</si>
  <si>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</si>
  <si>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</si>
  <si>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</si>
  <si>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</si>
  <si>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</si>
  <si>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</si>
  <si>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</si>
  <si>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</si>
  <si>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</si>
  <si>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</si>
  <si>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</si>
  <si>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</si>
  <si>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</si>
  <si>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</si>
  <si>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</si>
  <si>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</si>
  <si>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</si>
  <si>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</si>
  <si>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</si>
  <si>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</si>
  <si>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</si>
  <si>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</si>
  <si>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</si>
  <si>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</si>
  <si>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</si>
  <si>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</si>
  <si>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</si>
  <si>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</si>
  <si>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</si>
  <si>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</si>
  <si>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</si>
  <si>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</si>
  <si>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</si>
  <si>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</si>
  <si>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</si>
  <si>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</si>
  <si>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</si>
  <si>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</si>
  <si>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</si>
  <si>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</si>
  <si>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</si>
  <si>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</si>
  <si>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</si>
  <si>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</si>
  <si>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</si>
  <si>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</si>
  <si>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</si>
  <si>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</si>
  <si>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</si>
  <si>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</si>
  <si>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</si>
  <si>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</si>
  <si>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</si>
  <si>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</si>
  <si>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</si>
  <si>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</si>
  <si>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</si>
  <si>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</si>
  <si>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</si>
  <si>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</si>
  <si>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</si>
  <si>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</si>
  <si>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</si>
  <si>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</si>
  <si>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</si>
  <si>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</si>
  <si>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</si>
  <si>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</si>
  <si>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</si>
  <si>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</si>
  <si>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</si>
  <si>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</si>
  <si>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</si>
  <si>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</si>
  <si>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</si>
  <si>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</si>
  <si>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</si>
  <si>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</si>
  <si>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</si>
  <si>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</si>
  <si>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</si>
  <si>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</si>
  <si>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</si>
  <si>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</si>
  <si>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</si>
  <si>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</si>
  <si>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</si>
  <si>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</si>
  <si>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</si>
  <si>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</si>
  <si>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</si>
  <si>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</si>
  <si>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</si>
  <si>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</si>
  <si>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</si>
  <si>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</si>
  <si>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</si>
  <si>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</si>
  <si>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</si>
  <si>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</si>
  <si>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</si>
  <si>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</si>
  <si>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</si>
  <si>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</si>
  <si>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</si>
  <si>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</si>
  <si>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</si>
  <si>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</si>
  <si>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</si>
  <si>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</si>
  <si>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</si>
  <si>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</si>
  <si>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</si>
  <si>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</si>
  <si>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</si>
  <si>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</si>
  <si>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</si>
  <si>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</si>
  <si>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</si>
  <si>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</si>
  <si>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</si>
  <si>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</si>
  <si>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</si>
  <si>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</si>
  <si>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</si>
  <si>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</si>
  <si>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</si>
  <si>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</si>
  <si>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</si>
  <si>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</si>
  <si>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</si>
  <si>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</si>
  <si>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</si>
  <si>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</si>
  <si>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</si>
  <si>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</si>
  <si>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</si>
  <si>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</si>
  <si>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</si>
  <si>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</si>
  <si>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</si>
  <si>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</si>
  <si>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</si>
  <si>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</si>
  <si>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</si>
  <si>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</si>
  <si>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</si>
  <si>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</si>
  <si>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</si>
  <si>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</si>
  <si>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</si>
  <si>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</si>
  <si>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</si>
  <si>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</si>
  <si>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</si>
  <si>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</si>
  <si>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</si>
  <si>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</si>
  <si>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</si>
  <si>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</si>
  <si>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</si>
  <si>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</si>
  <si>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</si>
  <si>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</si>
  <si>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</si>
  <si>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</si>
  <si>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</si>
  <si>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</si>
  <si>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</si>
  <si>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</si>
  <si>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</si>
  <si>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</si>
  <si>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</si>
  <si>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</si>
  <si>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</si>
  <si>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</si>
  <si>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</si>
  <si>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</si>
  <si>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</si>
  <si>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</si>
  <si>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</si>
  <si>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</si>
  <si>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</si>
  <si>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</si>
  <si>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</si>
  <si>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</si>
  <si>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</si>
  <si>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</si>
  <si>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</si>
  <si>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</si>
  <si>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</si>
  <si>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</si>
  <si>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</si>
  <si>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</si>
  <si>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</si>
  <si>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</si>
  <si>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</si>
  <si>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</si>
  <si>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</si>
  <si>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</si>
  <si>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</si>
  <si>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</si>
  <si>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</si>
  <si>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</si>
  <si>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</si>
  <si>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</si>
  <si>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</si>
  <si>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</si>
  <si>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</si>
  <si>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</si>
  <si>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</si>
  <si>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</si>
  <si>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</si>
  <si>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</si>
  <si>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</si>
  <si>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</si>
  <si>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</si>
  <si>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</si>
  <si>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</si>
  <si>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</si>
  <si>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</si>
  <si>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</si>
  <si>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</si>
  <si>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</si>
  <si>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</si>
  <si>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</si>
  <si>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</si>
  <si>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</si>
  <si>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</si>
  <si>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</si>
  <si>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</si>
  <si>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</si>
  <si>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</si>
  <si>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</si>
  <si>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</si>
  <si>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</si>
  <si>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</si>
  <si>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</si>
  <si>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</si>
  <si>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</si>
  <si>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</si>
  <si>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</si>
  <si>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</si>
  <si>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</si>
  <si>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</si>
  <si>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</si>
  <si>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</si>
  <si>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</si>
  <si>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</si>
  <si>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</si>
  <si>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</si>
  <si>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</si>
  <si>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</si>
  <si>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</si>
  <si>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</si>
  <si>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</si>
  <si>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</si>
  <si>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</si>
  <si>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</si>
  <si>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</si>
  <si>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</si>
  <si>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</si>
  <si>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</si>
  <si>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</si>
  <si>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</si>
  <si>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</si>
  <si>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</si>
  <si>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</si>
  <si>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</si>
  <si>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</si>
  <si>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Ashley Collegetown Phase I</t>
  </si>
  <si>
    <t>Row House/TH</t>
  </si>
  <si>
    <t>Acquisition/Rehab</t>
  </si>
  <si>
    <t>RAD</t>
  </si>
  <si>
    <t>PHA PBRA</t>
  </si>
  <si>
    <t>40% of Units at 60% of AMI</t>
  </si>
  <si>
    <t>Novogradac</t>
  </si>
  <si>
    <t>Turnover</t>
  </si>
  <si>
    <t>Amortizing</t>
  </si>
  <si>
    <t>Subordinate Debt Fees</t>
  </si>
  <si>
    <t>DDA/QCT</t>
  </si>
  <si>
    <t>Atlanta Housing</t>
  </si>
  <si>
    <t>Freddie Mac TEL</t>
  </si>
  <si>
    <t>Energy Consulting Inc. Energy Consumption Model</t>
  </si>
  <si>
    <t>NA 4% Preservation</t>
  </si>
  <si>
    <t xml:space="preserve">As an MBE, Integral is committed to the advancement of other MBEs and will engage MBEs in the development or operations of the proposed property in amounts equal to approx. 5% of total hard construction costs. </t>
  </si>
  <si>
    <t xml:space="preserve">Applicant certifies that the property meets the requirements for the DCA PBRA Agreement.  Principals of the Applicant have multiple successful properties that participate in the Section 811 program. </t>
  </si>
  <si>
    <t xml:space="preserve">Ashley Collegetown will undergo a RAD/Section 18 conversion, placing PBRA vouchers on 78 existing Section 9 units.  Please see commitment letter from AH.  </t>
  </si>
  <si>
    <t>Ashley Collegetown has an average occupancy of 94.89 for the 24 month period through July 2023.  Please see documentation in tab 46.</t>
  </si>
  <si>
    <t xml:space="preserve">Ashley Collegetown I reached Placed in Service in 2005.  Please see documentation Tab 49. </t>
  </si>
  <si>
    <t>There are not enough rows to list the various types of market rate units, so the information is not 100% accurate as different unit floorplans were consolidated in order to fit within the alloted line.  There are 3 live work units that are included in the market rate units that were not included in the original application.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</si>
  <si>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Real Property Research Group</t>
  </si>
  <si>
    <t>Stantec</t>
  </si>
  <si>
    <t xml:space="preserve">Radon tests found four units with results above 4.0 pCi/L.  Per the recommendation of Stantec, the units will be retested and mitigated as part of the renovation scope.  </t>
  </si>
  <si>
    <t>Ashley Collegetown I, L.P.</t>
  </si>
  <si>
    <t>Purchase Option, AH Letter re Ground Lease Assignment, &amp; Ground Lease located in Tab 8</t>
  </si>
  <si>
    <t>Phase I ESA with no identified issues other than above located in Tab 7</t>
  </si>
  <si>
    <t>Room</t>
  </si>
  <si>
    <t>Gazebo</t>
  </si>
  <si>
    <t>On-site laundry</t>
  </si>
  <si>
    <t xml:space="preserve">Applicant agrees to meet the amenities requirements.  Since this submission is prior to the pre-application, Applicant may elect to submit alternate amenities during the pre-application phase for pre-approval. </t>
  </si>
  <si>
    <t>Site Information included in Tab 15</t>
  </si>
  <si>
    <t>Yes - see Comment</t>
  </si>
  <si>
    <t>N/A - no pre-app</t>
  </si>
  <si>
    <t>Agree</t>
  </si>
  <si>
    <t>Not Due at Competitive Review</t>
  </si>
  <si>
    <t>Community Engagement Coordinator ensures services meet all requirements</t>
  </si>
  <si>
    <t xml:space="preserve">Applicant will receive a loan from Atlanta Housing at 1% interest.  Seller will assign the existing nominal ground lease to the Application, and per the terms of AH's commitment letter, AH will extend the term of the ground lease for at least 45 years. </t>
  </si>
  <si>
    <t>Estimated fees for AH Secondary Financing: 
$100,000 Underwriting fee
$35,000 Legal Fee
$27,000 Inspection Fee</t>
  </si>
  <si>
    <t>Applicant uses engineered utility allowances</t>
  </si>
  <si>
    <t xml:space="preserve">Ashley CollegeTown Phase I was the first phase of the HOPE VI revitalization of the former Harris Homes PHA community.  It was completed in 2005 with the hope that it would drive investment in Atlanta's neglected west side.  Shortly after the property stabilized, we entered into the Great Recession of 2008, and the west side continued to be neglected.  Now, 18 years later, the Atlanta Beltline, combined with a concerted effort by area stakeholders, has increased the investment in the area. ColllegeTown is immediately adjacent to the Atlanta University Center, and its sister community, Scholars Landing, is located on the other side.  Combined, they are stablizing forces in the area surrounding the historic AUC.  As Ashley CollegeTown I has aged, we run the risk of losing that stabilizing effect.  It is important that we maintain the quality of affordable housing at Ashley CollegeTown I.   </t>
  </si>
  <si>
    <t xml:space="preserve">As demonstrated in the Marklet Study in Tab 5 and in the occupancy rates shown in Tab 49, Ashley Collegetown has robust occupancy.  As shown in Table 38 on page 61 of the Market Study, the LIHTC units provide a market advantage in rents of greater than 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</si>
</sst>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thin">
        <color rgb="FF000000"/>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hair">
        <color auto="1"/>
      </right>
      <top style="thin">
        <color indexed="64"/>
      </top>
      <bottom/>
      <diagonal/>
    </border>
    <border>
      <left style="hair">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6"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6"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9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59"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49" fillId="16" borderId="59" xfId="0" applyFont="1" applyFill="1" applyBorder="1" applyAlignment="1">
      <alignment vertical="center"/>
    </xf>
    <xf numFmtId="0" fontId="79" fillId="0" borderId="0" xfId="0" applyFont="1"/>
    <xf numFmtId="3" fontId="10" fillId="0" borderId="59"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59"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4" xfId="0" applyFont="1" applyBorder="1" applyAlignment="1">
      <alignment horizontal="center" vertical="center"/>
    </xf>
    <xf numFmtId="0" fontId="41" fillId="0" borderId="9" xfId="0" applyFont="1" applyBorder="1" applyAlignment="1">
      <alignment horizontal="center" vertical="center"/>
    </xf>
    <xf numFmtId="0" fontId="38" fillId="0" borderId="65"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59"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1"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0"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8" fillId="0" borderId="59" xfId="10" applyNumberFormat="1" applyFont="1" applyBorder="1" applyAlignment="1" applyProtection="1">
      <alignment horizontal="center"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59" xfId="0" applyFont="1" applyFill="1" applyBorder="1" applyAlignment="1" applyProtection="1">
      <alignment horizontal="center" vertical="center"/>
      <protection locked="0"/>
    </xf>
    <xf numFmtId="166" fontId="41" fillId="5" borderId="59"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59"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9" xfId="0" applyFont="1" applyFill="1" applyBorder="1" applyAlignment="1" applyProtection="1">
      <alignment horizontal="center" vertical="top"/>
      <protection locked="0"/>
    </xf>
    <xf numFmtId="0" fontId="14" fillId="13" borderId="69"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9"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59"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143" fillId="0" borderId="59"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59"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9"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9"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59" xfId="0" applyNumberFormat="1" applyFont="1" applyBorder="1" applyAlignment="1">
      <alignment horizontal="center" vertical="center"/>
    </xf>
    <xf numFmtId="0" fontId="14" fillId="5" borderId="59" xfId="0" applyFont="1" applyFill="1" applyBorder="1" applyAlignment="1" applyProtection="1">
      <alignment horizontal="center" vertical="top"/>
      <protection locked="0"/>
    </xf>
    <xf numFmtId="0" fontId="14" fillId="13" borderId="59"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59" xfId="0" applyNumberFormat="1" applyFont="1" applyFill="1" applyBorder="1" applyAlignment="1">
      <alignmen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5"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1" fontId="10" fillId="5" borderId="59" xfId="0" applyNumberFormat="1" applyFont="1" applyFill="1" applyBorder="1" applyAlignment="1" applyProtection="1">
      <alignment horizontal="center" vertical="center"/>
      <protection locked="0"/>
    </xf>
    <xf numFmtId="1" fontId="10" fillId="13" borderId="59"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59"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5" xfId="13" applyFont="1" applyFill="1" applyBorder="1" applyAlignment="1">
      <alignment horizontal="left"/>
    </xf>
    <xf numFmtId="180" fontId="8" fillId="10" borderId="64"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38" fontId="8" fillId="13" borderId="59" xfId="0" applyNumberFormat="1" applyFont="1" applyFill="1" applyBorder="1" applyAlignment="1" applyProtection="1">
      <alignment horizontal="center" vertical="center"/>
      <protection locked="0"/>
    </xf>
    <xf numFmtId="0" fontId="14" fillId="13" borderId="89"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0"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0" xfId="1" applyNumberFormat="1" applyFont="1" applyFill="1" applyBorder="1" applyAlignment="1" applyProtection="1">
      <alignment horizontal="center" vertical="center"/>
      <protection locked="0"/>
    </xf>
    <xf numFmtId="3" fontId="13" fillId="5" borderId="90"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9"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0" xfId="1" applyNumberFormat="1" applyFont="1" applyFill="1" applyBorder="1" applyAlignment="1" applyProtection="1">
      <alignment horizontal="center" vertical="center"/>
      <protection locked="0"/>
    </xf>
    <xf numFmtId="38" fontId="13" fillId="0" borderId="90" xfId="1" applyNumberFormat="1" applyFont="1" applyFill="1" applyBorder="1" applyAlignment="1" applyProtection="1">
      <alignment horizontal="center" vertical="center"/>
    </xf>
    <xf numFmtId="0" fontId="37" fillId="5" borderId="90" xfId="0" applyFont="1" applyFill="1" applyBorder="1" applyAlignment="1" applyProtection="1">
      <alignment horizontal="center" vertical="center"/>
      <protection locked="0"/>
    </xf>
    <xf numFmtId="0" fontId="13" fillId="5" borderId="90"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1"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92" xfId="0" applyNumberFormat="1" applyFont="1" applyBorder="1"/>
    <xf numFmtId="38" fontId="3" fillId="0" borderId="83" xfId="0" applyNumberFormat="1" applyFont="1" applyBorder="1"/>
    <xf numFmtId="38" fontId="3" fillId="0" borderId="72" xfId="0" applyNumberFormat="1" applyFont="1" applyBorder="1"/>
    <xf numFmtId="38" fontId="8" fillId="0" borderId="80" xfId="1" applyNumberFormat="1" applyFont="1" applyFill="1" applyBorder="1" applyAlignment="1" applyProtection="1">
      <alignment horizontal="right" vertical="center"/>
    </xf>
    <xf numFmtId="38" fontId="8" fillId="0" borderId="8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71"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59"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59"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59" xfId="0" applyNumberFormat="1" applyFont="1" applyBorder="1" applyAlignment="1">
      <alignment horizontal="center" vertical="center"/>
    </xf>
    <xf numFmtId="38" fontId="8" fillId="0" borderId="94"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5"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59"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72"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8" xfId="1" applyNumberFormat="1" applyFont="1" applyFill="1" applyBorder="1" applyAlignment="1" applyProtection="1">
      <alignment vertical="center"/>
    </xf>
    <xf numFmtId="38" fontId="3" fillId="0" borderId="61"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98"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0"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59"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9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59" xfId="13" applyFill="1" applyBorder="1" applyAlignment="1">
      <alignment horizontal="center"/>
    </xf>
    <xf numFmtId="0" fontId="3" fillId="10" borderId="98"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98" xfId="0" applyFont="1" applyFill="1" applyBorder="1" applyAlignment="1" applyProtection="1">
      <alignment horizontal="center" vertical="center"/>
      <protection locked="0"/>
    </xf>
    <xf numFmtId="0" fontId="14" fillId="13" borderId="98"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59"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98"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98"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59"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98" xfId="0" applyNumberFormat="1" applyFont="1" applyFill="1" applyBorder="1" applyAlignment="1" applyProtection="1">
      <alignment horizontal="center" vertical="center"/>
      <protection locked="0"/>
    </xf>
    <xf numFmtId="38" fontId="8" fillId="13" borderId="98"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0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06" xfId="34" applyNumberFormat="1" applyFont="1" applyFill="1" applyBorder="1"/>
    <xf numFmtId="0" fontId="205" fillId="0" borderId="108" xfId="33" applyFont="1" applyBorder="1" applyAlignment="1">
      <alignment horizontal="center"/>
    </xf>
    <xf numFmtId="0" fontId="83" fillId="0" borderId="59" xfId="33" applyFont="1" applyBorder="1" applyAlignment="1">
      <alignment horizontal="center" wrapText="1"/>
    </xf>
    <xf numFmtId="0" fontId="205" fillId="0" borderId="36" xfId="33" applyFont="1" applyBorder="1"/>
    <xf numFmtId="0" fontId="205" fillId="0" borderId="109" xfId="33" applyFont="1" applyBorder="1" applyAlignment="1">
      <alignment vertical="center"/>
    </xf>
    <xf numFmtId="182" fontId="205" fillId="28" borderId="98"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164" fontId="205" fillId="28" borderId="106" xfId="34" applyNumberFormat="1"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1"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164" fontId="207" fillId="29" borderId="110" xfId="34" applyNumberFormat="1" applyFont="1" applyFill="1" applyBorder="1" applyAlignment="1">
      <alignment horizontal="center" vertical="center"/>
    </xf>
    <xf numFmtId="164" fontId="207" fillId="29" borderId="110" xfId="34" applyNumberFormat="1" applyFont="1" applyFill="1" applyBorder="1" applyAlignment="1">
      <alignment horizontal="center"/>
    </xf>
    <xf numFmtId="182" fontId="205" fillId="0" borderId="109" xfId="33" applyNumberFormat="1" applyFont="1" applyBorder="1" applyAlignment="1">
      <alignment horizontal="center"/>
    </xf>
    <xf numFmtId="0" fontId="205" fillId="0" borderId="34" xfId="33" applyFont="1" applyBorder="1" applyAlignment="1">
      <alignment horizontal="center"/>
    </xf>
    <xf numFmtId="0" fontId="205" fillId="0" borderId="107"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17" xfId="33" applyFont="1" applyBorder="1"/>
    <xf numFmtId="0" fontId="205" fillId="0" borderId="104" xfId="33" applyFont="1" applyBorder="1"/>
    <xf numFmtId="184" fontId="211" fillId="28" borderId="98" xfId="33" applyNumberFormat="1" applyFont="1" applyFill="1" applyBorder="1" applyAlignment="1">
      <alignment horizontal="center" vertical="center"/>
    </xf>
    <xf numFmtId="182" fontId="211" fillId="28" borderId="98" xfId="33" applyNumberFormat="1" applyFont="1" applyFill="1" applyBorder="1" applyAlignment="1">
      <alignment horizontal="center" vertical="center"/>
    </xf>
    <xf numFmtId="0" fontId="211" fillId="0" borderId="0" xfId="33" applyFont="1"/>
    <xf numFmtId="164" fontId="211" fillId="28" borderId="98"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98"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0"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32" xfId="0" applyNumberFormat="1" applyFont="1" applyBorder="1" applyAlignment="1">
      <alignment horizontal="center" vertical="center"/>
    </xf>
    <xf numFmtId="10" fontId="217" fillId="0" borderId="126" xfId="0" applyNumberFormat="1" applyFont="1" applyBorder="1" applyAlignment="1">
      <alignment horizontal="center" vertical="center"/>
    </xf>
    <xf numFmtId="10" fontId="217" fillId="0" borderId="13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61" xfId="0" quotePrefix="1" applyNumberFormat="1" applyFont="1" applyBorder="1" applyAlignment="1">
      <alignment horizontal="center" vertical="top"/>
    </xf>
    <xf numFmtId="49" fontId="38" fillId="0" borderId="61"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0" fontId="207" fillId="0" borderId="109" xfId="33" applyFont="1" applyBorder="1" applyAlignment="1">
      <alignment horizontal="right"/>
    </xf>
    <xf numFmtId="49" fontId="38" fillId="0" borderId="102"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09" xfId="33" applyFont="1" applyBorder="1"/>
    <xf numFmtId="0" fontId="207" fillId="0" borderId="108"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98"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09"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12" xfId="33" applyNumberFormat="1" applyFont="1" applyFill="1" applyBorder="1" applyAlignment="1" applyProtection="1">
      <alignment horizontal="center" vertical="center"/>
      <protection locked="0"/>
    </xf>
    <xf numFmtId="182" fontId="211" fillId="13" borderId="98" xfId="33" applyNumberFormat="1" applyFont="1" applyFill="1" applyBorder="1" applyAlignment="1" applyProtection="1">
      <alignment horizontal="center" vertical="center"/>
      <protection locked="0"/>
    </xf>
    <xf numFmtId="183" fontId="211" fillId="13" borderId="98" xfId="33" applyNumberFormat="1" applyFont="1" applyFill="1" applyBorder="1" applyAlignment="1" applyProtection="1">
      <alignment horizontal="center" vertical="center"/>
      <protection locked="0"/>
    </xf>
    <xf numFmtId="182" fontId="211" fillId="13" borderId="113"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14"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28" xfId="0" applyNumberFormat="1" applyFont="1" applyBorder="1" applyAlignment="1">
      <alignment horizontal="center" vertical="center"/>
    </xf>
    <xf numFmtId="3" fontId="217" fillId="0" borderId="129" xfId="0" applyNumberFormat="1" applyFont="1" applyBorder="1" applyAlignment="1">
      <alignment horizontal="center" vertical="center"/>
    </xf>
    <xf numFmtId="3" fontId="218" fillId="0" borderId="130" xfId="0" applyNumberFormat="1" applyFont="1" applyBorder="1" applyAlignment="1">
      <alignment horizontal="center" vertical="center"/>
    </xf>
    <xf numFmtId="3" fontId="218" fillId="0" borderId="127" xfId="0" applyNumberFormat="1" applyFont="1" applyBorder="1" applyAlignment="1">
      <alignment horizontal="center" vertical="center"/>
    </xf>
    <xf numFmtId="3" fontId="218" fillId="0" borderId="131" xfId="0" applyNumberFormat="1" applyFont="1" applyBorder="1" applyAlignment="1">
      <alignment horizontal="center" vertical="center"/>
    </xf>
    <xf numFmtId="3" fontId="218" fillId="0" borderId="13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2"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59" xfId="0" applyNumberFormat="1" applyFont="1" applyFill="1" applyBorder="1" applyAlignment="1">
      <alignment horizontal="center" vertical="center"/>
    </xf>
    <xf numFmtId="10" fontId="14" fillId="5" borderId="59"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59"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94"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59" xfId="0" applyNumberFormat="1" applyFont="1" applyFill="1" applyBorder="1" applyAlignment="1" applyProtection="1">
      <alignment horizontal="center" vertical="center"/>
      <protection locked="0"/>
    </xf>
    <xf numFmtId="1" fontId="14" fillId="13" borderId="59"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12" xfId="33" applyNumberFormat="1" applyFont="1" applyFill="1" applyBorder="1" applyAlignment="1" applyProtection="1">
      <alignment horizontal="center" vertical="center"/>
      <protection locked="0"/>
    </xf>
    <xf numFmtId="182" fontId="211" fillId="10" borderId="98" xfId="33" applyNumberFormat="1" applyFont="1" applyFill="1" applyBorder="1" applyAlignment="1" applyProtection="1">
      <alignment horizontal="center" vertical="center"/>
      <protection locked="0"/>
    </xf>
    <xf numFmtId="183" fontId="211" fillId="10" borderId="98" xfId="33" applyNumberFormat="1" applyFont="1" applyFill="1" applyBorder="1" applyAlignment="1" applyProtection="1">
      <alignment horizontal="center" vertical="center"/>
      <protection locked="0"/>
    </xf>
    <xf numFmtId="182" fontId="211" fillId="10" borderId="113"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14"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3"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8" fontId="10" fillId="5" borderId="59" xfId="0" applyNumberFormat="1" applyFont="1" applyFill="1" applyBorder="1" applyAlignment="1" applyProtection="1">
      <alignment horizontal="center" vertical="center"/>
      <protection locked="0"/>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98"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98"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4"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4"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4" xfId="0" applyNumberFormat="1" applyFont="1" applyBorder="1" applyAlignment="1">
      <alignment horizontal="center" vertical="top" wrapText="1"/>
    </xf>
    <xf numFmtId="0" fontId="16" fillId="0" borderId="0" xfId="0" applyFont="1" applyAlignment="1">
      <alignment horizontal="left"/>
    </xf>
    <xf numFmtId="38" fontId="8" fillId="5" borderId="76" xfId="0" applyNumberFormat="1" applyFont="1" applyFill="1" applyBorder="1" applyAlignment="1" applyProtection="1">
      <alignment horizontal="center" vertical="center"/>
      <protection locked="0"/>
    </xf>
    <xf numFmtId="38" fontId="8" fillId="13" borderId="9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98"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59" xfId="0" applyNumberFormat="1" applyFont="1" applyFill="1" applyBorder="1" applyAlignment="1">
      <alignment horizontal="center" vertical="center"/>
    </xf>
    <xf numFmtId="38" fontId="10" fillId="13" borderId="98"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59"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0"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61"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2" xfId="1" applyNumberFormat="1" applyFont="1" applyFill="1" applyBorder="1" applyAlignment="1" applyProtection="1">
      <alignment horizontal="right" vertical="center"/>
    </xf>
    <xf numFmtId="38" fontId="21" fillId="0" borderId="83"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1"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45" xfId="0" applyFont="1" applyBorder="1" applyAlignment="1">
      <alignment horizontal="left" vertical="center"/>
    </xf>
    <xf numFmtId="3" fontId="4" fillId="0" borderId="64"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8" xfId="0" applyFont="1" applyBorder="1" applyAlignment="1">
      <alignment horizontal="center" vertical="center" wrapText="1"/>
    </xf>
    <xf numFmtId="0" fontId="4" fillId="0" borderId="67"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0"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9"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0" xfId="1" applyNumberFormat="1" applyFont="1" applyFill="1" applyBorder="1" applyAlignment="1" applyProtection="1">
      <alignment horizontal="center" vertical="center"/>
      <protection locked="0"/>
    </xf>
    <xf numFmtId="3" fontId="4" fillId="13" borderId="80"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50"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49" xfId="0" applyNumberFormat="1" applyFont="1" applyBorder="1" applyAlignment="1">
      <alignment horizontal="center" vertical="center" wrapText="1"/>
    </xf>
    <xf numFmtId="38" fontId="4" fillId="0" borderId="150" xfId="0" applyNumberFormat="1" applyFont="1" applyBorder="1" applyAlignment="1">
      <alignment horizontal="center" vertical="center" wrapText="1"/>
    </xf>
    <xf numFmtId="181" fontId="4" fillId="0" borderId="150"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8"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51"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9" xfId="0" applyNumberFormat="1" applyFont="1" applyFill="1" applyBorder="1" applyAlignment="1" applyProtection="1">
      <alignment horizontal="center" vertical="center"/>
      <protection locked="0"/>
    </xf>
    <xf numFmtId="175" fontId="4" fillId="13" borderId="69" xfId="0" applyNumberFormat="1" applyFont="1" applyFill="1" applyBorder="1" applyAlignment="1">
      <alignment horizontal="center" vertical="center"/>
    </xf>
    <xf numFmtId="175" fontId="4" fillId="10" borderId="59" xfId="0" applyNumberFormat="1" applyFont="1" applyFill="1" applyBorder="1" applyAlignment="1" applyProtection="1">
      <alignment horizontal="center" vertical="center"/>
      <protection locked="0"/>
    </xf>
    <xf numFmtId="175" fontId="4" fillId="13" borderId="59"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98" xfId="0" applyFont="1" applyFill="1" applyBorder="1" applyAlignment="1" applyProtection="1">
      <alignment horizontal="center" vertical="top"/>
      <protection locked="0"/>
    </xf>
    <xf numFmtId="0" fontId="14" fillId="13" borderId="98"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53" xfId="0" applyNumberFormat="1" applyFont="1" applyBorder="1" applyAlignment="1">
      <alignment horizontal="center" vertical="center" wrapText="1"/>
    </xf>
    <xf numFmtId="0" fontId="4" fillId="0" borderId="153"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53" xfId="0" applyFont="1" applyFill="1" applyBorder="1" applyAlignment="1">
      <alignment horizontal="center" vertical="center" wrapText="1"/>
    </xf>
    <xf numFmtId="38" fontId="4" fillId="0" borderId="67" xfId="0" applyNumberFormat="1" applyFont="1" applyBorder="1" applyAlignment="1">
      <alignment horizontal="center" vertical="center" wrapText="1"/>
    </xf>
    <xf numFmtId="38" fontId="4" fillId="0" borderId="102"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53"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52"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59" xfId="0" applyNumberFormat="1" applyFont="1" applyBorder="1" applyAlignment="1">
      <alignment horizontal="center" vertical="center"/>
    </xf>
    <xf numFmtId="10" fontId="100" fillId="0" borderId="59"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55" xfId="0" applyNumberFormat="1" applyFont="1" applyFill="1" applyBorder="1" applyAlignment="1" applyProtection="1">
      <alignment horizontal="center" vertical="center"/>
      <protection locked="0"/>
    </xf>
    <xf numFmtId="38" fontId="8" fillId="13" borderId="155"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5"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40"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98"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10" borderId="59" xfId="0" applyNumberFormat="1" applyFont="1" applyFill="1" applyBorder="1" applyAlignment="1" applyProtection="1">
      <alignment horizontal="center" vertical="center"/>
      <protection locked="0"/>
    </xf>
    <xf numFmtId="38" fontId="8" fillId="5" borderId="69" xfId="0" applyNumberFormat="1" applyFont="1" applyFill="1" applyBorder="1" applyAlignment="1" applyProtection="1">
      <alignment horizontal="center" vertical="center"/>
      <protection locked="0"/>
    </xf>
    <xf numFmtId="38" fontId="8" fillId="13" borderId="69"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54" xfId="0" applyNumberFormat="1" applyFont="1" applyBorder="1" applyAlignment="1">
      <alignment horizontal="center" vertical="center" wrapText="1"/>
    </xf>
    <xf numFmtId="10" fontId="151" fillId="0" borderId="59" xfId="0" applyNumberFormat="1" applyFont="1" applyBorder="1" applyAlignment="1">
      <alignment horizontal="center" vertical="center"/>
    </xf>
    <xf numFmtId="10" fontId="152" fillId="0" borderId="59"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69"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95" xfId="0" applyFont="1" applyFill="1" applyBorder="1" applyAlignment="1" applyProtection="1">
      <alignment horizontal="center"/>
      <protection locked="0"/>
    </xf>
    <xf numFmtId="0" fontId="108" fillId="0" borderId="59"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164" fontId="41" fillId="5" borderId="98"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59" xfId="0" applyNumberFormat="1" applyFont="1" applyFill="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9" xfId="0" applyNumberFormat="1" applyFont="1" applyFill="1" applyBorder="1" applyAlignment="1" applyProtection="1">
      <alignment horizontal="center" vertical="top"/>
      <protection locked="0"/>
    </xf>
    <xf numFmtId="38" fontId="108" fillId="0" borderId="98"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98"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59"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4" xfId="0" applyNumberFormat="1" applyFont="1" applyBorder="1" applyAlignment="1">
      <alignment horizontal="center" vertical="center"/>
    </xf>
    <xf numFmtId="37" fontId="159" fillId="0" borderId="74" xfId="1" applyNumberFormat="1" applyFont="1" applyFill="1" applyBorder="1" applyAlignment="1" applyProtection="1">
      <alignment horizontal="center" vertical="center"/>
    </xf>
    <xf numFmtId="166" fontId="37" fillId="0" borderId="62"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59" xfId="0" applyFont="1" applyBorder="1" applyAlignment="1">
      <alignment horizontal="center" vertical="center"/>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40"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1" fillId="0" borderId="160" xfId="13" applyNumberFormat="1" applyFont="1" applyBorder="1"/>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2"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4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39" fillId="0" borderId="59" xfId="0" applyFont="1" applyBorder="1" applyAlignment="1">
      <alignment horizont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69" xfId="33" applyFont="1" applyBorder="1"/>
    <xf numFmtId="0" fontId="249" fillId="0" borderId="169"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9" fillId="0" borderId="173" xfId="33" applyFont="1" applyBorder="1" applyAlignment="1">
      <alignment vertical="center"/>
    </xf>
    <xf numFmtId="0" fontId="9" fillId="0" borderId="173" xfId="33" applyFont="1" applyBorder="1" applyAlignment="1">
      <alignment horizontal="center" vertical="center"/>
    </xf>
    <xf numFmtId="0" fontId="9" fillId="0" borderId="173" xfId="33" applyFont="1" applyBorder="1" applyAlignment="1">
      <alignment horizontal="left" vertical="center" wrapText="1"/>
    </xf>
    <xf numFmtId="0" fontId="24" fillId="0" borderId="173" xfId="33" applyFont="1" applyBorder="1" applyAlignment="1">
      <alignment horizontal="center" vertical="center"/>
    </xf>
    <xf numFmtId="0" fontId="249" fillId="0" borderId="173" xfId="33" applyFont="1" applyBorder="1" applyAlignment="1">
      <alignment vertical="center"/>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9" fillId="0" borderId="169" xfId="33" applyFont="1" applyBorder="1" applyAlignment="1">
      <alignment vertical="center"/>
    </xf>
    <xf numFmtId="0" fontId="9" fillId="0" borderId="169" xfId="33" applyFont="1" applyBorder="1" applyAlignment="1">
      <alignment horizontal="center" vertical="center"/>
    </xf>
    <xf numFmtId="0" fontId="9" fillId="0" borderId="169" xfId="33" applyFont="1" applyBorder="1" applyAlignment="1">
      <alignment horizontal="left" vertical="center" wrapText="1"/>
    </xf>
    <xf numFmtId="0" fontId="24" fillId="0" borderId="169" xfId="33" applyFont="1" applyBorder="1" applyAlignment="1">
      <alignment horizontal="center" vertical="center"/>
    </xf>
    <xf numFmtId="0" fontId="249" fillId="0" borderId="169"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98"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98"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69" xfId="33" applyFont="1" applyBorder="1" applyAlignment="1">
      <alignment horizontal="left" vertical="center"/>
    </xf>
    <xf numFmtId="38" fontId="24" fillId="0" borderId="169"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98"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59" xfId="33" applyNumberFormat="1" applyFont="1" applyBorder="1" applyAlignment="1">
      <alignment horizontal="center" vertical="center"/>
    </xf>
    <xf numFmtId="0" fontId="9" fillId="0" borderId="18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0" xfId="37" applyFont="1" applyAlignment="1">
      <alignment horizontal="center" vertical="center" wrapText="1"/>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4"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5"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9" fillId="0" borderId="0" xfId="37" applyFont="1" applyAlignment="1">
      <alignment horizontal="left"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5" xfId="37" applyFont="1" applyBorder="1" applyAlignment="1">
      <alignment vertical="top" wrapText="1"/>
    </xf>
    <xf numFmtId="38" fontId="24" fillId="0" borderId="64" xfId="37" applyNumberFormat="1" applyFont="1" applyBorder="1" applyAlignment="1">
      <alignment horizontal="center" vertical="top" wrapText="1"/>
    </xf>
    <xf numFmtId="0" fontId="9" fillId="0" borderId="9" xfId="37" applyFont="1" applyBorder="1" applyAlignment="1">
      <alignment horizontal="left"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173" xfId="37" applyFont="1" applyBorder="1" applyAlignment="1">
      <alignment vertical="center"/>
    </xf>
    <xf numFmtId="0" fontId="24" fillId="0" borderId="173" xfId="37" applyFont="1" applyBorder="1" applyAlignment="1">
      <alignment horizontal="right" vertical="center"/>
    </xf>
    <xf numFmtId="0" fontId="225" fillId="0" borderId="173" xfId="37" applyFont="1" applyBorder="1" applyAlignment="1">
      <alignment vertical="center"/>
    </xf>
    <xf numFmtId="0" fontId="247" fillId="0" borderId="173" xfId="37" applyFont="1" applyBorder="1" applyAlignment="1">
      <alignment vertical="center"/>
    </xf>
    <xf numFmtId="3" fontId="24" fillId="0" borderId="173" xfId="37" applyNumberFormat="1" applyFont="1" applyBorder="1" applyAlignment="1">
      <alignment horizontal="center" vertical="center"/>
    </xf>
    <xf numFmtId="0" fontId="9" fillId="0" borderId="173" xfId="37" applyFont="1" applyBorder="1" applyAlignment="1">
      <alignment horizontal="center" vertical="center"/>
    </xf>
    <xf numFmtId="0" fontId="9" fillId="0" borderId="173" xfId="37" applyFont="1" applyBorder="1" applyAlignment="1">
      <alignment horizontal="center"/>
    </xf>
    <xf numFmtId="38" fontId="24" fillId="0" borderId="173" xfId="37" applyNumberFormat="1" applyFont="1" applyBorder="1" applyAlignment="1">
      <alignment horizontal="center" vertical="center"/>
    </xf>
    <xf numFmtId="0" fontId="24" fillId="0" borderId="173" xfId="37" applyFont="1" applyBorder="1" applyAlignment="1">
      <alignment horizontal="center" vertical="center"/>
    </xf>
    <xf numFmtId="0" fontId="9" fillId="0" borderId="173" xfId="37" applyFont="1" applyBorder="1"/>
    <xf numFmtId="186" fontId="24" fillId="0" borderId="173"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3" fontId="9" fillId="0" borderId="59" xfId="37" applyNumberFormat="1" applyFont="1" applyBorder="1" applyAlignment="1">
      <alignment horizontal="center" vertical="center"/>
    </xf>
    <xf numFmtId="0" fontId="24" fillId="0" borderId="0" xfId="37" quotePrefix="1" applyFont="1" applyAlignment="1">
      <alignment horizontal="left" vertical="top"/>
    </xf>
    <xf numFmtId="3" fontId="24" fillId="0" borderId="98" xfId="37" applyNumberFormat="1" applyFont="1" applyBorder="1" applyAlignment="1">
      <alignment horizontal="center" vertical="center"/>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3" fontId="24" fillId="0" borderId="59" xfId="37" applyNumberFormat="1" applyFont="1" applyBorder="1" applyAlignment="1">
      <alignment horizontal="center" vertical="center"/>
    </xf>
    <xf numFmtId="0" fontId="9" fillId="0" borderId="59" xfId="37" applyFont="1" applyBorder="1" applyAlignment="1">
      <alignment horizontal="center" vertical="center"/>
    </xf>
    <xf numFmtId="0" fontId="92" fillId="0" borderId="0" xfId="37" applyFont="1" applyAlignment="1">
      <alignment vertical="center" wrapText="1"/>
    </xf>
    <xf numFmtId="0" fontId="24" fillId="0" borderId="59" xfId="37" applyFont="1" applyBorder="1" applyAlignment="1">
      <alignment horizontal="center" vertical="center"/>
    </xf>
    <xf numFmtId="0" fontId="24" fillId="13" borderId="140" xfId="37" applyFont="1" applyFill="1" applyBorder="1" applyAlignment="1">
      <alignment horizontal="center" vertical="top" wrapText="1"/>
    </xf>
    <xf numFmtId="0" fontId="24" fillId="0" borderId="140" xfId="37" applyFont="1" applyBorder="1" applyAlignment="1">
      <alignment horizontal="center" vertical="top"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73" xfId="37" applyFont="1" applyBorder="1" applyAlignment="1">
      <alignment horizontal="left" vertical="top" wrapText="1"/>
    </xf>
    <xf numFmtId="0" fontId="24" fillId="0" borderId="173"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38" fontId="9" fillId="0" borderId="59"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40" fontId="130" fillId="0" borderId="59" xfId="37" applyNumberFormat="1" applyFont="1" applyBorder="1" applyAlignment="1">
      <alignment horizontal="center"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10" fontId="258" fillId="0" borderId="59" xfId="37" applyNumberFormat="1" applyFont="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73"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4" fillId="5" borderId="98" xfId="37" applyFont="1" applyFill="1" applyBorder="1" applyAlignment="1" applyProtection="1">
      <alignment horizontal="center" vertical="center"/>
      <protection locked="0"/>
    </xf>
    <xf numFmtId="0" fontId="24" fillId="13" borderId="98" xfId="37" applyFont="1" applyFill="1" applyBorder="1" applyAlignment="1">
      <alignment horizontal="center" vertical="center"/>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69" xfId="37" applyFont="1" applyBorder="1"/>
    <xf numFmtId="0" fontId="9" fillId="0" borderId="169" xfId="37" applyFont="1" applyBorder="1" applyAlignment="1">
      <alignment vertical="center"/>
    </xf>
    <xf numFmtId="0" fontId="9" fillId="0" borderId="169" xfId="37" applyFont="1" applyBorder="1" applyAlignment="1">
      <alignment horizontal="center" vertical="center"/>
    </xf>
    <xf numFmtId="0" fontId="24" fillId="0" borderId="169"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38" fillId="0" borderId="59" xfId="33" applyFont="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168" fontId="9" fillId="10" borderId="59" xfId="37" applyNumberFormat="1" applyFont="1" applyFill="1" applyBorder="1" applyAlignment="1" applyProtection="1">
      <alignment vertical="center"/>
      <protection locked="0"/>
    </xf>
    <xf numFmtId="168" fontId="9" fillId="13" borderId="59" xfId="37" applyNumberFormat="1" applyFont="1" applyFill="1" applyBorder="1" applyAlignment="1">
      <alignment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181" fontId="9" fillId="0" borderId="59" xfId="37" applyNumberFormat="1" applyFont="1" applyBorder="1" applyAlignment="1">
      <alignment horizontal="center" vertical="center"/>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9"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9" xfId="37" applyNumberFormat="1" applyFont="1" applyFill="1" applyBorder="1" applyAlignment="1" applyProtection="1">
      <alignment horizontal="center" vertical="center"/>
      <protection locked="0"/>
    </xf>
    <xf numFmtId="38" fontId="24" fillId="13" borderId="69" xfId="37" applyNumberFormat="1" applyFont="1" applyFill="1" applyBorder="1" applyAlignment="1">
      <alignment horizontal="center" vertical="center"/>
    </xf>
    <xf numFmtId="0" fontId="130" fillId="0" borderId="0" xfId="37" applyFont="1" applyAlignment="1">
      <alignment horizontal="center" vertical="top"/>
    </xf>
    <xf numFmtId="0" fontId="9" fillId="0" borderId="0" xfId="37" applyFont="1" applyAlignment="1">
      <alignment horizontal="left" vertical="center" wrapText="1"/>
    </xf>
    <xf numFmtId="0" fontId="9" fillId="0" borderId="169" xfId="37" applyFont="1" applyBorder="1" applyAlignment="1">
      <alignment horizontal="left" vertical="top" wrapText="1"/>
    </xf>
    <xf numFmtId="0" fontId="9" fillId="0" borderId="169" xfId="37" applyFont="1" applyBorder="1" applyAlignment="1">
      <alignment horizontal="center" vertical="top" wrapText="1"/>
    </xf>
    <xf numFmtId="0" fontId="24" fillId="0" borderId="169"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38" fontId="24" fillId="0" borderId="59" xfId="37" applyNumberFormat="1" applyFont="1" applyBorder="1" applyAlignment="1">
      <alignment horizontal="center" vertical="center"/>
    </xf>
    <xf numFmtId="49" fontId="24" fillId="0" borderId="0" xfId="37" quotePrefix="1" applyNumberFormat="1" applyFont="1" applyAlignment="1">
      <alignment horizontal="center" vertical="center"/>
    </xf>
    <xf numFmtId="38" fontId="24" fillId="5" borderId="59" xfId="37" applyNumberFormat="1" applyFont="1" applyFill="1" applyBorder="1" applyAlignment="1" applyProtection="1">
      <alignment horizontal="center" vertical="center"/>
      <protection locked="0"/>
    </xf>
    <xf numFmtId="38" fontId="24" fillId="13" borderId="59" xfId="37" applyNumberFormat="1" applyFont="1" applyFill="1" applyBorder="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98" xfId="37" applyNumberFormat="1" applyFont="1" applyFill="1" applyBorder="1" applyAlignment="1" applyProtection="1">
      <alignment horizontal="center" vertical="center"/>
      <protection locked="0"/>
    </xf>
    <xf numFmtId="38" fontId="24" fillId="13" borderId="98" xfId="37" applyNumberFormat="1" applyFont="1" applyFill="1" applyBorder="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59"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69" xfId="37" applyFont="1" applyBorder="1" applyAlignment="1">
      <alignment horizontal="center"/>
    </xf>
    <xf numFmtId="0" fontId="24" fillId="0" borderId="169"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69" xfId="37" applyFont="1" applyBorder="1" applyAlignment="1">
      <alignment horizontal="left" vertical="center"/>
    </xf>
    <xf numFmtId="38" fontId="24" fillId="0" borderId="169" xfId="37" applyNumberFormat="1" applyFont="1" applyBorder="1" applyAlignment="1">
      <alignment horizontal="center" vertical="center"/>
    </xf>
    <xf numFmtId="0" fontId="250" fillId="0" borderId="0" xfId="37" quotePrefix="1" applyFont="1" applyAlignment="1">
      <alignment horizontal="left" vertical="center"/>
    </xf>
    <xf numFmtId="10" fontId="24" fillId="0" borderId="59" xfId="37" applyNumberFormat="1" applyFont="1" applyBorder="1" applyAlignment="1">
      <alignment horizontal="center" vertical="center"/>
    </xf>
    <xf numFmtId="0" fontId="126" fillId="0" borderId="0" xfId="37" applyFont="1" applyAlignment="1">
      <alignment horizontal="left"/>
    </xf>
    <xf numFmtId="0" fontId="24" fillId="0" borderId="0" xfId="37" applyFont="1" applyAlignment="1">
      <alignment horizontal="left" vertical="top"/>
    </xf>
    <xf numFmtId="0" fontId="247" fillId="0" borderId="0" xfId="37" applyFont="1" applyAlignment="1">
      <alignment horizontal="center"/>
    </xf>
    <xf numFmtId="0" fontId="130" fillId="0" borderId="0" xfId="37" applyFont="1" applyAlignment="1">
      <alignment horizontal="right"/>
    </xf>
    <xf numFmtId="0" fontId="130" fillId="0" borderId="0" xfId="37" applyFont="1"/>
    <xf numFmtId="0" fontId="24" fillId="13" borderId="59" xfId="37" applyFont="1" applyFill="1" applyBorder="1" applyAlignment="1">
      <alignment horizontal="center" vertical="top"/>
    </xf>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69" xfId="37" applyFont="1" applyBorder="1" applyAlignment="1">
      <alignment vertical="center" wrapText="1"/>
    </xf>
    <xf numFmtId="38" fontId="24" fillId="0" borderId="94"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9"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24" fillId="13" borderId="59" xfId="37" applyFont="1" applyFill="1" applyBorder="1" applyAlignment="1">
      <alignment horizontal="center" vertical="center"/>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6" xfId="37" applyNumberFormat="1" applyFont="1" applyFill="1" applyBorder="1" applyAlignment="1" applyProtection="1">
      <alignment horizontal="center" vertical="center"/>
      <protection locked="0"/>
    </xf>
    <xf numFmtId="38" fontId="24" fillId="13" borderId="9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38" fontId="24" fillId="13" borderId="59" xfId="37" applyNumberFormat="1" applyFont="1" applyFill="1" applyBorder="1" applyAlignment="1" applyProtection="1">
      <alignment horizontal="center" vertical="center"/>
      <protection locked="0"/>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69" xfId="37" quotePrefix="1" applyFont="1" applyBorder="1" applyAlignment="1">
      <alignment horizontal="left" vertical="center"/>
    </xf>
    <xf numFmtId="0" fontId="9" fillId="0" borderId="0" xfId="37" applyFont="1" applyAlignment="1">
      <alignment horizontal="right" vertical="center" wrapText="1"/>
    </xf>
    <xf numFmtId="38" fontId="24" fillId="10" borderId="59" xfId="37" applyNumberFormat="1" applyFont="1" applyFill="1" applyBorder="1" applyAlignment="1" applyProtection="1">
      <alignment horizontal="center" vertical="center"/>
      <protection locked="0"/>
    </xf>
    <xf numFmtId="38" fontId="24" fillId="13" borderId="183" xfId="37" applyNumberFormat="1" applyFont="1" applyFill="1" applyBorder="1" applyAlignment="1">
      <alignment horizontal="center" vertical="center"/>
    </xf>
    <xf numFmtId="38" fontId="24" fillId="5" borderId="155" xfId="37" applyNumberFormat="1" applyFont="1" applyFill="1" applyBorder="1" applyAlignment="1" applyProtection="1">
      <alignment horizontal="center" vertical="center"/>
      <protection locked="0"/>
    </xf>
    <xf numFmtId="38" fontId="24" fillId="13" borderId="155"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25" fillId="0" borderId="0" xfId="37" applyFont="1" applyAlignment="1">
      <alignment horizontal="center"/>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2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181" fontId="24" fillId="5" borderId="59" xfId="37" applyNumberFormat="1" applyFont="1" applyFill="1" applyBorder="1" applyAlignment="1" applyProtection="1">
      <alignment horizontal="center" vertical="center"/>
      <protection locked="0"/>
    </xf>
    <xf numFmtId="181" fontId="24" fillId="13" borderId="59" xfId="37" applyNumberFormat="1" applyFont="1" applyFill="1" applyBorder="1" applyAlignment="1">
      <alignment horizontal="center" vertical="center"/>
    </xf>
    <xf numFmtId="167" fontId="3" fillId="5" borderId="59" xfId="37" applyNumberFormat="1" applyFill="1" applyBorder="1" applyAlignment="1" applyProtection="1">
      <alignment horizontal="center" vertical="center"/>
      <protection locked="0"/>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83"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102" xfId="37" applyNumberFormat="1" applyFont="1" applyBorder="1" applyAlignment="1">
      <alignment horizontal="center" vertical="center"/>
    </xf>
    <xf numFmtId="4" fontId="13" fillId="0" borderId="140" xfId="37" applyNumberFormat="1" applyFont="1" applyBorder="1" applyAlignment="1">
      <alignment horizontal="center" vertical="center"/>
    </xf>
    <xf numFmtId="3" fontId="13" fillId="0" borderId="140" xfId="37" applyNumberFormat="1" applyFont="1" applyBorder="1" applyAlignment="1">
      <alignment horizontal="center" vertical="center"/>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65" xfId="33" applyFont="1" applyFill="1" applyBorder="1" applyAlignment="1">
      <alignment horizontal="center" vertical="center"/>
    </xf>
    <xf numFmtId="0" fontId="9" fillId="10" borderId="98" xfId="37" applyFont="1" applyFill="1" applyBorder="1" applyAlignment="1" applyProtection="1">
      <alignment horizontal="center" vertical="center"/>
      <protection locked="0"/>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89"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188" fontId="9" fillId="10" borderId="95"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83" xfId="37" applyNumberFormat="1" applyFont="1" applyBorder="1" applyAlignment="1">
      <alignment horizontal="center" vertical="top" wrapText="1"/>
    </xf>
    <xf numFmtId="0" fontId="24" fillId="13" borderId="69"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60" xfId="37" applyFont="1" applyBorder="1" applyAlignment="1">
      <alignment horizontal="center" vertical="center"/>
    </xf>
    <xf numFmtId="0" fontId="267" fillId="0" borderId="60"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0" fontId="247" fillId="0" borderId="0" xfId="37" applyFont="1" applyAlignment="1">
      <alignment horizontal="right" vertical="center"/>
    </xf>
    <xf numFmtId="0" fontId="225" fillId="0" borderId="0" xfId="37" applyFont="1" applyAlignment="1">
      <alignment horizontal="center" vertical="center"/>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101" fillId="0" borderId="0" xfId="33" applyFont="1" applyAlignment="1">
      <alignment vertical="center"/>
    </xf>
    <xf numFmtId="0" fontId="24" fillId="0" borderId="0" xfId="37" applyFont="1" applyAlignment="1">
      <alignment vertical="center" wrapText="1"/>
    </xf>
    <xf numFmtId="0" fontId="182" fillId="0" borderId="0" xfId="33" applyFont="1" applyProtection="1">
      <protection locked="0"/>
    </xf>
    <xf numFmtId="0" fontId="249" fillId="0" borderId="0" xfId="33" applyFont="1" applyProtection="1">
      <protection locked="0"/>
    </xf>
    <xf numFmtId="0" fontId="249" fillId="0" borderId="169" xfId="33" applyFont="1" applyBorder="1" applyProtection="1">
      <protection locked="0"/>
    </xf>
    <xf numFmtId="0" fontId="249" fillId="0" borderId="0" xfId="33" applyFont="1" applyAlignment="1" applyProtection="1">
      <alignment vertical="center"/>
      <protection locked="0"/>
    </xf>
    <xf numFmtId="0" fontId="249" fillId="0" borderId="173" xfId="33" applyFont="1" applyBorder="1" applyAlignment="1" applyProtection="1">
      <alignment vertical="center"/>
      <protection locked="0"/>
    </xf>
    <xf numFmtId="0" fontId="249" fillId="0" borderId="169" xfId="33" applyFont="1" applyBorder="1" applyAlignment="1" applyProtection="1">
      <alignment vertical="center"/>
      <protection locked="0"/>
    </xf>
    <xf numFmtId="0" fontId="249" fillId="0" borderId="0" xfId="33" applyFont="1" applyAlignment="1" applyProtection="1">
      <alignment vertical="top"/>
      <protection locked="0"/>
    </xf>
    <xf numFmtId="0" fontId="249" fillId="0" borderId="0" xfId="33" applyFont="1" applyAlignment="1" applyProtection="1">
      <alignment horizontal="left" vertical="center"/>
      <protection locked="0"/>
    </xf>
    <xf numFmtId="0" fontId="24" fillId="5" borderId="98" xfId="37" applyFont="1" applyFill="1" applyBorder="1" applyAlignment="1">
      <alignment horizontal="center" vertical="center"/>
    </xf>
    <xf numFmtId="0" fontId="24" fillId="5" borderId="13" xfId="37" applyFont="1" applyFill="1" applyBorder="1" applyAlignment="1">
      <alignment horizontal="center" vertical="top"/>
    </xf>
    <xf numFmtId="0" fontId="85" fillId="0" borderId="0" xfId="37" applyFont="1" applyAlignment="1">
      <alignment horizontal="left" vertical="top"/>
    </xf>
    <xf numFmtId="9" fontId="269" fillId="0" borderId="9" xfId="37" applyNumberFormat="1" applyFont="1" applyBorder="1" applyAlignment="1">
      <alignment horizontal="center" vertical="center" wrapText="1"/>
    </xf>
    <xf numFmtId="0" fontId="247" fillId="0" borderId="15" xfId="37" applyFont="1" applyBorder="1" applyAlignment="1">
      <alignment vertical="center"/>
    </xf>
    <xf numFmtId="0" fontId="247" fillId="0" borderId="15" xfId="37" applyFont="1" applyBorder="1"/>
    <xf numFmtId="0" fontId="247" fillId="0" borderId="68" xfId="37" applyFont="1" applyBorder="1" applyAlignment="1">
      <alignment horizontal="center" vertical="center" wrapText="1"/>
    </xf>
    <xf numFmtId="0" fontId="247" fillId="0" borderId="67" xfId="37" applyFont="1" applyBorder="1" applyAlignment="1">
      <alignment horizontal="center" vertical="center" wrapText="1"/>
    </xf>
    <xf numFmtId="0" fontId="247" fillId="0" borderId="102" xfId="37" applyFont="1" applyBorder="1" applyAlignment="1">
      <alignment horizontal="center" vertical="center" wrapText="1"/>
    </xf>
    <xf numFmtId="0" fontId="247" fillId="0" borderId="40" xfId="37" applyFont="1" applyBorder="1" applyAlignment="1">
      <alignment horizontal="center" vertical="center" wrapText="1"/>
    </xf>
    <xf numFmtId="0" fontId="247" fillId="0" borderId="140" xfId="37" applyFont="1" applyBorder="1" applyAlignment="1">
      <alignment horizontal="center" vertical="center" wrapText="1"/>
    </xf>
    <xf numFmtId="38" fontId="247" fillId="0" borderId="68" xfId="37" applyNumberFormat="1" applyFont="1" applyBorder="1" applyAlignment="1">
      <alignment horizontal="center" vertical="center" wrapText="1"/>
    </xf>
    <xf numFmtId="38" fontId="247" fillId="0" borderId="67" xfId="37" applyNumberFormat="1" applyFont="1" applyBorder="1" applyAlignment="1">
      <alignment horizontal="center" vertical="center" wrapText="1"/>
    </xf>
    <xf numFmtId="38" fontId="247" fillId="0" borderId="102" xfId="37" applyNumberFormat="1" applyFont="1" applyBorder="1" applyAlignment="1">
      <alignment horizontal="center" vertical="center" wrapText="1"/>
    </xf>
    <xf numFmtId="38" fontId="247" fillId="0" borderId="100"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52" xfId="37" applyNumberFormat="1" applyFont="1" applyBorder="1" applyAlignment="1">
      <alignment horizontal="center" vertical="center" wrapText="1"/>
    </xf>
    <xf numFmtId="38" fontId="247" fillId="0" borderId="149" xfId="37" applyNumberFormat="1" applyFont="1" applyBorder="1" applyAlignment="1">
      <alignment horizontal="center" vertical="center" wrapText="1"/>
    </xf>
    <xf numFmtId="38" fontId="247" fillId="0" borderId="140" xfId="37" applyNumberFormat="1" applyFont="1" applyBorder="1" applyAlignment="1">
      <alignment horizontal="center" vertical="center" wrapText="1"/>
    </xf>
    <xf numFmtId="0" fontId="247" fillId="0" borderId="61"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53" xfId="37" applyNumberFormat="1" applyFont="1" applyBorder="1" applyAlignment="1">
      <alignment horizontal="center" vertical="center" wrapText="1"/>
    </xf>
    <xf numFmtId="38" fontId="247" fillId="0" borderId="150"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0" fontId="225" fillId="0" borderId="59" xfId="37" applyFont="1" applyBorder="1" applyAlignment="1">
      <alignment horizontal="center" vertical="center"/>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53" xfId="37" applyFont="1" applyBorder="1" applyAlignment="1">
      <alignment horizontal="center" vertical="center" wrapText="1"/>
    </xf>
    <xf numFmtId="181" fontId="247" fillId="0" borderId="150" xfId="37" applyNumberFormat="1" applyFont="1" applyBorder="1" applyAlignment="1">
      <alignment horizontal="center" vertical="center" wrapText="1"/>
    </xf>
    <xf numFmtId="0" fontId="247" fillId="0" borderId="150"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53" xfId="37" applyNumberFormat="1" applyFont="1" applyBorder="1" applyAlignment="1">
      <alignment horizontal="center" vertical="center" wrapText="1"/>
    </xf>
    <xf numFmtId="0" fontId="247" fillId="0" borderId="98" xfId="37" applyFont="1" applyBorder="1" applyAlignment="1" applyProtection="1">
      <alignment horizontal="center" vertical="center"/>
      <protection locked="0"/>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98" xfId="37" applyFont="1" applyBorder="1" applyAlignment="1">
      <alignment horizontal="center" vertical="center"/>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5" xfId="37" applyFont="1" applyBorder="1" applyAlignment="1">
      <alignment vertical="center"/>
    </xf>
    <xf numFmtId="0" fontId="247" fillId="0" borderId="14" xfId="37" applyFont="1" applyBorder="1"/>
    <xf numFmtId="0" fontId="247" fillId="0" borderId="75" xfId="37" applyFont="1" applyBorder="1" applyAlignment="1">
      <alignment horizontal="center" vertical="center" wrapText="1"/>
    </xf>
    <xf numFmtId="0" fontId="247" fillId="0" borderId="93" xfId="37" applyFont="1" applyBorder="1" applyAlignment="1">
      <alignment horizontal="center" vertical="center" wrapText="1"/>
    </xf>
    <xf numFmtId="0" fontId="247" fillId="0" borderId="60" xfId="37" applyFont="1" applyBorder="1" applyAlignment="1">
      <alignment horizontal="center" vertical="center" wrapText="1"/>
    </xf>
    <xf numFmtId="38" fontId="247" fillId="0" borderId="93" xfId="37" applyNumberFormat="1" applyFont="1" applyBorder="1" applyAlignment="1">
      <alignment horizontal="center" vertical="center" wrapText="1"/>
    </xf>
    <xf numFmtId="38" fontId="247" fillId="0" borderId="60" xfId="37" applyNumberFormat="1" applyFont="1" applyBorder="1" applyAlignment="1">
      <alignment horizontal="center" vertical="center" wrapText="1"/>
    </xf>
    <xf numFmtId="38" fontId="247" fillId="0" borderId="145" xfId="37" applyNumberFormat="1" applyFont="1" applyBorder="1" applyAlignment="1">
      <alignment horizontal="center" vertical="center" wrapText="1"/>
    </xf>
    <xf numFmtId="0" fontId="247" fillId="0" borderId="185"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3"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3"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54" xfId="37" applyNumberFormat="1" applyFont="1" applyBorder="1" applyAlignment="1">
      <alignment horizontal="center" vertical="center" wrapText="1"/>
    </xf>
    <xf numFmtId="0" fontId="247" fillId="0" borderId="151"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304" fillId="0" borderId="0" xfId="37" applyFont="1" applyAlignment="1">
      <alignment horizontal="left" vertical="top"/>
    </xf>
    <xf numFmtId="38" fontId="24" fillId="5" borderId="98" xfId="37" applyNumberFormat="1" applyFont="1" applyFill="1" applyBorder="1" applyAlignment="1">
      <alignment horizontal="center" vertical="center"/>
    </xf>
    <xf numFmtId="38" fontId="24" fillId="5" borderId="13" xfId="37" applyNumberFormat="1" applyFont="1" applyFill="1" applyBorder="1" applyAlignment="1">
      <alignment horizontal="center" vertical="center"/>
    </xf>
    <xf numFmtId="0" fontId="24" fillId="5" borderId="59" xfId="37" applyFont="1" applyFill="1" applyBorder="1" applyAlignment="1">
      <alignment horizontal="center" vertical="top"/>
    </xf>
    <xf numFmtId="0" fontId="9" fillId="5" borderId="98" xfId="37" applyFont="1" applyFill="1" applyBorder="1" applyAlignment="1">
      <alignment horizontal="center" vertical="center"/>
    </xf>
    <xf numFmtId="0" fontId="9" fillId="5" borderId="13" xfId="37" applyFont="1" applyFill="1" applyBorder="1" applyAlignment="1">
      <alignment horizontal="center" vertical="center"/>
    </xf>
    <xf numFmtId="38" fontId="24" fillId="5" borderId="17" xfId="37" applyNumberFormat="1" applyFont="1" applyFill="1" applyBorder="1" applyAlignment="1">
      <alignment horizontal="center" vertical="center"/>
    </xf>
    <xf numFmtId="38" fontId="24" fillId="5" borderId="12" xfId="37" applyNumberFormat="1" applyFont="1" applyFill="1" applyBorder="1" applyAlignment="1">
      <alignment horizontal="center" vertical="center"/>
    </xf>
    <xf numFmtId="0" fontId="24" fillId="5" borderId="59" xfId="37" applyFont="1" applyFill="1" applyBorder="1" applyAlignment="1">
      <alignment horizontal="center" vertical="center"/>
    </xf>
    <xf numFmtId="38" fontId="24" fillId="5" borderId="11" xfId="37" applyNumberFormat="1" applyFont="1" applyFill="1" applyBorder="1" applyAlignment="1">
      <alignment horizontal="center" vertical="center"/>
    </xf>
    <xf numFmtId="38" fontId="24" fillId="5" borderId="59" xfId="37" applyNumberFormat="1" applyFont="1" applyFill="1" applyBorder="1" applyAlignment="1">
      <alignment horizontal="center" vertical="center"/>
    </xf>
    <xf numFmtId="0" fontId="3" fillId="0" borderId="0" xfId="0" applyFont="1" applyAlignment="1">
      <alignment horizontal="left" vertical="top" wrapText="1"/>
    </xf>
    <xf numFmtId="9" fontId="38" fillId="20" borderId="59" xfId="10" applyFont="1" applyFill="1" applyBorder="1" applyAlignment="1" applyProtection="1">
      <alignment horizontal="center" vertical="center"/>
    </xf>
    <xf numFmtId="0" fontId="41" fillId="5" borderId="140" xfId="0" applyFont="1" applyFill="1" applyBorder="1" applyAlignment="1" applyProtection="1">
      <alignment horizontal="center" vertical="top"/>
      <protection locked="0"/>
    </xf>
    <xf numFmtId="0" fontId="41" fillId="5" borderId="98" xfId="0" applyFont="1" applyFill="1" applyBorder="1" applyAlignment="1" applyProtection="1">
      <alignment horizontal="center" vertical="top"/>
      <protection locked="0"/>
    </xf>
    <xf numFmtId="173" fontId="41" fillId="5" borderId="98" xfId="10" applyNumberFormat="1" applyFont="1" applyFill="1" applyBorder="1" applyAlignment="1" applyProtection="1">
      <alignment horizontal="center" vertical="top"/>
      <protection locked="0"/>
    </xf>
    <xf numFmtId="0" fontId="41" fillId="5" borderId="102" xfId="0" applyFont="1" applyFill="1" applyBorder="1" applyAlignment="1" applyProtection="1">
      <alignment horizontal="center" vertical="top"/>
      <protection locked="0"/>
    </xf>
    <xf numFmtId="0" fontId="87" fillId="20" borderId="186" xfId="0" applyFont="1" applyFill="1" applyBorder="1" applyAlignment="1">
      <alignment vertical="center"/>
    </xf>
    <xf numFmtId="0" fontId="3" fillId="0" borderId="186" xfId="0" applyFont="1" applyBorder="1" applyAlignment="1">
      <alignment vertical="center"/>
    </xf>
    <xf numFmtId="0" fontId="41" fillId="0" borderId="186" xfId="0" applyFont="1" applyBorder="1" applyAlignment="1">
      <alignment vertical="center"/>
    </xf>
    <xf numFmtId="166" fontId="41" fillId="5" borderId="98" xfId="0" applyNumberFormat="1" applyFont="1" applyFill="1" applyBorder="1" applyAlignment="1" applyProtection="1">
      <alignment horizontal="center" vertical="center"/>
      <protection locked="0"/>
    </xf>
    <xf numFmtId="10" fontId="41" fillId="0" borderId="59" xfId="0" applyNumberFormat="1" applyFont="1" applyBorder="1" applyAlignment="1">
      <alignment horizontal="center" vertical="center"/>
    </xf>
    <xf numFmtId="176" fontId="0" fillId="5" borderId="59"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59" xfId="0" applyNumberFormat="1" applyFill="1" applyBorder="1" applyAlignment="1" applyProtection="1">
      <alignment horizontal="center" vertical="center"/>
      <protection locked="0"/>
    </xf>
    <xf numFmtId="3" fontId="0" fillId="5" borderId="59"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59" xfId="0" applyNumberFormat="1" applyFill="1" applyBorder="1" applyProtection="1">
      <protection locked="0"/>
    </xf>
    <xf numFmtId="166" fontId="0" fillId="5" borderId="59" xfId="0" applyNumberFormat="1" applyFill="1" applyBorder="1" applyAlignment="1" applyProtection="1">
      <alignment horizontal="center"/>
      <protection locked="0"/>
    </xf>
    <xf numFmtId="10" fontId="0" fillId="5" borderId="59" xfId="0" applyNumberFormat="1" applyFill="1" applyBorder="1" applyAlignment="1" applyProtection="1">
      <alignment horizontal="center"/>
      <protection locked="0"/>
    </xf>
    <xf numFmtId="3" fontId="0" fillId="5" borderId="59"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1" xfId="0" applyNumberFormat="1" applyFont="1" applyFill="1" applyBorder="1" applyAlignment="1" applyProtection="1">
      <alignment horizontal="right" vertical="center"/>
      <protection locked="0"/>
    </xf>
    <xf numFmtId="0" fontId="58" fillId="5" borderId="98" xfId="0" applyFont="1" applyFill="1" applyBorder="1" applyAlignment="1" applyProtection="1">
      <alignment horizontal="center" vertical="center"/>
      <protection locked="0"/>
    </xf>
    <xf numFmtId="38" fontId="79" fillId="0" borderId="186" xfId="0" applyNumberFormat="1" applyFont="1" applyBorder="1" applyAlignment="1">
      <alignment horizontal="center" vertical="center"/>
    </xf>
    <xf numFmtId="187" fontId="79" fillId="0" borderId="186" xfId="0" applyNumberFormat="1" applyFont="1" applyBorder="1" applyAlignment="1">
      <alignment horizontal="center" vertical="center"/>
    </xf>
    <xf numFmtId="164" fontId="37" fillId="5" borderId="110" xfId="1" applyNumberFormat="1" applyFont="1" applyFill="1" applyBorder="1" applyAlignment="1" applyProtection="1">
      <alignment horizontal="center" vertical="center"/>
      <protection locked="0"/>
    </xf>
    <xf numFmtId="0" fontId="3" fillId="0" borderId="187" xfId="0" applyFont="1" applyBorder="1" applyAlignment="1">
      <alignment vertical="center"/>
    </xf>
    <xf numFmtId="0" fontId="8" fillId="5" borderId="98" xfId="0" applyFont="1" applyFill="1" applyBorder="1" applyAlignment="1" applyProtection="1">
      <alignment horizontal="center" vertical="center"/>
      <protection locked="0"/>
    </xf>
    <xf numFmtId="0" fontId="0" fillId="5" borderId="98"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2"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9"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59" xfId="0" applyFill="1" applyBorder="1" applyAlignment="1" applyProtection="1">
      <alignment horizontal="center" vertical="center"/>
      <protection locked="0"/>
    </xf>
    <xf numFmtId="3" fontId="13" fillId="5" borderId="98" xfId="10" applyNumberFormat="1" applyFont="1" applyFill="1" applyBorder="1" applyAlignment="1" applyProtection="1">
      <alignment horizontal="center" vertical="center"/>
      <protection locked="0"/>
    </xf>
    <xf numFmtId="1" fontId="13" fillId="5" borderId="98" xfId="1" applyNumberFormat="1" applyFont="1" applyFill="1" applyBorder="1" applyAlignment="1" applyProtection="1">
      <alignment horizontal="center" vertical="center"/>
      <protection locked="0"/>
    </xf>
    <xf numFmtId="39" fontId="13" fillId="5" borderId="98" xfId="1" applyNumberFormat="1" applyFont="1" applyFill="1" applyBorder="1" applyAlignment="1" applyProtection="1">
      <alignment horizontal="center" vertical="center"/>
      <protection locked="0"/>
    </xf>
    <xf numFmtId="3" fontId="13" fillId="10" borderId="98" xfId="1" applyNumberFormat="1" applyFont="1" applyFill="1" applyBorder="1" applyAlignment="1" applyProtection="1">
      <alignment horizontal="center" vertical="center"/>
      <protection locked="0"/>
    </xf>
    <xf numFmtId="3" fontId="37" fillId="5" borderId="98" xfId="1" applyNumberFormat="1" applyFont="1" applyFill="1" applyBorder="1" applyAlignment="1" applyProtection="1">
      <alignment horizontal="center" vertical="center"/>
      <protection locked="0"/>
    </xf>
    <xf numFmtId="38" fontId="13" fillId="0" borderId="98" xfId="1" applyNumberFormat="1" applyFont="1" applyFill="1" applyBorder="1" applyAlignment="1" applyProtection="1">
      <alignment horizontal="center" vertical="center"/>
    </xf>
    <xf numFmtId="0" fontId="37" fillId="5" borderId="98" xfId="0" applyFont="1" applyFill="1" applyBorder="1" applyAlignment="1" applyProtection="1">
      <alignment horizontal="center" vertical="center"/>
      <protection locked="0"/>
    </xf>
    <xf numFmtId="0" fontId="38" fillId="5" borderId="98" xfId="0" applyFont="1" applyFill="1" applyBorder="1" applyAlignment="1" applyProtection="1">
      <alignment horizontal="center" vertical="center"/>
      <protection locked="0"/>
    </xf>
    <xf numFmtId="0" fontId="13" fillId="5" borderId="98" xfId="0" applyFont="1" applyFill="1" applyBorder="1" applyAlignment="1" applyProtection="1">
      <alignment horizontal="center" vertical="center"/>
      <protection locked="0"/>
    </xf>
    <xf numFmtId="10" fontId="13" fillId="13" borderId="140" xfId="0" applyNumberFormat="1" applyFont="1" applyFill="1" applyBorder="1" applyAlignment="1" applyProtection="1">
      <alignment horizontal="center" vertical="center"/>
      <protection locked="0"/>
    </xf>
    <xf numFmtId="0" fontId="187" fillId="0" borderId="95" xfId="0" applyFont="1" applyBorder="1" applyAlignment="1">
      <alignment horizontal="center" vertical="center"/>
    </xf>
    <xf numFmtId="164" fontId="187" fillId="0" borderId="97" xfId="1" applyNumberFormat="1" applyFont="1" applyFill="1" applyBorder="1" applyAlignment="1" applyProtection="1">
      <alignment horizontal="center" vertical="center"/>
    </xf>
    <xf numFmtId="164" fontId="13" fillId="0" borderId="59" xfId="1" applyNumberFormat="1" applyFont="1" applyFill="1" applyBorder="1" applyAlignment="1" applyProtection="1">
      <alignment horizontal="center" vertical="center"/>
    </xf>
    <xf numFmtId="38" fontId="3" fillId="0" borderId="92"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8" fillId="0" borderId="186"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98" xfId="1" applyNumberFormat="1" applyFont="1" applyFill="1" applyBorder="1" applyAlignment="1" applyProtection="1">
      <alignment horizontal="right" vertical="center"/>
      <protection locked="0"/>
    </xf>
    <xf numFmtId="38" fontId="3" fillId="0" borderId="98"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0"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82" xfId="1" applyNumberFormat="1" applyFont="1" applyFill="1" applyBorder="1" applyAlignment="1" applyProtection="1">
      <alignment horizontal="right" vertical="center"/>
    </xf>
    <xf numFmtId="38" fontId="3" fillId="0" borderId="59"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9"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0" xfId="1" applyNumberFormat="1" applyFont="1" applyFill="1" applyBorder="1" applyAlignment="1" applyProtection="1">
      <alignment vertical="center"/>
    </xf>
    <xf numFmtId="38" fontId="3" fillId="0" borderId="81"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186"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59" xfId="0" applyNumberFormat="1" applyFont="1" applyBorder="1" applyAlignment="1">
      <alignment vertical="center"/>
    </xf>
    <xf numFmtId="3" fontId="13" fillId="5" borderId="98"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59" xfId="1" applyNumberFormat="1" applyFont="1" applyFill="1" applyBorder="1" applyAlignment="1" applyProtection="1">
      <alignment vertical="center"/>
    </xf>
    <xf numFmtId="3" fontId="13" fillId="5" borderId="98"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59"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86" xfId="0" applyFont="1" applyBorder="1"/>
    <xf numFmtId="0" fontId="8" fillId="6" borderId="59" xfId="0" applyFont="1" applyFill="1" applyBorder="1" applyAlignment="1">
      <alignment horizontal="center" vertical="center"/>
    </xf>
    <xf numFmtId="10" fontId="3" fillId="0" borderId="0" xfId="0" applyNumberFormat="1" applyFont="1" applyAlignment="1">
      <alignment horizontal="left"/>
    </xf>
    <xf numFmtId="164" fontId="3" fillId="5" borderId="59"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59" xfId="0" applyNumberFormat="1" applyFont="1" applyFill="1" applyBorder="1" applyAlignment="1" applyProtection="1">
      <alignment horizontal="left"/>
      <protection locked="0"/>
    </xf>
    <xf numFmtId="0" fontId="3" fillId="5" borderId="98"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98"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86" xfId="1" applyNumberFormat="1" applyFont="1" applyFill="1" applyBorder="1" applyProtection="1"/>
    <xf numFmtId="164" fontId="3" fillId="0" borderId="187"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59" xfId="1" applyNumberFormat="1" applyFont="1" applyFill="1" applyBorder="1" applyProtection="1">
      <protection locked="0"/>
    </xf>
    <xf numFmtId="164" fontId="3" fillId="0" borderId="10" xfId="1" applyNumberFormat="1" applyFont="1" applyFill="1" applyBorder="1" applyProtection="1"/>
    <xf numFmtId="164" fontId="3" fillId="11" borderId="98"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9"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98"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86" xfId="33" applyFont="1" applyBorder="1" applyAlignment="1">
      <alignment horizontal="left" vertical="center" wrapText="1"/>
    </xf>
    <xf numFmtId="0" fontId="9" fillId="0" borderId="186" xfId="37" applyFont="1" applyBorder="1" applyAlignment="1">
      <alignment vertical="top"/>
    </xf>
    <xf numFmtId="0" fontId="9" fillId="0" borderId="186" xfId="37" applyFont="1" applyBorder="1" applyAlignment="1">
      <alignment vertical="top" wrapText="1"/>
    </xf>
    <xf numFmtId="0" fontId="70" fillId="0" borderId="186" xfId="33" applyFont="1" applyBorder="1" applyAlignment="1">
      <alignment vertical="center"/>
    </xf>
    <xf numFmtId="0" fontId="205" fillId="0" borderId="187" xfId="33" applyFont="1" applyBorder="1" applyAlignment="1">
      <alignment vertical="center"/>
    </xf>
    <xf numFmtId="0" fontId="205" fillId="0" borderId="186" xfId="33" applyFont="1" applyBorder="1" applyAlignment="1">
      <alignment vertical="center"/>
    </xf>
    <xf numFmtId="0" fontId="205" fillId="0" borderId="186" xfId="33" applyFont="1" applyBorder="1" applyAlignment="1">
      <alignment horizontal="right" vertical="center"/>
    </xf>
    <xf numFmtId="0" fontId="205" fillId="0" borderId="187" xfId="33" applyFont="1" applyBorder="1"/>
    <xf numFmtId="0" fontId="205" fillId="0" borderId="186" xfId="33" applyFont="1" applyBorder="1"/>
    <xf numFmtId="10" fontId="14" fillId="0" borderId="186" xfId="0" applyNumberFormat="1" applyFont="1" applyBorder="1" applyAlignment="1">
      <alignment vertical="center"/>
    </xf>
    <xf numFmtId="10" fontId="4" fillId="0" borderId="187" xfId="0" applyNumberFormat="1" applyFont="1" applyBorder="1" applyAlignment="1">
      <alignment horizontal="right" vertical="center"/>
    </xf>
    <xf numFmtId="0" fontId="14" fillId="5" borderId="95" xfId="0" applyFont="1" applyFill="1" applyBorder="1" applyAlignment="1" applyProtection="1">
      <alignment horizontal="center" vertical="center"/>
      <protection locked="0"/>
    </xf>
    <xf numFmtId="0" fontId="3" fillId="0" borderId="9" xfId="0" applyFont="1" applyBorder="1"/>
    <xf numFmtId="0" fontId="4" fillId="0" borderId="186" xfId="0" applyFont="1" applyBorder="1" applyAlignment="1">
      <alignment horizontal="left" vertical="center" wrapText="1"/>
    </xf>
    <xf numFmtId="0" fontId="3" fillId="0" borderId="186" xfId="0" applyFont="1" applyBorder="1"/>
    <xf numFmtId="0" fontId="4" fillId="0" borderId="187" xfId="0" applyFont="1" applyBorder="1" applyAlignment="1">
      <alignment horizontal="right" vertical="center"/>
    </xf>
    <xf numFmtId="0" fontId="14" fillId="13" borderId="140" xfId="0" applyFont="1" applyFill="1" applyBorder="1" applyAlignment="1">
      <alignment horizontal="center" vertical="center"/>
    </xf>
    <xf numFmtId="0" fontId="4" fillId="0" borderId="186" xfId="0" applyFont="1" applyBorder="1" applyAlignment="1">
      <alignment vertical="center"/>
    </xf>
    <xf numFmtId="0" fontId="4" fillId="0" borderId="186" xfId="0" applyFont="1" applyBorder="1" applyAlignment="1">
      <alignment vertical="center" wrapText="1"/>
    </xf>
    <xf numFmtId="3" fontId="4" fillId="5" borderId="59" xfId="1" applyNumberFormat="1" applyFont="1" applyFill="1" applyBorder="1" applyAlignment="1" applyProtection="1">
      <alignment horizontal="center" vertical="center"/>
      <protection locked="0"/>
    </xf>
    <xf numFmtId="0" fontId="3" fillId="0" borderId="187" xfId="0" applyFont="1" applyBorder="1"/>
    <xf numFmtId="0" fontId="10" fillId="5" borderId="98" xfId="0" applyFont="1" applyFill="1" applyBorder="1" applyAlignment="1" applyProtection="1">
      <alignment horizontal="center" vertical="center"/>
      <protection locked="0"/>
    </xf>
    <xf numFmtId="0" fontId="13" fillId="13" borderId="98"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38" fillId="0" borderId="186" xfId="0" applyFont="1" applyBorder="1" applyAlignment="1">
      <alignment vertical="top"/>
    </xf>
    <xf numFmtId="0" fontId="38" fillId="0" borderId="186" xfId="0" applyFont="1" applyBorder="1" applyAlignment="1">
      <alignment vertical="top" wrapText="1"/>
    </xf>
    <xf numFmtId="3" fontId="3" fillId="0" borderId="59" xfId="0" applyNumberFormat="1" applyFont="1" applyBorder="1" applyAlignment="1">
      <alignment horizontal="center" vertical="center"/>
    </xf>
    <xf numFmtId="3" fontId="8" fillId="0" borderId="98" xfId="0" applyNumberFormat="1" applyFont="1" applyBorder="1" applyAlignment="1">
      <alignment horizontal="center" vertical="center"/>
    </xf>
    <xf numFmtId="0" fontId="8" fillId="0" borderId="59" xfId="0" applyFont="1" applyBorder="1" applyAlignment="1">
      <alignment horizontal="center" vertical="center"/>
    </xf>
    <xf numFmtId="0" fontId="8" fillId="13" borderId="140" xfId="0" applyFont="1" applyFill="1" applyBorder="1" applyAlignment="1">
      <alignment horizontal="center" vertical="top" wrapText="1"/>
    </xf>
    <xf numFmtId="0" fontId="14" fillId="0" borderId="140" xfId="0" applyFont="1" applyBorder="1" applyAlignment="1">
      <alignment horizontal="center" vertical="top" wrapText="1"/>
    </xf>
    <xf numFmtId="38" fontId="13" fillId="0" borderId="98" xfId="0" applyNumberFormat="1" applyFont="1" applyBorder="1" applyAlignment="1">
      <alignment horizontal="center" vertical="center"/>
    </xf>
    <xf numFmtId="0" fontId="3" fillId="0" borderId="0" xfId="0" applyFont="1" applyAlignment="1">
      <alignment horizontal="center" vertical="top" wrapText="1"/>
    </xf>
    <xf numFmtId="0" fontId="10" fillId="13" borderId="98" xfId="0" applyFont="1" applyFill="1" applyBorder="1" applyAlignment="1">
      <alignment horizontal="center" vertical="center"/>
    </xf>
    <xf numFmtId="181" fontId="3" fillId="0" borderId="59" xfId="0" applyNumberFormat="1" applyFont="1" applyBorder="1" applyAlignment="1">
      <alignment horizontal="center" vertical="center"/>
    </xf>
    <xf numFmtId="38" fontId="3" fillId="0" borderId="59" xfId="0" applyNumberFormat="1" applyFont="1" applyBorder="1" applyAlignment="1">
      <alignment horizontal="center" vertical="center"/>
    </xf>
    <xf numFmtId="0" fontId="3" fillId="0" borderId="0" xfId="0" applyFont="1" applyAlignment="1">
      <alignment horizontal="center" vertical="center" wrapText="1"/>
    </xf>
    <xf numFmtId="0" fontId="4" fillId="5" borderId="98" xfId="0" applyFont="1" applyFill="1" applyBorder="1" applyAlignment="1" applyProtection="1">
      <alignment horizontal="center" vertical="center"/>
      <protection locked="0"/>
    </xf>
    <xf numFmtId="0" fontId="8" fillId="13" borderId="59"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86" xfId="13" applyFont="1" applyBorder="1" applyAlignment="1">
      <alignment vertical="center"/>
    </xf>
    <xf numFmtId="6" fontId="111" fillId="0" borderId="186" xfId="13" applyNumberFormat="1" applyFont="1" applyBorder="1" applyAlignment="1">
      <alignment vertical="center"/>
    </xf>
    <xf numFmtId="0" fontId="5" fillId="0" borderId="186" xfId="13" applyFont="1" applyBorder="1" applyAlignment="1">
      <alignment vertical="center"/>
    </xf>
    <xf numFmtId="6" fontId="5" fillId="0" borderId="186" xfId="13" applyNumberFormat="1" applyFont="1" applyBorder="1" applyAlignment="1">
      <alignment vertical="center"/>
    </xf>
    <xf numFmtId="0" fontId="8" fillId="0" borderId="186" xfId="13" applyFont="1" applyBorder="1" applyAlignment="1">
      <alignment horizontal="center"/>
    </xf>
    <xf numFmtId="38" fontId="3" fillId="10" borderId="102" xfId="13" applyNumberFormat="1" applyFill="1" applyBorder="1" applyAlignment="1">
      <alignment horizontal="center" vertical="center"/>
    </xf>
    <xf numFmtId="0" fontId="3" fillId="10" borderId="140" xfId="13" applyFill="1" applyBorder="1" applyAlignment="1">
      <alignment horizontal="center" vertical="center"/>
    </xf>
    <xf numFmtId="0" fontId="5" fillId="10" borderId="102" xfId="13" applyFont="1" applyFill="1" applyBorder="1" applyAlignment="1">
      <alignment horizontal="center" vertical="center" wrapText="1"/>
    </xf>
    <xf numFmtId="0" fontId="3" fillId="0" borderId="186" xfId="13" applyBorder="1"/>
    <xf numFmtId="0" fontId="3" fillId="0" borderId="140" xfId="13" applyBorder="1" applyAlignment="1">
      <alignment horizontal="center"/>
    </xf>
    <xf numFmtId="0" fontId="3" fillId="0" borderId="187" xfId="13" applyBorder="1"/>
    <xf numFmtId="9" fontId="38" fillId="0" borderId="59" xfId="10" applyFont="1" applyBorder="1" applyAlignment="1" applyProtection="1">
      <alignment horizontal="center" vertical="center"/>
    </xf>
    <xf numFmtId="37" fontId="38" fillId="20" borderId="59" xfId="1" applyNumberFormat="1" applyFont="1" applyFill="1" applyBorder="1" applyAlignment="1" applyProtection="1">
      <alignment horizontal="center" vertical="center"/>
    </xf>
    <xf numFmtId="3" fontId="38" fillId="20" borderId="59" xfId="10" applyNumberFormat="1" applyFont="1" applyFill="1" applyBorder="1" applyAlignment="1" applyProtection="1">
      <alignment horizontal="center" vertical="center"/>
    </xf>
    <xf numFmtId="1" fontId="38" fillId="0" borderId="59" xfId="10" applyNumberFormat="1" applyFont="1" applyBorder="1" applyAlignment="1" applyProtection="1">
      <alignment horizontal="center" vertical="center"/>
    </xf>
    <xf numFmtId="0" fontId="38" fillId="20" borderId="59" xfId="0" applyFont="1" applyFill="1" applyBorder="1" applyAlignment="1">
      <alignment horizontal="center" vertical="center"/>
    </xf>
    <xf numFmtId="0" fontId="46" fillId="0" borderId="59" xfId="0" applyFont="1" applyBorder="1" applyAlignment="1">
      <alignment horizontal="center" vertical="top" wrapText="1"/>
    </xf>
    <xf numFmtId="9" fontId="46" fillId="0" borderId="59" xfId="0" applyNumberFormat="1" applyFont="1" applyBorder="1" applyAlignment="1">
      <alignment horizontal="center" vertical="center" wrapText="1"/>
    </xf>
    <xf numFmtId="0" fontId="46" fillId="0" borderId="59" xfId="0" applyFont="1" applyBorder="1" applyAlignment="1">
      <alignment horizontal="center" vertical="center" wrapText="1"/>
    </xf>
    <xf numFmtId="0" fontId="41" fillId="0" borderId="186" xfId="0" applyFont="1" applyBorder="1"/>
    <xf numFmtId="49" fontId="38" fillId="0" borderId="140" xfId="0" applyNumberFormat="1" applyFont="1" applyBorder="1" applyAlignment="1">
      <alignment horizontal="center"/>
    </xf>
    <xf numFmtId="0" fontId="49" fillId="5" borderId="194" xfId="0" applyFont="1" applyFill="1" applyBorder="1" applyAlignment="1">
      <alignment horizontal="center" vertical="center"/>
    </xf>
    <xf numFmtId="0" fontId="49" fillId="6" borderId="194" xfId="0" applyFont="1" applyFill="1" applyBorder="1" applyAlignment="1">
      <alignment horizontal="center" vertical="center"/>
    </xf>
    <xf numFmtId="0" fontId="41" fillId="0" borderId="194" xfId="0" applyFont="1" applyBorder="1" applyAlignment="1">
      <alignment horizontal="center" vertical="center"/>
    </xf>
    <xf numFmtId="0" fontId="80" fillId="0" borderId="194" xfId="0" applyFont="1" applyBorder="1" applyAlignment="1">
      <alignment horizontal="center" vertical="center"/>
    </xf>
    <xf numFmtId="0" fontId="41" fillId="5" borderId="200" xfId="0" applyFont="1" applyFill="1" applyBorder="1" applyAlignment="1" applyProtection="1">
      <alignment horizontal="center"/>
      <protection locked="0"/>
    </xf>
    <xf numFmtId="167" fontId="41" fillId="0" borderId="199" xfId="0" applyNumberFormat="1" applyFont="1" applyBorder="1" applyAlignment="1" applyProtection="1">
      <alignment vertical="center"/>
      <protection locked="0"/>
    </xf>
    <xf numFmtId="0" fontId="80" fillId="0" borderId="201" xfId="0" applyFont="1" applyBorder="1" applyAlignment="1" applyProtection="1">
      <alignment horizontal="center" vertical="center"/>
      <protection locked="0"/>
    </xf>
    <xf numFmtId="166" fontId="41" fillId="0" borderId="198" xfId="0" applyNumberFormat="1" applyFont="1" applyBorder="1" applyAlignment="1">
      <alignment horizontal="center" vertical="center"/>
    </xf>
    <xf numFmtId="0" fontId="41" fillId="0" borderId="199" xfId="0" applyFont="1" applyBorder="1" applyAlignment="1">
      <alignment horizontal="center" vertical="center"/>
    </xf>
    <xf numFmtId="9" fontId="37" fillId="0" borderId="199" xfId="0" applyNumberFormat="1" applyFont="1" applyBorder="1" applyAlignment="1">
      <alignment horizontal="center" vertical="center"/>
    </xf>
    <xf numFmtId="0" fontId="58" fillId="0" borderId="198" xfId="0" applyFont="1" applyBorder="1" applyAlignment="1">
      <alignment horizontal="left" vertical="center"/>
    </xf>
    <xf numFmtId="0" fontId="41" fillId="0" borderId="199" xfId="0" applyFont="1" applyBorder="1" applyAlignment="1">
      <alignment vertical="center"/>
    </xf>
    <xf numFmtId="0" fontId="49" fillId="0" borderId="199" xfId="0" applyFont="1" applyBorder="1" applyAlignment="1">
      <alignment horizontal="center" vertical="center"/>
    </xf>
    <xf numFmtId="0" fontId="57" fillId="0" borderId="198" xfId="0" applyFont="1" applyBorder="1" applyAlignment="1">
      <alignment horizontal="left" vertical="center"/>
    </xf>
    <xf numFmtId="0" fontId="58" fillId="0" borderId="199" xfId="0" applyFont="1" applyBorder="1" applyAlignment="1">
      <alignment vertical="center"/>
    </xf>
    <xf numFmtId="0" fontId="58" fillId="0" borderId="199" xfId="0" applyFont="1" applyBorder="1" applyAlignment="1">
      <alignment horizontal="center" vertical="center"/>
    </xf>
    <xf numFmtId="0" fontId="0" fillId="0" borderId="197" xfId="0" applyBorder="1" applyAlignment="1">
      <alignment vertical="center"/>
    </xf>
    <xf numFmtId="0" fontId="3" fillId="0" borderId="201" xfId="0" applyFont="1" applyBorder="1"/>
    <xf numFmtId="38" fontId="3" fillId="0" borderId="202" xfId="1" applyNumberFormat="1" applyFont="1" applyFill="1" applyBorder="1" applyAlignment="1" applyProtection="1">
      <alignment horizontal="right" vertical="center"/>
    </xf>
    <xf numFmtId="38" fontId="3" fillId="0" borderId="203" xfId="1" applyNumberFormat="1" applyFont="1" applyFill="1" applyBorder="1" applyAlignment="1" applyProtection="1">
      <alignment horizontal="right" vertical="center"/>
    </xf>
    <xf numFmtId="38" fontId="3" fillId="0" borderId="204" xfId="1" applyNumberFormat="1" applyFont="1" applyFill="1" applyBorder="1" applyAlignment="1" applyProtection="1">
      <alignment horizontal="right" vertical="center"/>
    </xf>
    <xf numFmtId="38" fontId="3" fillId="0" borderId="201" xfId="1" applyNumberFormat="1" applyFont="1" applyFill="1" applyBorder="1" applyAlignment="1" applyProtection="1">
      <alignment horizontal="right" vertical="center"/>
    </xf>
    <xf numFmtId="38" fontId="3" fillId="0" borderId="199" xfId="1" applyNumberFormat="1" applyFont="1" applyFill="1" applyBorder="1" applyAlignment="1" applyProtection="1">
      <alignment horizontal="right" vertical="center"/>
    </xf>
    <xf numFmtId="38" fontId="21" fillId="0" borderId="199" xfId="1" applyNumberFormat="1" applyFont="1" applyFill="1" applyBorder="1" applyAlignment="1" applyProtection="1">
      <alignment horizontal="right" vertical="center"/>
    </xf>
    <xf numFmtId="10" fontId="217" fillId="0" borderId="205" xfId="0" applyNumberFormat="1" applyFont="1" applyBorder="1" applyAlignment="1">
      <alignment horizontal="center" vertical="center"/>
    </xf>
    <xf numFmtId="10" fontId="217" fillId="0" borderId="206" xfId="0" applyNumberFormat="1" applyFont="1" applyBorder="1" applyAlignment="1">
      <alignment horizontal="center" vertical="center"/>
    </xf>
    <xf numFmtId="10" fontId="217" fillId="0" borderId="207" xfId="0" applyNumberFormat="1" applyFont="1" applyBorder="1" applyAlignment="1">
      <alignment horizontal="center" vertical="center"/>
    </xf>
    <xf numFmtId="38" fontId="3" fillId="0" borderId="202" xfId="0" applyNumberFormat="1" applyFont="1" applyBorder="1"/>
    <xf numFmtId="38" fontId="3" fillId="0" borderId="203" xfId="0" applyNumberFormat="1" applyFont="1" applyBorder="1"/>
    <xf numFmtId="38" fontId="3" fillId="0" borderId="204" xfId="0" applyNumberFormat="1" applyFont="1" applyBorder="1"/>
    <xf numFmtId="38" fontId="8" fillId="0" borderId="199" xfId="1" applyNumberFormat="1" applyFont="1" applyFill="1" applyBorder="1" applyAlignment="1" applyProtection="1">
      <alignment horizontal="right" vertical="center"/>
    </xf>
    <xf numFmtId="38" fontId="8" fillId="0" borderId="201" xfId="1" applyNumberFormat="1" applyFont="1" applyFill="1" applyBorder="1" applyAlignment="1" applyProtection="1">
      <alignment horizontal="right" vertical="center"/>
    </xf>
    <xf numFmtId="38" fontId="3" fillId="0" borderId="201" xfId="1" applyNumberFormat="1" applyFont="1" applyFill="1" applyBorder="1" applyAlignment="1" applyProtection="1">
      <alignment vertical="center"/>
    </xf>
    <xf numFmtId="38" fontId="21" fillId="0" borderId="199" xfId="1" applyNumberFormat="1" applyFont="1" applyFill="1" applyBorder="1" applyAlignment="1" applyProtection="1">
      <alignment vertical="center"/>
    </xf>
    <xf numFmtId="38" fontId="19" fillId="0" borderId="199" xfId="1" applyNumberFormat="1" applyFont="1" applyFill="1" applyBorder="1" applyAlignment="1" applyProtection="1">
      <alignment vertical="center"/>
    </xf>
    <xf numFmtId="0" fontId="3" fillId="0" borderId="197" xfId="0" applyFont="1" applyBorder="1"/>
    <xf numFmtId="0" fontId="24" fillId="0" borderId="197" xfId="37" applyFont="1" applyBorder="1" applyAlignment="1">
      <alignment horizontal="center" vertical="center"/>
    </xf>
    <xf numFmtId="0" fontId="24" fillId="0" borderId="201" xfId="37" applyFont="1" applyBorder="1" applyAlignment="1">
      <alignment horizontal="center" vertical="center"/>
    </xf>
    <xf numFmtId="0" fontId="9" fillId="0" borderId="208" xfId="37" applyFont="1" applyBorder="1" applyAlignment="1">
      <alignment vertical="top" wrapText="1"/>
    </xf>
    <xf numFmtId="38" fontId="24" fillId="0" borderId="209" xfId="37" applyNumberFormat="1" applyFont="1" applyBorder="1" applyAlignment="1">
      <alignment horizontal="center" vertical="top" wrapText="1"/>
    </xf>
    <xf numFmtId="0" fontId="4" fillId="0" borderId="201" xfId="33" applyFont="1" applyBorder="1" applyAlignment="1">
      <alignment horizontal="center" vertical="center"/>
    </xf>
    <xf numFmtId="38" fontId="24" fillId="13" borderId="201" xfId="37" applyNumberFormat="1" applyFont="1" applyFill="1" applyBorder="1" applyAlignment="1">
      <alignment horizontal="center" vertical="top"/>
    </xf>
    <xf numFmtId="38" fontId="24" fillId="5" borderId="201" xfId="37" applyNumberFormat="1" applyFont="1" applyFill="1" applyBorder="1" applyAlignment="1" applyProtection="1">
      <alignment horizontal="center" vertical="center"/>
      <protection locked="0"/>
    </xf>
    <xf numFmtId="38" fontId="24" fillId="13" borderId="201" xfId="37" applyNumberFormat="1" applyFont="1" applyFill="1" applyBorder="1" applyAlignment="1">
      <alignment horizontal="center" vertical="center"/>
    </xf>
    <xf numFmtId="0" fontId="24" fillId="13" borderId="201" xfId="37" applyFont="1" applyFill="1" applyBorder="1" applyAlignment="1">
      <alignment horizontal="center" vertical="center"/>
    </xf>
    <xf numFmtId="38" fontId="24" fillId="0" borderId="199" xfId="37" applyNumberFormat="1" applyFont="1" applyBorder="1" applyAlignment="1">
      <alignment horizontal="center" vertical="center"/>
    </xf>
    <xf numFmtId="0" fontId="70" fillId="0" borderId="197" xfId="33" applyFont="1" applyBorder="1" applyAlignment="1">
      <alignment horizontal="left" vertical="center"/>
    </xf>
    <xf numFmtId="0" fontId="205" fillId="0" borderId="199" xfId="33" applyFont="1" applyBorder="1" applyAlignment="1">
      <alignment vertical="center"/>
    </xf>
    <xf numFmtId="0" fontId="205" fillId="0" borderId="199" xfId="33" applyFont="1" applyBorder="1" applyAlignment="1">
      <alignment horizontal="center" vertical="center"/>
    </xf>
    <xf numFmtId="164" fontId="205" fillId="0" borderId="199" xfId="34" applyNumberFormat="1" applyFont="1" applyBorder="1" applyAlignment="1">
      <alignment horizontal="center" vertical="center"/>
    </xf>
    <xf numFmtId="0" fontId="207" fillId="0" borderId="199" xfId="33" applyFont="1" applyBorder="1" applyAlignment="1">
      <alignment vertical="center"/>
    </xf>
    <xf numFmtId="0" fontId="205" fillId="0" borderId="201" xfId="33" applyFont="1" applyBorder="1" applyAlignment="1">
      <alignment horizontal="center" vertical="center"/>
    </xf>
    <xf numFmtId="0" fontId="207" fillId="0" borderId="211" xfId="33" applyFont="1" applyBorder="1" applyAlignment="1">
      <alignment horizontal="right"/>
    </xf>
    <xf numFmtId="164" fontId="205" fillId="28" borderId="211" xfId="34" applyNumberFormat="1" applyFont="1" applyFill="1" applyBorder="1" applyAlignment="1">
      <alignment horizontal="center" vertical="center"/>
    </xf>
    <xf numFmtId="0" fontId="205" fillId="0" borderId="197" xfId="33" applyFont="1" applyBorder="1"/>
    <xf numFmtId="0" fontId="205" fillId="0" borderId="212" xfId="33" applyFont="1" applyBorder="1" applyAlignment="1">
      <alignment horizontal="center"/>
    </xf>
    <xf numFmtId="164" fontId="205" fillId="28" borderId="211" xfId="34" applyNumberFormat="1" applyFont="1" applyFill="1" applyBorder="1"/>
    <xf numFmtId="0" fontId="3" fillId="0" borderId="198" xfId="0" applyFont="1" applyBorder="1"/>
    <xf numFmtId="0" fontId="10" fillId="0" borderId="199" xfId="0" applyFont="1" applyBorder="1" applyAlignment="1">
      <alignment horizontal="right" vertical="center"/>
    </xf>
    <xf numFmtId="0" fontId="86" fillId="0" borderId="199" xfId="0" applyFont="1" applyBorder="1" applyAlignment="1">
      <alignment vertical="center"/>
    </xf>
    <xf numFmtId="0" fontId="10" fillId="0" borderId="199" xfId="0" applyFont="1" applyBorder="1" applyAlignment="1">
      <alignment horizontal="center" vertical="center"/>
    </xf>
    <xf numFmtId="0" fontId="3" fillId="0" borderId="200" xfId="0" applyFont="1" applyBorder="1"/>
    <xf numFmtId="0" fontId="14" fillId="13" borderId="201" xfId="0" applyFont="1" applyFill="1" applyBorder="1" applyAlignment="1">
      <alignment horizontal="center" vertical="center"/>
    </xf>
    <xf numFmtId="0" fontId="14" fillId="5" borderId="201" xfId="0" applyFont="1" applyFill="1" applyBorder="1" applyAlignment="1" applyProtection="1">
      <alignment horizontal="center" vertical="center"/>
      <protection locked="0"/>
    </xf>
    <xf numFmtId="0" fontId="8" fillId="0" borderId="197" xfId="0" applyFont="1" applyBorder="1" applyAlignment="1">
      <alignment horizontal="center" vertical="center"/>
    </xf>
    <xf numFmtId="0" fontId="8" fillId="0" borderId="201" xfId="0" applyFont="1" applyBorder="1" applyAlignment="1">
      <alignment horizontal="center" vertical="center"/>
    </xf>
    <xf numFmtId="0" fontId="38" fillId="0" borderId="208" xfId="0" applyFont="1" applyBorder="1" applyAlignment="1">
      <alignment vertical="top" wrapText="1"/>
    </xf>
    <xf numFmtId="38" fontId="14" fillId="0" borderId="209" xfId="0" applyNumberFormat="1" applyFont="1" applyBorder="1" applyAlignment="1">
      <alignment horizontal="center" vertical="top" wrapText="1"/>
    </xf>
    <xf numFmtId="38" fontId="8" fillId="13" borderId="201" xfId="0" applyNumberFormat="1" applyFont="1" applyFill="1" applyBorder="1" applyAlignment="1">
      <alignment horizontal="center" vertical="top"/>
    </xf>
    <xf numFmtId="185" fontId="38" fillId="10" borderId="198" xfId="0" applyNumberFormat="1" applyFont="1" applyFill="1" applyBorder="1" applyAlignment="1" applyProtection="1">
      <alignment horizontal="center" vertical="center"/>
      <protection locked="0"/>
    </xf>
    <xf numFmtId="167" fontId="38" fillId="10" borderId="204" xfId="0" applyNumberFormat="1" applyFont="1" applyFill="1" applyBorder="1" applyAlignment="1" applyProtection="1">
      <alignment vertical="top" wrapText="1"/>
      <protection locked="0"/>
    </xf>
    <xf numFmtId="0" fontId="4" fillId="0" borderId="201" xfId="0" applyFont="1" applyBorder="1" applyAlignment="1">
      <alignment horizontal="center" vertical="center"/>
    </xf>
    <xf numFmtId="38" fontId="8" fillId="0" borderId="199" xfId="0" applyNumberFormat="1" applyFont="1" applyBorder="1" applyAlignment="1">
      <alignment horizontal="center" vertical="center"/>
    </xf>
    <xf numFmtId="0" fontId="9" fillId="0" borderId="198" xfId="13" applyFont="1" applyBorder="1" applyAlignment="1">
      <alignment vertical="center"/>
    </xf>
    <xf numFmtId="0" fontId="9" fillId="0" borderId="199" xfId="13" applyFont="1" applyBorder="1" applyAlignment="1">
      <alignment vertical="center"/>
    </xf>
    <xf numFmtId="0" fontId="24" fillId="0" borderId="199" xfId="13" applyFont="1" applyBorder="1" applyAlignment="1">
      <alignment horizontal="right" vertical="center"/>
    </xf>
    <xf numFmtId="10" fontId="8" fillId="10" borderId="199" xfId="13" applyNumberFormat="1" applyFont="1" applyFill="1" applyBorder="1" applyAlignment="1">
      <alignment horizontal="left"/>
    </xf>
    <xf numFmtId="0" fontId="205" fillId="11" borderId="201" xfId="33" applyFont="1" applyFill="1" applyBorder="1" applyAlignment="1">
      <alignment horizontal="center" vertical="center"/>
    </xf>
    <xf numFmtId="0" fontId="3" fillId="0" borderId="197" xfId="13" applyBorder="1"/>
    <xf numFmtId="0" fontId="38" fillId="5" borderId="199" xfId="0" applyFont="1" applyFill="1" applyBorder="1" applyAlignment="1">
      <alignment horizontal="left"/>
    </xf>
    <xf numFmtId="0" fontId="38" fillId="5" borderId="200" xfId="0" applyFont="1" applyFill="1" applyBorder="1" applyAlignment="1">
      <alignment horizontal="left"/>
    </xf>
    <xf numFmtId="0" fontId="38" fillId="5" borderId="198"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77" fontId="41" fillId="5" borderId="197"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95"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97" xfId="0"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86" xfId="0" applyFont="1" applyFill="1" applyBorder="1" applyAlignment="1" applyProtection="1">
      <alignment horizontal="left" vertical="center"/>
      <protection locked="0"/>
    </xf>
    <xf numFmtId="0" fontId="41" fillId="5" borderId="187"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91" xfId="0" applyFont="1" applyFill="1" applyBorder="1" applyAlignment="1">
      <alignment horizontal="center" vertical="center"/>
    </xf>
    <xf numFmtId="0" fontId="50" fillId="8" borderId="192" xfId="0" applyFont="1" applyFill="1" applyBorder="1" applyAlignment="1">
      <alignment horizontal="center" vertical="center"/>
    </xf>
    <xf numFmtId="0" fontId="50" fillId="8" borderId="193"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36" fillId="0" borderId="4" xfId="0" applyFont="1" applyBorder="1" applyAlignment="1">
      <alignment horizontal="center" vertical="center" wrapText="1"/>
    </xf>
    <xf numFmtId="0" fontId="214" fillId="20" borderId="195" xfId="0" applyFont="1" applyFill="1" applyBorder="1" applyAlignment="1">
      <alignment horizontal="center" vertical="center" wrapText="1"/>
    </xf>
    <xf numFmtId="0" fontId="214" fillId="20" borderId="196"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197"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98" xfId="0" applyFont="1" applyFill="1" applyBorder="1" applyAlignment="1" applyProtection="1">
      <alignment horizontal="left" vertical="top" wrapText="1"/>
      <protection locked="0"/>
    </xf>
    <xf numFmtId="0" fontId="37" fillId="5" borderId="199" xfId="0" applyFont="1" applyFill="1" applyBorder="1" applyAlignment="1" applyProtection="1">
      <alignment horizontal="left" vertical="top" wrapText="1"/>
      <protection locked="0"/>
    </xf>
    <xf numFmtId="0" fontId="37" fillId="5" borderId="200" xfId="0" applyFont="1" applyFill="1" applyBorder="1" applyAlignment="1" applyProtection="1">
      <alignment horizontal="left" vertical="top" wrapText="1"/>
      <protection locked="0"/>
    </xf>
    <xf numFmtId="0" fontId="37" fillId="4" borderId="198" xfId="0" applyFont="1" applyFill="1" applyBorder="1" applyAlignment="1" applyProtection="1">
      <alignment horizontal="left" vertical="top" wrapText="1"/>
      <protection locked="0"/>
    </xf>
    <xf numFmtId="0" fontId="37" fillId="4" borderId="199" xfId="0" applyFont="1" applyFill="1" applyBorder="1" applyAlignment="1" applyProtection="1">
      <alignment horizontal="left" vertical="top" wrapText="1"/>
      <protection locked="0"/>
    </xf>
    <xf numFmtId="0" fontId="37" fillId="4" borderId="200" xfId="0" applyFont="1" applyFill="1" applyBorder="1" applyAlignment="1" applyProtection="1">
      <alignment horizontal="left" vertical="top" wrapText="1"/>
      <protection locked="0"/>
    </xf>
    <xf numFmtId="6" fontId="41" fillId="5" borderId="95" xfId="0" applyNumberFormat="1" applyFont="1" applyFill="1" applyBorder="1" applyAlignment="1" applyProtection="1">
      <alignment horizontal="center" vertical="center"/>
      <protection locked="0"/>
    </xf>
    <xf numFmtId="6" fontId="41" fillId="5" borderId="97"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38" fillId="5" borderId="146"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48" xfId="0" applyFont="1" applyFill="1" applyBorder="1" applyAlignment="1" applyProtection="1">
      <alignment horizontal="left" vertical="top" wrapText="1"/>
      <protection locked="0"/>
    </xf>
    <xf numFmtId="0" fontId="38" fillId="5" borderId="96" xfId="0" applyFont="1" applyFill="1" applyBorder="1" applyAlignment="1" applyProtection="1">
      <alignment horizontal="left" vertical="top" wrapText="1"/>
      <protection locked="0"/>
    </xf>
    <xf numFmtId="0" fontId="38" fillId="5" borderId="97" xfId="0" applyFont="1" applyFill="1" applyBorder="1" applyAlignment="1" applyProtection="1">
      <alignment horizontal="left" vertical="top" wrapText="1"/>
      <protection locked="0"/>
    </xf>
    <xf numFmtId="169" fontId="41" fillId="5" borderId="198" xfId="0" applyNumberFormat="1" applyFont="1" applyFill="1" applyBorder="1" applyAlignment="1" applyProtection="1">
      <alignment horizontal="center" vertical="center"/>
      <protection locked="0"/>
    </xf>
    <xf numFmtId="0" fontId="41" fillId="0" borderId="200"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200" xfId="0" applyNumberFormat="1"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41" fillId="5" borderId="19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96" xfId="0" applyFont="1" applyBorder="1" applyProtection="1">
      <protection locked="0"/>
    </xf>
    <xf numFmtId="0" fontId="41" fillId="0" borderId="97"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95" xfId="0" applyNumberFormat="1" applyFont="1" applyFill="1" applyBorder="1" applyAlignment="1" applyProtection="1">
      <alignment horizontal="left" vertical="center"/>
      <protection locked="0"/>
    </xf>
    <xf numFmtId="167" fontId="41" fillId="0" borderId="96" xfId="0" applyNumberFormat="1" applyFont="1" applyBorder="1" applyProtection="1">
      <protection locked="0"/>
    </xf>
    <xf numFmtId="167" fontId="41" fillId="0" borderId="97"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86"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2"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95" xfId="0" applyFont="1" applyBorder="1" applyAlignment="1">
      <alignment horizontal="left" vertical="top" wrapText="1"/>
    </xf>
    <xf numFmtId="0" fontId="38" fillId="0" borderId="96" xfId="0" applyFont="1" applyBorder="1" applyAlignment="1">
      <alignment horizontal="left" vertical="top" wrapText="1"/>
    </xf>
    <xf numFmtId="0" fontId="38" fillId="0" borderId="97" xfId="0" applyFont="1" applyBorder="1" applyAlignment="1">
      <alignment horizontal="left" vertical="top" wrapText="1"/>
    </xf>
    <xf numFmtId="0" fontId="38" fillId="5" borderId="95"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41" fillId="0" borderId="197" xfId="0" applyFont="1" applyBorder="1" applyAlignment="1">
      <alignment horizontal="left" vertical="top" wrapText="1"/>
    </xf>
    <xf numFmtId="0" fontId="41" fillId="0" borderId="18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97" xfId="0" applyFont="1" applyBorder="1" applyAlignment="1">
      <alignment horizontal="center" vertical="top" wrapText="1"/>
    </xf>
    <xf numFmtId="0" fontId="41" fillId="0" borderId="186" xfId="0" applyFont="1" applyBorder="1" applyAlignment="1">
      <alignment horizontal="center" vertical="top" wrapText="1"/>
    </xf>
    <xf numFmtId="0" fontId="41" fillId="0" borderId="187"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201"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201"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97" xfId="0" applyFont="1" applyBorder="1" applyAlignment="1">
      <alignment horizontal="center" vertical="top" wrapText="1"/>
    </xf>
    <xf numFmtId="0" fontId="79" fillId="0" borderId="186" xfId="0" applyFont="1" applyBorder="1" applyAlignment="1">
      <alignment horizontal="center" vertical="top" wrapText="1"/>
    </xf>
    <xf numFmtId="0" fontId="79" fillId="0" borderId="187"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5"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98" xfId="0" applyFont="1" applyBorder="1" applyAlignment="1" applyProtection="1">
      <alignment horizontal="left" vertical="center" wrapText="1"/>
      <protection locked="0"/>
    </xf>
    <xf numFmtId="0" fontId="41" fillId="0" borderId="199" xfId="0" applyFont="1" applyBorder="1" applyAlignment="1" applyProtection="1">
      <alignment horizontal="left" vertical="center" wrapText="1"/>
      <protection locked="0"/>
    </xf>
    <xf numFmtId="0" fontId="41" fillId="0" borderId="200"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198" xfId="0" applyNumberFormat="1" applyFont="1" applyFill="1" applyBorder="1" applyAlignment="1" applyProtection="1">
      <alignment horizontal="left" vertical="center"/>
      <protection locked="0"/>
    </xf>
    <xf numFmtId="3" fontId="41" fillId="10" borderId="200"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95" xfId="0" applyNumberFormat="1" applyFont="1" applyFill="1" applyBorder="1" applyAlignment="1" applyProtection="1">
      <alignment horizontal="left" vertical="center"/>
      <protection locked="0"/>
    </xf>
    <xf numFmtId="0" fontId="0" fillId="0" borderId="97"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2" xfId="0" applyFont="1" applyFill="1" applyBorder="1" applyAlignment="1" applyProtection="1">
      <alignment horizontal="left" vertical="center"/>
      <protection locked="0"/>
    </xf>
    <xf numFmtId="0" fontId="37" fillId="5" borderId="96"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98" xfId="0" applyNumberFormat="1" applyFont="1" applyFill="1" applyBorder="1" applyAlignment="1">
      <alignment horizontal="center" vertical="center"/>
    </xf>
    <xf numFmtId="49" fontId="96" fillId="20" borderId="199" xfId="0" applyNumberFormat="1" applyFont="1" applyFill="1" applyBorder="1" applyAlignment="1">
      <alignment horizontal="center" vertical="center"/>
    </xf>
    <xf numFmtId="49" fontId="96" fillId="20" borderId="200" xfId="0" applyNumberFormat="1" applyFont="1" applyFill="1" applyBorder="1" applyAlignment="1">
      <alignment horizontal="center" vertical="center"/>
    </xf>
    <xf numFmtId="0" fontId="37" fillId="10" borderId="95"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197" xfId="0" applyFont="1" applyBorder="1" applyAlignment="1">
      <alignment vertical="center"/>
    </xf>
    <xf numFmtId="0" fontId="41" fillId="0" borderId="186" xfId="0" applyFont="1" applyBorder="1" applyAlignment="1">
      <alignment vertical="center"/>
    </xf>
    <xf numFmtId="0" fontId="41" fillId="5" borderId="95" xfId="0" applyFont="1" applyFill="1" applyBorder="1" applyAlignment="1" applyProtection="1">
      <alignment horizontal="left" vertical="center" wrapText="1"/>
      <protection locked="0"/>
    </xf>
    <xf numFmtId="0" fontId="41" fillId="5" borderId="96" xfId="0" applyFont="1" applyFill="1" applyBorder="1" applyAlignment="1" applyProtection="1">
      <alignment horizontal="left" vertical="center" wrapText="1"/>
      <protection locked="0"/>
    </xf>
    <xf numFmtId="0" fontId="41" fillId="5" borderId="97" xfId="0" applyFont="1" applyFill="1" applyBorder="1" applyAlignment="1" applyProtection="1">
      <alignment horizontal="left" vertical="center" wrapText="1"/>
      <protection locked="0"/>
    </xf>
    <xf numFmtId="164" fontId="41" fillId="5" borderId="95" xfId="1" applyNumberFormat="1" applyFont="1" applyFill="1" applyBorder="1" applyAlignment="1" applyProtection="1">
      <alignment horizontal="right" vertical="center"/>
      <protection locked="0"/>
    </xf>
    <xf numFmtId="164" fontId="41" fillId="5" borderId="97" xfId="1" applyNumberFormat="1" applyFont="1" applyFill="1" applyBorder="1" applyAlignment="1" applyProtection="1">
      <alignment horizontal="right" vertical="center"/>
      <protection locked="0"/>
    </xf>
    <xf numFmtId="166" fontId="41" fillId="5" borderId="95" xfId="10" applyNumberFormat="1" applyFont="1" applyFill="1" applyBorder="1" applyAlignment="1" applyProtection="1">
      <alignment horizontal="center" vertical="center"/>
      <protection locked="0"/>
    </xf>
    <xf numFmtId="166" fontId="41" fillId="5" borderId="97" xfId="10" applyNumberFormat="1" applyFont="1" applyFill="1" applyBorder="1" applyAlignment="1" applyProtection="1">
      <alignment horizontal="center" vertical="center"/>
      <protection locked="0"/>
    </xf>
    <xf numFmtId="3" fontId="41" fillId="5" borderId="95" xfId="1" applyNumberFormat="1" applyFont="1" applyFill="1" applyBorder="1" applyAlignment="1" applyProtection="1">
      <alignment horizontal="center" vertical="center"/>
      <protection locked="0"/>
    </xf>
    <xf numFmtId="3" fontId="41" fillId="5" borderId="97"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2"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2"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98"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98" xfId="2" applyNumberFormat="1" applyFont="1" applyFill="1" applyBorder="1" applyAlignment="1" applyProtection="1">
      <alignment horizontal="right" vertical="center"/>
    </xf>
    <xf numFmtId="38" fontId="49" fillId="0" borderId="200" xfId="2" applyNumberFormat="1" applyFont="1" applyFill="1" applyBorder="1" applyAlignment="1" applyProtection="1">
      <alignment horizontal="right" vertical="center"/>
    </xf>
    <xf numFmtId="38" fontId="49" fillId="11" borderId="198" xfId="2" applyNumberFormat="1" applyFont="1" applyFill="1" applyBorder="1" applyAlignment="1" applyProtection="1">
      <alignment horizontal="right" vertical="center"/>
      <protection locked="0"/>
    </xf>
    <xf numFmtId="38" fontId="49" fillId="11" borderId="200" xfId="2" applyNumberFormat="1" applyFont="1" applyFill="1" applyBorder="1" applyAlignment="1" applyProtection="1">
      <alignment horizontal="right" vertical="center"/>
      <protection locked="0"/>
    </xf>
    <xf numFmtId="38" fontId="49" fillId="0" borderId="198" xfId="0" applyNumberFormat="1" applyFont="1" applyBorder="1" applyAlignment="1">
      <alignment horizontal="right" vertical="center"/>
    </xf>
    <xf numFmtId="38" fontId="49" fillId="0" borderId="200"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98"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98" xfId="2" applyNumberFormat="1" applyFont="1" applyFill="1" applyBorder="1" applyAlignment="1" applyProtection="1">
      <alignment horizontal="center" vertical="center"/>
      <protection locked="0"/>
    </xf>
    <xf numFmtId="38" fontId="41" fillId="6" borderId="200" xfId="2" applyNumberFormat="1" applyFont="1" applyFill="1" applyBorder="1" applyAlignment="1" applyProtection="1">
      <alignment horizontal="center" vertical="center"/>
      <protection locked="0"/>
    </xf>
    <xf numFmtId="0" fontId="41" fillId="5" borderId="198" xfId="0" applyFont="1" applyFill="1" applyBorder="1" applyAlignment="1" applyProtection="1">
      <alignment horizontal="center" vertical="center"/>
      <protection locked="0"/>
    </xf>
    <xf numFmtId="0" fontId="41" fillId="5" borderId="200"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8" fontId="41" fillId="6" borderId="98" xfId="2" applyNumberFormat="1" applyFont="1" applyFill="1" applyBorder="1" applyAlignment="1" applyProtection="1">
      <alignment horizontal="center" vertical="center"/>
      <protection locked="0"/>
    </xf>
    <xf numFmtId="38" fontId="41" fillId="5" borderId="98" xfId="0" applyNumberFormat="1" applyFont="1" applyFill="1" applyBorder="1" applyAlignment="1" applyProtection="1">
      <alignment horizontal="right" vertical="center"/>
      <protection locked="0"/>
    </xf>
    <xf numFmtId="0" fontId="41" fillId="5" borderId="98" xfId="0" applyFont="1" applyFill="1" applyBorder="1" applyAlignment="1" applyProtection="1">
      <alignment vertical="center"/>
      <protection locked="0"/>
    </xf>
    <xf numFmtId="0" fontId="41" fillId="0" borderId="187"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98" xfId="0" applyFont="1" applyFill="1" applyBorder="1" applyAlignment="1" applyProtection="1">
      <alignment horizontal="left" vertical="center" wrapText="1"/>
      <protection locked="0"/>
    </xf>
    <xf numFmtId="0" fontId="41" fillId="5" borderId="200"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99" xfId="2" applyNumberFormat="1" applyFont="1" applyFill="1" applyBorder="1" applyAlignment="1" applyProtection="1">
      <alignment horizontal="center" vertical="center"/>
    </xf>
    <xf numFmtId="0" fontId="41" fillId="0" borderId="199" xfId="0" applyFont="1" applyBorder="1" applyAlignment="1">
      <alignment horizontal="center" vertical="center"/>
    </xf>
    <xf numFmtId="0" fontId="36" fillId="0" borderId="0" xfId="0" applyFont="1" applyAlignment="1">
      <alignment horizontal="left" vertical="center" wrapText="1"/>
    </xf>
    <xf numFmtId="0" fontId="37" fillId="4" borderId="59" xfId="0" applyFont="1" applyFill="1" applyBorder="1" applyAlignment="1" applyProtection="1">
      <alignment horizontal="left" vertical="top" wrapText="1"/>
      <protection locked="0"/>
    </xf>
    <xf numFmtId="0" fontId="37" fillId="5" borderId="59"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98" xfId="2" applyNumberFormat="1" applyFont="1" applyFill="1" applyBorder="1" applyAlignment="1" applyProtection="1">
      <alignment horizontal="center" vertical="center"/>
    </xf>
    <xf numFmtId="38" fontId="49" fillId="0" borderId="20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86" xfId="0" applyNumberFormat="1" applyFont="1" applyBorder="1" applyAlignment="1">
      <alignment horizontal="center"/>
    </xf>
    <xf numFmtId="8" fontId="3" fillId="0" borderId="14" xfId="0" applyNumberFormat="1" applyFont="1" applyBorder="1" applyAlignment="1">
      <alignment horizontal="center"/>
    </xf>
    <xf numFmtId="0" fontId="28" fillId="8" borderId="198" xfId="0" applyFont="1" applyFill="1" applyBorder="1" applyAlignment="1">
      <alignment horizontal="center" vertical="center"/>
    </xf>
    <xf numFmtId="0" fontId="28" fillId="8" borderId="199" xfId="0" applyFont="1" applyFill="1" applyBorder="1" applyAlignment="1">
      <alignment horizontal="center" vertical="center"/>
    </xf>
    <xf numFmtId="0" fontId="28" fillId="8" borderId="200"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95" xfId="0" applyNumberFormat="1" applyFont="1" applyBorder="1" applyAlignment="1">
      <alignment horizontal="center" vertical="center"/>
    </xf>
    <xf numFmtId="38" fontId="41" fillId="0" borderId="97"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87"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77" xfId="1" applyNumberFormat="1" applyFont="1" applyFill="1" applyBorder="1" applyAlignment="1" applyProtection="1">
      <alignment horizontal="right" vertical="center"/>
      <protection locked="0"/>
    </xf>
    <xf numFmtId="164" fontId="41" fillId="5" borderId="78" xfId="1" applyNumberFormat="1" applyFont="1" applyFill="1" applyBorder="1" applyAlignment="1" applyProtection="1">
      <alignment horizontal="right" vertical="center"/>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63"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01" xfId="0" applyFont="1" applyFill="1" applyBorder="1" applyAlignment="1" applyProtection="1">
      <alignment horizontal="left" vertical="top" wrapText="1"/>
      <protection locked="0"/>
    </xf>
    <xf numFmtId="0" fontId="13" fillId="13" borderId="100" xfId="0" applyFont="1" applyFill="1" applyBorder="1" applyAlignment="1" applyProtection="1">
      <alignment horizontal="left" vertical="top" wrapText="1"/>
      <protection locked="0"/>
    </xf>
    <xf numFmtId="38" fontId="41" fillId="0" borderId="198" xfId="0" applyNumberFormat="1" applyFont="1" applyBorder="1" applyAlignment="1">
      <alignment horizontal="center" vertical="center"/>
    </xf>
    <xf numFmtId="38" fontId="41" fillId="0" borderId="200"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199"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201"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197" xfId="1" applyNumberFormat="1" applyFont="1" applyFill="1" applyBorder="1" applyAlignment="1" applyProtection="1">
      <alignment horizontal="right" vertical="center"/>
      <protection locked="0"/>
    </xf>
    <xf numFmtId="164" fontId="41" fillId="5" borderId="187" xfId="1" applyNumberFormat="1" applyFont="1" applyFill="1" applyBorder="1" applyAlignment="1" applyProtection="1">
      <alignment horizontal="right" vertical="center"/>
      <protection locked="0"/>
    </xf>
    <xf numFmtId="164" fontId="41" fillId="0" borderId="160" xfId="1" applyNumberFormat="1" applyFont="1" applyFill="1" applyBorder="1" applyAlignment="1" applyProtection="1">
      <alignment horizontal="right" vertical="center"/>
    </xf>
    <xf numFmtId="164" fontId="41" fillId="5" borderId="138"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0" fontId="99" fillId="0" borderId="73"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198" xfId="1" applyNumberFormat="1" applyFont="1" applyFill="1" applyBorder="1" applyAlignment="1" applyProtection="1">
      <alignment horizontal="right" vertical="center"/>
      <protection locked="0"/>
    </xf>
    <xf numFmtId="164" fontId="41" fillId="5" borderId="200"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99" xfId="0" applyNumberFormat="1" applyFont="1" applyBorder="1" applyAlignment="1">
      <alignment horizontal="center" vertical="center"/>
    </xf>
    <xf numFmtId="164" fontId="58" fillId="0" borderId="200"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2"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59"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99"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56" xfId="0" applyNumberFormat="1" applyFont="1" applyBorder="1" applyAlignment="1">
      <alignment horizontal="center" vertical="center"/>
    </xf>
    <xf numFmtId="38" fontId="41" fillId="0" borderId="157"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07"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7" xfId="0" applyFont="1" applyBorder="1" applyAlignment="1">
      <alignment horizontal="center" vertical="center" wrapText="1"/>
    </xf>
    <xf numFmtId="168" fontId="41" fillId="0" borderId="144" xfId="0" applyNumberFormat="1" applyFont="1" applyBorder="1" applyAlignment="1">
      <alignment horizontal="center" vertical="center"/>
    </xf>
    <xf numFmtId="168" fontId="41" fillId="0" borderId="109" xfId="0" applyNumberFormat="1" applyFont="1" applyBorder="1" applyAlignment="1">
      <alignment horizontal="center" vertical="center"/>
    </xf>
    <xf numFmtId="168" fontId="41" fillId="0" borderId="188" xfId="0" applyNumberFormat="1" applyFont="1" applyBorder="1" applyAlignment="1">
      <alignment horizontal="center" vertical="center"/>
    </xf>
    <xf numFmtId="170" fontId="41" fillId="5" borderId="198" xfId="0" applyNumberFormat="1" applyFont="1" applyFill="1" applyBorder="1" applyAlignment="1" applyProtection="1">
      <alignment horizontal="center" vertical="center"/>
      <protection locked="0"/>
    </xf>
    <xf numFmtId="170" fontId="41" fillId="5" borderId="200" xfId="0" applyNumberFormat="1" applyFont="1" applyFill="1" applyBorder="1" applyAlignment="1" applyProtection="1">
      <alignment horizontal="center" vertical="center"/>
      <protection locked="0"/>
    </xf>
    <xf numFmtId="38" fontId="49" fillId="10" borderId="198" xfId="0" applyNumberFormat="1" applyFont="1" applyFill="1" applyBorder="1" applyAlignment="1" applyProtection="1">
      <alignment horizontal="center" vertical="center"/>
      <protection locked="0"/>
    </xf>
    <xf numFmtId="38" fontId="49" fillId="10" borderId="199" xfId="0" applyNumberFormat="1" applyFont="1" applyFill="1" applyBorder="1" applyAlignment="1" applyProtection="1">
      <alignment horizontal="center" vertical="center"/>
      <protection locked="0"/>
    </xf>
    <xf numFmtId="38" fontId="49" fillId="10" borderId="200"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96"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58" xfId="0" applyNumberFormat="1" applyFont="1" applyBorder="1" applyAlignment="1">
      <alignment horizontal="center" vertical="center"/>
    </xf>
    <xf numFmtId="38" fontId="37" fillId="0" borderId="159" xfId="0" applyNumberFormat="1" applyFont="1" applyBorder="1" applyAlignment="1">
      <alignment horizontal="center" vertical="center"/>
    </xf>
    <xf numFmtId="38" fontId="37" fillId="0" borderId="110" xfId="0" applyNumberFormat="1" applyFont="1" applyBorder="1" applyAlignment="1">
      <alignment horizontal="center" vertical="center"/>
    </xf>
    <xf numFmtId="38" fontId="80" fillId="0" borderId="198" xfId="0" applyNumberFormat="1" applyFont="1" applyBorder="1" applyAlignment="1">
      <alignment horizontal="center" vertical="center"/>
    </xf>
    <xf numFmtId="38" fontId="80" fillId="0" borderId="199" xfId="0" applyNumberFormat="1" applyFont="1" applyBorder="1" applyAlignment="1">
      <alignment horizontal="center" vertical="center"/>
    </xf>
    <xf numFmtId="38" fontId="80" fillId="0" borderId="200" xfId="0" applyNumberFormat="1" applyFont="1" applyBorder="1" applyAlignment="1">
      <alignment horizontal="center" vertical="center"/>
    </xf>
    <xf numFmtId="0" fontId="37" fillId="13" borderId="59"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01" xfId="0" applyFont="1" applyFill="1" applyBorder="1" applyAlignment="1" applyProtection="1">
      <alignment horizontal="left" vertical="top" wrapText="1"/>
      <protection locked="0"/>
    </xf>
    <xf numFmtId="0" fontId="3" fillId="13" borderId="100" xfId="0" applyFont="1" applyFill="1" applyBorder="1" applyAlignment="1" applyProtection="1">
      <alignment horizontal="left" vertical="top" wrapText="1"/>
      <protection locked="0"/>
    </xf>
    <xf numFmtId="0" fontId="13" fillId="13" borderId="95"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197" xfId="0" applyFont="1" applyFill="1" applyBorder="1" applyAlignment="1" applyProtection="1">
      <alignment horizontal="center" vertical="center" wrapText="1"/>
      <protection locked="0"/>
    </xf>
    <xf numFmtId="0" fontId="38" fillId="10" borderId="186" xfId="0" applyFont="1" applyFill="1" applyBorder="1" applyAlignment="1" applyProtection="1">
      <alignment horizontal="center" vertical="center" wrapText="1"/>
      <protection locked="0"/>
    </xf>
    <xf numFmtId="0" fontId="38" fillId="10" borderId="187"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199" xfId="1" applyNumberFormat="1" applyFont="1" applyFill="1" applyBorder="1" applyAlignment="1" applyProtection="1">
      <alignment horizontal="center" vertical="center"/>
    </xf>
    <xf numFmtId="4" fontId="41" fillId="0" borderId="199" xfId="1" applyNumberFormat="1" applyFont="1" applyFill="1" applyBorder="1" applyAlignment="1" applyProtection="1">
      <alignment vertical="center"/>
    </xf>
    <xf numFmtId="4" fontId="41" fillId="0" borderId="200"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197" xfId="0" applyNumberFormat="1" applyFont="1" applyBorder="1" applyAlignment="1">
      <alignment horizontal="center" vertical="center"/>
    </xf>
    <xf numFmtId="38" fontId="49" fillId="0" borderId="187"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197"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95" xfId="0" applyNumberFormat="1" applyFont="1" applyFill="1" applyBorder="1" applyAlignment="1" applyProtection="1">
      <alignment horizontal="center" vertical="center"/>
      <protection locked="0"/>
    </xf>
    <xf numFmtId="38" fontId="49" fillId="5" borderId="97"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98" xfId="13" applyFont="1" applyFill="1" applyBorder="1" applyAlignment="1">
      <alignment horizontal="justify" vertical="top" wrapText="1"/>
    </xf>
    <xf numFmtId="0" fontId="9" fillId="13" borderId="199" xfId="13" applyFont="1" applyFill="1" applyBorder="1" applyAlignment="1">
      <alignment horizontal="justify" vertical="top" wrapText="1"/>
    </xf>
    <xf numFmtId="0" fontId="9" fillId="13" borderId="200" xfId="13" applyFont="1" applyFill="1" applyBorder="1" applyAlignment="1">
      <alignment horizontal="justify" vertical="top" wrapText="1"/>
    </xf>
    <xf numFmtId="0" fontId="8" fillId="0" borderId="0" xfId="13" applyFont="1" applyAlignment="1">
      <alignment horizontal="left" vertical="top" wrapText="1"/>
    </xf>
    <xf numFmtId="0" fontId="37" fillId="0" borderId="63"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9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201"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198" xfId="0" applyFont="1" applyFill="1" applyBorder="1" applyAlignment="1" applyProtection="1">
      <alignment horizontal="left" vertical="center"/>
      <protection locked="0"/>
    </xf>
    <xf numFmtId="0" fontId="3" fillId="5" borderId="200" xfId="0" applyFont="1" applyFill="1" applyBorder="1" applyAlignment="1" applyProtection="1">
      <alignment horizontal="left" vertical="center"/>
      <protection locked="0"/>
    </xf>
    <xf numFmtId="0" fontId="0" fillId="5" borderId="95" xfId="0" applyFill="1" applyBorder="1" applyAlignment="1" applyProtection="1">
      <alignment horizontal="left" vertical="center"/>
      <protection locked="0"/>
    </xf>
    <xf numFmtId="0" fontId="0" fillId="5" borderId="97"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98" xfId="0" applyFont="1" applyFill="1" applyBorder="1" applyAlignment="1" applyProtection="1">
      <alignment horizontal="left" vertical="center" wrapText="1"/>
      <protection locked="0"/>
    </xf>
    <xf numFmtId="0" fontId="3" fillId="5" borderId="199" xfId="0" applyFont="1" applyFill="1" applyBorder="1" applyAlignment="1" applyProtection="1">
      <alignment horizontal="left" vertical="center" wrapText="1"/>
      <protection locked="0"/>
    </xf>
    <xf numFmtId="0" fontId="3" fillId="5" borderId="200" xfId="0" applyFont="1" applyFill="1" applyBorder="1" applyAlignment="1" applyProtection="1">
      <alignment horizontal="left" vertical="center" wrapText="1"/>
      <protection locked="0"/>
    </xf>
    <xf numFmtId="174" fontId="3" fillId="5" borderId="198" xfId="0" applyNumberFormat="1" applyFont="1" applyFill="1" applyBorder="1" applyAlignment="1" applyProtection="1">
      <alignment horizontal="left" vertical="center"/>
      <protection locked="0"/>
    </xf>
    <xf numFmtId="174" fontId="3" fillId="5" borderId="200"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8" fillId="11" borderId="198" xfId="0" applyFont="1" applyFill="1" applyBorder="1" applyAlignment="1" applyProtection="1">
      <alignment horizontal="left" vertical="center"/>
      <protection locked="0"/>
    </xf>
    <xf numFmtId="0" fontId="8" fillId="11" borderId="200" xfId="0" applyFont="1" applyFill="1" applyBorder="1" applyAlignment="1" applyProtection="1">
      <alignment horizontal="left" vertical="center"/>
      <protection locked="0"/>
    </xf>
    <xf numFmtId="0" fontId="135" fillId="0" borderId="0" xfId="0" applyFont="1" applyAlignment="1">
      <alignment horizontal="center" vertical="center" wrapText="1"/>
    </xf>
    <xf numFmtId="0" fontId="13" fillId="5" borderId="198" xfId="0" applyFont="1" applyFill="1" applyBorder="1" applyAlignment="1" applyProtection="1">
      <alignment horizontal="left" vertical="top" wrapText="1"/>
      <protection locked="0"/>
    </xf>
    <xf numFmtId="0" fontId="13" fillId="5" borderId="199" xfId="0" applyFont="1" applyFill="1" applyBorder="1" applyAlignment="1" applyProtection="1">
      <alignment horizontal="left" vertical="top" wrapText="1"/>
      <protection locked="0"/>
    </xf>
    <xf numFmtId="0" fontId="13" fillId="5" borderId="200" xfId="0" applyFont="1" applyFill="1" applyBorder="1" applyAlignment="1" applyProtection="1">
      <alignment horizontal="left" vertical="top" wrapText="1"/>
      <protection locked="0"/>
    </xf>
    <xf numFmtId="0" fontId="13" fillId="13" borderId="198" xfId="0" applyFont="1" applyFill="1" applyBorder="1" applyAlignment="1" applyProtection="1">
      <alignment horizontal="left" vertical="top" wrapText="1"/>
      <protection locked="0"/>
    </xf>
    <xf numFmtId="0" fontId="13" fillId="13" borderId="199" xfId="0" applyFont="1" applyFill="1" applyBorder="1" applyAlignment="1" applyProtection="1">
      <alignment horizontal="left" vertical="top" wrapText="1"/>
      <protection locked="0"/>
    </xf>
    <xf numFmtId="0" fontId="13" fillId="13" borderId="200"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98" xfId="0" applyFont="1" applyFill="1" applyBorder="1" applyAlignment="1" applyProtection="1">
      <alignment horizontal="left" vertical="center"/>
      <protection locked="0"/>
    </xf>
    <xf numFmtId="0" fontId="4" fillId="10" borderId="199" xfId="0" applyFont="1" applyFill="1" applyBorder="1" applyAlignment="1" applyProtection="1">
      <alignment horizontal="left" vertical="center"/>
      <protection locked="0"/>
    </xf>
    <xf numFmtId="0" fontId="4" fillId="10" borderId="200" xfId="0" applyFont="1" applyFill="1" applyBorder="1" applyAlignment="1" applyProtection="1">
      <alignment horizontal="left" vertical="center"/>
      <protection locked="0"/>
    </xf>
    <xf numFmtId="164" fontId="13" fillId="11" borderId="59" xfId="0" applyNumberFormat="1" applyFont="1" applyFill="1" applyBorder="1" applyAlignment="1" applyProtection="1">
      <alignment horizontal="center"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3" fillId="13" borderId="95" xfId="0" applyFont="1" applyFill="1" applyBorder="1" applyAlignment="1" applyProtection="1">
      <alignment horizontal="left" vertical="top" wrapText="1"/>
      <protection locked="0"/>
    </xf>
    <xf numFmtId="0" fontId="3" fillId="13" borderId="96" xfId="0" applyFont="1" applyFill="1" applyBorder="1" applyAlignment="1" applyProtection="1">
      <alignment horizontal="left" vertical="top" wrapText="1"/>
      <protection locked="0"/>
    </xf>
    <xf numFmtId="0" fontId="3" fillId="13" borderId="97" xfId="0" applyFont="1" applyFill="1" applyBorder="1" applyAlignment="1" applyProtection="1">
      <alignment horizontal="left" vertical="top" wrapText="1"/>
      <protection locked="0"/>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95" xfId="0" applyFont="1" applyFill="1" applyBorder="1" applyAlignment="1" applyProtection="1">
      <alignment horizontal="left" vertical="center"/>
      <protection locked="0"/>
    </xf>
    <xf numFmtId="0" fontId="80" fillId="10" borderId="97" xfId="0" applyFont="1" applyFill="1" applyBorder="1" applyAlignment="1" applyProtection="1">
      <alignment horizontal="left" vertical="center"/>
      <protection locked="0"/>
    </xf>
    <xf numFmtId="3" fontId="3" fillId="5" borderId="198" xfId="0" applyNumberFormat="1" applyFont="1" applyFill="1" applyBorder="1" applyAlignment="1" applyProtection="1">
      <alignment horizontal="center" vertical="center"/>
      <protection locked="0"/>
    </xf>
    <xf numFmtId="3" fontId="3" fillId="5" borderId="20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186"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86"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98" xfId="0" applyFont="1" applyFill="1" applyBorder="1" applyAlignment="1" applyProtection="1">
      <alignment horizontal="left" vertical="center"/>
      <protection locked="0"/>
    </xf>
    <xf numFmtId="0" fontId="38" fillId="10" borderId="200"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8" fillId="0" borderId="0" xfId="0" applyFont="1" applyAlignment="1">
      <alignment horizontal="left" vertical="center"/>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198" xfId="0" applyFont="1" applyFill="1" applyBorder="1" applyAlignment="1" applyProtection="1">
      <alignment horizontal="left" vertical="center"/>
      <protection locked="0"/>
    </xf>
    <xf numFmtId="0" fontId="13" fillId="5" borderId="199" xfId="0" applyFont="1" applyFill="1" applyBorder="1" applyAlignment="1" applyProtection="1">
      <alignment horizontal="left" vertical="center"/>
      <protection locked="0"/>
    </xf>
    <xf numFmtId="0" fontId="13" fillId="5" borderId="200"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197" xfId="0" applyFont="1" applyBorder="1" applyAlignment="1">
      <alignment horizontal="center" vertical="center"/>
    </xf>
    <xf numFmtId="0" fontId="186" fillId="0" borderId="187" xfId="0" applyFont="1" applyBorder="1" applyAlignment="1">
      <alignment horizontal="center" vertical="center"/>
    </xf>
    <xf numFmtId="0" fontId="4" fillId="5" borderId="198" xfId="0" applyFont="1" applyFill="1" applyBorder="1" applyAlignment="1" applyProtection="1">
      <alignment horizontal="left" vertical="center"/>
      <protection locked="0"/>
    </xf>
    <xf numFmtId="0" fontId="4" fillId="5" borderId="199" xfId="0" applyFont="1" applyFill="1" applyBorder="1" applyAlignment="1" applyProtection="1">
      <alignment horizontal="left" vertical="center"/>
      <protection locked="0"/>
    </xf>
    <xf numFmtId="0" fontId="4" fillId="5" borderId="200" xfId="0" applyFont="1" applyFill="1" applyBorder="1" applyAlignment="1" applyProtection="1">
      <alignment horizontal="left" vertical="center"/>
      <protection locked="0"/>
    </xf>
    <xf numFmtId="3" fontId="3" fillId="5" borderId="95" xfId="0" applyNumberFormat="1" applyFont="1" applyFill="1" applyBorder="1" applyAlignment="1" applyProtection="1">
      <alignment horizontal="right" vertical="center"/>
      <protection locked="0"/>
    </xf>
    <xf numFmtId="3" fontId="3" fillId="5" borderId="97"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198" xfId="0" applyNumberFormat="1" applyFont="1" applyFill="1" applyBorder="1" applyAlignment="1" applyProtection="1">
      <alignment horizontal="left" vertical="center" wrapText="1"/>
      <protection locked="0"/>
    </xf>
    <xf numFmtId="38" fontId="4" fillId="5" borderId="199" xfId="0" applyNumberFormat="1" applyFont="1" applyFill="1" applyBorder="1" applyAlignment="1" applyProtection="1">
      <alignment horizontal="left" vertical="center" wrapText="1"/>
      <protection locked="0"/>
    </xf>
    <xf numFmtId="38" fontId="4" fillId="5" borderId="200" xfId="0" applyNumberFormat="1" applyFont="1" applyFill="1" applyBorder="1" applyAlignment="1" applyProtection="1">
      <alignment horizontal="left" vertical="center" wrapText="1"/>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95" xfId="1" applyNumberFormat="1" applyFont="1" applyFill="1" applyBorder="1" applyAlignment="1" applyProtection="1">
      <alignment horizontal="right" vertical="center"/>
      <protection locked="0"/>
    </xf>
    <xf numFmtId="38" fontId="3" fillId="5" borderId="97"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77" xfId="1" applyNumberFormat="1" applyFont="1" applyFill="1" applyBorder="1" applyAlignment="1" applyProtection="1">
      <alignment horizontal="right" vertical="center"/>
      <protection locked="0"/>
    </xf>
    <xf numFmtId="38" fontId="3" fillId="5" borderId="78" xfId="1" applyNumberFormat="1" applyFont="1" applyFill="1" applyBorder="1" applyAlignment="1" applyProtection="1">
      <alignment horizontal="right" vertical="center"/>
      <protection locked="0"/>
    </xf>
    <xf numFmtId="3" fontId="3" fillId="5" borderId="77" xfId="0" applyNumberFormat="1" applyFont="1" applyFill="1" applyBorder="1" applyAlignment="1" applyProtection="1">
      <alignment horizontal="right" vertical="center"/>
      <protection locked="0"/>
    </xf>
    <xf numFmtId="3" fontId="3" fillId="5" borderId="78"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59"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95" xfId="1" applyNumberFormat="1" applyFont="1" applyFill="1" applyBorder="1" applyAlignment="1" applyProtection="1">
      <alignment vertical="center"/>
      <protection locked="0"/>
    </xf>
    <xf numFmtId="38" fontId="3" fillId="5" borderId="97" xfId="1" applyNumberFormat="1" applyFont="1" applyFill="1" applyBorder="1" applyAlignment="1" applyProtection="1">
      <alignment vertical="center"/>
      <protection locked="0"/>
    </xf>
    <xf numFmtId="0" fontId="3" fillId="13" borderId="198" xfId="0" applyFont="1" applyFill="1" applyBorder="1" applyAlignment="1" applyProtection="1">
      <alignment horizontal="left" vertical="top" wrapText="1"/>
      <protection locked="0"/>
    </xf>
    <xf numFmtId="0" fontId="3" fillId="13" borderId="199" xfId="0" applyFont="1" applyFill="1" applyBorder="1" applyAlignment="1" applyProtection="1">
      <alignment horizontal="left" vertical="top" wrapText="1"/>
      <protection locked="0"/>
    </xf>
    <xf numFmtId="0" fontId="3" fillId="13" borderId="200" xfId="0" applyFont="1" applyFill="1" applyBorder="1" applyAlignment="1" applyProtection="1">
      <alignment horizontal="left" vertical="top" wrapText="1"/>
      <protection locked="0"/>
    </xf>
    <xf numFmtId="3" fontId="41" fillId="0" borderId="198" xfId="1" applyNumberFormat="1" applyFont="1" applyFill="1" applyBorder="1" applyAlignment="1" applyProtection="1">
      <alignment horizontal="center" vertical="center"/>
    </xf>
    <xf numFmtId="3" fontId="41" fillId="0" borderId="200" xfId="1" applyNumberFormat="1" applyFont="1" applyFill="1" applyBorder="1" applyAlignment="1" applyProtection="1">
      <alignment horizontal="center" vertical="center"/>
    </xf>
    <xf numFmtId="3" fontId="41" fillId="5" borderId="198" xfId="1" applyNumberFormat="1" applyFont="1" applyFill="1" applyBorder="1" applyAlignment="1" applyProtection="1">
      <alignment horizontal="center" vertical="center"/>
      <protection locked="0"/>
    </xf>
    <xf numFmtId="3" fontId="41" fillId="5" borderId="200"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201"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59" xfId="0" applyFont="1" applyBorder="1" applyAlignment="1">
      <alignment horizontal="center" wrapText="1"/>
    </xf>
    <xf numFmtId="0" fontId="28" fillId="9" borderId="198" xfId="0" applyFont="1" applyFill="1" applyBorder="1" applyAlignment="1">
      <alignment horizontal="center" vertical="center"/>
    </xf>
    <xf numFmtId="0" fontId="0" fillId="0" borderId="199" xfId="0" applyBorder="1"/>
    <xf numFmtId="0" fontId="0" fillId="0" borderId="200"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199" xfId="0" applyFont="1" applyBorder="1" applyAlignment="1" applyProtection="1">
      <alignment horizontal="left" vertical="top" wrapText="1"/>
      <protection locked="0"/>
    </xf>
    <xf numFmtId="0" fontId="37" fillId="0" borderId="200" xfId="0" applyFont="1" applyBorder="1" applyAlignment="1" applyProtection="1">
      <alignment horizontal="left" vertical="top" wrapText="1"/>
      <protection locked="0"/>
    </xf>
    <xf numFmtId="0" fontId="37" fillId="13" borderId="198" xfId="0" applyFont="1" applyFill="1" applyBorder="1" applyAlignment="1" applyProtection="1">
      <alignment horizontal="left" vertical="top" wrapText="1"/>
      <protection locked="0"/>
    </xf>
    <xf numFmtId="0" fontId="37" fillId="13" borderId="199" xfId="0" applyFont="1" applyFill="1" applyBorder="1" applyAlignment="1" applyProtection="1">
      <alignment horizontal="left" vertical="top" wrapText="1"/>
      <protection locked="0"/>
    </xf>
    <xf numFmtId="0" fontId="37" fillId="13" borderId="200" xfId="0" applyFont="1" applyFill="1" applyBorder="1" applyAlignment="1" applyProtection="1">
      <alignment horizontal="left" vertical="top" wrapText="1"/>
      <protection locked="0"/>
    </xf>
    <xf numFmtId="0" fontId="28" fillId="8" borderId="198" xfId="33" applyFont="1" applyFill="1" applyBorder="1" applyAlignment="1">
      <alignment horizontal="center" vertical="center"/>
    </xf>
    <xf numFmtId="0" fontId="248" fillId="0" borderId="0" xfId="33" applyFont="1" applyAlignment="1">
      <alignment horizontal="center" vertical="center"/>
    </xf>
    <xf numFmtId="0" fontId="8" fillId="5" borderId="201" xfId="33" applyFont="1" applyFill="1" applyBorder="1" applyAlignment="1">
      <alignment horizontal="center" vertical="center" wrapText="1"/>
    </xf>
    <xf numFmtId="0" fontId="8" fillId="5" borderId="59" xfId="33" applyFont="1" applyFill="1" applyBorder="1" applyAlignment="1">
      <alignment horizontal="center" vertical="center" wrapText="1"/>
    </xf>
    <xf numFmtId="0" fontId="8" fillId="13" borderId="201"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64"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65" xfId="33" applyFont="1" applyFill="1" applyBorder="1" applyAlignment="1">
      <alignment horizontal="justify" vertical="top" wrapText="1"/>
    </xf>
    <xf numFmtId="0" fontId="105" fillId="0" borderId="0" xfId="33" applyFont="1" applyAlignment="1">
      <alignment horizontal="left" wrapText="1"/>
    </xf>
    <xf numFmtId="0" fontId="92" fillId="13" borderId="198" xfId="33" applyFont="1" applyFill="1" applyBorder="1" applyAlignment="1">
      <alignment horizontal="center" vertical="center"/>
    </xf>
    <xf numFmtId="0" fontId="92" fillId="13" borderId="59" xfId="33" applyFont="1" applyFill="1" applyBorder="1" applyAlignment="1">
      <alignment horizontal="center" vertical="center"/>
    </xf>
    <xf numFmtId="0" fontId="9" fillId="13" borderId="161" xfId="33" applyFont="1" applyFill="1" applyBorder="1" applyAlignment="1">
      <alignment horizontal="justify" vertical="top" wrapText="1"/>
    </xf>
    <xf numFmtId="0" fontId="9" fillId="13" borderId="162" xfId="33" applyFont="1" applyFill="1" applyBorder="1" applyAlignment="1">
      <alignment horizontal="justify" vertical="top" wrapText="1"/>
    </xf>
    <xf numFmtId="0" fontId="9" fillId="13" borderId="163" xfId="33" applyFont="1" applyFill="1" applyBorder="1" applyAlignment="1">
      <alignment horizontal="justify" vertical="top" wrapText="1"/>
    </xf>
    <xf numFmtId="0" fontId="9" fillId="13" borderId="166" xfId="33" applyFont="1" applyFill="1" applyBorder="1" applyAlignment="1">
      <alignment horizontal="justify" vertical="top" wrapText="1"/>
    </xf>
    <xf numFmtId="0" fontId="9" fillId="13" borderId="167" xfId="33" applyFont="1" applyFill="1" applyBorder="1" applyAlignment="1">
      <alignment horizontal="justify" vertical="top" wrapText="1"/>
    </xf>
    <xf numFmtId="0" fontId="9" fillId="13" borderId="168" xfId="33" applyFont="1" applyFill="1" applyBorder="1" applyAlignment="1">
      <alignment horizontal="justify" vertical="top" wrapText="1"/>
    </xf>
    <xf numFmtId="0" fontId="24" fillId="13" borderId="170" xfId="33" applyFont="1" applyFill="1" applyBorder="1" applyAlignment="1">
      <alignment horizontal="center" vertical="center"/>
    </xf>
    <xf numFmtId="0" fontId="24" fillId="13" borderId="171" xfId="33" applyFont="1" applyFill="1" applyBorder="1" applyAlignment="1">
      <alignment horizontal="center" vertical="center"/>
    </xf>
    <xf numFmtId="0" fontId="9" fillId="5" borderId="198" xfId="33" applyFont="1" applyFill="1" applyBorder="1" applyAlignment="1" applyProtection="1">
      <alignment horizontal="left" vertical="center" wrapText="1"/>
      <protection locked="0"/>
    </xf>
    <xf numFmtId="0" fontId="9" fillId="5" borderId="172" xfId="33" applyFont="1" applyFill="1" applyBorder="1" applyAlignment="1" applyProtection="1">
      <alignment horizontal="left" vertical="center" wrapText="1"/>
      <protection locked="0"/>
    </xf>
    <xf numFmtId="0" fontId="9" fillId="13" borderId="59" xfId="33" applyFont="1" applyFill="1" applyBorder="1" applyAlignment="1">
      <alignment horizontal="left" vertical="center" wrapText="1"/>
    </xf>
    <xf numFmtId="0" fontId="24" fillId="13" borderId="198" xfId="33" applyFont="1" applyFill="1" applyBorder="1" applyAlignment="1">
      <alignment horizontal="center" vertical="center"/>
    </xf>
    <xf numFmtId="0" fontId="24" fillId="13" borderId="172" xfId="33" applyFont="1" applyFill="1" applyBorder="1" applyAlignment="1">
      <alignment horizontal="center" vertical="center"/>
    </xf>
    <xf numFmtId="0" fontId="9" fillId="13" borderId="198" xfId="33" applyFont="1" applyFill="1" applyBorder="1" applyAlignment="1">
      <alignment horizontal="left" vertical="center" wrapText="1"/>
    </xf>
    <xf numFmtId="0" fontId="9" fillId="13" borderId="172"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198" xfId="33" applyFont="1" applyFill="1" applyBorder="1" applyAlignment="1" applyProtection="1">
      <alignment horizontal="left" vertical="top" wrapText="1"/>
      <protection locked="0"/>
    </xf>
    <xf numFmtId="0" fontId="9" fillId="5" borderId="199" xfId="33" applyFont="1" applyFill="1" applyBorder="1" applyAlignment="1" applyProtection="1">
      <alignment horizontal="left" vertical="top" wrapText="1"/>
      <protection locked="0"/>
    </xf>
    <xf numFmtId="0" fontId="9" fillId="5" borderId="200" xfId="33" applyFont="1" applyFill="1" applyBorder="1" applyAlignment="1" applyProtection="1">
      <alignment horizontal="left" vertical="top" wrapText="1"/>
      <protection locked="0"/>
    </xf>
    <xf numFmtId="10" fontId="9" fillId="5" borderId="198" xfId="33" applyNumberFormat="1" applyFont="1" applyFill="1" applyBorder="1" applyAlignment="1" applyProtection="1">
      <alignment horizontal="center" vertical="center" wrapText="1"/>
      <protection locked="0"/>
    </xf>
    <xf numFmtId="0" fontId="9" fillId="5" borderId="199" xfId="33" applyFont="1" applyFill="1" applyBorder="1" applyAlignment="1" applyProtection="1">
      <alignment horizontal="center" vertical="center" wrapText="1"/>
      <protection locked="0"/>
    </xf>
    <xf numFmtId="0" fontId="9" fillId="5" borderId="200"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198" xfId="33" applyFont="1" applyFill="1" applyBorder="1" applyAlignment="1" applyProtection="1">
      <alignment horizontal="center" vertical="center"/>
      <protection locked="0"/>
    </xf>
    <xf numFmtId="0" fontId="24" fillId="5" borderId="200" xfId="33" applyFont="1" applyFill="1" applyBorder="1" applyAlignment="1" applyProtection="1">
      <alignment horizontal="center" vertical="center"/>
      <protection locked="0"/>
    </xf>
    <xf numFmtId="0" fontId="9" fillId="5" borderId="170" xfId="33" applyFont="1" applyFill="1" applyBorder="1" applyAlignment="1" applyProtection="1">
      <alignment horizontal="left" vertical="center" wrapText="1"/>
      <protection locked="0"/>
    </xf>
    <xf numFmtId="0" fontId="9" fillId="5" borderId="174" xfId="33" applyFont="1" applyFill="1" applyBorder="1" applyAlignment="1" applyProtection="1">
      <alignment horizontal="left" vertical="center" wrapText="1"/>
      <protection locked="0"/>
    </xf>
    <xf numFmtId="0" fontId="9" fillId="5" borderId="175" xfId="33" applyFont="1" applyFill="1" applyBorder="1" applyAlignment="1" applyProtection="1">
      <alignment horizontal="left" vertical="center" wrapText="1"/>
      <protection locked="0"/>
    </xf>
    <xf numFmtId="0" fontId="9" fillId="5" borderId="176" xfId="33" applyFont="1" applyFill="1" applyBorder="1" applyAlignment="1" applyProtection="1">
      <alignment horizontal="left" vertical="center" wrapText="1"/>
      <protection locked="0"/>
    </xf>
    <xf numFmtId="0" fontId="9" fillId="5" borderId="171" xfId="33" applyFont="1" applyFill="1" applyBorder="1" applyAlignment="1" applyProtection="1">
      <alignment horizontal="left" vertical="center" wrapText="1"/>
      <protection locked="0"/>
    </xf>
    <xf numFmtId="0" fontId="9" fillId="13" borderId="170" xfId="33" applyFont="1" applyFill="1" applyBorder="1" applyAlignment="1">
      <alignment horizontal="left" vertical="center" wrapText="1"/>
    </xf>
    <xf numFmtId="0" fontId="9" fillId="13" borderId="176" xfId="33" applyFont="1" applyFill="1" applyBorder="1" applyAlignment="1">
      <alignment horizontal="left" vertical="center" wrapText="1"/>
    </xf>
    <xf numFmtId="0" fontId="9" fillId="13" borderId="171" xfId="33" applyFont="1" applyFill="1" applyBorder="1" applyAlignment="1">
      <alignment horizontal="left" vertical="center" wrapText="1"/>
    </xf>
    <xf numFmtId="0" fontId="24" fillId="5" borderId="198" xfId="33" applyFont="1" applyFill="1" applyBorder="1" applyAlignment="1" applyProtection="1">
      <alignment horizontal="left" vertical="top"/>
      <protection locked="0"/>
    </xf>
    <xf numFmtId="0" fontId="24" fillId="5" borderId="199" xfId="33" applyFont="1" applyFill="1" applyBorder="1" applyAlignment="1" applyProtection="1">
      <alignment horizontal="left" vertical="top"/>
      <protection locked="0"/>
    </xf>
    <xf numFmtId="0" fontId="24" fillId="5" borderId="186" xfId="33" applyFont="1" applyFill="1" applyBorder="1" applyAlignment="1" applyProtection="1">
      <alignment horizontal="left" vertical="top"/>
      <protection locked="0"/>
    </xf>
    <xf numFmtId="0" fontId="24" fillId="5" borderId="187" xfId="33" applyFont="1" applyFill="1" applyBorder="1" applyAlignment="1" applyProtection="1">
      <alignment horizontal="left" vertical="top"/>
      <protection locked="0"/>
    </xf>
    <xf numFmtId="0" fontId="24" fillId="13" borderId="197" xfId="33" applyFont="1" applyFill="1" applyBorder="1" applyAlignment="1">
      <alignment horizontal="center" vertical="center"/>
    </xf>
    <xf numFmtId="0" fontId="24" fillId="13" borderId="201" xfId="33" applyFont="1" applyFill="1" applyBorder="1" applyAlignment="1">
      <alignment horizontal="center" vertical="center"/>
    </xf>
    <xf numFmtId="0" fontId="9" fillId="5" borderId="198" xfId="33" applyFont="1" applyFill="1" applyBorder="1" applyAlignment="1" applyProtection="1">
      <alignment horizontal="center" vertical="center" wrapText="1"/>
      <protection locked="0"/>
    </xf>
    <xf numFmtId="0" fontId="9" fillId="5" borderId="59" xfId="33" applyFont="1" applyFill="1" applyBorder="1" applyAlignment="1" applyProtection="1">
      <alignment horizontal="center" vertical="center" wrapText="1"/>
      <protection locked="0"/>
    </xf>
    <xf numFmtId="0" fontId="9" fillId="5" borderId="59"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198" xfId="33" applyFont="1" applyFill="1" applyBorder="1" applyAlignment="1" applyProtection="1">
      <alignment horizontal="center" vertical="center" wrapText="1"/>
      <protection locked="0"/>
    </xf>
    <xf numFmtId="0" fontId="24" fillId="5" borderId="199" xfId="33" applyFont="1" applyFill="1" applyBorder="1" applyAlignment="1" applyProtection="1">
      <alignment horizontal="center" vertical="center" wrapText="1"/>
      <protection locked="0"/>
    </xf>
    <xf numFmtId="0" fontId="24" fillId="5" borderId="200" xfId="33" applyFont="1" applyFill="1" applyBorder="1" applyAlignment="1" applyProtection="1">
      <alignment horizontal="center" vertical="center" wrapText="1"/>
      <protection locked="0"/>
    </xf>
    <xf numFmtId="0" fontId="24" fillId="13" borderId="199" xfId="33" applyFont="1" applyFill="1" applyBorder="1" applyAlignment="1">
      <alignment horizontal="center" vertical="center"/>
    </xf>
    <xf numFmtId="0" fontId="24" fillId="13" borderId="200" xfId="33" applyFont="1" applyFill="1" applyBorder="1" applyAlignment="1">
      <alignment horizontal="center" vertical="center"/>
    </xf>
    <xf numFmtId="0" fontId="24" fillId="0" borderId="0" xfId="33" applyFont="1" applyAlignment="1">
      <alignment horizontal="left"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95" xfId="33" applyFont="1" applyFill="1" applyBorder="1" applyAlignment="1" applyProtection="1">
      <alignment horizontal="left" vertical="center"/>
      <protection locked="0"/>
    </xf>
    <xf numFmtId="0" fontId="24" fillId="5" borderId="96" xfId="33" applyFont="1" applyFill="1" applyBorder="1" applyAlignment="1" applyProtection="1">
      <alignment horizontal="left" vertical="center"/>
      <protection locked="0"/>
    </xf>
    <xf numFmtId="0" fontId="24" fillId="5" borderId="97" xfId="33" applyFont="1" applyFill="1" applyBorder="1" applyAlignment="1" applyProtection="1">
      <alignment horizontal="left" vertical="center"/>
      <protection locked="0"/>
    </xf>
    <xf numFmtId="0" fontId="24" fillId="5" borderId="197" xfId="33" applyFont="1" applyFill="1" applyBorder="1" applyAlignment="1" applyProtection="1">
      <alignment vertical="center"/>
      <protection locked="0"/>
    </xf>
    <xf numFmtId="0" fontId="24" fillId="5" borderId="186" xfId="33" applyFont="1" applyFill="1" applyBorder="1" applyAlignment="1" applyProtection="1">
      <alignment vertical="center"/>
      <protection locked="0"/>
    </xf>
    <xf numFmtId="0" fontId="24" fillId="5" borderId="187"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98" xfId="33" applyFont="1" applyFill="1" applyBorder="1" applyAlignment="1" applyProtection="1">
      <alignment horizontal="left" vertical="center" wrapText="1"/>
      <protection locked="0"/>
    </xf>
    <xf numFmtId="0" fontId="9" fillId="10" borderId="19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5" borderId="95" xfId="33" applyFont="1" applyFill="1" applyBorder="1" applyAlignment="1" applyProtection="1">
      <alignment horizontal="center" vertical="center"/>
      <protection locked="0"/>
    </xf>
    <xf numFmtId="0" fontId="24" fillId="5" borderId="97" xfId="33" applyFont="1" applyFill="1" applyBorder="1" applyAlignment="1" applyProtection="1">
      <alignment horizontal="center" vertical="center"/>
      <protection locked="0"/>
    </xf>
    <xf numFmtId="0" fontId="9" fillId="5" borderId="95" xfId="33" applyFont="1" applyFill="1" applyBorder="1" applyAlignment="1" applyProtection="1">
      <alignment vertical="top" wrapText="1"/>
      <protection locked="0"/>
    </xf>
    <xf numFmtId="0" fontId="9" fillId="5" borderId="96" xfId="33" applyFont="1" applyFill="1" applyBorder="1" applyAlignment="1" applyProtection="1">
      <alignment vertical="top" wrapText="1"/>
      <protection locked="0"/>
    </xf>
    <xf numFmtId="0" fontId="9" fillId="5" borderId="97"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95" xfId="33" applyFont="1" applyFill="1" applyBorder="1" applyAlignment="1" applyProtection="1">
      <alignment horizontal="left" vertical="top" wrapText="1"/>
      <protection locked="0"/>
    </xf>
    <xf numFmtId="0" fontId="9" fillId="5" borderId="96" xfId="33" applyFont="1" applyFill="1" applyBorder="1" applyAlignment="1" applyProtection="1">
      <alignment horizontal="left" vertical="top" wrapText="1"/>
      <protection locked="0"/>
    </xf>
    <xf numFmtId="0" fontId="9" fillId="5" borderId="97" xfId="33" applyFont="1" applyFill="1" applyBorder="1" applyAlignment="1" applyProtection="1">
      <alignment horizontal="left" vertical="top" wrapText="1"/>
      <protection locked="0"/>
    </xf>
    <xf numFmtId="0" fontId="24" fillId="5" borderId="95" xfId="33" applyFont="1" applyFill="1" applyBorder="1" applyAlignment="1" applyProtection="1">
      <alignment horizontal="center" vertical="top"/>
      <protection locked="0"/>
    </xf>
    <xf numFmtId="0" fontId="24" fillId="5" borderId="97" xfId="33" applyFont="1" applyFill="1" applyBorder="1" applyAlignment="1" applyProtection="1">
      <alignment horizontal="center" vertical="top"/>
      <protection locked="0"/>
    </xf>
    <xf numFmtId="0" fontId="24" fillId="5" borderId="59"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5" borderId="198" xfId="33" applyFont="1" applyFill="1" applyBorder="1" applyAlignment="1" applyProtection="1">
      <alignment horizontal="center" vertical="top"/>
      <protection locked="0"/>
    </xf>
    <xf numFmtId="0" fontId="24" fillId="5" borderId="200" xfId="33" applyFont="1" applyFill="1" applyBorder="1" applyAlignment="1" applyProtection="1">
      <alignment horizontal="center" vertical="top"/>
      <protection locked="0"/>
    </xf>
    <xf numFmtId="0" fontId="9" fillId="5" borderId="95" xfId="33" applyFont="1" applyFill="1" applyBorder="1" applyAlignment="1" applyProtection="1">
      <alignment horizontal="left" vertical="center" wrapText="1"/>
      <protection locked="0"/>
    </xf>
    <xf numFmtId="0" fontId="9" fillId="5" borderId="96"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2"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0" borderId="5" xfId="33" applyFont="1" applyBorder="1" applyAlignment="1">
      <alignment horizontal="left" vertical="top" wrapText="1"/>
    </xf>
    <xf numFmtId="0" fontId="254" fillId="0" borderId="0" xfId="33" applyFont="1" applyAlignment="1">
      <alignment horizontal="center"/>
    </xf>
    <xf numFmtId="0" fontId="24" fillId="5" borderId="177"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7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79" xfId="33" applyFont="1" applyFill="1" applyBorder="1" applyAlignment="1" applyProtection="1">
      <alignment horizontal="center" vertical="center"/>
      <protection locked="0"/>
    </xf>
    <xf numFmtId="0" fontId="24" fillId="13" borderId="205" xfId="33" applyFont="1" applyFill="1" applyBorder="1" applyAlignment="1">
      <alignment horizontal="center" vertical="center"/>
    </xf>
    <xf numFmtId="0" fontId="24" fillId="5" borderId="26"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7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84" xfId="33" applyFont="1" applyFill="1" applyBorder="1" applyAlignment="1" applyProtection="1">
      <alignment horizontal="center" vertical="center"/>
      <protection locked="0"/>
    </xf>
    <xf numFmtId="0" fontId="9" fillId="5" borderId="182" xfId="33" applyFont="1" applyFill="1" applyBorder="1" applyAlignment="1" applyProtection="1">
      <alignment horizontal="left" vertical="center" wrapText="1"/>
      <protection locked="0"/>
    </xf>
    <xf numFmtId="0" fontId="9" fillId="5" borderId="95" xfId="33" applyFont="1" applyFill="1" applyBorder="1" applyAlignment="1" applyProtection="1">
      <alignment horizontal="center" vertical="center"/>
      <protection locked="0"/>
    </xf>
    <xf numFmtId="0" fontId="9" fillId="5" borderId="177" xfId="33" applyFont="1" applyFill="1" applyBorder="1" applyAlignment="1" applyProtection="1">
      <alignment horizontal="center" vertical="center"/>
      <protection locked="0"/>
    </xf>
    <xf numFmtId="0" fontId="9" fillId="5" borderId="198" xfId="33" applyFont="1" applyFill="1" applyBorder="1" applyAlignment="1" applyProtection="1">
      <alignment horizontal="center" vertical="center"/>
      <protection locked="0"/>
    </xf>
    <xf numFmtId="0" fontId="9" fillId="5" borderId="199" xfId="33" applyFont="1" applyFill="1" applyBorder="1" applyAlignment="1" applyProtection="1">
      <alignment horizontal="center" vertical="center"/>
      <protection locked="0"/>
    </xf>
    <xf numFmtId="0" fontId="9" fillId="5" borderId="200"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174" xfId="33" applyFont="1" applyFill="1" applyBorder="1" applyAlignment="1">
      <alignment horizontal="left" vertical="center" wrapText="1"/>
    </xf>
    <xf numFmtId="0" fontId="9" fillId="13" borderId="175" xfId="33" applyFont="1" applyFill="1" applyBorder="1" applyAlignment="1">
      <alignment horizontal="left" vertical="center" wrapText="1"/>
    </xf>
    <xf numFmtId="0" fontId="9" fillId="0" borderId="5" xfId="33" applyFont="1" applyBorder="1" applyAlignment="1">
      <alignment horizontal="left" vertical="center"/>
    </xf>
    <xf numFmtId="0" fontId="24" fillId="5" borderId="95" xfId="33" applyFont="1" applyFill="1" applyBorder="1" applyAlignment="1" applyProtection="1">
      <alignment vertical="center"/>
      <protection locked="0"/>
    </xf>
    <xf numFmtId="0" fontId="24" fillId="5" borderId="96" xfId="33" applyFont="1" applyFill="1" applyBorder="1" applyAlignment="1" applyProtection="1">
      <alignment vertical="center"/>
      <protection locked="0"/>
    </xf>
    <xf numFmtId="0" fontId="24" fillId="5" borderId="97" xfId="33" applyFont="1" applyFill="1" applyBorder="1" applyAlignment="1" applyProtection="1">
      <alignment vertical="center"/>
      <protection locked="0"/>
    </xf>
    <xf numFmtId="0" fontId="24" fillId="5" borderId="19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199" xfId="33" applyFont="1" applyFill="1" applyBorder="1" applyAlignment="1" applyProtection="1">
      <alignment horizontal="left" vertical="center" wrapText="1"/>
      <protection locked="0"/>
    </xf>
    <xf numFmtId="0" fontId="9" fillId="5" borderId="200" xfId="33" applyFont="1" applyFill="1" applyBorder="1" applyAlignment="1" applyProtection="1">
      <alignment horizontal="left" vertical="center" wrapText="1"/>
      <protection locked="0"/>
    </xf>
    <xf numFmtId="0" fontId="9" fillId="13" borderId="199" xfId="33" applyFont="1" applyFill="1" applyBorder="1" applyAlignment="1">
      <alignment horizontal="left" vertical="center" wrapText="1"/>
    </xf>
    <xf numFmtId="0" fontId="9" fillId="13" borderId="200" xfId="33" applyFont="1" applyFill="1" applyBorder="1" applyAlignment="1">
      <alignment horizontal="left" vertical="center" wrapText="1"/>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95" xfId="37" applyFont="1" applyFill="1" applyBorder="1" applyAlignment="1" applyProtection="1">
      <alignment horizontal="center" vertical="center"/>
      <protection locked="0"/>
    </xf>
    <xf numFmtId="0" fontId="9" fillId="10" borderId="96" xfId="37" applyFont="1" applyFill="1" applyBorder="1" applyAlignment="1" applyProtection="1">
      <alignment horizontal="center" vertical="center"/>
      <protection locked="0"/>
    </xf>
    <xf numFmtId="0" fontId="9" fillId="10" borderId="9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22"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95" xfId="37" applyFont="1" applyFill="1" applyBorder="1" applyAlignment="1" applyProtection="1">
      <alignment horizontal="center" vertical="center"/>
      <protection locked="0"/>
    </xf>
    <xf numFmtId="0" fontId="24" fillId="5" borderId="96" xfId="37" applyFont="1" applyFill="1" applyBorder="1" applyAlignment="1" applyProtection="1">
      <alignment horizontal="center" vertical="center"/>
      <protection locked="0"/>
    </xf>
    <xf numFmtId="0" fontId="24" fillId="5" borderId="97" xfId="37" applyFont="1" applyFill="1" applyBorder="1" applyAlignment="1" applyProtection="1">
      <alignment horizontal="center" vertical="center"/>
      <protection locked="0"/>
    </xf>
    <xf numFmtId="0" fontId="9" fillId="0" borderId="198" xfId="37" applyFont="1" applyBorder="1" applyAlignment="1">
      <alignment horizontal="center" vertical="center"/>
    </xf>
    <xf numFmtId="0" fontId="9" fillId="0" borderId="200"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3" fillId="0" borderId="65" xfId="37" applyBorder="1" applyAlignment="1">
      <alignment horizontal="center" wrapText="1"/>
    </xf>
    <xf numFmtId="0" fontId="9" fillId="5" borderId="86" xfId="37" applyFont="1" applyFill="1" applyBorder="1" applyAlignment="1">
      <alignment horizontal="left" vertical="top" wrapText="1"/>
    </xf>
    <xf numFmtId="0" fontId="9" fillId="5" borderId="87" xfId="37" applyFont="1" applyFill="1" applyBorder="1" applyAlignment="1">
      <alignment horizontal="left" vertical="top" wrapText="1"/>
    </xf>
    <xf numFmtId="0" fontId="9" fillId="5" borderId="88" xfId="37" applyFont="1" applyFill="1" applyBorder="1" applyAlignment="1">
      <alignment horizontal="left" vertical="top" wrapText="1"/>
    </xf>
    <xf numFmtId="0" fontId="9" fillId="13" borderId="198" xfId="37" applyFont="1" applyFill="1" applyBorder="1" applyAlignment="1">
      <alignment horizontal="left" vertical="top" wrapText="1"/>
    </xf>
    <xf numFmtId="0" fontId="9" fillId="13" borderId="199" xfId="37" applyFont="1" applyFill="1" applyBorder="1" applyAlignment="1">
      <alignment horizontal="left" vertical="top" wrapText="1"/>
    </xf>
    <xf numFmtId="0" fontId="9" fillId="13" borderId="200" xfId="37" applyFont="1" applyFill="1" applyBorder="1" applyAlignment="1">
      <alignment horizontal="left" vertical="top" wrapText="1"/>
    </xf>
    <xf numFmtId="0" fontId="9" fillId="10" borderId="198" xfId="37" applyFont="1" applyFill="1" applyBorder="1" applyAlignment="1">
      <alignment horizontal="left" vertical="center"/>
    </xf>
    <xf numFmtId="0" fontId="9" fillId="10" borderId="199" xfId="37" applyFont="1" applyFill="1" applyBorder="1" applyAlignment="1">
      <alignment horizontal="left" vertical="center"/>
    </xf>
    <xf numFmtId="0" fontId="9" fillId="10" borderId="200" xfId="37" applyFont="1" applyFill="1" applyBorder="1" applyAlignment="1">
      <alignment horizontal="left" vertical="center"/>
    </xf>
    <xf numFmtId="0" fontId="9" fillId="0" borderId="0" xfId="37" applyFont="1" applyAlignment="1">
      <alignment horizontal="left" vertical="top" wrapText="1"/>
    </xf>
    <xf numFmtId="0" fontId="9" fillId="5" borderId="86" xfId="37" applyFont="1" applyFill="1" applyBorder="1" applyAlignment="1" applyProtection="1">
      <alignment horizontal="left" vertical="top" wrapText="1"/>
      <protection locked="0"/>
    </xf>
    <xf numFmtId="0" fontId="9" fillId="5" borderId="87" xfId="37" applyFont="1" applyFill="1" applyBorder="1" applyAlignment="1" applyProtection="1">
      <alignment horizontal="left" vertical="top" wrapText="1"/>
      <protection locked="0"/>
    </xf>
    <xf numFmtId="0" fontId="9" fillId="5" borderId="88" xfId="37" applyFont="1" applyFill="1" applyBorder="1" applyAlignment="1" applyProtection="1">
      <alignment horizontal="left" vertical="top" wrapText="1"/>
      <protection locked="0"/>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10" borderId="12" xfId="37" applyFont="1" applyFill="1" applyBorder="1" applyAlignment="1" applyProtection="1">
      <alignment horizontal="left" vertical="center"/>
      <protection locked="0"/>
    </xf>
    <xf numFmtId="0" fontId="225" fillId="0" borderId="198" xfId="37" applyFont="1" applyBorder="1" applyAlignment="1">
      <alignment horizontal="center" vertical="center" wrapText="1"/>
    </xf>
    <xf numFmtId="0" fontId="225" fillId="0" borderId="199" xfId="37" applyFont="1" applyBorder="1" applyAlignment="1">
      <alignment horizontal="center" vertical="center" wrapText="1"/>
    </xf>
    <xf numFmtId="0" fontId="225" fillId="0" borderId="200" xfId="37" applyFont="1" applyBorder="1" applyAlignment="1">
      <alignment horizontal="center" vertical="center" wrapText="1"/>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59" xfId="37" applyFont="1" applyBorder="1" applyAlignment="1">
      <alignment horizontal="center" vertical="center" wrapText="1"/>
    </xf>
    <xf numFmtId="0" fontId="24" fillId="0" borderId="58" xfId="37" applyFont="1" applyBorder="1" applyAlignment="1">
      <alignment horizontal="center" vertical="center"/>
    </xf>
    <xf numFmtId="0" fontId="9" fillId="5" borderId="198" xfId="37" applyFont="1" applyFill="1" applyBorder="1" applyAlignment="1" applyProtection="1">
      <alignment horizontal="left" vertical="top" wrapText="1"/>
      <protection locked="0"/>
    </xf>
    <xf numFmtId="0" fontId="9" fillId="5" borderId="199" xfId="37" applyFont="1" applyFill="1" applyBorder="1" applyAlignment="1" applyProtection="1">
      <alignment horizontal="left" vertical="top" wrapText="1"/>
      <protection locked="0"/>
    </xf>
    <xf numFmtId="0" fontId="9" fillId="5" borderId="200"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3" fontId="9" fillId="0" borderId="95" xfId="37" applyNumberFormat="1" applyFont="1" applyBorder="1" applyAlignment="1">
      <alignment horizontal="center" vertical="center"/>
    </xf>
    <xf numFmtId="3" fontId="9" fillId="0" borderId="97" xfId="37" applyNumberFormat="1" applyFont="1" applyBorder="1" applyAlignment="1">
      <alignment horizontal="center" vertical="center"/>
    </xf>
    <xf numFmtId="3" fontId="9" fillId="0" borderId="96"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98" xfId="37" applyNumberFormat="1" applyFont="1" applyBorder="1" applyAlignment="1">
      <alignment horizontal="center" vertical="center"/>
    </xf>
    <xf numFmtId="4" fontId="131" fillId="0" borderId="199" xfId="37" applyNumberFormat="1" applyFont="1" applyBorder="1" applyAlignment="1">
      <alignment horizontal="center" vertical="center"/>
    </xf>
    <xf numFmtId="4" fontId="131" fillId="0" borderId="200" xfId="37" applyNumberFormat="1" applyFont="1" applyBorder="1" applyAlignment="1">
      <alignment horizontal="center" vertical="center"/>
    </xf>
    <xf numFmtId="0" fontId="9" fillId="10" borderId="98" xfId="37" applyFont="1" applyFill="1" applyBorder="1" applyAlignment="1" applyProtection="1">
      <alignment horizontal="left" vertical="center"/>
      <protection locked="0"/>
    </xf>
    <xf numFmtId="0" fontId="247" fillId="0" borderId="0" xfId="37" applyFont="1" applyAlignment="1">
      <alignment horizontal="center"/>
    </xf>
    <xf numFmtId="0" fontId="24" fillId="0" borderId="197" xfId="37" applyFont="1" applyBorder="1" applyAlignment="1">
      <alignment horizontal="center" vertical="center" wrapText="1"/>
    </xf>
    <xf numFmtId="0" fontId="24" fillId="0" borderId="186" xfId="37" applyFont="1" applyBorder="1" applyAlignment="1">
      <alignment horizontal="center" vertical="center" wrapText="1"/>
    </xf>
    <xf numFmtId="0" fontId="24" fillId="0" borderId="187"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59" xfId="37" applyFont="1" applyFill="1" applyBorder="1" applyAlignment="1" applyProtection="1">
      <alignment horizontal="left" vertical="center"/>
      <protection locked="0"/>
    </xf>
    <xf numFmtId="0" fontId="9" fillId="5" borderId="198" xfId="37" applyFont="1" applyFill="1" applyBorder="1" applyAlignment="1">
      <alignment horizontal="left" vertical="top" wrapText="1"/>
    </xf>
    <xf numFmtId="0" fontId="9" fillId="5" borderId="199" xfId="37" applyFont="1" applyFill="1" applyBorder="1" applyAlignment="1">
      <alignment horizontal="left" vertical="top" wrapText="1"/>
    </xf>
    <xf numFmtId="0" fontId="9" fillId="5" borderId="200" xfId="37" applyFont="1" applyFill="1" applyBorder="1" applyAlignment="1">
      <alignment horizontal="left" vertical="top" wrapText="1"/>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10" borderId="197" xfId="37" applyFont="1" applyFill="1" applyBorder="1" applyAlignment="1" applyProtection="1">
      <alignment horizontal="left" vertical="center"/>
      <protection locked="0"/>
    </xf>
    <xf numFmtId="0" fontId="9" fillId="10" borderId="186" xfId="37" applyFont="1" applyFill="1" applyBorder="1" applyAlignment="1" applyProtection="1">
      <alignment horizontal="left" vertical="center"/>
      <protection locked="0"/>
    </xf>
    <xf numFmtId="0" fontId="9" fillId="10" borderId="199" xfId="37" applyFont="1" applyFill="1" applyBorder="1" applyAlignment="1" applyProtection="1">
      <alignment horizontal="left" vertical="center"/>
      <protection locked="0"/>
    </xf>
    <xf numFmtId="0" fontId="9" fillId="10" borderId="200"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198" xfId="37" applyFont="1" applyFill="1" applyBorder="1" applyAlignment="1">
      <alignment horizontal="left"/>
    </xf>
    <xf numFmtId="0" fontId="9" fillId="10" borderId="199" xfId="37" applyFont="1" applyFill="1" applyBorder="1" applyAlignment="1">
      <alignment horizontal="left"/>
    </xf>
    <xf numFmtId="0" fontId="9" fillId="10" borderId="200" xfId="37" applyFont="1" applyFill="1" applyBorder="1" applyAlignment="1">
      <alignment horizontal="left"/>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50" xfId="37" applyBorder="1" applyAlignment="1">
      <alignment horizontal="center" wrapText="1"/>
    </xf>
    <xf numFmtId="3" fontId="9" fillId="10" borderId="95" xfId="37" applyNumberFormat="1" applyFont="1" applyFill="1" applyBorder="1" applyAlignment="1" applyProtection="1">
      <alignment horizontal="center" vertical="center"/>
      <protection locked="0"/>
    </xf>
    <xf numFmtId="3" fontId="9" fillId="10" borderId="97" xfId="37" applyNumberFormat="1" applyFont="1" applyFill="1" applyBorder="1" applyAlignment="1" applyProtection="1">
      <alignment horizontal="center" vertical="center"/>
      <protection locked="0"/>
    </xf>
    <xf numFmtId="3" fontId="9" fillId="13" borderId="95" xfId="37" applyNumberFormat="1" applyFont="1" applyFill="1" applyBorder="1" applyAlignment="1">
      <alignment horizontal="center" vertical="center"/>
    </xf>
    <xf numFmtId="3" fontId="9" fillId="13" borderId="96" xfId="37" applyNumberFormat="1" applyFont="1" applyFill="1" applyBorder="1" applyAlignment="1">
      <alignment horizontal="center" vertical="center"/>
    </xf>
    <xf numFmtId="3" fontId="9" fillId="13" borderId="97" xfId="37" applyNumberFormat="1" applyFont="1" applyFill="1" applyBorder="1" applyAlignment="1">
      <alignment horizontal="center" vertical="center"/>
    </xf>
    <xf numFmtId="175" fontId="9" fillId="5" borderId="25" xfId="37" applyNumberFormat="1" applyFont="1" applyFill="1" applyBorder="1" applyAlignment="1">
      <alignment horizontal="center" vertical="center"/>
    </xf>
    <xf numFmtId="175" fontId="9" fillId="5" borderId="42" xfId="37" applyNumberFormat="1" applyFont="1" applyFill="1" applyBorder="1" applyAlignment="1">
      <alignment horizontal="center" vertical="center"/>
    </xf>
    <xf numFmtId="175" fontId="9" fillId="5" borderId="26" xfId="37" applyNumberFormat="1" applyFont="1" applyFill="1" applyBorder="1" applyAlignment="1">
      <alignment horizontal="center" vertical="center"/>
    </xf>
    <xf numFmtId="175" fontId="9" fillId="5" borderId="95" xfId="37" applyNumberFormat="1" applyFont="1" applyFill="1" applyBorder="1" applyAlignment="1">
      <alignment horizontal="center" vertical="center"/>
    </xf>
    <xf numFmtId="175" fontId="9" fillId="5" borderId="96" xfId="37" applyNumberFormat="1" applyFont="1" applyFill="1" applyBorder="1" applyAlignment="1">
      <alignment horizontal="center" vertical="center"/>
    </xf>
    <xf numFmtId="175" fontId="9" fillId="5" borderId="97" xfId="37" applyNumberFormat="1" applyFont="1" applyFill="1" applyBorder="1" applyAlignment="1">
      <alignment horizontal="center" vertical="center"/>
    </xf>
    <xf numFmtId="0" fontId="9" fillId="5" borderId="25" xfId="37" applyFont="1" applyFill="1" applyBorder="1" applyAlignment="1">
      <alignment horizontal="center" vertical="center"/>
    </xf>
    <xf numFmtId="0" fontId="9" fillId="5" borderId="42" xfId="37" applyFont="1" applyFill="1" applyBorder="1" applyAlignment="1">
      <alignment horizontal="center" vertical="center"/>
    </xf>
    <xf numFmtId="0" fontId="9" fillId="5" borderId="26" xfId="37" applyFont="1" applyFill="1" applyBorder="1" applyAlignment="1">
      <alignment horizontal="center" vertical="center"/>
    </xf>
    <xf numFmtId="0" fontId="9" fillId="5" borderId="95" xfId="37" applyFont="1" applyFill="1" applyBorder="1" applyAlignment="1">
      <alignment horizontal="center" vertical="center"/>
    </xf>
    <xf numFmtId="0" fontId="9" fillId="5" borderId="96" xfId="37" applyFont="1" applyFill="1" applyBorder="1" applyAlignment="1">
      <alignment horizontal="center" vertical="center"/>
    </xf>
    <xf numFmtId="0" fontId="9" fillId="5" borderId="97" xfId="37" applyFont="1" applyFill="1" applyBorder="1" applyAlignment="1">
      <alignment horizontal="center" vertic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198" xfId="37" applyNumberFormat="1" applyFont="1" applyFill="1" applyBorder="1" applyAlignment="1" applyProtection="1">
      <alignment horizontal="left" vertical="center"/>
      <protection locked="0"/>
    </xf>
    <xf numFmtId="3" fontId="24" fillId="10" borderId="200" xfId="37" applyNumberFormat="1" applyFont="1" applyFill="1" applyBorder="1" applyAlignment="1" applyProtection="1">
      <alignment horizontal="left" vertical="center"/>
      <protection locked="0"/>
    </xf>
    <xf numFmtId="3" fontId="24" fillId="13" borderId="198" xfId="37" applyNumberFormat="1" applyFont="1" applyFill="1" applyBorder="1" applyAlignment="1">
      <alignment horizontal="left" vertical="center"/>
    </xf>
    <xf numFmtId="3" fontId="24" fillId="13" borderId="200" xfId="37" applyNumberFormat="1" applyFont="1" applyFill="1" applyBorder="1" applyAlignment="1">
      <alignment horizontal="left" vertical="center"/>
    </xf>
    <xf numFmtId="49" fontId="9" fillId="10" borderId="198" xfId="37" applyNumberFormat="1" applyFont="1" applyFill="1" applyBorder="1" applyAlignment="1" applyProtection="1">
      <alignment horizontal="left" vertical="center" wrapText="1"/>
      <protection locked="0"/>
    </xf>
    <xf numFmtId="49" fontId="9" fillId="10" borderId="199" xfId="37" applyNumberFormat="1" applyFont="1" applyFill="1" applyBorder="1" applyAlignment="1" applyProtection="1">
      <alignment horizontal="left" vertical="center" wrapText="1"/>
      <protection locked="0"/>
    </xf>
    <xf numFmtId="49" fontId="9" fillId="10" borderId="200"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95" xfId="37" applyFont="1" applyFill="1" applyBorder="1" applyAlignment="1" applyProtection="1">
      <alignment horizontal="left" vertical="center" wrapText="1"/>
      <protection locked="0"/>
    </xf>
    <xf numFmtId="0" fontId="9" fillId="10" borderId="96" xfId="37" applyFont="1" applyFill="1" applyBorder="1" applyAlignment="1" applyProtection="1">
      <alignment horizontal="left" vertical="center" wrapText="1"/>
      <protection locked="0"/>
    </xf>
    <xf numFmtId="0" fontId="9" fillId="10" borderId="97"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42" xfId="37" applyFont="1" applyFill="1" applyBorder="1" applyAlignment="1" applyProtection="1">
      <alignment horizontal="center" vertical="center"/>
      <protection locked="0"/>
    </xf>
    <xf numFmtId="0" fontId="9" fillId="10" borderId="95" xfId="37" applyFont="1" applyFill="1" applyBorder="1" applyAlignment="1" applyProtection="1">
      <alignment horizontal="center" vertical="center" wrapText="1"/>
      <protection locked="0"/>
    </xf>
    <xf numFmtId="0" fontId="9" fillId="10" borderId="97" xfId="37" applyFont="1" applyFill="1" applyBorder="1" applyAlignment="1" applyProtection="1">
      <alignment horizontal="center" vertical="center" wrapText="1"/>
      <protection locked="0"/>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4" xfId="37" applyFont="1" applyBorder="1" applyAlignment="1">
      <alignment horizontal="center" wrapText="1"/>
    </xf>
    <xf numFmtId="0" fontId="8" fillId="0" borderId="9" xfId="37" applyFont="1" applyBorder="1" applyAlignment="1">
      <alignment horizontal="center" wrapText="1"/>
    </xf>
    <xf numFmtId="0" fontId="110" fillId="0" borderId="0" xfId="37" applyFont="1" applyAlignment="1">
      <alignment horizontal="center" vertical="center" wrapText="1"/>
    </xf>
    <xf numFmtId="0" fontId="9" fillId="0" borderId="0" xfId="37" applyFont="1" applyAlignment="1">
      <alignment horizontal="left"/>
    </xf>
    <xf numFmtId="0" fontId="9" fillId="5" borderId="59"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02"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40"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9"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3"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197" xfId="37" applyFont="1" applyFill="1" applyBorder="1" applyAlignment="1" applyProtection="1">
      <alignment horizontal="center" vertical="center"/>
      <protection locked="0"/>
    </xf>
    <xf numFmtId="0" fontId="130" fillId="10" borderId="186" xfId="37" applyFont="1" applyFill="1" applyBorder="1" applyAlignment="1" applyProtection="1">
      <alignment horizontal="center" vertical="center"/>
      <protection locked="0"/>
    </xf>
    <xf numFmtId="0" fontId="130" fillId="10" borderId="187"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30" xfId="37" applyFont="1" applyBorder="1" applyAlignment="1">
      <alignment horizontal="left" vertical="top" wrapText="1"/>
    </xf>
    <xf numFmtId="0" fontId="9" fillId="0" borderId="5" xfId="37" applyFont="1" applyBorder="1" applyAlignment="1">
      <alignment horizontal="left" vertical="top" wrapText="1"/>
    </xf>
    <xf numFmtId="0" fontId="225" fillId="0" borderId="80" xfId="37" applyFont="1" applyBorder="1" applyAlignment="1">
      <alignment horizontal="center" vertical="center" wrapText="1"/>
    </xf>
    <xf numFmtId="0" fontId="225" fillId="0" borderId="82" xfId="37" applyFont="1" applyBorder="1" applyAlignment="1">
      <alignment horizontal="center" vertical="center" wrapText="1"/>
    </xf>
    <xf numFmtId="0" fontId="225" fillId="0" borderId="0" xfId="37" applyFont="1" applyAlignment="1">
      <alignment horizontal="center"/>
    </xf>
    <xf numFmtId="0" fontId="9" fillId="13" borderId="95" xfId="37" applyFont="1" applyFill="1" applyBorder="1" applyAlignment="1">
      <alignment horizontal="left" vertical="top" wrapText="1"/>
    </xf>
    <xf numFmtId="0" fontId="9" fillId="13" borderId="96" xfId="37" applyFont="1" applyFill="1" applyBorder="1" applyAlignment="1">
      <alignment horizontal="left" vertical="top" wrapText="1"/>
    </xf>
    <xf numFmtId="0" fontId="9" fillId="13" borderId="100" xfId="37" applyFont="1" applyFill="1" applyBorder="1" applyAlignment="1">
      <alignment horizontal="left" vertical="top" wrapText="1"/>
    </xf>
    <xf numFmtId="0" fontId="9" fillId="13" borderId="102"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209" xfId="37" applyFont="1" applyBorder="1" applyAlignment="1">
      <alignment horizontal="center" vertical="top" wrapText="1"/>
    </xf>
    <xf numFmtId="0" fontId="24" fillId="0" borderId="187" xfId="37" applyFont="1" applyBorder="1" applyAlignment="1">
      <alignment horizontal="center" vertical="top" wrapText="1"/>
    </xf>
    <xf numFmtId="0" fontId="256" fillId="8" borderId="198" xfId="37" applyFont="1" applyFill="1" applyBorder="1" applyAlignment="1">
      <alignment horizontal="center" vertical="center"/>
    </xf>
    <xf numFmtId="0" fontId="256" fillId="8" borderId="199" xfId="37" applyFont="1" applyFill="1" applyBorder="1" applyAlignment="1">
      <alignment horizontal="center" vertical="center"/>
    </xf>
    <xf numFmtId="0" fontId="256" fillId="8" borderId="200"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209" xfId="37" applyFont="1" applyBorder="1" applyAlignment="1">
      <alignment horizontal="left" vertical="top" wrapText="1"/>
    </xf>
    <xf numFmtId="0" fontId="9" fillId="0" borderId="186"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62"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9" fillId="0" borderId="64"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0" borderId="197" xfId="37" applyFont="1" applyBorder="1" applyAlignment="1">
      <alignment horizontal="center" vertical="center"/>
    </xf>
    <xf numFmtId="0" fontId="24" fillId="0" borderId="186" xfId="37" applyFont="1" applyBorder="1" applyAlignment="1">
      <alignment horizontal="center" vertical="center"/>
    </xf>
    <xf numFmtId="0" fontId="24" fillId="0" borderId="187"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197" xfId="37" applyFont="1" applyFill="1" applyBorder="1" applyAlignment="1" applyProtection="1">
      <alignment horizontal="center" vertical="center"/>
      <protection locked="0"/>
    </xf>
    <xf numFmtId="0" fontId="130" fillId="5" borderId="186" xfId="37" applyFont="1" applyFill="1" applyBorder="1" applyAlignment="1" applyProtection="1">
      <alignment horizontal="center" vertical="center"/>
      <protection locked="0"/>
    </xf>
    <xf numFmtId="0" fontId="130" fillId="5" borderId="187"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4" fillId="0" borderId="198" xfId="37" applyFont="1" applyBorder="1" applyAlignment="1">
      <alignment horizontal="center" vertical="center"/>
    </xf>
    <xf numFmtId="0" fontId="24" fillId="0" borderId="200" xfId="37" applyFont="1" applyBorder="1" applyAlignment="1">
      <alignment horizontal="center" vertical="center"/>
    </xf>
    <xf numFmtId="0" fontId="266" fillId="0" borderId="85" xfId="37" applyFont="1" applyBorder="1" applyAlignment="1">
      <alignment horizontal="center" vertical="center"/>
    </xf>
    <xf numFmtId="0" fontId="266" fillId="0" borderId="61" xfId="37" applyFont="1" applyBorder="1" applyAlignment="1">
      <alignment horizontal="center" vertical="center"/>
    </xf>
    <xf numFmtId="0" fontId="258" fillId="0" borderId="85" xfId="37" applyFont="1" applyBorder="1" applyAlignment="1">
      <alignment horizontal="center" vertical="center"/>
    </xf>
    <xf numFmtId="0" fontId="258" fillId="0" borderId="61"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86"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166" fontId="205" fillId="28" borderId="144" xfId="35" applyNumberFormat="1" applyFont="1" applyFill="1" applyBorder="1" applyAlignment="1">
      <alignment horizontal="center" vertical="center"/>
    </xf>
    <xf numFmtId="166" fontId="205" fillId="28" borderId="116"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43" xfId="34" applyFont="1" applyFill="1" applyBorder="1" applyAlignment="1">
      <alignment horizontal="center" vertical="center"/>
    </xf>
    <xf numFmtId="164" fontId="205" fillId="28" borderId="95" xfId="34" applyNumberFormat="1" applyFont="1" applyFill="1" applyBorder="1" applyAlignment="1">
      <alignment horizontal="center" vertical="center"/>
    </xf>
    <xf numFmtId="164" fontId="205" fillId="28" borderId="141"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43"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42"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199" xfId="33" applyFont="1" applyBorder="1" applyAlignment="1">
      <alignment horizontal="center" vertical="center"/>
    </xf>
    <xf numFmtId="0" fontId="205" fillId="0" borderId="0" xfId="33" applyFont="1" applyAlignment="1">
      <alignment horizontal="center"/>
    </xf>
    <xf numFmtId="0" fontId="207" fillId="29" borderId="198" xfId="33" applyFont="1" applyFill="1" applyBorder="1" applyAlignment="1">
      <alignment horizontal="left"/>
    </xf>
    <xf numFmtId="0" fontId="207" fillId="29" borderId="199" xfId="33" applyFont="1" applyFill="1" applyBorder="1" applyAlignment="1">
      <alignment horizontal="left"/>
    </xf>
    <xf numFmtId="0" fontId="207" fillId="29" borderId="200" xfId="33" applyFont="1" applyFill="1" applyBorder="1" applyAlignment="1">
      <alignment horizontal="left"/>
    </xf>
    <xf numFmtId="0" fontId="207" fillId="0" borderId="109"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96" xfId="34" applyNumberFormat="1" applyFont="1" applyFill="1" applyBorder="1" applyAlignment="1" applyProtection="1">
      <alignment horizontal="center" vertical="center"/>
    </xf>
    <xf numFmtId="37" fontId="205" fillId="13" borderId="97"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83" fillId="0" borderId="198" xfId="33" applyFont="1" applyBorder="1" applyAlignment="1">
      <alignment horizontal="center" wrapText="1"/>
    </xf>
    <xf numFmtId="0" fontId="83" fillId="0" borderId="200" xfId="33" applyFont="1" applyBorder="1" applyAlignment="1">
      <alignment horizontal="center" wrapText="1"/>
    </xf>
    <xf numFmtId="164" fontId="83" fillId="13" borderId="199" xfId="34" applyNumberFormat="1" applyFont="1" applyFill="1" applyBorder="1" applyAlignment="1" applyProtection="1">
      <alignment horizontal="center" wrapText="1"/>
    </xf>
    <xf numFmtId="164" fontId="83" fillId="13" borderId="200" xfId="34" applyNumberFormat="1" applyFont="1" applyFill="1" applyBorder="1" applyAlignment="1" applyProtection="1">
      <alignment horizontal="center" wrapText="1"/>
    </xf>
    <xf numFmtId="0" fontId="205" fillId="0" borderId="190" xfId="33" applyFont="1" applyBorder="1"/>
    <xf numFmtId="0" fontId="205" fillId="0" borderId="36" xfId="33" applyFont="1" applyBorder="1"/>
    <xf numFmtId="0" fontId="205" fillId="28" borderId="96" xfId="33" applyFont="1" applyFill="1" applyBorder="1" applyAlignment="1">
      <alignment horizontal="center" vertical="center"/>
    </xf>
    <xf numFmtId="0" fontId="205" fillId="28" borderId="97" xfId="33" applyFont="1" applyFill="1" applyBorder="1" applyAlignment="1">
      <alignment horizontal="center" vertical="center"/>
    </xf>
    <xf numFmtId="37" fontId="205" fillId="28" borderId="98"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198" xfId="33" applyFont="1" applyBorder="1" applyAlignment="1">
      <alignment horizontal="left"/>
    </xf>
    <xf numFmtId="0" fontId="206" fillId="0" borderId="199" xfId="33" applyFont="1" applyBorder="1" applyAlignment="1">
      <alignment horizontal="left"/>
    </xf>
    <xf numFmtId="0" fontId="206" fillId="0" borderId="200" xfId="33" applyFont="1" applyBorder="1" applyAlignment="1">
      <alignment horizontal="left"/>
    </xf>
    <xf numFmtId="0" fontId="206" fillId="10" borderId="59" xfId="33" applyFont="1" applyFill="1" applyBorder="1" applyAlignment="1">
      <alignment horizontal="center"/>
    </xf>
    <xf numFmtId="0" fontId="206" fillId="28" borderId="198" xfId="33" applyFont="1" applyFill="1" applyBorder="1" applyAlignment="1">
      <alignment horizontal="center"/>
    </xf>
    <xf numFmtId="0" fontId="206" fillId="28" borderId="199" xfId="33" applyFont="1" applyFill="1" applyBorder="1" applyAlignment="1">
      <alignment horizontal="center"/>
    </xf>
    <xf numFmtId="0" fontId="206" fillId="28" borderId="200" xfId="33" applyFont="1" applyFill="1" applyBorder="1" applyAlignment="1">
      <alignment horizontal="center"/>
    </xf>
    <xf numFmtId="164" fontId="83" fillId="0" borderId="197" xfId="34" applyNumberFormat="1" applyFont="1" applyFill="1" applyBorder="1" applyAlignment="1">
      <alignment horizontal="center" wrapText="1"/>
    </xf>
    <xf numFmtId="164" fontId="83" fillId="0" borderId="187"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95" xfId="34" applyNumberFormat="1" applyFont="1" applyFill="1" applyBorder="1" applyAlignment="1" applyProtection="1">
      <alignment horizontal="center" vertical="center"/>
      <protection locked="0"/>
    </xf>
    <xf numFmtId="37" fontId="211" fillId="10" borderId="97" xfId="34" applyNumberFormat="1" applyFont="1" applyFill="1" applyBorder="1" applyAlignment="1" applyProtection="1">
      <alignment horizontal="center" vertical="center"/>
      <protection locked="0"/>
    </xf>
    <xf numFmtId="164" fontId="205" fillId="0" borderId="95" xfId="34" applyNumberFormat="1" applyFont="1" applyBorder="1" applyAlignment="1">
      <alignment horizontal="left" vertical="center"/>
    </xf>
    <xf numFmtId="164" fontId="205" fillId="0" borderId="96" xfId="34" applyNumberFormat="1" applyFont="1" applyBorder="1" applyAlignment="1">
      <alignment horizontal="left" vertical="center"/>
    </xf>
    <xf numFmtId="0" fontId="206" fillId="10" borderId="76" xfId="33" applyFont="1" applyFill="1" applyBorder="1" applyAlignment="1">
      <alignment horizontal="center"/>
    </xf>
    <xf numFmtId="0" fontId="206" fillId="10" borderId="9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07" xfId="33" applyFont="1" applyFill="1" applyBorder="1" applyAlignment="1">
      <alignment horizontal="center" wrapText="1"/>
    </xf>
    <xf numFmtId="0" fontId="206" fillId="28" borderId="117" xfId="33" applyFont="1" applyFill="1" applyBorder="1" applyAlignment="1">
      <alignment horizontal="center" wrapText="1"/>
    </xf>
    <xf numFmtId="0" fontId="206" fillId="28" borderId="108" xfId="33" applyFont="1" applyFill="1" applyBorder="1" applyAlignment="1">
      <alignment horizontal="center" wrapText="1"/>
    </xf>
    <xf numFmtId="0" fontId="206" fillId="28" borderId="116"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95" xfId="34" applyNumberFormat="1" applyFont="1" applyFill="1" applyBorder="1" applyAlignment="1" applyProtection="1">
      <alignment horizontal="center" vertical="center"/>
      <protection locked="0"/>
    </xf>
    <xf numFmtId="164" fontId="205" fillId="10" borderId="141" xfId="34" applyNumberFormat="1" applyFont="1" applyFill="1" applyBorder="1" applyAlignment="1" applyProtection="1">
      <alignment horizontal="center" vertical="center"/>
      <protection locked="0"/>
    </xf>
    <xf numFmtId="164" fontId="207" fillId="10" borderId="198" xfId="34" applyNumberFormat="1" applyFont="1" applyFill="1" applyBorder="1" applyAlignment="1" applyProtection="1">
      <alignment horizontal="center" vertical="center"/>
      <protection locked="0"/>
    </xf>
    <xf numFmtId="164" fontId="207" fillId="10" borderId="210" xfId="34" applyNumberFormat="1" applyFont="1" applyFill="1" applyBorder="1" applyAlignment="1" applyProtection="1">
      <alignment horizontal="center" vertical="center"/>
      <protection locked="0"/>
    </xf>
    <xf numFmtId="164" fontId="205" fillId="10" borderId="198" xfId="34" applyNumberFormat="1" applyFont="1" applyFill="1" applyBorder="1" applyAlignment="1" applyProtection="1">
      <alignment horizontal="center" vertical="center"/>
      <protection locked="0"/>
    </xf>
    <xf numFmtId="164" fontId="205" fillId="10" borderId="210" xfId="34" applyNumberFormat="1" applyFont="1" applyFill="1" applyBorder="1" applyAlignment="1" applyProtection="1">
      <alignment horizontal="center" vertical="center"/>
      <protection locked="0"/>
    </xf>
    <xf numFmtId="0" fontId="207" fillId="0" borderId="103" xfId="33" applyFont="1" applyBorder="1" applyAlignment="1">
      <alignment horizontal="left" vertical="center"/>
    </xf>
    <xf numFmtId="0" fontId="207" fillId="0" borderId="104" xfId="33" applyFont="1" applyBorder="1" applyAlignment="1">
      <alignment horizontal="left" vertical="center"/>
    </xf>
    <xf numFmtId="0" fontId="207" fillId="0" borderId="115" xfId="33" applyFont="1" applyBorder="1" applyAlignment="1">
      <alignment horizontal="left" vertical="center"/>
    </xf>
    <xf numFmtId="0" fontId="207" fillId="0" borderId="105" xfId="33" applyFont="1" applyBorder="1" applyAlignment="1">
      <alignment horizontal="left" vertical="center"/>
    </xf>
    <xf numFmtId="0" fontId="207" fillId="0" borderId="199" xfId="33" applyFont="1" applyBorder="1" applyAlignment="1">
      <alignment horizontal="left" vertical="center"/>
    </xf>
    <xf numFmtId="0" fontId="207" fillId="0" borderId="210" xfId="33" applyFont="1" applyBorder="1" applyAlignment="1">
      <alignment horizontal="left" vertical="center"/>
    </xf>
    <xf numFmtId="0" fontId="99" fillId="5" borderId="198" xfId="0" applyFont="1" applyFill="1" applyBorder="1" applyAlignment="1" applyProtection="1">
      <alignment horizontal="left" vertical="center"/>
      <protection locked="0"/>
    </xf>
    <xf numFmtId="0" fontId="99" fillId="5" borderId="199" xfId="0" applyFont="1" applyFill="1" applyBorder="1" applyAlignment="1" applyProtection="1">
      <alignment horizontal="left" vertical="center"/>
      <protection locked="0"/>
    </xf>
    <xf numFmtId="0" fontId="99" fillId="5" borderId="200" xfId="0" applyFont="1" applyFill="1" applyBorder="1" applyAlignment="1" applyProtection="1">
      <alignment horizontal="left" vertical="center"/>
      <protection locked="0"/>
    </xf>
    <xf numFmtId="0" fontId="37" fillId="5" borderId="198" xfId="0" applyFont="1" applyFill="1" applyBorder="1" applyAlignment="1" applyProtection="1">
      <alignment horizontal="left" vertical="center"/>
      <protection locked="0"/>
    </xf>
    <xf numFmtId="0" fontId="37" fillId="5" borderId="199" xfId="0" applyFont="1" applyFill="1" applyBorder="1" applyAlignment="1" applyProtection="1">
      <alignment horizontal="left" vertical="center"/>
      <protection locked="0"/>
    </xf>
    <xf numFmtId="0" fontId="37" fillId="5" borderId="200"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98" xfId="0" applyFont="1" applyFill="1" applyBorder="1" applyAlignment="1">
      <alignment horizontal="center" vertical="center"/>
    </xf>
    <xf numFmtId="0" fontId="10" fillId="13" borderId="200" xfId="0" applyFont="1" applyFill="1" applyBorder="1" applyAlignment="1">
      <alignment horizontal="center" vertical="center"/>
    </xf>
    <xf numFmtId="0" fontId="4" fillId="0" borderId="0" xfId="0" applyFont="1" applyAlignment="1">
      <alignment horizontal="center" wrapText="1"/>
    </xf>
    <xf numFmtId="3" fontId="4" fillId="5" borderId="81" xfId="1" applyNumberFormat="1" applyFont="1" applyFill="1" applyBorder="1" applyAlignment="1" applyProtection="1">
      <alignment horizontal="center" vertical="center"/>
      <protection locked="0"/>
    </xf>
    <xf numFmtId="3" fontId="4" fillId="5" borderId="82" xfId="1" applyNumberFormat="1" applyFont="1" applyFill="1" applyBorder="1" applyAlignment="1" applyProtection="1">
      <alignment horizontal="center" vertical="center"/>
      <protection locked="0"/>
    </xf>
    <xf numFmtId="0" fontId="4" fillId="13" borderId="198" xfId="0" applyFont="1" applyFill="1" applyBorder="1" applyAlignment="1">
      <alignment horizontal="left" vertical="top" wrapText="1"/>
    </xf>
    <xf numFmtId="0" fontId="4" fillId="13" borderId="199" xfId="0" applyFont="1" applyFill="1" applyBorder="1" applyAlignment="1">
      <alignment horizontal="left" vertical="top" wrapText="1"/>
    </xf>
    <xf numFmtId="0" fontId="4" fillId="13" borderId="200" xfId="0" applyFont="1" applyFill="1" applyBorder="1" applyAlignment="1">
      <alignment horizontal="left" vertical="top" wrapText="1"/>
    </xf>
    <xf numFmtId="0" fontId="4" fillId="5" borderId="198" xfId="0" applyFont="1" applyFill="1" applyBorder="1" applyAlignment="1" applyProtection="1">
      <alignment horizontal="left" vertical="top" wrapText="1"/>
      <protection locked="0"/>
    </xf>
    <xf numFmtId="0" fontId="4" fillId="5" borderId="199" xfId="0" applyFont="1" applyFill="1" applyBorder="1" applyAlignment="1" applyProtection="1">
      <alignment horizontal="left" vertical="top" wrapText="1"/>
      <protection locked="0"/>
    </xf>
    <xf numFmtId="0" fontId="4" fillId="5" borderId="200" xfId="0" applyFont="1" applyFill="1" applyBorder="1" applyAlignment="1" applyProtection="1">
      <alignment horizontal="left" vertical="top" wrapText="1"/>
      <protection locked="0"/>
    </xf>
    <xf numFmtId="0" fontId="38" fillId="5" borderId="198" xfId="0" applyFont="1" applyFill="1" applyBorder="1" applyAlignment="1" applyProtection="1">
      <alignment horizontal="left" vertical="center" wrapText="1"/>
      <protection locked="0"/>
    </xf>
    <xf numFmtId="0" fontId="38" fillId="5" borderId="199" xfId="0" applyFont="1" applyFill="1" applyBorder="1" applyAlignment="1" applyProtection="1">
      <alignment horizontal="left" vertical="center" wrapText="1"/>
      <protection locked="0"/>
    </xf>
    <xf numFmtId="0" fontId="38" fillId="5" borderId="200"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98" xfId="0" applyFont="1" applyFill="1" applyBorder="1" applyAlignment="1" applyProtection="1">
      <alignment horizontal="left" vertical="center"/>
      <protection locked="0"/>
    </xf>
    <xf numFmtId="0" fontId="14" fillId="5" borderId="199" xfId="0" applyFont="1" applyFill="1" applyBorder="1" applyAlignment="1" applyProtection="1">
      <alignment horizontal="left" vertical="center"/>
      <protection locked="0"/>
    </xf>
    <xf numFmtId="0" fontId="0" fillId="0" borderId="200"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95" xfId="0" applyFont="1" applyFill="1" applyBorder="1" applyAlignment="1" applyProtection="1">
      <alignment horizontal="left" vertical="center"/>
      <protection locked="0"/>
    </xf>
    <xf numFmtId="0" fontId="14" fillId="5" borderId="96" xfId="0" applyFont="1" applyFill="1" applyBorder="1" applyAlignment="1" applyProtection="1">
      <alignment horizontal="left" vertical="center"/>
      <protection locked="0"/>
    </xf>
    <xf numFmtId="0" fontId="14" fillId="5" borderId="97"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98" xfId="0" applyFont="1" applyFill="1" applyBorder="1" applyAlignment="1" applyProtection="1">
      <alignment horizontal="left" vertical="center"/>
      <protection locked="0"/>
    </xf>
    <xf numFmtId="0" fontId="40" fillId="5" borderId="199" xfId="0" applyFont="1" applyFill="1" applyBorder="1" applyAlignment="1" applyProtection="1">
      <alignment horizontal="left" vertical="center"/>
      <protection locked="0"/>
    </xf>
    <xf numFmtId="0" fontId="40" fillId="5" borderId="200"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98"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5" borderId="201"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1" xfId="1" applyNumberFormat="1" applyFont="1" applyFill="1" applyBorder="1" applyAlignment="1" applyProtection="1">
      <alignment horizontal="center" vertical="center"/>
    </xf>
    <xf numFmtId="3" fontId="4" fillId="13" borderId="82" xfId="1" applyNumberFormat="1" applyFont="1" applyFill="1" applyBorder="1" applyAlignment="1" applyProtection="1">
      <alignment horizontal="center" vertical="center"/>
    </xf>
    <xf numFmtId="0" fontId="38" fillId="5" borderId="198" xfId="0" applyFont="1" applyFill="1" applyBorder="1" applyAlignment="1" applyProtection="1">
      <alignment horizontal="left" vertical="top" wrapText="1"/>
      <protection locked="0"/>
    </xf>
    <xf numFmtId="0" fontId="38" fillId="5" borderId="199" xfId="0" applyFont="1" applyFill="1" applyBorder="1" applyAlignment="1" applyProtection="1">
      <alignment horizontal="left" vertical="top" wrapText="1"/>
      <protection locked="0"/>
    </xf>
    <xf numFmtId="0" fontId="38" fillId="5" borderId="200"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87"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20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98" xfId="0" applyNumberFormat="1" applyFont="1" applyBorder="1" applyAlignment="1">
      <alignment horizontal="left" vertical="center" wrapText="1"/>
    </xf>
    <xf numFmtId="37" fontId="8" fillId="0" borderId="200" xfId="0" applyNumberFormat="1" applyFont="1" applyBorder="1" applyAlignment="1">
      <alignment horizontal="left" vertical="center" wrapText="1"/>
    </xf>
    <xf numFmtId="0" fontId="13" fillId="5" borderId="95" xfId="0" applyFont="1" applyFill="1" applyBorder="1" applyAlignment="1" applyProtection="1">
      <alignment horizontal="left"/>
      <protection locked="0"/>
    </xf>
    <xf numFmtId="0" fontId="13" fillId="5" borderId="96" xfId="0" applyFont="1" applyFill="1" applyBorder="1" applyAlignment="1" applyProtection="1">
      <alignment horizontal="left"/>
      <protection locked="0"/>
    </xf>
    <xf numFmtId="0" fontId="13" fillId="5" borderId="97" xfId="0" applyFont="1" applyFill="1" applyBorder="1" applyAlignment="1" applyProtection="1">
      <alignment horizontal="left"/>
      <protection locked="0"/>
    </xf>
    <xf numFmtId="0" fontId="38" fillId="5" borderId="95" xfId="0" applyFont="1" applyFill="1" applyBorder="1" applyAlignment="1" applyProtection="1">
      <alignment vertical="top" wrapText="1"/>
      <protection locked="0"/>
    </xf>
    <xf numFmtId="0" fontId="41" fillId="0" borderId="96" xfId="0" applyFont="1" applyBorder="1" applyAlignment="1" applyProtection="1">
      <alignment vertical="top" wrapText="1"/>
      <protection locked="0"/>
    </xf>
    <xf numFmtId="0" fontId="41" fillId="0" borderId="97" xfId="0" applyFont="1" applyBorder="1" applyAlignment="1" applyProtection="1">
      <alignment vertical="top" wrapText="1"/>
      <protection locked="0"/>
    </xf>
    <xf numFmtId="0" fontId="37" fillId="5" borderId="198" xfId="0" applyFont="1" applyFill="1" applyBorder="1" applyAlignment="1" applyProtection="1">
      <alignment horizontal="center" vertical="center"/>
      <protection locked="0"/>
    </xf>
    <xf numFmtId="0" fontId="37" fillId="5" borderId="200"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95" xfId="0" applyFont="1" applyFill="1" applyBorder="1" applyAlignment="1" applyProtection="1">
      <alignment horizontal="left" vertical="top" wrapText="1"/>
      <protection locked="0"/>
    </xf>
    <xf numFmtId="0" fontId="4" fillId="5" borderId="96" xfId="0" applyFont="1" applyFill="1" applyBorder="1" applyAlignment="1" applyProtection="1">
      <alignment horizontal="left" vertical="top" wrapText="1"/>
      <protection locked="0"/>
    </xf>
    <xf numFmtId="0" fontId="4" fillId="5" borderId="97" xfId="0" applyFont="1" applyFill="1" applyBorder="1" applyAlignment="1" applyProtection="1">
      <alignment horizontal="left" vertical="top" wrapText="1"/>
      <protection locked="0"/>
    </xf>
    <xf numFmtId="0" fontId="4" fillId="10" borderId="198" xfId="0" applyFont="1" applyFill="1" applyBorder="1" applyAlignment="1" applyProtection="1">
      <alignment horizontal="left" vertical="top"/>
      <protection locked="0"/>
    </xf>
    <xf numFmtId="0" fontId="4" fillId="10" borderId="199" xfId="0" applyFont="1" applyFill="1" applyBorder="1" applyAlignment="1" applyProtection="1">
      <alignment horizontal="left" vertical="top"/>
      <protection locked="0"/>
    </xf>
    <xf numFmtId="0" fontId="4" fillId="10" borderId="200" xfId="0" applyFont="1" applyFill="1" applyBorder="1" applyAlignment="1" applyProtection="1">
      <alignment horizontal="left" vertical="top"/>
      <protection locked="0"/>
    </xf>
    <xf numFmtId="174" fontId="14" fillId="13" borderId="95" xfId="0" applyNumberFormat="1" applyFont="1" applyFill="1" applyBorder="1" applyAlignment="1">
      <alignment horizontal="left" vertical="center"/>
    </xf>
    <xf numFmtId="174" fontId="14" fillId="13" borderId="97"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95" xfId="0" applyNumberFormat="1" applyFont="1" applyFill="1" applyBorder="1" applyAlignment="1" applyProtection="1">
      <alignment horizontal="left" vertical="center"/>
      <protection locked="0"/>
    </xf>
    <xf numFmtId="174" fontId="14" fillId="5" borderId="96" xfId="0" applyNumberFormat="1" applyFont="1" applyFill="1" applyBorder="1" applyAlignment="1" applyProtection="1">
      <alignment horizontal="left" vertical="center"/>
      <protection locked="0"/>
    </xf>
    <xf numFmtId="174" fontId="14" fillId="5" borderId="97"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9"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9"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98" xfId="0" applyNumberFormat="1" applyFont="1" applyFill="1" applyBorder="1" applyAlignment="1" applyProtection="1">
      <alignment horizontal="center" vertical="center"/>
      <protection locked="0"/>
    </xf>
    <xf numFmtId="175" fontId="10" fillId="10" borderId="200" xfId="0" applyNumberFormat="1" applyFont="1" applyFill="1" applyBorder="1" applyAlignment="1" applyProtection="1">
      <alignment horizontal="center" vertical="center"/>
      <protection locked="0"/>
    </xf>
    <xf numFmtId="0" fontId="14" fillId="5" borderId="197" xfId="0" applyFont="1" applyFill="1" applyBorder="1" applyAlignment="1" applyProtection="1">
      <alignment horizontal="center"/>
      <protection locked="0"/>
    </xf>
    <xf numFmtId="0" fontId="14" fillId="5" borderId="200" xfId="0" applyFont="1" applyFill="1" applyBorder="1" applyAlignment="1" applyProtection="1">
      <alignment horizontal="center"/>
      <protection locked="0"/>
    </xf>
    <xf numFmtId="0" fontId="14" fillId="13" borderId="198" xfId="0" applyFont="1" applyFill="1" applyBorder="1" applyAlignment="1">
      <alignment horizontal="center"/>
    </xf>
    <xf numFmtId="0" fontId="14" fillId="13" borderId="200" xfId="0" applyFont="1" applyFill="1" applyBorder="1" applyAlignment="1">
      <alignment horizontal="center"/>
    </xf>
    <xf numFmtId="0" fontId="4" fillId="13" borderId="59"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98" xfId="0" applyFont="1" applyFill="1" applyBorder="1" applyAlignment="1">
      <alignment horizontal="center" vertical="center"/>
    </xf>
    <xf numFmtId="0" fontId="94" fillId="13" borderId="200" xfId="0" applyFont="1" applyFill="1" applyBorder="1" applyAlignment="1">
      <alignment horizontal="center" vertical="center"/>
    </xf>
    <xf numFmtId="0" fontId="38" fillId="13" borderId="95" xfId="0" applyFont="1" applyFill="1" applyBorder="1" applyAlignment="1">
      <alignment horizontal="justify" vertical="top" wrapText="1"/>
    </xf>
    <xf numFmtId="0" fontId="38" fillId="13" borderId="96" xfId="0" applyFont="1" applyFill="1" applyBorder="1" applyAlignment="1">
      <alignment horizontal="justify" vertical="top" wrapText="1"/>
    </xf>
    <xf numFmtId="0" fontId="38" fillId="13" borderId="97" xfId="0" applyFont="1" applyFill="1" applyBorder="1" applyAlignment="1">
      <alignment horizontal="justify" vertical="top" wrapText="1"/>
    </xf>
    <xf numFmtId="0" fontId="89" fillId="0" borderId="186" xfId="0" applyFont="1" applyBorder="1" applyAlignment="1">
      <alignment horizontal="center" vertical="center" wrapText="1"/>
    </xf>
    <xf numFmtId="0" fontId="89" fillId="0" borderId="187"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20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98" xfId="0" applyFont="1" applyFill="1" applyBorder="1" applyAlignment="1">
      <alignment horizontal="left" vertical="center"/>
    </xf>
    <xf numFmtId="0" fontId="14" fillId="13" borderId="200"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59"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201"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201"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98" xfId="0" applyFont="1" applyFill="1" applyBorder="1" applyAlignment="1" applyProtection="1">
      <alignment horizontal="left" vertical="top" wrapText="1"/>
      <protection locked="0"/>
    </xf>
    <xf numFmtId="0" fontId="38" fillId="10" borderId="199" xfId="0" applyFont="1" applyFill="1" applyBorder="1" applyAlignment="1" applyProtection="1">
      <alignment horizontal="left" vertical="top" wrapText="1"/>
      <protection locked="0"/>
    </xf>
    <xf numFmtId="0" fontId="38" fillId="10" borderId="200" xfId="0" applyFont="1" applyFill="1" applyBorder="1" applyAlignment="1" applyProtection="1">
      <alignment horizontal="left" vertical="top" wrapText="1"/>
      <protection locked="0"/>
    </xf>
    <xf numFmtId="0" fontId="14" fillId="13" borderId="69"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201"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97" xfId="0" applyFont="1" applyFill="1" applyBorder="1" applyAlignment="1">
      <alignment horizontal="center" vertical="center"/>
    </xf>
    <xf numFmtId="0" fontId="14" fillId="5" borderId="198" xfId="0" applyFont="1" applyFill="1" applyBorder="1" applyAlignment="1" applyProtection="1">
      <alignment horizontal="center" vertical="top"/>
      <protection locked="0"/>
    </xf>
    <xf numFmtId="0" fontId="14" fillId="5" borderId="200" xfId="0" applyFont="1" applyFill="1" applyBorder="1" applyAlignment="1" applyProtection="1">
      <alignment horizontal="center" vertical="top"/>
      <protection locked="0"/>
    </xf>
    <xf numFmtId="0" fontId="14" fillId="13" borderId="198" xfId="0" applyFont="1" applyFill="1" applyBorder="1" applyAlignment="1">
      <alignment horizontal="center" vertical="top"/>
    </xf>
    <xf numFmtId="0" fontId="14" fillId="13" borderId="200"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98" xfId="0" applyNumberFormat="1" applyFont="1" applyBorder="1" applyAlignment="1">
      <alignment horizontal="center" vertical="center" wrapText="1"/>
    </xf>
    <xf numFmtId="3" fontId="141" fillId="0" borderId="200"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97" xfId="0" applyNumberFormat="1" applyFont="1" applyFill="1" applyBorder="1" applyAlignment="1">
      <alignment horizontal="center" vertical="center"/>
    </xf>
    <xf numFmtId="6" fontId="5" fillId="13" borderId="187"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86" xfId="0" applyFont="1" applyFill="1" applyBorder="1" applyAlignment="1" applyProtection="1">
      <alignment horizontal="left" vertical="top" wrapText="1"/>
      <protection locked="0"/>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95" xfId="0" applyNumberFormat="1" applyFont="1" applyFill="1" applyBorder="1" applyAlignment="1" applyProtection="1">
      <alignment horizontal="center" vertical="center"/>
      <protection locked="0"/>
    </xf>
    <xf numFmtId="10" fontId="13" fillId="10" borderId="96" xfId="0" applyNumberFormat="1" applyFont="1" applyFill="1" applyBorder="1" applyAlignment="1" applyProtection="1">
      <alignment horizontal="center" vertical="center"/>
      <protection locked="0"/>
    </xf>
    <xf numFmtId="10" fontId="13" fillId="10" borderId="97" xfId="0" applyNumberFormat="1"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86" xfId="0" applyFont="1" applyFill="1" applyBorder="1" applyAlignment="1" applyProtection="1">
      <alignment horizontal="center" vertical="center"/>
      <protection locked="0"/>
    </xf>
    <xf numFmtId="0" fontId="100" fillId="5" borderId="187"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40" xfId="0" applyFont="1" applyFill="1" applyBorder="1" applyAlignment="1">
      <alignment horizontal="center" vertical="center"/>
    </xf>
    <xf numFmtId="0" fontId="38" fillId="0" borderId="63" xfId="0" applyFont="1" applyBorder="1" applyAlignment="1">
      <alignment horizontal="center" vertical="center"/>
    </xf>
    <xf numFmtId="0" fontId="38" fillId="0" borderId="52" xfId="0" applyFont="1" applyBorder="1" applyAlignment="1">
      <alignment horizontal="center" vertical="center"/>
    </xf>
    <xf numFmtId="0" fontId="0" fillId="10" borderId="198" xfId="0" applyFill="1" applyBorder="1" applyAlignment="1" applyProtection="1">
      <alignment horizontal="left"/>
      <protection locked="0"/>
    </xf>
    <xf numFmtId="0" fontId="0" fillId="10" borderId="199" xfId="0" applyFill="1" applyBorder="1" applyAlignment="1" applyProtection="1">
      <alignment horizontal="left"/>
      <protection locked="0"/>
    </xf>
    <xf numFmtId="0" fontId="0" fillId="10" borderId="200" xfId="0" applyFill="1" applyBorder="1" applyAlignment="1" applyProtection="1">
      <alignment horizontal="left"/>
      <protection locked="0"/>
    </xf>
    <xf numFmtId="0" fontId="4" fillId="5" borderId="98" xfId="0" applyFont="1" applyFill="1" applyBorder="1" applyAlignment="1" applyProtection="1">
      <alignment horizontal="left" vertical="center"/>
      <protection locked="0"/>
    </xf>
    <xf numFmtId="175" fontId="4" fillId="5" borderId="98" xfId="0" applyNumberFormat="1" applyFont="1" applyFill="1" applyBorder="1" applyAlignment="1" applyProtection="1">
      <alignment horizontal="center" vertical="center"/>
      <protection locked="0"/>
    </xf>
    <xf numFmtId="0" fontId="45" fillId="0" borderId="64"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95" xfId="0" applyFont="1" applyFill="1" applyBorder="1" applyAlignment="1" applyProtection="1">
      <alignment horizontal="center" vertical="top" wrapText="1"/>
      <protection locked="0"/>
    </xf>
    <xf numFmtId="0" fontId="38" fillId="10" borderId="100"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3"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18" xfId="0" applyFont="1" applyBorder="1" applyAlignment="1">
      <alignment horizontal="center" vertical="center" wrapText="1"/>
    </xf>
    <xf numFmtId="0" fontId="108" fillId="0" borderId="119" xfId="0" applyFont="1" applyBorder="1" applyAlignment="1">
      <alignment horizontal="center" vertical="center" wrapText="1"/>
    </xf>
    <xf numFmtId="0" fontId="108" fillId="0" borderId="120" xfId="0" applyFont="1" applyBorder="1" applyAlignment="1">
      <alignment horizontal="center" vertical="center" wrapText="1"/>
    </xf>
    <xf numFmtId="0" fontId="108" fillId="0" borderId="121" xfId="0" applyFont="1" applyBorder="1" applyAlignment="1">
      <alignment horizontal="center" vertical="center" wrapText="1"/>
    </xf>
    <xf numFmtId="0" fontId="108" fillId="0" borderId="0" xfId="0" applyFont="1" applyAlignment="1">
      <alignment horizontal="center" vertical="center" wrapText="1"/>
    </xf>
    <xf numFmtId="0" fontId="108" fillId="0" borderId="122" xfId="0" applyFont="1" applyBorder="1" applyAlignment="1">
      <alignment horizontal="center" vertical="center" wrapText="1"/>
    </xf>
    <xf numFmtId="0" fontId="108" fillId="0" borderId="123" xfId="0" applyFont="1" applyBorder="1" applyAlignment="1">
      <alignment horizontal="center" vertical="center" wrapText="1"/>
    </xf>
    <xf numFmtId="0" fontId="108" fillId="0" borderId="124" xfId="0" applyFont="1" applyBorder="1" applyAlignment="1">
      <alignment horizontal="center" vertical="center" wrapText="1"/>
    </xf>
    <xf numFmtId="0" fontId="108" fillId="0" borderId="12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9"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02"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98" xfId="0" applyFont="1" applyFill="1" applyBorder="1" applyAlignment="1">
      <alignment horizontal="left" vertical="top" wrapText="1"/>
    </xf>
    <xf numFmtId="0" fontId="38" fillId="13" borderId="199" xfId="0" applyFont="1" applyFill="1" applyBorder="1" applyAlignment="1">
      <alignment horizontal="left" vertical="top" wrapText="1"/>
    </xf>
    <xf numFmtId="0" fontId="38" fillId="13" borderId="200"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98" xfId="0" applyFont="1" applyBorder="1" applyAlignment="1">
      <alignment horizontal="center" vertical="center" wrapText="1"/>
    </xf>
    <xf numFmtId="0" fontId="108" fillId="0" borderId="199" xfId="0" applyFont="1" applyBorder="1" applyAlignment="1">
      <alignment horizontal="center" vertical="center" wrapText="1"/>
    </xf>
    <xf numFmtId="0" fontId="108" fillId="0" borderId="200"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2"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95" xfId="0" applyNumberFormat="1" applyFont="1" applyFill="1" applyBorder="1" applyAlignment="1" applyProtection="1">
      <alignment horizontal="center" vertical="center"/>
      <protection locked="0"/>
    </xf>
    <xf numFmtId="3" fontId="3" fillId="10" borderId="97" xfId="0" applyNumberFormat="1" applyFont="1" applyFill="1" applyBorder="1" applyAlignment="1" applyProtection="1">
      <alignment horizontal="center" vertical="center"/>
      <protection locked="0"/>
    </xf>
    <xf numFmtId="4" fontId="65" fillId="0" borderId="198" xfId="0" applyNumberFormat="1" applyFont="1" applyBorder="1" applyAlignment="1">
      <alignment horizontal="center" vertical="center"/>
    </xf>
    <xf numFmtId="4" fontId="65" fillId="0" borderId="199" xfId="0" applyNumberFormat="1" applyFont="1" applyBorder="1" applyAlignment="1">
      <alignment horizontal="center" vertical="center"/>
    </xf>
    <xf numFmtId="4" fontId="65" fillId="0" borderId="200"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97" xfId="0" applyFont="1" applyFill="1" applyBorder="1" applyAlignment="1">
      <alignment horizontal="center" vertical="center" wrapText="1"/>
    </xf>
    <xf numFmtId="0" fontId="74" fillId="20" borderId="186" xfId="0" applyFont="1" applyFill="1" applyBorder="1" applyAlignment="1">
      <alignment horizontal="center" vertical="center" wrapText="1"/>
    </xf>
    <xf numFmtId="0" fontId="74" fillId="20" borderId="187"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98" xfId="0" applyFont="1" applyBorder="1" applyAlignment="1">
      <alignment horizontal="center" vertical="center"/>
    </xf>
    <xf numFmtId="0" fontId="8" fillId="0" borderId="200" xfId="0" applyFont="1" applyBorder="1" applyAlignment="1">
      <alignment horizontal="center" vertical="center"/>
    </xf>
    <xf numFmtId="0" fontId="38" fillId="13" borderId="95" xfId="0" applyFont="1" applyFill="1" applyBorder="1" applyAlignment="1">
      <alignment horizontal="left" vertical="top" wrapText="1"/>
    </xf>
    <xf numFmtId="0" fontId="38" fillId="13" borderId="96"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209" xfId="0" applyFont="1" applyBorder="1" applyAlignment="1">
      <alignment horizontal="center" vertical="top" wrapText="1"/>
    </xf>
    <xf numFmtId="0" fontId="14" fillId="0" borderId="187" xfId="0" applyFont="1" applyBorder="1" applyAlignment="1">
      <alignment horizontal="center" vertical="top" wrapText="1"/>
    </xf>
    <xf numFmtId="0" fontId="40" fillId="0" borderId="9" xfId="0" applyFont="1" applyBorder="1" applyAlignment="1">
      <alignment horizontal="center" vertical="center" wrapText="1"/>
    </xf>
    <xf numFmtId="0" fontId="38" fillId="0" borderId="198" xfId="0" applyFont="1" applyBorder="1" applyAlignment="1">
      <alignment horizontal="center" vertical="center"/>
    </xf>
    <xf numFmtId="0" fontId="38" fillId="0" borderId="200"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209" xfId="0" applyFont="1" applyBorder="1" applyAlignment="1">
      <alignment horizontal="left" vertical="top" wrapText="1"/>
    </xf>
    <xf numFmtId="0" fontId="45" fillId="0" borderId="186"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197" xfId="0" applyFont="1" applyFill="1" applyBorder="1" applyAlignment="1" applyProtection="1">
      <alignment horizontal="center" vertical="center"/>
      <protection locked="0"/>
    </xf>
    <xf numFmtId="0" fontId="100" fillId="10" borderId="186" xfId="0" applyFont="1" applyFill="1" applyBorder="1" applyAlignment="1" applyProtection="1">
      <alignment horizontal="center" vertical="center"/>
      <protection locked="0"/>
    </xf>
    <xf numFmtId="0" fontId="100" fillId="10" borderId="187"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86" xfId="0" applyFont="1" applyFill="1" applyBorder="1" applyAlignment="1" applyProtection="1">
      <alignment horizontal="left" vertical="top" wrapText="1"/>
      <protection locked="0"/>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95" xfId="0" applyNumberFormat="1" applyFont="1" applyFill="1" applyBorder="1" applyAlignment="1">
      <alignment horizontal="center" vertical="center"/>
    </xf>
    <xf numFmtId="10" fontId="13" fillId="13" borderId="96" xfId="0" applyNumberFormat="1" applyFont="1" applyFill="1" applyBorder="1" applyAlignment="1">
      <alignment horizontal="center" vertical="center"/>
    </xf>
    <xf numFmtId="10" fontId="13" fillId="13" borderId="97" xfId="0" applyNumberFormat="1" applyFont="1" applyFill="1" applyBorder="1" applyAlignment="1">
      <alignment horizontal="center" vertical="center"/>
    </xf>
    <xf numFmtId="49" fontId="38" fillId="10" borderId="198" xfId="0" applyNumberFormat="1" applyFont="1" applyFill="1" applyBorder="1" applyAlignment="1" applyProtection="1">
      <alignment horizontal="left" vertical="center" wrapText="1"/>
      <protection locked="0"/>
    </xf>
    <xf numFmtId="49" fontId="38" fillId="10" borderId="199" xfId="0" applyNumberFormat="1" applyFont="1" applyFill="1" applyBorder="1" applyAlignment="1" applyProtection="1">
      <alignment horizontal="left" vertical="center" wrapText="1"/>
      <protection locked="0"/>
    </xf>
    <xf numFmtId="49" fontId="38" fillId="10" borderId="200"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98" xfId="0" applyNumberFormat="1" applyFont="1" applyBorder="1" applyAlignment="1">
      <alignment horizontal="center" vertical="center"/>
    </xf>
    <xf numFmtId="38" fontId="3" fillId="0" borderId="200"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95" xfId="0" applyNumberFormat="1" applyFont="1" applyFill="1" applyBorder="1" applyAlignment="1">
      <alignment horizontal="center" vertical="center"/>
    </xf>
    <xf numFmtId="3" fontId="3" fillId="13" borderId="96" xfId="0" applyNumberFormat="1" applyFont="1" applyFill="1" applyBorder="1" applyAlignment="1">
      <alignment horizontal="center" vertical="center"/>
    </xf>
    <xf numFmtId="3" fontId="3" fillId="13" borderId="97" xfId="0" applyNumberFormat="1" applyFont="1" applyFill="1" applyBorder="1" applyAlignment="1">
      <alignment horizontal="center" vertical="center"/>
    </xf>
    <xf numFmtId="3" fontId="8" fillId="10" borderId="198" xfId="0" applyNumberFormat="1" applyFont="1" applyFill="1" applyBorder="1" applyAlignment="1" applyProtection="1">
      <alignment horizontal="left" vertical="center"/>
      <protection locked="0"/>
    </xf>
    <xf numFmtId="3" fontId="8" fillId="10" borderId="200" xfId="0" applyNumberFormat="1" applyFont="1" applyFill="1" applyBorder="1" applyAlignment="1" applyProtection="1">
      <alignment horizontal="left" vertical="center"/>
      <protection locked="0"/>
    </xf>
    <xf numFmtId="3" fontId="8" fillId="13" borderId="198" xfId="0" applyNumberFormat="1" applyFont="1" applyFill="1" applyBorder="1" applyAlignment="1">
      <alignment horizontal="center" vertical="center"/>
    </xf>
    <xf numFmtId="3" fontId="8" fillId="13" borderId="200" xfId="0" applyNumberFormat="1" applyFont="1" applyFill="1" applyBorder="1" applyAlignment="1">
      <alignment horizontal="center" vertical="center"/>
    </xf>
    <xf numFmtId="38" fontId="3" fillId="0" borderId="199"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95" xfId="0" applyNumberFormat="1" applyFont="1" applyBorder="1" applyAlignment="1">
      <alignment horizontal="center" vertical="center"/>
    </xf>
    <xf numFmtId="3" fontId="3" fillId="0" borderId="97" xfId="0" applyNumberFormat="1" applyFont="1" applyBorder="1" applyAlignment="1">
      <alignment horizontal="center" vertical="center"/>
    </xf>
    <xf numFmtId="0" fontId="0" fillId="10" borderId="197" xfId="0" applyFill="1" applyBorder="1" applyAlignment="1" applyProtection="1">
      <alignment horizontal="left" vertical="center"/>
      <protection locked="0"/>
    </xf>
    <xf numFmtId="0" fontId="0" fillId="10" borderId="186" xfId="0" applyFill="1" applyBorder="1" applyAlignment="1" applyProtection="1">
      <alignment horizontal="left" vertical="center"/>
      <protection locked="0"/>
    </xf>
    <xf numFmtId="0" fontId="0" fillId="10" borderId="199" xfId="0" applyFill="1" applyBorder="1" applyAlignment="1" applyProtection="1">
      <alignment horizontal="left" vertical="center"/>
      <protection locked="0"/>
    </xf>
    <xf numFmtId="0" fontId="0" fillId="10" borderId="200"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99" xfId="0" applyFont="1" applyFill="1" applyBorder="1" applyAlignment="1" applyProtection="1">
      <alignment horizontal="left" vertical="center"/>
      <protection locked="0"/>
    </xf>
    <xf numFmtId="0" fontId="3" fillId="10" borderId="200"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95" xfId="0" applyFont="1" applyFill="1" applyBorder="1" applyAlignment="1" applyProtection="1">
      <alignment horizontal="left" vertical="center" wrapText="1"/>
      <protection locked="0"/>
    </xf>
    <xf numFmtId="0" fontId="38" fillId="10" borderId="96" xfId="0" applyFont="1" applyFill="1" applyBorder="1" applyAlignment="1" applyProtection="1">
      <alignment horizontal="left" vertical="center" wrapText="1"/>
      <protection locked="0"/>
    </xf>
    <xf numFmtId="0" fontId="38" fillId="10" borderId="97"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95" xfId="0" applyFont="1" applyFill="1" applyBorder="1" applyAlignment="1" applyProtection="1">
      <alignment horizontal="center" vertical="center"/>
      <protection locked="0"/>
    </xf>
    <xf numFmtId="0" fontId="41" fillId="5" borderId="100"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3"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9"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1" xfId="0" applyFont="1" applyFill="1" applyBorder="1" applyAlignment="1">
      <alignment horizontal="center" vertical="center"/>
    </xf>
    <xf numFmtId="0" fontId="41" fillId="13" borderId="97"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5" xfId="0" applyFont="1" applyBorder="1" applyAlignment="1">
      <alignment horizontal="center" wrapText="1"/>
    </xf>
    <xf numFmtId="0" fontId="38" fillId="10" borderId="95" xfId="0" applyFont="1" applyFill="1" applyBorder="1" applyAlignment="1" applyProtection="1">
      <alignment vertical="center" wrapText="1"/>
      <protection locked="0"/>
    </xf>
    <xf numFmtId="0" fontId="38" fillId="10" borderId="96" xfId="0" applyFont="1" applyFill="1" applyBorder="1" applyAlignment="1" applyProtection="1">
      <alignment vertical="center" wrapText="1"/>
      <protection locked="0"/>
    </xf>
    <xf numFmtId="0" fontId="38" fillId="10" borderId="97" xfId="0" applyFont="1" applyFill="1" applyBorder="1" applyAlignment="1" applyProtection="1">
      <alignment vertical="center" wrapText="1"/>
      <protection locked="0"/>
    </xf>
    <xf numFmtId="0" fontId="14" fillId="5" borderId="95" xfId="0" applyFont="1" applyFill="1" applyBorder="1" applyAlignment="1" applyProtection="1">
      <alignment vertical="center"/>
      <protection locked="0"/>
    </xf>
    <xf numFmtId="0" fontId="14" fillId="5" borderId="97"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2"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201"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20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95" xfId="0" applyFont="1" applyFill="1" applyBorder="1" applyAlignment="1">
      <alignment horizontal="center" vertical="center"/>
    </xf>
    <xf numFmtId="0" fontId="14" fillId="13" borderId="9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198" xfId="13" applyNumberFormat="1" applyFont="1" applyBorder="1" applyAlignment="1">
      <alignment horizontal="center" vertical="center"/>
    </xf>
    <xf numFmtId="165" fontId="24" fillId="0" borderId="200"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3" xfId="13" applyFill="1" applyBorder="1" applyAlignment="1">
      <alignment horizontal="left" vertical="top" wrapText="1"/>
    </xf>
    <xf numFmtId="0" fontId="3" fillId="10" borderId="64"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42" xfId="34" applyNumberFormat="1" applyFont="1" applyFill="1" applyBorder="1" applyAlignment="1" applyProtection="1">
      <alignment horizontal="center" vertical="center"/>
      <protection locked="0"/>
    </xf>
    <xf numFmtId="164" fontId="205" fillId="13" borderId="95" xfId="34" applyNumberFormat="1" applyFont="1" applyFill="1" applyBorder="1" applyAlignment="1" applyProtection="1">
      <alignment horizontal="center" vertical="center"/>
      <protection locked="0"/>
    </xf>
    <xf numFmtId="164" fontId="205" fillId="13" borderId="141" xfId="34" applyNumberFormat="1" applyFont="1" applyFill="1" applyBorder="1" applyAlignment="1" applyProtection="1">
      <alignment horizontal="center" vertical="center"/>
      <protection locked="0"/>
    </xf>
    <xf numFmtId="164" fontId="207" fillId="13" borderId="198" xfId="34" applyNumberFormat="1" applyFont="1" applyFill="1" applyBorder="1" applyAlignment="1" applyProtection="1">
      <alignment horizontal="center" vertical="center"/>
      <protection locked="0"/>
    </xf>
    <xf numFmtId="164" fontId="207" fillId="13" borderId="210" xfId="34" applyNumberFormat="1" applyFont="1" applyFill="1" applyBorder="1" applyAlignment="1" applyProtection="1">
      <alignment horizontal="center" vertical="center"/>
      <protection locked="0"/>
    </xf>
    <xf numFmtId="164" fontId="205" fillId="13" borderId="198" xfId="34" applyNumberFormat="1" applyFont="1" applyFill="1" applyBorder="1" applyAlignment="1" applyProtection="1">
      <alignment horizontal="center" vertical="center"/>
      <protection locked="0"/>
    </xf>
    <xf numFmtId="164" fontId="205" fillId="13" borderId="210"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43"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59"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199" xfId="34" applyNumberFormat="1" applyFont="1" applyFill="1" applyBorder="1" applyAlignment="1">
      <alignment horizontal="center" wrapText="1"/>
    </xf>
    <xf numFmtId="164" fontId="83" fillId="11" borderId="200" xfId="34" applyNumberFormat="1" applyFont="1" applyFill="1" applyBorder="1" applyAlignment="1">
      <alignment horizontal="center" wrapText="1"/>
    </xf>
    <xf numFmtId="37" fontId="205" fillId="11" borderId="96" xfId="34" applyNumberFormat="1" applyFont="1" applyFill="1" applyBorder="1" applyAlignment="1" applyProtection="1">
      <alignment horizontal="center" vertical="center"/>
      <protection locked="0"/>
    </xf>
    <xf numFmtId="37" fontId="205" fillId="11" borderId="97" xfId="34" applyNumberFormat="1" applyFont="1" applyFill="1" applyBorder="1" applyAlignment="1" applyProtection="1">
      <alignment horizontal="center" vertical="center"/>
      <protection locked="0"/>
    </xf>
    <xf numFmtId="37" fontId="211" fillId="13" borderId="95" xfId="34" applyNumberFormat="1" applyFont="1" applyFill="1" applyBorder="1" applyAlignment="1" applyProtection="1">
      <alignment horizontal="center" vertical="center"/>
      <protection locked="0"/>
    </xf>
    <xf numFmtId="37" fontId="211" fillId="13" borderId="97"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6" xfId="33" applyFont="1" applyFill="1" applyBorder="1" applyAlignment="1">
      <alignment horizontal="center"/>
    </xf>
    <xf numFmtId="0" fontId="206" fillId="13" borderId="99"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01" xfId="13" applyFill="1" applyBorder="1" applyAlignment="1">
      <alignment horizontal="center" vertical="center"/>
    </xf>
    <xf numFmtId="0" fontId="3" fillId="10" borderId="96" xfId="13" applyFill="1" applyBorder="1" applyAlignment="1">
      <alignment horizontal="center" vertical="center"/>
    </xf>
    <xf numFmtId="0" fontId="3" fillId="10" borderId="97" xfId="13" applyFill="1" applyBorder="1" applyAlignment="1">
      <alignment horizontal="center" vertical="center"/>
    </xf>
    <xf numFmtId="0" fontId="8" fillId="10" borderId="63"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35" xfId="13" applyBorder="1" applyAlignment="1">
      <alignment horizontal="center" vertical="center"/>
    </xf>
    <xf numFmtId="0" fontId="3" fillId="0" borderId="136" xfId="13" applyBorder="1" applyAlignment="1">
      <alignment horizontal="center" vertical="center"/>
    </xf>
    <xf numFmtId="0" fontId="3" fillId="0" borderId="13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17" xfId="13" applyFont="1" applyBorder="1" applyAlignment="1">
      <alignment horizontal="center" wrapText="1"/>
    </xf>
    <xf numFmtId="0" fontId="4" fillId="0" borderId="36" xfId="13" applyFont="1" applyBorder="1" applyAlignment="1">
      <alignment horizontal="center" wrapText="1"/>
    </xf>
    <xf numFmtId="3" fontId="3" fillId="10" borderId="63"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01" xfId="13" applyNumberFormat="1" applyFill="1" applyBorder="1" applyAlignment="1">
      <alignment horizontal="center" vertical="center"/>
    </xf>
    <xf numFmtId="3" fontId="3" fillId="10" borderId="100"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59"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3" xfId="13" applyFont="1" applyBorder="1" applyAlignment="1">
      <alignment horizontal="left"/>
    </xf>
    <xf numFmtId="0" fontId="8" fillId="0" borderId="51" xfId="13" applyFont="1" applyBorder="1" applyAlignment="1">
      <alignment horizontal="left"/>
    </xf>
    <xf numFmtId="0" fontId="3" fillId="0" borderId="198" xfId="13" applyBorder="1" applyAlignment="1">
      <alignment horizontal="center"/>
    </xf>
    <xf numFmtId="0" fontId="3" fillId="0" borderId="199" xfId="13" applyBorder="1" applyAlignment="1">
      <alignment horizontal="center"/>
    </xf>
    <xf numFmtId="0" fontId="3" fillId="0" borderId="200" xfId="13" applyBorder="1" applyAlignment="1">
      <alignment horizontal="center"/>
    </xf>
    <xf numFmtId="0" fontId="10" fillId="0" borderId="101" xfId="13" applyFont="1" applyBorder="1" applyAlignment="1">
      <alignment horizontal="center"/>
    </xf>
    <xf numFmtId="0" fontId="10" fillId="0" borderId="96" xfId="13" applyFont="1" applyBorder="1" applyAlignment="1">
      <alignment horizontal="center"/>
    </xf>
    <xf numFmtId="0" fontId="10" fillId="0" borderId="100" xfId="13" applyFont="1" applyBorder="1" applyAlignment="1">
      <alignment horizontal="center"/>
    </xf>
    <xf numFmtId="0" fontId="3" fillId="0" borderId="101" xfId="13" applyBorder="1" applyAlignment="1">
      <alignment horizontal="center"/>
    </xf>
    <xf numFmtId="0" fontId="3" fillId="0" borderId="100"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86"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62" xfId="13" applyBorder="1" applyAlignment="1">
      <alignment horizontal="left" vertical="top" wrapText="1"/>
    </xf>
    <xf numFmtId="9" fontId="38" fillId="0" borderId="95" xfId="0" applyNumberFormat="1" applyFont="1" applyBorder="1" applyAlignment="1">
      <alignment horizontal="center"/>
    </xf>
    <xf numFmtId="9" fontId="38" fillId="0" borderId="97" xfId="0" applyNumberFormat="1" applyFont="1" applyBorder="1" applyAlignment="1">
      <alignment horizontal="center"/>
    </xf>
    <xf numFmtId="0" fontId="200" fillId="0" borderId="186" xfId="0" applyFont="1" applyBorder="1" applyAlignment="1">
      <alignment horizontal="center"/>
    </xf>
    <xf numFmtId="9" fontId="38" fillId="0" borderId="198" xfId="0" applyNumberFormat="1" applyFont="1" applyBorder="1" applyAlignment="1">
      <alignment horizontal="center"/>
    </xf>
    <xf numFmtId="9" fontId="38" fillId="0" borderId="200" xfId="0" applyNumberFormat="1" applyFont="1" applyBorder="1" applyAlignment="1">
      <alignment horizontal="center"/>
    </xf>
    <xf numFmtId="9" fontId="38" fillId="20" borderId="98" xfId="10" applyFont="1" applyFill="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20" borderId="198" xfId="1" applyNumberFormat="1" applyFont="1" applyFill="1" applyBorder="1" applyAlignment="1" applyProtection="1">
      <alignment horizontal="center" vertical="center"/>
    </xf>
    <xf numFmtId="3" fontId="38" fillId="20" borderId="200" xfId="1" applyNumberFormat="1" applyFont="1" applyFill="1" applyBorder="1" applyAlignment="1" applyProtection="1">
      <alignment horizontal="center" vertical="center"/>
    </xf>
    <xf numFmtId="9" fontId="38" fillId="20" borderId="59" xfId="10" applyFont="1" applyFill="1" applyBorder="1" applyAlignment="1" applyProtection="1">
      <alignment horizontal="center" vertical="center"/>
    </xf>
    <xf numFmtId="3" fontId="38" fillId="0" borderId="198" xfId="1" applyNumberFormat="1" applyFont="1" applyFill="1" applyBorder="1" applyAlignment="1" applyProtection="1">
      <alignment horizontal="center" vertical="center"/>
    </xf>
    <xf numFmtId="3" fontId="38" fillId="0" borderId="200" xfId="1" applyNumberFormat="1" applyFont="1" applyFill="1" applyBorder="1" applyAlignment="1" applyProtection="1">
      <alignment horizontal="center" vertical="center"/>
    </xf>
    <xf numFmtId="9" fontId="38" fillId="0" borderId="198" xfId="10" applyFont="1" applyBorder="1" applyAlignment="1" applyProtection="1">
      <alignment horizontal="center" vertical="center"/>
    </xf>
    <xf numFmtId="9" fontId="38" fillId="0" borderId="200" xfId="10" applyFont="1" applyBorder="1" applyAlignment="1" applyProtection="1">
      <alignment horizontal="center" vertical="center"/>
    </xf>
    <xf numFmtId="38" fontId="38" fillId="20" borderId="12" xfId="0" applyNumberFormat="1" applyFont="1" applyFill="1" applyBorder="1" applyAlignment="1">
      <alignment horizontal="center" vertical="center"/>
    </xf>
    <xf numFmtId="0" fontId="40" fillId="0" borderId="198" xfId="0" applyFont="1" applyBorder="1" applyAlignment="1">
      <alignment horizontal="center" vertical="center"/>
    </xf>
    <xf numFmtId="0" fontId="40" fillId="0" borderId="199" xfId="0" applyFont="1" applyBorder="1" applyAlignment="1">
      <alignment horizontal="center" vertical="center"/>
    </xf>
    <xf numFmtId="0" fontId="40" fillId="0" borderId="200" xfId="0" applyFont="1" applyBorder="1" applyAlignment="1">
      <alignment horizontal="center" vertical="center"/>
    </xf>
    <xf numFmtId="3" fontId="38" fillId="0" borderId="199"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32" borderId="13" xfId="10"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3" fontId="38" fillId="32" borderId="59"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59"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98"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3" fontId="38" fillId="32" borderId="198" xfId="1" applyNumberFormat="1" applyFont="1" applyFill="1" applyBorder="1" applyAlignment="1" applyProtection="1">
      <alignment horizontal="center" vertical="center"/>
    </xf>
    <xf numFmtId="3" fontId="38" fillId="32" borderId="200" xfId="1" applyNumberFormat="1" applyFont="1" applyFill="1" applyBorder="1" applyAlignment="1" applyProtection="1">
      <alignment horizontal="center" vertical="center"/>
    </xf>
    <xf numFmtId="38" fontId="38" fillId="20" borderId="98"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59" xfId="0" applyNumberFormat="1" applyFont="1" applyFill="1" applyBorder="1" applyAlignment="1">
      <alignment horizontal="center" vertical="center"/>
    </xf>
    <xf numFmtId="0" fontId="213" fillId="0" borderId="201"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201"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74" fillId="0" borderId="198" xfId="9" applyFont="1" applyBorder="1" applyAlignment="1">
      <alignment horizontal="center" vertical="center"/>
    </xf>
    <xf numFmtId="0" fontId="74" fillId="0" borderId="199" xfId="9" applyFont="1" applyBorder="1" applyAlignment="1">
      <alignment horizontal="center" vertical="center"/>
    </xf>
    <xf numFmtId="0" fontId="74" fillId="0" borderId="200"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98"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98"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201" xfId="0" applyFont="1" applyBorder="1" applyAlignment="1">
      <alignment horizontal="center" wrapText="1"/>
    </xf>
    <xf numFmtId="0" fontId="43" fillId="0" borderId="7" xfId="0" applyFont="1" applyBorder="1" applyAlignment="1">
      <alignment horizontal="center" wrapText="1"/>
    </xf>
    <xf numFmtId="3" fontId="38" fillId="31" borderId="98" xfId="10" applyNumberFormat="1" applyFont="1" applyFill="1" applyBorder="1" applyAlignment="1" applyProtection="1">
      <alignment horizontal="center" vertical="center"/>
    </xf>
    <xf numFmtId="0" fontId="144" fillId="0" borderId="0" xfId="0" applyFont="1" applyAlignment="1">
      <alignment horizontal="left" vertical="center" wrapText="1"/>
    </xf>
    <xf numFmtId="0" fontId="220" fillId="20" borderId="0" xfId="0" applyFont="1" applyFill="1" applyAlignment="1">
      <alignment horizontal="center" vertical="center"/>
    </xf>
    <xf numFmtId="0" fontId="45" fillId="0" borderId="98" xfId="0" applyFont="1" applyBorder="1" applyAlignment="1">
      <alignment horizontal="center" vertical="center" wrapText="1"/>
    </xf>
    <xf numFmtId="0" fontId="45" fillId="0" borderId="12"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527" t="s">
        <v>0</v>
      </c>
    </row>
    <row r="2" spans="1:6" ht="15" customHeight="1">
      <c r="A2" s="528" t="str">
        <f>'Part I-Project Identification'!F25</f>
        <v>Ashley Collegetown Phase I</v>
      </c>
    </row>
    <row r="3" spans="1:6" ht="15" customHeight="1">
      <c r="A3" s="528" t="str">
        <f>CONCATENATE('Part I-Project Identification'!F26,", ", 'Part I-Project Identification'!J26," County")</f>
        <v>Atlanta, Fulton County</v>
      </c>
    </row>
    <row r="4" spans="1:6" ht="12" customHeight="1">
      <c r="A4" s="917"/>
    </row>
    <row r="5" spans="1:6" ht="72" customHeight="1">
      <c r="A5" s="2963" t="s">
        <v>1</v>
      </c>
      <c r="B5" s="2964" t="s">
        <v>2</v>
      </c>
      <c r="C5" s="2964"/>
      <c r="D5" s="2964"/>
      <c r="E5" s="2964"/>
      <c r="F5" s="2964"/>
    </row>
    <row r="6" spans="1:6" ht="6.6" customHeight="1">
      <c r="A6" s="2963"/>
      <c r="B6" s="2964"/>
      <c r="C6" s="2964"/>
      <c r="D6" s="2964"/>
      <c r="E6" s="2964"/>
      <c r="F6" s="2964"/>
    </row>
    <row r="7" spans="1:6" ht="72" customHeight="1">
      <c r="A7" s="2963"/>
      <c r="B7" s="2964"/>
      <c r="C7" s="2964"/>
      <c r="D7" s="2964"/>
      <c r="E7" s="2964"/>
      <c r="F7" s="2964"/>
    </row>
    <row r="8" spans="1:6" ht="6.6" customHeight="1">
      <c r="A8" s="2963"/>
    </row>
    <row r="9" spans="1:6" ht="72" customHeight="1">
      <c r="A9" s="2963"/>
    </row>
    <row r="10" spans="1:6" ht="6.6" customHeight="1">
      <c r="A10" s="2963"/>
    </row>
    <row r="11" spans="1:6" ht="72" customHeight="1">
      <c r="A11" s="2963"/>
    </row>
    <row r="12" spans="1:6" ht="6.6" customHeight="1">
      <c r="A12" s="2963"/>
    </row>
    <row r="13" spans="1:6" ht="72" customHeight="1">
      <c r="A13" s="2963"/>
    </row>
    <row r="14" spans="1:6" ht="6.6" customHeight="1">
      <c r="A14" s="2963"/>
    </row>
    <row r="15" spans="1:6" ht="72" customHeight="1">
      <c r="A15" s="2963"/>
    </row>
    <row r="16" spans="1:6" ht="6.6" customHeight="1">
      <c r="A16" s="2963"/>
    </row>
    <row r="17" spans="1:1" ht="72" customHeight="1">
      <c r="A17" s="2963"/>
    </row>
    <row r="18" spans="1:1" ht="6.6" customHeight="1">
      <c r="A18" s="2963"/>
    </row>
    <row r="19" spans="1:1" ht="72" customHeight="1">
      <c r="A19" s="2963"/>
    </row>
    <row r="20" spans="1:1" ht="6.6" customHeight="1">
      <c r="A20" s="2963"/>
    </row>
    <row r="21" spans="1:1" ht="72" customHeight="1">
      <c r="A21" s="2963"/>
    </row>
    <row r="22" spans="1:1" ht="6.6" customHeight="1">
      <c r="A22" s="2963"/>
    </row>
    <row r="23" spans="1:1" ht="72" customHeight="1">
      <c r="A23" s="296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E18" sqref="E18:E33"/>
    </sheetView>
  </sheetViews>
  <sheetFormatPr defaultColWidth="9.28515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28515625" style="5" customWidth="1"/>
    <col min="7" max="8" width="9.7109375" style="5" customWidth="1"/>
    <col min="9" max="9" width="10.7109375" style="5" customWidth="1"/>
    <col min="10" max="10" width="11.7109375" style="5" customWidth="1"/>
    <col min="11" max="11" width="10.28515625" style="5" customWidth="1"/>
    <col min="12" max="12" width="9.7109375" style="5" customWidth="1"/>
    <col min="13" max="14" width="11" style="5" customWidth="1"/>
    <col min="15" max="15" width="13.7109375" style="5" customWidth="1"/>
    <col min="16" max="16" width="15.42578125" style="5" customWidth="1"/>
    <col min="17" max="17" width="12.42578125" style="37" customWidth="1"/>
    <col min="18" max="18" width="9.7109375" style="37" customWidth="1"/>
    <col min="19" max="21" width="7.7109375" style="37" customWidth="1"/>
    <col min="22" max="22" width="59.28515625" style="37" customWidth="1"/>
    <col min="23" max="23" width="47.7109375" style="37" customWidth="1"/>
    <col min="24" max="137" width="9.28515625" style="261" customWidth="1"/>
    <col min="138" max="138" width="12.5703125" style="261" customWidth="1"/>
    <col min="139" max="139" width="8.28515625" style="261" customWidth="1"/>
    <col min="140" max="143" width="7.28515625" style="261" customWidth="1"/>
    <col min="144" max="144" width="8.28515625" style="261" customWidth="1"/>
    <col min="145" max="148" width="7.28515625" style="261" customWidth="1"/>
    <col min="149" max="158" width="9.28515625" style="261" customWidth="1"/>
    <col min="159" max="159" width="8.28515625" style="261" customWidth="1"/>
    <col min="160" max="163" width="7.28515625" style="261" customWidth="1"/>
    <col min="164" max="168" width="9.28515625" style="261" customWidth="1"/>
    <col min="169" max="169" width="8.28515625" style="261" customWidth="1"/>
    <col min="170" max="173" width="7.28515625" style="261" customWidth="1"/>
    <col min="174" max="253" width="9.28515625" style="261" customWidth="1"/>
    <col min="254" max="258" width="11.28515625" style="261" customWidth="1"/>
    <col min="259" max="273" width="9.28515625" style="261" customWidth="1"/>
    <col min="274" max="274" width="10.28515625" style="261" customWidth="1"/>
    <col min="275" max="278" width="10" style="261" customWidth="1"/>
    <col min="279" max="282" width="9.28515625" style="261" customWidth="1"/>
    <col min="283" max="283" width="9.28515625" style="1441" customWidth="1"/>
    <col min="284" max="287" width="9.28515625" style="261" customWidth="1"/>
    <col min="288" max="288" width="9.28515625" style="1441" customWidth="1"/>
    <col min="289" max="292" width="11.42578125" style="261" customWidth="1"/>
    <col min="293" max="293" width="11.42578125" style="1441" customWidth="1"/>
    <col min="294" max="297" width="11.42578125" style="261" customWidth="1"/>
    <col min="298" max="298" width="11.42578125" style="1441" customWidth="1"/>
    <col min="299" max="313" width="9.28515625" style="1441" customWidth="1"/>
    <col min="314" max="318" width="11" style="1441" customWidth="1"/>
    <col min="319" max="319" width="9.28515625" style="1441" customWidth="1"/>
    <col min="320" max="325" width="9.28515625" style="261" customWidth="1"/>
    <col min="326" max="326" width="9.28515625" style="265" customWidth="1"/>
    <col min="327" max="341" width="9.28515625" style="261" customWidth="1"/>
    <col min="342" max="343" width="9.28515625" style="265" customWidth="1"/>
    <col min="344" max="350" width="10.28515625" style="261" customWidth="1"/>
    <col min="351" max="353" width="9.28515625" style="261"/>
    <col min="354" max="354" width="10.42578125" style="261" customWidth="1"/>
    <col min="355" max="358" width="10.28515625" style="261" customWidth="1"/>
    <col min="359" max="378" width="9.28515625" style="79"/>
    <col min="379" max="379" width="9.28515625" style="261"/>
    <col min="380" max="380" width="9.28515625" style="1413"/>
    <col min="381" max="381" width="9.28515625" style="261"/>
    <col min="382" max="493" width="9.28515625" style="79"/>
    <col min="494" max="16384" width="9.28515625" style="37"/>
  </cols>
  <sheetData>
    <row r="1" spans="1:493" s="1413" customFormat="1" hidden="1">
      <c r="B1" s="1413" t="s">
        <v>782</v>
      </c>
      <c r="C1" s="1413" t="s">
        <v>783</v>
      </c>
      <c r="D1" s="1413" t="s">
        <v>784</v>
      </c>
      <c r="E1" s="1413" t="s">
        <v>785</v>
      </c>
      <c r="F1" s="1413" t="s">
        <v>786</v>
      </c>
      <c r="G1" s="1413" t="s">
        <v>787</v>
      </c>
      <c r="H1" s="1413" t="s">
        <v>788</v>
      </c>
      <c r="I1" s="1413" t="s">
        <v>789</v>
      </c>
      <c r="J1" s="1413" t="s">
        <v>790</v>
      </c>
      <c r="K1" s="1413" t="s">
        <v>791</v>
      </c>
      <c r="L1" s="1413" t="s">
        <v>792</v>
      </c>
      <c r="M1" s="1413" t="s">
        <v>793</v>
      </c>
      <c r="N1" s="1413" t="s">
        <v>794</v>
      </c>
      <c r="O1" s="1413" t="s">
        <v>795</v>
      </c>
      <c r="P1" s="1413" t="s">
        <v>796</v>
      </c>
      <c r="Q1" s="1413" t="s">
        <v>797</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441"/>
      <c r="JX1" s="261"/>
      <c r="JY1" s="261"/>
      <c r="JZ1" s="261"/>
      <c r="KA1" s="261"/>
      <c r="KB1" s="1441"/>
      <c r="KC1" s="261"/>
      <c r="KD1" s="261"/>
      <c r="KE1" s="261"/>
      <c r="KF1" s="261"/>
      <c r="KG1" s="1441"/>
      <c r="KH1" s="261"/>
      <c r="KI1" s="261"/>
      <c r="KJ1" s="261"/>
      <c r="KK1" s="261"/>
      <c r="KL1" s="1441"/>
      <c r="KM1" s="1441"/>
      <c r="KN1" s="1441"/>
      <c r="KO1" s="1441"/>
      <c r="KP1" s="1441"/>
      <c r="KQ1" s="1441"/>
      <c r="KR1" s="1441"/>
      <c r="KS1" s="1441"/>
      <c r="KT1" s="1441"/>
      <c r="KU1" s="1441"/>
      <c r="KV1" s="1441"/>
      <c r="KW1" s="1441"/>
      <c r="KX1" s="1441"/>
      <c r="KY1" s="1441"/>
      <c r="KZ1" s="1441"/>
      <c r="LA1" s="1441"/>
      <c r="LB1" s="1441"/>
      <c r="LC1" s="1441"/>
      <c r="LD1" s="1441"/>
      <c r="LE1" s="1441"/>
      <c r="LF1" s="1441"/>
      <c r="LG1" s="1441"/>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629"/>
      <c r="NS1" s="1629"/>
      <c r="NT1" s="1629"/>
      <c r="NU1" s="1629"/>
      <c r="NV1" s="1629"/>
      <c r="NW1" s="1629"/>
      <c r="NX1" s="1629"/>
      <c r="NY1" s="1629"/>
      <c r="NZ1" s="1629"/>
      <c r="OA1" s="1629"/>
      <c r="OB1" s="1629"/>
      <c r="OC1" s="1629"/>
      <c r="OD1" s="1629"/>
      <c r="OE1" s="1629"/>
      <c r="OF1" s="1629"/>
      <c r="OG1" s="1629"/>
      <c r="OH1" s="1629"/>
    </row>
    <row r="2" spans="1:493" s="43" customFormat="1" ht="14.1" customHeight="1">
      <c r="A2" s="3270" t="str">
        <f>CONCATENATE("PART FOUR - PROJECTED REVENUES &amp; EXPENSES","  -  ",'Part I-Project Identification'!$O$7," ",'Part I-Project Identification'!$F$25,", ",'Part I-Project Identification'!F26,", ",'Part I-Project Identification'!J26," County")</f>
        <v>PART FOUR - PROJECTED REVENUES &amp; EXPENSES  -  2023-5 Ashley Collegetown Phase I, Atlanta, Fulton County</v>
      </c>
      <c r="B2" s="3271"/>
      <c r="C2" s="3271"/>
      <c r="D2" s="3271"/>
      <c r="E2" s="3271"/>
      <c r="F2" s="3271"/>
      <c r="G2" s="3271"/>
      <c r="H2" s="3271"/>
      <c r="I2" s="3271"/>
      <c r="J2" s="3271"/>
      <c r="K2" s="3271"/>
      <c r="L2" s="3271"/>
      <c r="M2" s="3271"/>
      <c r="N2" s="3271"/>
      <c r="O2" s="3271"/>
      <c r="P2" s="3271"/>
      <c r="Q2" s="3272"/>
      <c r="T2" s="1152" t="str">
        <f>A2</f>
        <v>PART FOUR - PROJECTED REVENUES &amp; EXPENSES  -  2023-5 Ashley Collegetown Phase I, Atlanta, Fulton County</v>
      </c>
      <c r="U2" s="1152"/>
      <c r="V2" s="1152"/>
      <c r="W2" s="1152"/>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573"/>
      <c r="HY2" s="1573"/>
      <c r="HZ2" s="1573"/>
      <c r="IA2" s="1573"/>
      <c r="IB2" s="1573"/>
      <c r="IC2" s="1573"/>
      <c r="ID2" s="1573"/>
      <c r="IE2" s="1573"/>
      <c r="IF2" s="1573"/>
      <c r="IG2" s="1573"/>
      <c r="IH2" s="1573"/>
      <c r="II2" s="1573"/>
      <c r="IJ2" s="1573"/>
      <c r="IK2" s="1573"/>
      <c r="IL2" s="1573"/>
      <c r="IM2" s="1573"/>
      <c r="IN2" s="1573"/>
      <c r="IO2" s="1573"/>
      <c r="IP2" s="1573"/>
      <c r="IQ2" s="1573"/>
      <c r="IR2" s="1573"/>
      <c r="IS2" s="1573"/>
      <c r="IT2" s="1573"/>
      <c r="IU2" s="1573"/>
      <c r="IV2" s="1573"/>
      <c r="IW2" s="1573"/>
      <c r="IX2" s="1573"/>
      <c r="IY2" s="1573"/>
      <c r="IZ2" s="1573"/>
      <c r="JA2" s="1573"/>
      <c r="JB2" s="1573"/>
      <c r="JC2" s="1573"/>
      <c r="JD2" s="1573"/>
      <c r="JE2" s="1573"/>
      <c r="JF2" s="1573"/>
      <c r="JG2" s="1573"/>
      <c r="JH2" s="1573"/>
      <c r="JI2" s="1573"/>
      <c r="JJ2" s="1573"/>
      <c r="JK2" s="1573"/>
      <c r="JL2" s="1573"/>
      <c r="JM2" s="1573"/>
      <c r="JN2" s="1573"/>
      <c r="JO2" s="1573"/>
      <c r="JP2" s="1573"/>
      <c r="JQ2" s="1573"/>
      <c r="JR2" s="1573"/>
      <c r="JS2" s="1573"/>
      <c r="JT2" s="1573"/>
      <c r="JU2" s="1573"/>
      <c r="JV2" s="1573"/>
      <c r="JW2" s="1573"/>
      <c r="JX2" s="1573"/>
      <c r="JY2" s="1573"/>
      <c r="JZ2" s="1573"/>
      <c r="KA2" s="1573"/>
      <c r="KB2" s="1573"/>
      <c r="KC2" s="1573"/>
      <c r="KD2" s="1573"/>
      <c r="KE2" s="1573"/>
      <c r="KF2" s="1573"/>
      <c r="KG2" s="1573"/>
      <c r="KH2" s="1573"/>
      <c r="KI2" s="1573"/>
      <c r="KJ2" s="1573"/>
      <c r="KK2" s="1573"/>
      <c r="KL2" s="1573"/>
      <c r="KM2" s="263"/>
      <c r="KN2" s="263"/>
      <c r="KO2" s="1440"/>
      <c r="KP2" s="263"/>
      <c r="KQ2" s="263"/>
      <c r="KR2" s="263"/>
      <c r="KS2" s="263"/>
      <c r="KT2" s="1440"/>
      <c r="KU2" s="263"/>
      <c r="KV2" s="263"/>
      <c r="KW2" s="263"/>
      <c r="KX2" s="263"/>
      <c r="KY2" s="1440"/>
      <c r="KZ2" s="263"/>
      <c r="LA2" s="263"/>
      <c r="LB2" s="263"/>
      <c r="LC2" s="263"/>
      <c r="LD2" s="1440"/>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414"/>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563"/>
      <c r="IA3" s="1563"/>
      <c r="IB3" s="1563"/>
      <c r="IC3" s="1563"/>
      <c r="ID3" s="1563"/>
      <c r="IE3" s="1563"/>
      <c r="IF3" s="1563"/>
      <c r="IG3" s="1563"/>
      <c r="IH3" s="1563"/>
      <c r="II3" s="1563"/>
      <c r="IJ3" s="1563"/>
      <c r="IK3" s="1563"/>
      <c r="IL3" s="1563"/>
      <c r="IM3" s="1563"/>
      <c r="IN3" s="1563"/>
      <c r="IO3" s="1563"/>
      <c r="IP3" s="1563"/>
      <c r="IQ3" s="1563"/>
      <c r="IR3" s="1563"/>
      <c r="IS3" s="1563"/>
      <c r="IT3" s="1563"/>
      <c r="IU3" s="1563"/>
      <c r="IV3" s="1563"/>
      <c r="IW3" s="1563"/>
      <c r="IX3" s="1563"/>
      <c r="IY3" s="1563"/>
      <c r="IZ3" s="1563"/>
      <c r="JA3" s="1563"/>
      <c r="JB3" s="1563"/>
      <c r="JC3" s="1563"/>
      <c r="JD3" s="1563"/>
      <c r="JE3" s="1563"/>
      <c r="JF3" s="1563"/>
      <c r="JG3" s="1563"/>
      <c r="JH3" s="1563"/>
      <c r="JI3" s="1563"/>
      <c r="JJ3" s="1563"/>
      <c r="JK3" s="1563"/>
      <c r="JL3" s="1563"/>
      <c r="JM3" s="1563"/>
      <c r="JN3" s="1563"/>
      <c r="JO3" s="1563"/>
      <c r="JP3" s="1563"/>
      <c r="JQ3" s="1563"/>
      <c r="JR3" s="1563"/>
      <c r="JS3" s="1563"/>
      <c r="JT3" s="1563"/>
      <c r="JU3" s="1563"/>
      <c r="JV3" s="1563"/>
      <c r="JW3" s="1563"/>
      <c r="JX3" s="1563"/>
      <c r="JY3" s="1563"/>
      <c r="JZ3" s="1563"/>
      <c r="KA3" s="1563"/>
      <c r="KB3" s="1563"/>
      <c r="KC3" s="1563"/>
      <c r="KD3" s="1563"/>
      <c r="KE3" s="1563"/>
      <c r="KF3" s="1563"/>
      <c r="KG3" s="1563"/>
      <c r="KH3" s="1563"/>
      <c r="KI3" s="1563"/>
      <c r="KJ3" s="1563"/>
      <c r="KK3" s="1563"/>
      <c r="KL3" s="1563"/>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798</v>
      </c>
      <c r="C4" s="45"/>
      <c r="D4" s="1234" t="s">
        <v>799</v>
      </c>
      <c r="E4" s="1234"/>
      <c r="F4" s="1234"/>
      <c r="G4" s="1234"/>
      <c r="H4" s="1234"/>
      <c r="I4" s="1234"/>
      <c r="J4" s="1234"/>
      <c r="K4" s="61"/>
      <c r="L4" s="61"/>
      <c r="M4" s="61"/>
      <c r="O4" s="108" t="s">
        <v>800</v>
      </c>
      <c r="P4" s="3599" t="str">
        <f>'Part I-Project Identification'!$O$28</f>
        <v>Atlanta-Sandy Springs-Marietta</v>
      </c>
      <c r="Q4" s="3599"/>
      <c r="T4" s="4" t="str">
        <f>B4</f>
        <v>RENT SCHEDULE</v>
      </c>
      <c r="U4" s="95"/>
      <c r="X4" s="1222"/>
      <c r="Y4" s="1222"/>
      <c r="Z4" s="1222"/>
      <c r="AA4" s="1222"/>
      <c r="AB4" s="1222"/>
      <c r="AC4" s="1222"/>
      <c r="AD4" s="1222"/>
      <c r="AE4" s="1222"/>
      <c r="AF4" s="1222"/>
      <c r="AG4" s="1222"/>
      <c r="AH4" s="1222"/>
      <c r="AI4" s="1222"/>
      <c r="AJ4" s="1222"/>
      <c r="AK4" s="1222"/>
      <c r="AL4" s="1222"/>
      <c r="AM4" s="1222"/>
      <c r="AN4" s="1222"/>
      <c r="AO4" s="1222"/>
      <c r="AP4" s="1222"/>
      <c r="AQ4" s="1222"/>
      <c r="AR4" s="1222"/>
      <c r="AS4" s="1222"/>
      <c r="AT4" s="1222"/>
      <c r="AU4" s="1222"/>
      <c r="AV4" s="1222"/>
      <c r="AW4" s="1222"/>
      <c r="AX4" s="1222"/>
      <c r="AY4" s="1222"/>
      <c r="AZ4" s="1222"/>
      <c r="BA4" s="1222"/>
      <c r="BB4" s="1222"/>
      <c r="BC4" s="1222"/>
      <c r="BD4" s="1222"/>
      <c r="BE4" s="1222"/>
      <c r="BF4" s="1222"/>
      <c r="BG4" s="1222"/>
      <c r="BH4" s="1222"/>
      <c r="BI4" s="1222"/>
      <c r="BJ4" s="1222"/>
      <c r="BK4" s="1222"/>
      <c r="BL4" s="1222"/>
      <c r="BM4" s="1222"/>
      <c r="BN4" s="1222"/>
      <c r="BO4" s="1222"/>
      <c r="BP4" s="1222"/>
      <c r="BQ4" s="1222"/>
      <c r="BR4" s="1222"/>
      <c r="BS4" s="1222"/>
      <c r="BT4" s="1222"/>
      <c r="BU4" s="1222"/>
      <c r="BV4" s="1222"/>
      <c r="BW4" s="1222"/>
      <c r="BX4" s="1222"/>
      <c r="BY4" s="1222"/>
      <c r="BZ4" s="1222"/>
      <c r="CA4" s="1222"/>
      <c r="CB4" s="1222"/>
      <c r="CC4" s="1222"/>
      <c r="CD4" s="1222"/>
      <c r="CE4" s="1222"/>
      <c r="CF4" s="1222"/>
      <c r="CG4" s="1222"/>
      <c r="CH4" s="1222"/>
      <c r="CI4" s="1222"/>
      <c r="CJ4" s="1222"/>
      <c r="CK4" s="1222"/>
      <c r="CL4" s="1222"/>
      <c r="CM4" s="1222"/>
      <c r="CN4" s="1222"/>
      <c r="CO4" s="1222"/>
      <c r="CP4" s="1222"/>
      <c r="CQ4" s="1222"/>
      <c r="CR4" s="1222"/>
      <c r="CS4" s="1222"/>
      <c r="CT4" s="1222"/>
      <c r="CU4" s="1222"/>
      <c r="CV4" s="1222"/>
      <c r="CW4" s="1222"/>
      <c r="CX4" s="1222"/>
      <c r="CY4" s="1222"/>
      <c r="CZ4" s="1222"/>
      <c r="DA4" s="1222"/>
      <c r="DB4" s="1222"/>
      <c r="DC4" s="1222"/>
      <c r="DD4" s="1222"/>
      <c r="DE4" s="1222"/>
      <c r="DF4" s="1222"/>
      <c r="DG4" s="1222"/>
      <c r="DH4" s="1222"/>
      <c r="DI4" s="1222"/>
      <c r="DJ4" s="1222"/>
      <c r="DK4" s="1222"/>
      <c r="DL4" s="1222"/>
      <c r="DM4" s="1222"/>
      <c r="DN4" s="1222"/>
      <c r="DO4" s="1222"/>
      <c r="DP4" s="1222"/>
      <c r="DQ4" s="1222"/>
      <c r="DR4" s="1222"/>
      <c r="DS4" s="1222"/>
      <c r="DT4" s="1222"/>
      <c r="DU4" s="1222"/>
      <c r="DV4" s="1222"/>
      <c r="DW4" s="1222"/>
      <c r="DX4" s="1222"/>
      <c r="DY4" s="1222"/>
      <c r="DZ4" s="1222"/>
      <c r="EA4" s="1222"/>
      <c r="EB4" s="1222"/>
      <c r="EC4" s="1222"/>
      <c r="ED4" s="1222"/>
      <c r="EE4" s="1222"/>
      <c r="EF4" s="1222"/>
      <c r="EG4" s="1222"/>
      <c r="EH4" s="1222"/>
      <c r="EI4" s="1222"/>
      <c r="EJ4" s="1222"/>
      <c r="EK4" s="1222"/>
      <c r="EL4" s="1222"/>
      <c r="EM4" s="1222"/>
      <c r="EN4" s="1222"/>
      <c r="EO4" s="1222"/>
      <c r="EP4" s="1222"/>
      <c r="EQ4" s="1222"/>
      <c r="ER4" s="1222"/>
      <c r="ES4" s="1222"/>
      <c r="ET4" s="1222"/>
      <c r="EU4" s="1222"/>
      <c r="EV4" s="1222"/>
      <c r="EW4" s="1222"/>
      <c r="EX4" s="1222"/>
      <c r="EY4" s="1222"/>
      <c r="EZ4" s="1222"/>
      <c r="FA4" s="1222"/>
      <c r="FB4" s="1222"/>
      <c r="FC4" s="1222"/>
      <c r="FD4" s="1222"/>
      <c r="FE4" s="1222"/>
      <c r="FF4" s="1222"/>
      <c r="FG4" s="1222"/>
      <c r="FH4" s="1222"/>
      <c r="FI4" s="1222"/>
      <c r="FJ4" s="1222"/>
      <c r="FK4" s="1222"/>
      <c r="FL4" s="1222"/>
      <c r="FM4" s="1222"/>
      <c r="FN4" s="1222"/>
      <c r="FO4" s="1222"/>
      <c r="FP4" s="1222"/>
      <c r="FQ4" s="1222"/>
      <c r="FR4" s="1222"/>
      <c r="FS4" s="1222"/>
      <c r="FT4" s="1222"/>
      <c r="FU4" s="1222"/>
      <c r="FV4" s="1222"/>
      <c r="FW4" s="1222"/>
      <c r="FX4" s="1222"/>
      <c r="FY4" s="1222"/>
      <c r="FZ4" s="1222"/>
      <c r="GA4" s="1222"/>
      <c r="GB4" s="1222"/>
      <c r="GC4" s="1222"/>
      <c r="GD4" s="1222"/>
      <c r="GE4" s="1222"/>
      <c r="GF4" s="1222"/>
      <c r="GG4" s="1222"/>
      <c r="GH4" s="1222"/>
      <c r="GI4" s="1222"/>
      <c r="GJ4" s="1222"/>
      <c r="GK4" s="1222"/>
      <c r="GL4" s="1222"/>
      <c r="GM4" s="1222"/>
      <c r="GN4" s="1222"/>
      <c r="GO4" s="1222"/>
      <c r="GP4" s="1222"/>
      <c r="GQ4" s="1222"/>
      <c r="GR4" s="1222"/>
      <c r="GS4" s="1222"/>
      <c r="GT4" s="1222"/>
      <c r="GU4" s="1222"/>
      <c r="GV4" s="1222"/>
      <c r="GW4" s="1222"/>
      <c r="GX4" s="1222"/>
      <c r="GY4" s="1222"/>
      <c r="GZ4" s="1222"/>
      <c r="HA4" s="1222"/>
      <c r="HB4" s="1222"/>
      <c r="HC4" s="1222"/>
      <c r="HD4" s="1222"/>
      <c r="HE4" s="1222"/>
      <c r="HF4" s="1222"/>
      <c r="HG4" s="1222"/>
      <c r="HH4" s="1222"/>
      <c r="HI4" s="1222"/>
      <c r="HJ4" s="1222"/>
      <c r="HK4" s="1222"/>
      <c r="HL4" s="1222"/>
      <c r="HM4" s="1222"/>
      <c r="HN4" s="1222"/>
      <c r="HO4" s="1222"/>
      <c r="HP4" s="1222"/>
      <c r="HQ4" s="1222"/>
      <c r="HR4" s="1222"/>
      <c r="HS4" s="1222"/>
      <c r="HT4" s="1222"/>
      <c r="HU4" s="1222"/>
      <c r="HV4" s="1222"/>
      <c r="HW4" s="1222"/>
      <c r="HX4" s="1222"/>
      <c r="HY4" s="1222"/>
      <c r="HZ4" s="1574"/>
      <c r="IA4" s="1574"/>
      <c r="IB4" s="1574"/>
      <c r="IC4" s="1574"/>
      <c r="ID4" s="1574"/>
      <c r="IE4" s="1563" t="s">
        <v>801</v>
      </c>
      <c r="IF4" s="1563" t="s">
        <v>802</v>
      </c>
      <c r="IG4" s="1563" t="s">
        <v>803</v>
      </c>
      <c r="IH4" s="1563" t="s">
        <v>804</v>
      </c>
      <c r="II4" s="1563" t="s">
        <v>805</v>
      </c>
      <c r="IJ4" s="1563" t="s">
        <v>801</v>
      </c>
      <c r="IK4" s="1563" t="s">
        <v>802</v>
      </c>
      <c r="IL4" s="1563" t="s">
        <v>803</v>
      </c>
      <c r="IM4" s="1563" t="s">
        <v>804</v>
      </c>
      <c r="IN4" s="1563" t="s">
        <v>805</v>
      </c>
      <c r="IO4" s="1574"/>
      <c r="IP4" s="1574"/>
      <c r="IQ4" s="1574"/>
      <c r="IR4" s="1574"/>
      <c r="IS4" s="1574"/>
      <c r="IT4" s="1574"/>
      <c r="IU4" s="1574"/>
      <c r="IV4" s="1574"/>
      <c r="IW4" s="1574"/>
      <c r="IX4" s="1574"/>
      <c r="IY4" s="1563" t="s">
        <v>801</v>
      </c>
      <c r="IZ4" s="1563" t="s">
        <v>802</v>
      </c>
      <c r="JA4" s="1563" t="s">
        <v>803</v>
      </c>
      <c r="JB4" s="1563" t="s">
        <v>804</v>
      </c>
      <c r="JC4" s="1563" t="s">
        <v>805</v>
      </c>
      <c r="JD4" s="1563" t="s">
        <v>801</v>
      </c>
      <c r="JE4" s="1563" t="s">
        <v>802</v>
      </c>
      <c r="JF4" s="1563" t="s">
        <v>803</v>
      </c>
      <c r="JG4" s="1563" t="s">
        <v>804</v>
      </c>
      <c r="JH4" s="1563" t="s">
        <v>805</v>
      </c>
      <c r="JI4" s="1563" t="s">
        <v>801</v>
      </c>
      <c r="JJ4" s="1563" t="s">
        <v>802</v>
      </c>
      <c r="JK4" s="1563" t="s">
        <v>803</v>
      </c>
      <c r="JL4" s="1563" t="s">
        <v>804</v>
      </c>
      <c r="JM4" s="1563" t="s">
        <v>805</v>
      </c>
      <c r="JN4" s="1563" t="s">
        <v>801</v>
      </c>
      <c r="JO4" s="1563" t="s">
        <v>802</v>
      </c>
      <c r="JP4" s="1563" t="s">
        <v>803</v>
      </c>
      <c r="JQ4" s="1563" t="s">
        <v>804</v>
      </c>
      <c r="JR4" s="1563" t="s">
        <v>805</v>
      </c>
      <c r="JS4" s="1563" t="s">
        <v>801</v>
      </c>
      <c r="JT4" s="1563" t="s">
        <v>802</v>
      </c>
      <c r="JU4" s="1563" t="s">
        <v>803</v>
      </c>
      <c r="JV4" s="1563" t="s">
        <v>804</v>
      </c>
      <c r="JW4" s="1563" t="s">
        <v>805</v>
      </c>
      <c r="JX4" s="1563" t="s">
        <v>801</v>
      </c>
      <c r="JY4" s="1563" t="s">
        <v>802</v>
      </c>
      <c r="JZ4" s="1563" t="s">
        <v>803</v>
      </c>
      <c r="KA4" s="1563" t="s">
        <v>804</v>
      </c>
      <c r="KB4" s="1563" t="s">
        <v>805</v>
      </c>
      <c r="KC4" s="1563" t="s">
        <v>801</v>
      </c>
      <c r="KD4" s="1563" t="s">
        <v>802</v>
      </c>
      <c r="KE4" s="1563" t="s">
        <v>803</v>
      </c>
      <c r="KF4" s="1563" t="s">
        <v>804</v>
      </c>
      <c r="KG4" s="1563" t="s">
        <v>805</v>
      </c>
      <c r="KH4" s="1563" t="s">
        <v>801</v>
      </c>
      <c r="KI4" s="1563" t="s">
        <v>802</v>
      </c>
      <c r="KJ4" s="1563" t="s">
        <v>803</v>
      </c>
      <c r="KK4" s="1563" t="s">
        <v>804</v>
      </c>
      <c r="KL4" s="1563" t="s">
        <v>805</v>
      </c>
      <c r="KM4" s="1563" t="s">
        <v>801</v>
      </c>
      <c r="KN4" s="1563" t="s">
        <v>802</v>
      </c>
      <c r="KO4" s="1563" t="s">
        <v>803</v>
      </c>
      <c r="KP4" s="1563" t="s">
        <v>804</v>
      </c>
      <c r="KQ4" s="1563" t="s">
        <v>805</v>
      </c>
      <c r="KR4" s="1563" t="s">
        <v>801</v>
      </c>
      <c r="KS4" s="1563" t="s">
        <v>802</v>
      </c>
      <c r="KT4" s="1563" t="s">
        <v>803</v>
      </c>
      <c r="KU4" s="1563" t="s">
        <v>804</v>
      </c>
      <c r="KV4" s="1563" t="s">
        <v>805</v>
      </c>
      <c r="KW4" s="1563" t="s">
        <v>801</v>
      </c>
      <c r="KX4" s="1563" t="s">
        <v>802</v>
      </c>
      <c r="KY4" s="1563" t="s">
        <v>803</v>
      </c>
      <c r="KZ4" s="1563" t="s">
        <v>804</v>
      </c>
      <c r="LA4" s="1563" t="s">
        <v>805</v>
      </c>
      <c r="LB4" s="1563" t="s">
        <v>801</v>
      </c>
      <c r="LC4" s="1563" t="s">
        <v>802</v>
      </c>
      <c r="LD4" s="1563" t="s">
        <v>803</v>
      </c>
      <c r="LE4" s="1563" t="s">
        <v>804</v>
      </c>
      <c r="LF4" s="1563" t="s">
        <v>805</v>
      </c>
      <c r="LG4" s="1222"/>
      <c r="LH4" s="1222"/>
      <c r="LI4" s="1222"/>
      <c r="LJ4" s="1222"/>
      <c r="LK4" s="1222"/>
      <c r="LL4" s="1222"/>
      <c r="LM4" s="1222"/>
      <c r="LN4" s="1222"/>
      <c r="LO4" s="1222"/>
      <c r="LP4" s="1222"/>
      <c r="LQ4" s="1222"/>
      <c r="LR4" s="1222"/>
      <c r="LS4" s="1222"/>
      <c r="LT4" s="1222"/>
      <c r="LU4" s="1222"/>
      <c r="LV4" s="1222"/>
      <c r="LW4" s="1222"/>
      <c r="LX4" s="1222"/>
      <c r="LY4" s="1222"/>
      <c r="LZ4" s="1222"/>
      <c r="MA4" s="1222"/>
      <c r="MB4" s="1222"/>
      <c r="MC4" s="1222"/>
      <c r="MD4" s="1222"/>
      <c r="ME4" s="1222"/>
      <c r="MF4" s="3495" t="s">
        <v>806</v>
      </c>
      <c r="MG4" s="3495" t="s">
        <v>807</v>
      </c>
      <c r="MH4" s="3495" t="s">
        <v>808</v>
      </c>
      <c r="MI4" s="3495" t="s">
        <v>809</v>
      </c>
      <c r="MJ4" s="3495" t="s">
        <v>810</v>
      </c>
      <c r="MK4" s="1222"/>
      <c r="ML4" s="1222"/>
      <c r="MM4" s="1222"/>
      <c r="MN4" s="1222"/>
      <c r="MO4" s="1222"/>
      <c r="MP4" s="1222"/>
      <c r="MQ4" s="1222"/>
      <c r="MR4" s="1222"/>
      <c r="MS4" s="1222"/>
      <c r="MT4" s="1222"/>
      <c r="MU4" s="45"/>
      <c r="MV4" s="45"/>
      <c r="MW4" s="45"/>
      <c r="MX4" s="45"/>
      <c r="MY4" s="45"/>
      <c r="MZ4" s="45"/>
      <c r="NA4" s="45"/>
      <c r="NB4" s="45"/>
      <c r="NC4" s="45"/>
      <c r="ND4" s="45"/>
      <c r="NE4" s="45"/>
      <c r="NF4" s="45"/>
      <c r="NG4" s="45"/>
      <c r="NH4" s="45"/>
      <c r="NI4" s="45"/>
      <c r="NJ4" s="45"/>
      <c r="NK4" s="45"/>
      <c r="NL4" s="45"/>
      <c r="NM4" s="45"/>
      <c r="NN4" s="45"/>
      <c r="NO4" s="263"/>
      <c r="NP4" s="1414"/>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234"/>
      <c r="E5" s="1234"/>
      <c r="F5" s="1234"/>
      <c r="G5" s="1234"/>
      <c r="H5" s="1234"/>
      <c r="I5" s="1234"/>
      <c r="J5" s="1234"/>
      <c r="K5" s="45"/>
      <c r="L5" s="45"/>
      <c r="M5" s="45"/>
      <c r="N5" s="45"/>
      <c r="P5" s="1225"/>
      <c r="Q5" s="3563" t="s">
        <v>811</v>
      </c>
      <c r="R5" s="659"/>
      <c r="S5" s="242"/>
      <c r="T5" s="242"/>
      <c r="U5" s="242"/>
      <c r="W5" s="243"/>
      <c r="X5" s="3495" t="s">
        <v>812</v>
      </c>
      <c r="Y5" s="3495" t="s">
        <v>813</v>
      </c>
      <c r="Z5" s="3495" t="s">
        <v>814</v>
      </c>
      <c r="AA5" s="3495" t="s">
        <v>815</v>
      </c>
      <c r="AB5" s="3495" t="s">
        <v>816</v>
      </c>
      <c r="AC5" s="3495" t="s">
        <v>817</v>
      </c>
      <c r="AD5" s="3495" t="s">
        <v>818</v>
      </c>
      <c r="AE5" s="3495" t="s">
        <v>819</v>
      </c>
      <c r="AF5" s="3495" t="s">
        <v>820</v>
      </c>
      <c r="AG5" s="3495" t="s">
        <v>821</v>
      </c>
      <c r="AH5" s="3495" t="s">
        <v>822</v>
      </c>
      <c r="AI5" s="3495" t="s">
        <v>823</v>
      </c>
      <c r="AJ5" s="3495" t="s">
        <v>824</v>
      </c>
      <c r="AK5" s="3495" t="s">
        <v>825</v>
      </c>
      <c r="AL5" s="3495" t="s">
        <v>826</v>
      </c>
      <c r="AM5" s="3495" t="s">
        <v>827</v>
      </c>
      <c r="AN5" s="3495" t="s">
        <v>828</v>
      </c>
      <c r="AO5" s="3495" t="s">
        <v>829</v>
      </c>
      <c r="AP5" s="3495" t="s">
        <v>830</v>
      </c>
      <c r="AQ5" s="3495" t="s">
        <v>831</v>
      </c>
      <c r="AR5" s="3495" t="s">
        <v>832</v>
      </c>
      <c r="AS5" s="3495" t="s">
        <v>833</v>
      </c>
      <c r="AT5" s="3495" t="s">
        <v>834</v>
      </c>
      <c r="AU5" s="3495" t="s">
        <v>835</v>
      </c>
      <c r="AV5" s="3495" t="s">
        <v>836</v>
      </c>
      <c r="AW5" s="3495" t="s">
        <v>837</v>
      </c>
      <c r="AX5" s="3495" t="s">
        <v>838</v>
      </c>
      <c r="AY5" s="3495" t="s">
        <v>839</v>
      </c>
      <c r="AZ5" s="3495" t="s">
        <v>840</v>
      </c>
      <c r="BA5" s="3495" t="s">
        <v>841</v>
      </c>
      <c r="BB5" s="3495" t="s">
        <v>842</v>
      </c>
      <c r="BC5" s="3495" t="s">
        <v>843</v>
      </c>
      <c r="BD5" s="3495" t="s">
        <v>844</v>
      </c>
      <c r="BE5" s="3495" t="s">
        <v>845</v>
      </c>
      <c r="BF5" s="3495" t="s">
        <v>846</v>
      </c>
      <c r="BG5" s="3495" t="s">
        <v>847</v>
      </c>
      <c r="BH5" s="3495" t="s">
        <v>848</v>
      </c>
      <c r="BI5" s="3495" t="s">
        <v>849</v>
      </c>
      <c r="BJ5" s="3495" t="s">
        <v>850</v>
      </c>
      <c r="BK5" s="3495" t="s">
        <v>851</v>
      </c>
      <c r="BL5" s="3495" t="s">
        <v>852</v>
      </c>
      <c r="BM5" s="3495" t="s">
        <v>853</v>
      </c>
      <c r="BN5" s="3495" t="s">
        <v>854</v>
      </c>
      <c r="BO5" s="3495" t="s">
        <v>855</v>
      </c>
      <c r="BP5" s="3495" t="s">
        <v>856</v>
      </c>
      <c r="BQ5" s="3495" t="s">
        <v>857</v>
      </c>
      <c r="BR5" s="3495" t="s">
        <v>858</v>
      </c>
      <c r="BS5" s="3495" t="s">
        <v>859</v>
      </c>
      <c r="BT5" s="3495" t="s">
        <v>860</v>
      </c>
      <c r="BU5" s="3495" t="s">
        <v>861</v>
      </c>
      <c r="BV5" s="3495" t="s">
        <v>862</v>
      </c>
      <c r="BW5" s="3495" t="s">
        <v>863</v>
      </c>
      <c r="BX5" s="3495" t="s">
        <v>864</v>
      </c>
      <c r="BY5" s="3495" t="s">
        <v>865</v>
      </c>
      <c r="BZ5" s="3495" t="s">
        <v>866</v>
      </c>
      <c r="CA5" s="3495" t="s">
        <v>867</v>
      </c>
      <c r="CB5" s="3495" t="s">
        <v>868</v>
      </c>
      <c r="CC5" s="3495" t="s">
        <v>869</v>
      </c>
      <c r="CD5" s="3495" t="s">
        <v>870</v>
      </c>
      <c r="CE5" s="3495" t="s">
        <v>871</v>
      </c>
      <c r="CF5" s="3495" t="s">
        <v>872</v>
      </c>
      <c r="CG5" s="3495" t="s">
        <v>873</v>
      </c>
      <c r="CH5" s="3495" t="s">
        <v>874</v>
      </c>
      <c r="CI5" s="3495" t="s">
        <v>875</v>
      </c>
      <c r="CJ5" s="3495" t="s">
        <v>876</v>
      </c>
      <c r="CK5" s="3495" t="s">
        <v>877</v>
      </c>
      <c r="CL5" s="3495" t="s">
        <v>878</v>
      </c>
      <c r="CM5" s="3495" t="s">
        <v>879</v>
      </c>
      <c r="CN5" s="3495" t="s">
        <v>880</v>
      </c>
      <c r="CO5" s="3495" t="s">
        <v>881</v>
      </c>
      <c r="CP5" s="3495" t="s">
        <v>882</v>
      </c>
      <c r="CQ5" s="3495" t="s">
        <v>883</v>
      </c>
      <c r="CR5" s="3495" t="s">
        <v>884</v>
      </c>
      <c r="CS5" s="3495" t="s">
        <v>885</v>
      </c>
      <c r="CT5" s="3495" t="s">
        <v>886</v>
      </c>
      <c r="CU5" s="3495" t="s">
        <v>887</v>
      </c>
      <c r="CV5" s="3495" t="s">
        <v>888</v>
      </c>
      <c r="CW5" s="3495" t="s">
        <v>889</v>
      </c>
      <c r="CX5" s="3495" t="s">
        <v>890</v>
      </c>
      <c r="CY5" s="3495" t="s">
        <v>891</v>
      </c>
      <c r="CZ5" s="3495" t="s">
        <v>892</v>
      </c>
      <c r="DA5" s="3495" t="s">
        <v>893</v>
      </c>
      <c r="DB5" s="3495" t="s">
        <v>894</v>
      </c>
      <c r="DC5" s="3495" t="s">
        <v>895</v>
      </c>
      <c r="DD5" s="3495" t="s">
        <v>896</v>
      </c>
      <c r="DE5" s="3495" t="s">
        <v>897</v>
      </c>
      <c r="DF5" s="3495" t="s">
        <v>898</v>
      </c>
      <c r="DG5" s="3495" t="s">
        <v>899</v>
      </c>
      <c r="DH5" s="3495" t="s">
        <v>900</v>
      </c>
      <c r="DI5" s="3495" t="s">
        <v>901</v>
      </c>
      <c r="DJ5" s="3495" t="s">
        <v>902</v>
      </c>
      <c r="DK5" s="3495" t="s">
        <v>903</v>
      </c>
      <c r="DL5" s="3495" t="s">
        <v>904</v>
      </c>
      <c r="DM5" s="3495" t="s">
        <v>905</v>
      </c>
      <c r="DN5" s="3495" t="s">
        <v>906</v>
      </c>
      <c r="DO5" s="3495" t="s">
        <v>907</v>
      </c>
      <c r="DP5" s="3495" t="s">
        <v>908</v>
      </c>
      <c r="DQ5" s="3495" t="s">
        <v>909</v>
      </c>
      <c r="DR5" s="3495" t="s">
        <v>910</v>
      </c>
      <c r="DS5" s="3495" t="s">
        <v>911</v>
      </c>
      <c r="DT5" s="3495" t="s">
        <v>912</v>
      </c>
      <c r="DU5" s="3495" t="s">
        <v>913</v>
      </c>
      <c r="DV5" s="3495" t="s">
        <v>914</v>
      </c>
      <c r="DW5" s="3495" t="s">
        <v>915</v>
      </c>
      <c r="DX5" s="3495" t="s">
        <v>916</v>
      </c>
      <c r="DY5" s="3495" t="s">
        <v>917</v>
      </c>
      <c r="DZ5" s="3495" t="s">
        <v>918</v>
      </c>
      <c r="EA5" s="3495" t="s">
        <v>919</v>
      </c>
      <c r="EB5" s="3495" t="s">
        <v>920</v>
      </c>
      <c r="EC5" s="3495" t="s">
        <v>921</v>
      </c>
      <c r="ED5" s="3495" t="s">
        <v>922</v>
      </c>
      <c r="EE5" s="3495" t="s">
        <v>923</v>
      </c>
      <c r="EF5" s="3495" t="s">
        <v>924</v>
      </c>
      <c r="EG5" s="3495" t="s">
        <v>925</v>
      </c>
      <c r="EH5" s="3495" t="s">
        <v>926</v>
      </c>
      <c r="EI5" s="3495" t="s">
        <v>927</v>
      </c>
      <c r="EJ5" s="3495" t="s">
        <v>928</v>
      </c>
      <c r="EK5" s="3495" t="s">
        <v>929</v>
      </c>
      <c r="EL5" s="3495" t="s">
        <v>930</v>
      </c>
      <c r="EM5" s="3495" t="s">
        <v>931</v>
      </c>
      <c r="EN5" s="3495" t="s">
        <v>932</v>
      </c>
      <c r="EO5" s="3495" t="s">
        <v>933</v>
      </c>
      <c r="EP5" s="3495" t="s">
        <v>934</v>
      </c>
      <c r="EQ5" s="3495" t="s">
        <v>935</v>
      </c>
      <c r="ER5" s="3495" t="s">
        <v>936</v>
      </c>
      <c r="ES5" s="3495" t="s">
        <v>937</v>
      </c>
      <c r="ET5" s="3495" t="s">
        <v>938</v>
      </c>
      <c r="EU5" s="3495" t="s">
        <v>939</v>
      </c>
      <c r="EV5" s="3495" t="s">
        <v>940</v>
      </c>
      <c r="EW5" s="3495" t="s">
        <v>941</v>
      </c>
      <c r="EX5" s="3495" t="s">
        <v>942</v>
      </c>
      <c r="EY5" s="3495" t="s">
        <v>943</v>
      </c>
      <c r="EZ5" s="3495" t="s">
        <v>944</v>
      </c>
      <c r="FA5" s="3495" t="s">
        <v>945</v>
      </c>
      <c r="FB5" s="3495" t="s">
        <v>946</v>
      </c>
      <c r="FC5" s="3495" t="s">
        <v>947</v>
      </c>
      <c r="FD5" s="3495" t="s">
        <v>948</v>
      </c>
      <c r="FE5" s="3495" t="s">
        <v>949</v>
      </c>
      <c r="FF5" s="3495" t="s">
        <v>950</v>
      </c>
      <c r="FG5" s="3495" t="s">
        <v>951</v>
      </c>
      <c r="FH5" s="3495" t="s">
        <v>952</v>
      </c>
      <c r="FI5" s="3495" t="s">
        <v>953</v>
      </c>
      <c r="FJ5" s="3495" t="s">
        <v>954</v>
      </c>
      <c r="FK5" s="3495" t="s">
        <v>955</v>
      </c>
      <c r="FL5" s="3495" t="s">
        <v>956</v>
      </c>
      <c r="FM5" s="3495" t="s">
        <v>957</v>
      </c>
      <c r="FN5" s="3495" t="s">
        <v>958</v>
      </c>
      <c r="FO5" s="3495" t="s">
        <v>959</v>
      </c>
      <c r="FP5" s="3495" t="s">
        <v>960</v>
      </c>
      <c r="FQ5" s="3495" t="s">
        <v>961</v>
      </c>
      <c r="FR5" s="3495" t="s">
        <v>962</v>
      </c>
      <c r="FS5" s="3495" t="s">
        <v>963</v>
      </c>
      <c r="FT5" s="3495" t="s">
        <v>964</v>
      </c>
      <c r="FU5" s="3495" t="s">
        <v>965</v>
      </c>
      <c r="FV5" s="3495" t="s">
        <v>966</v>
      </c>
      <c r="FW5" s="3495" t="s">
        <v>967</v>
      </c>
      <c r="FX5" s="3495" t="s">
        <v>968</v>
      </c>
      <c r="FY5" s="3495" t="s">
        <v>969</v>
      </c>
      <c r="FZ5" s="3495" t="s">
        <v>970</v>
      </c>
      <c r="GA5" s="3495" t="s">
        <v>971</v>
      </c>
      <c r="GB5" s="3495" t="s">
        <v>972</v>
      </c>
      <c r="GC5" s="3495" t="s">
        <v>973</v>
      </c>
      <c r="GD5" s="3495" t="s">
        <v>974</v>
      </c>
      <c r="GE5" s="3495" t="s">
        <v>975</v>
      </c>
      <c r="GF5" s="3495" t="s">
        <v>976</v>
      </c>
      <c r="GG5" s="3495" t="s">
        <v>977</v>
      </c>
      <c r="GH5" s="3495" t="s">
        <v>978</v>
      </c>
      <c r="GI5" s="3495" t="s">
        <v>979</v>
      </c>
      <c r="GJ5" s="3495" t="s">
        <v>980</v>
      </c>
      <c r="GK5" s="3495" t="s">
        <v>981</v>
      </c>
      <c r="GL5" s="3495" t="s">
        <v>982</v>
      </c>
      <c r="GM5" s="3495" t="s">
        <v>983</v>
      </c>
      <c r="GN5" s="3495" t="s">
        <v>984</v>
      </c>
      <c r="GO5" s="3495" t="s">
        <v>985</v>
      </c>
      <c r="GP5" s="3495" t="s">
        <v>986</v>
      </c>
      <c r="GQ5" s="3495" t="s">
        <v>987</v>
      </c>
      <c r="GR5" s="3495" t="s">
        <v>988</v>
      </c>
      <c r="GS5" s="3495" t="s">
        <v>989</v>
      </c>
      <c r="GT5" s="3495" t="s">
        <v>990</v>
      </c>
      <c r="GU5" s="3495" t="s">
        <v>991</v>
      </c>
      <c r="GV5" s="3495" t="s">
        <v>992</v>
      </c>
      <c r="GW5" s="3495" t="s">
        <v>993</v>
      </c>
      <c r="GX5" s="3495" t="s">
        <v>994</v>
      </c>
      <c r="GY5" s="3495" t="s">
        <v>995</v>
      </c>
      <c r="GZ5" s="3495" t="s">
        <v>996</v>
      </c>
      <c r="HA5" s="3495" t="s">
        <v>997</v>
      </c>
      <c r="HB5" s="3495" t="s">
        <v>998</v>
      </c>
      <c r="HC5" s="3495" t="s">
        <v>999</v>
      </c>
      <c r="HD5" s="3495" t="s">
        <v>1000</v>
      </c>
      <c r="HE5" s="3495" t="s">
        <v>1001</v>
      </c>
      <c r="HF5" s="3495" t="s">
        <v>1002</v>
      </c>
      <c r="HG5" s="3495" t="s">
        <v>1003</v>
      </c>
      <c r="HH5" s="3495" t="s">
        <v>1004</v>
      </c>
      <c r="HI5" s="3495" t="s">
        <v>1005</v>
      </c>
      <c r="HJ5" s="3495" t="s">
        <v>1006</v>
      </c>
      <c r="HK5" s="3495" t="s">
        <v>1007</v>
      </c>
      <c r="HL5" s="3495" t="s">
        <v>1008</v>
      </c>
      <c r="HM5" s="3495" t="s">
        <v>1009</v>
      </c>
      <c r="HN5" s="3495" t="s">
        <v>1010</v>
      </c>
      <c r="HO5" s="3495" t="s">
        <v>1011</v>
      </c>
      <c r="HP5" s="3495" t="s">
        <v>1012</v>
      </c>
      <c r="HQ5" s="3495" t="s">
        <v>1013</v>
      </c>
      <c r="HR5" s="3495" t="s">
        <v>1014</v>
      </c>
      <c r="HS5" s="3495" t="s">
        <v>1015</v>
      </c>
      <c r="HT5" s="3495" t="s">
        <v>1016</v>
      </c>
      <c r="HU5" s="3495" t="s">
        <v>1017</v>
      </c>
      <c r="HV5" s="3495" t="s">
        <v>1018</v>
      </c>
      <c r="HW5" s="3495" t="s">
        <v>1019</v>
      </c>
      <c r="HX5" s="3495" t="s">
        <v>1020</v>
      </c>
      <c r="HY5" s="3495" t="s">
        <v>1021</v>
      </c>
      <c r="HZ5" s="1574"/>
      <c r="IA5" s="1574"/>
      <c r="IB5" s="1574"/>
      <c r="IC5" s="1574"/>
      <c r="ID5" s="1574"/>
      <c r="IE5" s="1574"/>
      <c r="IF5" s="1574"/>
      <c r="IG5" s="1574"/>
      <c r="IH5" s="1574"/>
      <c r="II5" s="1574"/>
      <c r="IJ5" s="1574"/>
      <c r="IK5" s="1574"/>
      <c r="IL5" s="1574"/>
      <c r="IM5" s="1574"/>
      <c r="IN5" s="1574"/>
      <c r="IO5" s="1574"/>
      <c r="IP5" s="1574"/>
      <c r="IQ5" s="1574"/>
      <c r="IR5" s="1574"/>
      <c r="IS5" s="1574"/>
      <c r="IT5" s="1574"/>
      <c r="IU5" s="1574"/>
      <c r="IV5" s="1574"/>
      <c r="IW5" s="1574"/>
      <c r="IX5" s="1574"/>
      <c r="IY5" s="1574"/>
      <c r="IZ5" s="1574"/>
      <c r="JA5" s="1574"/>
      <c r="JB5" s="1574"/>
      <c r="JC5" s="1574"/>
      <c r="JD5" s="1574"/>
      <c r="JE5" s="1574"/>
      <c r="JF5" s="1574"/>
      <c r="JG5" s="1574"/>
      <c r="JH5" s="1574"/>
      <c r="JI5" s="1574"/>
      <c r="JJ5" s="1574"/>
      <c r="JK5" s="1574"/>
      <c r="JL5" s="1574"/>
      <c r="JM5" s="1574"/>
      <c r="JN5" s="1574"/>
      <c r="JO5" s="1574"/>
      <c r="JP5" s="1574"/>
      <c r="JQ5" s="1574"/>
      <c r="JR5" s="1574"/>
      <c r="JS5" s="1574"/>
      <c r="JT5" s="1574"/>
      <c r="JU5" s="1574"/>
      <c r="JV5" s="1574"/>
      <c r="JW5" s="1574"/>
      <c r="JX5" s="1574"/>
      <c r="JY5" s="1574"/>
      <c r="JZ5" s="1574"/>
      <c r="KA5" s="1574"/>
      <c r="KB5" s="1574"/>
      <c r="KC5" s="1574"/>
      <c r="KD5" s="1574"/>
      <c r="KE5" s="1574"/>
      <c r="KF5" s="1574"/>
      <c r="KG5" s="1574"/>
      <c r="KH5" s="1574"/>
      <c r="KI5" s="1574"/>
      <c r="KJ5" s="1574"/>
      <c r="KK5" s="1574"/>
      <c r="KL5" s="1574"/>
      <c r="KM5" s="1222"/>
      <c r="KN5" s="1222"/>
      <c r="KO5" s="1222"/>
      <c r="KP5" s="1222"/>
      <c r="KQ5" s="1222"/>
      <c r="KR5" s="1222"/>
      <c r="KS5" s="1222"/>
      <c r="KT5" s="1222"/>
      <c r="KU5" s="1222"/>
      <c r="KV5" s="1222"/>
      <c r="KW5" s="1222"/>
      <c r="KX5" s="1222"/>
      <c r="KY5" s="1222"/>
      <c r="KZ5" s="1222"/>
      <c r="LA5" s="1222"/>
      <c r="LB5" s="1222"/>
      <c r="LC5" s="1222"/>
      <c r="LD5" s="1222"/>
      <c r="LE5" s="1222"/>
      <c r="LF5" s="1222"/>
      <c r="LG5" s="3495" t="s">
        <v>1022</v>
      </c>
      <c r="LH5" s="3495" t="s">
        <v>1023</v>
      </c>
      <c r="LI5" s="3495" t="s">
        <v>1024</v>
      </c>
      <c r="LJ5" s="3495" t="s">
        <v>1025</v>
      </c>
      <c r="LK5" s="3495" t="s">
        <v>1026</v>
      </c>
      <c r="LL5" s="3495" t="s">
        <v>1027</v>
      </c>
      <c r="LM5" s="3495" t="s">
        <v>1028</v>
      </c>
      <c r="LN5" s="3495" t="s">
        <v>1029</v>
      </c>
      <c r="LO5" s="3495" t="s">
        <v>1030</v>
      </c>
      <c r="LP5" s="3495" t="s">
        <v>1031</v>
      </c>
      <c r="LQ5" s="3495" t="s">
        <v>1032</v>
      </c>
      <c r="LR5" s="3495" t="s">
        <v>1033</v>
      </c>
      <c r="LS5" s="3495" t="s">
        <v>1034</v>
      </c>
      <c r="LT5" s="3495" t="s">
        <v>1035</v>
      </c>
      <c r="LU5" s="3495" t="s">
        <v>1036</v>
      </c>
      <c r="LV5" s="3495" t="s">
        <v>1037</v>
      </c>
      <c r="LW5" s="3495" t="s">
        <v>1038</v>
      </c>
      <c r="LX5" s="3495" t="s">
        <v>1039</v>
      </c>
      <c r="LY5" s="3495" t="s">
        <v>1040</v>
      </c>
      <c r="LZ5" s="3495" t="s">
        <v>1041</v>
      </c>
      <c r="MA5" s="3495" t="s">
        <v>1042</v>
      </c>
      <c r="MB5" s="3495" t="s">
        <v>1043</v>
      </c>
      <c r="MC5" s="3495" t="s">
        <v>1044</v>
      </c>
      <c r="MD5" s="3495" t="s">
        <v>1045</v>
      </c>
      <c r="ME5" s="3495" t="s">
        <v>1046</v>
      </c>
      <c r="MF5" s="3495"/>
      <c r="MG5" s="3495"/>
      <c r="MH5" s="3495"/>
      <c r="MI5" s="3495"/>
      <c r="MJ5" s="3495"/>
      <c r="MK5" s="1222"/>
      <c r="ML5" s="1222"/>
      <c r="MM5" s="1222"/>
      <c r="MN5" s="1222"/>
      <c r="MO5" s="1222"/>
      <c r="MP5" s="1222"/>
      <c r="MQ5" s="1222"/>
      <c r="MR5" s="1222"/>
      <c r="MS5" s="1222"/>
      <c r="MT5" s="1222"/>
      <c r="MU5" s="45"/>
      <c r="MV5" s="45"/>
      <c r="MW5" s="45"/>
      <c r="MX5" s="45"/>
      <c r="MY5" s="45"/>
      <c r="MZ5" s="45"/>
      <c r="NA5" s="45"/>
      <c r="NB5" s="45"/>
      <c r="NC5" s="45"/>
      <c r="ND5" s="45"/>
      <c r="NE5" s="45"/>
      <c r="NF5" s="45"/>
      <c r="NG5" s="45"/>
      <c r="NH5" s="45"/>
      <c r="NI5" s="45"/>
      <c r="NJ5" s="45"/>
      <c r="NK5" s="45"/>
      <c r="NL5" s="45"/>
      <c r="NM5" s="45"/>
      <c r="NN5" s="45"/>
      <c r="NO5" s="263"/>
      <c r="NP5" s="1414"/>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523" t="str">
        <f>IF(A49&gt;0,"Finish Row!","")</f>
        <v/>
      </c>
      <c r="B6" s="96" t="s">
        <v>1047</v>
      </c>
      <c r="D6" s="1234"/>
      <c r="E6" s="1234"/>
      <c r="F6" s="1234"/>
      <c r="G6" s="979" t="s">
        <v>776</v>
      </c>
      <c r="H6" s="3597" t="s">
        <v>1048</v>
      </c>
      <c r="I6" s="3598"/>
      <c r="J6" s="3598"/>
      <c r="K6" s="542" t="s">
        <v>791</v>
      </c>
      <c r="L6" s="3497" t="str">
        <f>'Part I-Project Identification'!$A$6</f>
        <v>Sept 2023</v>
      </c>
      <c r="M6" s="3497"/>
      <c r="N6" s="3497"/>
      <c r="O6" s="1411" t="s">
        <v>1049</v>
      </c>
      <c r="P6" s="1224">
        <v>103500</v>
      </c>
      <c r="Q6" s="3563"/>
      <c r="R6" s="659"/>
      <c r="S6" s="45"/>
      <c r="U6" s="45"/>
      <c r="X6" s="3495"/>
      <c r="Y6" s="3495"/>
      <c r="Z6" s="3495"/>
      <c r="AA6" s="3495"/>
      <c r="AB6" s="3495"/>
      <c r="AC6" s="3495"/>
      <c r="AD6" s="3495"/>
      <c r="AE6" s="3495"/>
      <c r="AF6" s="3495"/>
      <c r="AG6" s="3495"/>
      <c r="AH6" s="3495"/>
      <c r="AI6" s="3495"/>
      <c r="AJ6" s="3495"/>
      <c r="AK6" s="3495"/>
      <c r="AL6" s="3495"/>
      <c r="AM6" s="3495"/>
      <c r="AN6" s="3495"/>
      <c r="AO6" s="3495"/>
      <c r="AP6" s="3495"/>
      <c r="AQ6" s="3495"/>
      <c r="AR6" s="3495"/>
      <c r="AS6" s="3495"/>
      <c r="AT6" s="3495"/>
      <c r="AU6" s="3495"/>
      <c r="AV6" s="3495"/>
      <c r="AW6" s="3495"/>
      <c r="AX6" s="3495"/>
      <c r="AY6" s="3495"/>
      <c r="AZ6" s="3495"/>
      <c r="BA6" s="3495"/>
      <c r="BB6" s="3495"/>
      <c r="BC6" s="3495"/>
      <c r="BD6" s="3495"/>
      <c r="BE6" s="3495"/>
      <c r="BF6" s="3495"/>
      <c r="BG6" s="3495"/>
      <c r="BH6" s="3495"/>
      <c r="BI6" s="3495"/>
      <c r="BJ6" s="3495"/>
      <c r="BK6" s="3495"/>
      <c r="BL6" s="3495"/>
      <c r="BM6" s="3495"/>
      <c r="BN6" s="3495"/>
      <c r="BO6" s="3495"/>
      <c r="BP6" s="3495"/>
      <c r="BQ6" s="3495"/>
      <c r="BR6" s="3495"/>
      <c r="BS6" s="3495"/>
      <c r="BT6" s="3495"/>
      <c r="BU6" s="3495"/>
      <c r="BV6" s="3495"/>
      <c r="BW6" s="3495"/>
      <c r="BX6" s="3495"/>
      <c r="BY6" s="3495"/>
      <c r="BZ6" s="3495"/>
      <c r="CA6" s="3495"/>
      <c r="CB6" s="3495"/>
      <c r="CC6" s="3495"/>
      <c r="CD6" s="3495"/>
      <c r="CE6" s="3495"/>
      <c r="CF6" s="3495"/>
      <c r="CG6" s="3495"/>
      <c r="CH6" s="3495"/>
      <c r="CI6" s="3495"/>
      <c r="CJ6" s="3495"/>
      <c r="CK6" s="3495"/>
      <c r="CL6" s="3495"/>
      <c r="CM6" s="3495"/>
      <c r="CN6" s="3495"/>
      <c r="CO6" s="3495"/>
      <c r="CP6" s="3495"/>
      <c r="CQ6" s="3495"/>
      <c r="CR6" s="3495"/>
      <c r="CS6" s="3495"/>
      <c r="CT6" s="3495"/>
      <c r="CU6" s="3495"/>
      <c r="CV6" s="3495"/>
      <c r="CW6" s="3495"/>
      <c r="CX6" s="3495"/>
      <c r="CY6" s="3495"/>
      <c r="CZ6" s="3495"/>
      <c r="DA6" s="3495"/>
      <c r="DB6" s="3495"/>
      <c r="DC6" s="3495"/>
      <c r="DD6" s="3495"/>
      <c r="DE6" s="3495"/>
      <c r="DF6" s="3495"/>
      <c r="DG6" s="3495"/>
      <c r="DH6" s="3495"/>
      <c r="DI6" s="3495"/>
      <c r="DJ6" s="3495"/>
      <c r="DK6" s="3495"/>
      <c r="DL6" s="3495"/>
      <c r="DM6" s="3495"/>
      <c r="DN6" s="3495"/>
      <c r="DO6" s="3495"/>
      <c r="DP6" s="3495"/>
      <c r="DQ6" s="3495"/>
      <c r="DR6" s="3495"/>
      <c r="DS6" s="3495"/>
      <c r="DT6" s="3495"/>
      <c r="DU6" s="3495"/>
      <c r="DV6" s="3495"/>
      <c r="DW6" s="3495"/>
      <c r="DX6" s="3495"/>
      <c r="DY6" s="3495"/>
      <c r="DZ6" s="3495"/>
      <c r="EA6" s="3495"/>
      <c r="EB6" s="3495"/>
      <c r="EC6" s="3495"/>
      <c r="ED6" s="3495"/>
      <c r="EE6" s="3495"/>
      <c r="EF6" s="3495"/>
      <c r="EG6" s="3495"/>
      <c r="EH6" s="3495"/>
      <c r="EI6" s="3495"/>
      <c r="EJ6" s="3495"/>
      <c r="EK6" s="3495"/>
      <c r="EL6" s="3495"/>
      <c r="EM6" s="3495"/>
      <c r="EN6" s="3495"/>
      <c r="EO6" s="3495"/>
      <c r="EP6" s="3495"/>
      <c r="EQ6" s="3495"/>
      <c r="ER6" s="3495"/>
      <c r="ES6" s="3495"/>
      <c r="ET6" s="3495"/>
      <c r="EU6" s="3495"/>
      <c r="EV6" s="3495"/>
      <c r="EW6" s="3495"/>
      <c r="EX6" s="3495"/>
      <c r="EY6" s="3495"/>
      <c r="EZ6" s="3495"/>
      <c r="FA6" s="3495"/>
      <c r="FB6" s="3495"/>
      <c r="FC6" s="3495"/>
      <c r="FD6" s="3495"/>
      <c r="FE6" s="3495"/>
      <c r="FF6" s="3495"/>
      <c r="FG6" s="3495"/>
      <c r="FH6" s="3495"/>
      <c r="FI6" s="3495"/>
      <c r="FJ6" s="3495"/>
      <c r="FK6" s="3495"/>
      <c r="FL6" s="3495"/>
      <c r="FM6" s="3495"/>
      <c r="FN6" s="3495"/>
      <c r="FO6" s="3495"/>
      <c r="FP6" s="3495"/>
      <c r="FQ6" s="3495"/>
      <c r="FR6" s="3495"/>
      <c r="FS6" s="3495"/>
      <c r="FT6" s="3495"/>
      <c r="FU6" s="3495"/>
      <c r="FV6" s="3495"/>
      <c r="FW6" s="3495"/>
      <c r="FX6" s="3495"/>
      <c r="FY6" s="3495"/>
      <c r="FZ6" s="3495"/>
      <c r="GA6" s="3495"/>
      <c r="GB6" s="3495"/>
      <c r="GC6" s="3495"/>
      <c r="GD6" s="3495"/>
      <c r="GE6" s="3495"/>
      <c r="GF6" s="3495"/>
      <c r="GG6" s="3495"/>
      <c r="GH6" s="3495"/>
      <c r="GI6" s="3495"/>
      <c r="GJ6" s="3495"/>
      <c r="GK6" s="3495"/>
      <c r="GL6" s="3495"/>
      <c r="GM6" s="3495"/>
      <c r="GN6" s="3495"/>
      <c r="GO6" s="3495"/>
      <c r="GP6" s="3495"/>
      <c r="GQ6" s="3495"/>
      <c r="GR6" s="3495"/>
      <c r="GS6" s="3495"/>
      <c r="GT6" s="3495"/>
      <c r="GU6" s="3495"/>
      <c r="GV6" s="3495"/>
      <c r="GW6" s="3495"/>
      <c r="GX6" s="3495"/>
      <c r="GY6" s="3495"/>
      <c r="GZ6" s="3495"/>
      <c r="HA6" s="3495"/>
      <c r="HB6" s="3495"/>
      <c r="HC6" s="3495"/>
      <c r="HD6" s="3495"/>
      <c r="HE6" s="3495"/>
      <c r="HF6" s="3495"/>
      <c r="HG6" s="3495"/>
      <c r="HH6" s="3495"/>
      <c r="HI6" s="3495"/>
      <c r="HJ6" s="3495"/>
      <c r="HK6" s="3495"/>
      <c r="HL6" s="3495"/>
      <c r="HM6" s="3495"/>
      <c r="HN6" s="3495"/>
      <c r="HO6" s="3495"/>
      <c r="HP6" s="3495"/>
      <c r="HQ6" s="3495"/>
      <c r="HR6" s="3495"/>
      <c r="HS6" s="3495"/>
      <c r="HT6" s="3495"/>
      <c r="HU6" s="3495"/>
      <c r="HV6" s="3495"/>
      <c r="HW6" s="3495"/>
      <c r="HX6" s="3495"/>
      <c r="HY6" s="3495"/>
      <c r="HZ6" s="1574"/>
      <c r="IA6" s="1574"/>
      <c r="IB6" s="1574"/>
      <c r="IC6" s="1574"/>
      <c r="ID6" s="1574"/>
      <c r="IE6" s="1574"/>
      <c r="IF6" s="1574"/>
      <c r="IG6" s="1574"/>
      <c r="IH6" s="1574"/>
      <c r="II6" s="1574"/>
      <c r="IJ6" s="1574"/>
      <c r="IK6" s="1574"/>
      <c r="IL6" s="1574"/>
      <c r="IM6" s="1574"/>
      <c r="IN6" s="1574"/>
      <c r="IO6" s="1574"/>
      <c r="IP6" s="1574"/>
      <c r="IQ6" s="1574"/>
      <c r="IR6" s="1574"/>
      <c r="IS6" s="1574"/>
      <c r="IT6" s="1574"/>
      <c r="IU6" s="1574"/>
      <c r="IV6" s="1574"/>
      <c r="IW6" s="1574"/>
      <c r="IX6" s="1574"/>
      <c r="IY6" s="1574"/>
      <c r="IZ6" s="1574"/>
      <c r="JA6" s="1574"/>
      <c r="JB6" s="1574"/>
      <c r="JC6" s="1574"/>
      <c r="JD6" s="1574"/>
      <c r="JE6" s="1574"/>
      <c r="JF6" s="1574"/>
      <c r="JG6" s="1574"/>
      <c r="JH6" s="1574"/>
      <c r="JI6" s="1574"/>
      <c r="JJ6" s="1574"/>
      <c r="JK6" s="1574"/>
      <c r="JL6" s="1574"/>
      <c r="JM6" s="1574"/>
      <c r="JN6" s="1574"/>
      <c r="JO6" s="1574"/>
      <c r="JP6" s="1574"/>
      <c r="JQ6" s="1574"/>
      <c r="JR6" s="1574"/>
      <c r="JS6" s="1574"/>
      <c r="JT6" s="1574"/>
      <c r="JU6" s="1574"/>
      <c r="JV6" s="1574"/>
      <c r="JW6" s="1574"/>
      <c r="JX6" s="1574"/>
      <c r="JY6" s="1574"/>
      <c r="JZ6" s="1574"/>
      <c r="KA6" s="1574"/>
      <c r="KB6" s="1574"/>
      <c r="KC6" s="1574"/>
      <c r="KD6" s="1574"/>
      <c r="KE6" s="1574"/>
      <c r="KF6" s="1574"/>
      <c r="KG6" s="1574"/>
      <c r="KH6" s="1574"/>
      <c r="KI6" s="1574"/>
      <c r="KJ6" s="1574"/>
      <c r="KK6" s="1574"/>
      <c r="KL6" s="1574"/>
      <c r="KM6" s="1222"/>
      <c r="KN6" s="1222"/>
      <c r="KO6" s="1222"/>
      <c r="KP6" s="1222"/>
      <c r="KQ6" s="1222"/>
      <c r="KR6" s="1222"/>
      <c r="KS6" s="1222"/>
      <c r="KT6" s="1222"/>
      <c r="KU6" s="1222"/>
      <c r="KV6" s="1222"/>
      <c r="KW6" s="1222"/>
      <c r="KX6" s="1222"/>
      <c r="KY6" s="1222"/>
      <c r="KZ6" s="1222"/>
      <c r="LA6" s="1222"/>
      <c r="LB6" s="1222"/>
      <c r="LC6" s="1222"/>
      <c r="LD6" s="1222"/>
      <c r="LE6" s="1222"/>
      <c r="LF6" s="1222"/>
      <c r="LG6" s="3495"/>
      <c r="LH6" s="3495"/>
      <c r="LI6" s="3495"/>
      <c r="LJ6" s="3495"/>
      <c r="LK6" s="3495"/>
      <c r="LL6" s="3495"/>
      <c r="LM6" s="3495"/>
      <c r="LN6" s="3495"/>
      <c r="LO6" s="3495"/>
      <c r="LP6" s="3495"/>
      <c r="LQ6" s="3495"/>
      <c r="LR6" s="3495"/>
      <c r="LS6" s="3495"/>
      <c r="LT6" s="3495"/>
      <c r="LU6" s="3495"/>
      <c r="LV6" s="3495"/>
      <c r="LW6" s="3495"/>
      <c r="LX6" s="3495"/>
      <c r="LY6" s="3495"/>
      <c r="LZ6" s="3495"/>
      <c r="MA6" s="3495"/>
      <c r="MB6" s="3495"/>
      <c r="MC6" s="3495"/>
      <c r="MD6" s="3495"/>
      <c r="ME6" s="3495"/>
      <c r="MF6" s="3495"/>
      <c r="MG6" s="3495"/>
      <c r="MH6" s="3495"/>
      <c r="MI6" s="3495"/>
      <c r="MJ6" s="3495"/>
      <c r="MK6" s="3535" t="s">
        <v>1050</v>
      </c>
      <c r="ML6" s="3535" t="s">
        <v>1051</v>
      </c>
      <c r="MM6" s="3535" t="s">
        <v>1052</v>
      </c>
      <c r="MN6" s="3535" t="s">
        <v>1053</v>
      </c>
      <c r="MO6" s="3535" t="s">
        <v>1054</v>
      </c>
      <c r="MP6" s="3495" t="s">
        <v>1055</v>
      </c>
      <c r="MQ6" s="3495" t="s">
        <v>1056</v>
      </c>
      <c r="MR6" s="3495" t="s">
        <v>1057</v>
      </c>
      <c r="MS6" s="3495" t="s">
        <v>1058</v>
      </c>
      <c r="MT6" s="3495" t="s">
        <v>1059</v>
      </c>
      <c r="MU6" s="45"/>
      <c r="MV6" s="45"/>
      <c r="MW6" s="45"/>
      <c r="MX6" s="45"/>
      <c r="MY6" s="45"/>
      <c r="MZ6" s="45"/>
      <c r="NA6" s="45"/>
      <c r="NB6" s="45"/>
      <c r="NC6" s="45"/>
      <c r="ND6" s="45"/>
      <c r="NE6" s="45"/>
      <c r="NF6" s="45"/>
      <c r="NG6" s="45"/>
      <c r="NH6" s="45"/>
      <c r="NI6" s="45"/>
      <c r="NJ6" s="45"/>
      <c r="NK6" s="45"/>
      <c r="NL6" s="45"/>
      <c r="NM6" s="45"/>
      <c r="NN6" s="45"/>
      <c r="NO6" s="263"/>
      <c r="NP6" s="1414"/>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523"/>
      <c r="B7" s="10" t="s">
        <v>1060</v>
      </c>
      <c r="E7" s="4"/>
      <c r="G7" s="2734" t="s">
        <v>63</v>
      </c>
      <c r="I7" s="3528" t="s">
        <v>1061</v>
      </c>
      <c r="J7" s="542" t="s">
        <v>759</v>
      </c>
      <c r="K7" s="542" t="s">
        <v>1062</v>
      </c>
      <c r="L7" s="3497"/>
      <c r="M7" s="3497"/>
      <c r="N7" s="3497"/>
      <c r="O7" s="1412" t="s">
        <v>1063</v>
      </c>
      <c r="P7" s="1253">
        <v>45061</v>
      </c>
      <c r="Q7" s="3563"/>
      <c r="R7" s="3532" t="s">
        <v>1064</v>
      </c>
      <c r="S7" s="3532"/>
      <c r="X7" s="3495"/>
      <c r="Y7" s="3495"/>
      <c r="Z7" s="3495"/>
      <c r="AA7" s="3495"/>
      <c r="AB7" s="3495"/>
      <c r="AC7" s="3495"/>
      <c r="AD7" s="3495"/>
      <c r="AE7" s="3495"/>
      <c r="AF7" s="3495"/>
      <c r="AG7" s="3495"/>
      <c r="AH7" s="3495"/>
      <c r="AI7" s="3495"/>
      <c r="AJ7" s="3495"/>
      <c r="AK7" s="3495"/>
      <c r="AL7" s="3495"/>
      <c r="AM7" s="3495"/>
      <c r="AN7" s="3495"/>
      <c r="AO7" s="3495"/>
      <c r="AP7" s="3495"/>
      <c r="AQ7" s="3495"/>
      <c r="AR7" s="3495"/>
      <c r="AS7" s="3495"/>
      <c r="AT7" s="3495"/>
      <c r="AU7" s="3495"/>
      <c r="AV7" s="3495"/>
      <c r="AW7" s="3495"/>
      <c r="AX7" s="3495"/>
      <c r="AY7" s="3495"/>
      <c r="AZ7" s="3495"/>
      <c r="BA7" s="3495"/>
      <c r="BB7" s="3495"/>
      <c r="BC7" s="3495"/>
      <c r="BD7" s="3495"/>
      <c r="BE7" s="3495"/>
      <c r="BF7" s="3495"/>
      <c r="BG7" s="3495"/>
      <c r="BH7" s="3495"/>
      <c r="BI7" s="3495"/>
      <c r="BJ7" s="3495"/>
      <c r="BK7" s="3495"/>
      <c r="BL7" s="3495"/>
      <c r="BM7" s="3495"/>
      <c r="BN7" s="3495"/>
      <c r="BO7" s="3495"/>
      <c r="BP7" s="3495"/>
      <c r="BQ7" s="3495"/>
      <c r="BR7" s="3495"/>
      <c r="BS7" s="3495"/>
      <c r="BT7" s="3495"/>
      <c r="BU7" s="3495"/>
      <c r="BV7" s="3495"/>
      <c r="BW7" s="3495"/>
      <c r="BX7" s="3495"/>
      <c r="BY7" s="3495"/>
      <c r="BZ7" s="3495"/>
      <c r="CA7" s="3495"/>
      <c r="CB7" s="3495"/>
      <c r="CC7" s="3495"/>
      <c r="CD7" s="3495"/>
      <c r="CE7" s="3495"/>
      <c r="CF7" s="3495"/>
      <c r="CG7" s="3495"/>
      <c r="CH7" s="3495"/>
      <c r="CI7" s="3495"/>
      <c r="CJ7" s="3495"/>
      <c r="CK7" s="3495"/>
      <c r="CL7" s="3495"/>
      <c r="CM7" s="3495"/>
      <c r="CN7" s="3495"/>
      <c r="CO7" s="3495"/>
      <c r="CP7" s="3495"/>
      <c r="CQ7" s="3495"/>
      <c r="CR7" s="3495"/>
      <c r="CS7" s="3495"/>
      <c r="CT7" s="3495"/>
      <c r="CU7" s="3495"/>
      <c r="CV7" s="3495"/>
      <c r="CW7" s="3495"/>
      <c r="CX7" s="3495"/>
      <c r="CY7" s="3495"/>
      <c r="CZ7" s="3495"/>
      <c r="DA7" s="3495"/>
      <c r="DB7" s="3495"/>
      <c r="DC7" s="3495"/>
      <c r="DD7" s="3495"/>
      <c r="DE7" s="3495"/>
      <c r="DF7" s="3495"/>
      <c r="DG7" s="3495"/>
      <c r="DH7" s="3495"/>
      <c r="DI7" s="3495"/>
      <c r="DJ7" s="3495"/>
      <c r="DK7" s="3495"/>
      <c r="DL7" s="3495"/>
      <c r="DM7" s="3495"/>
      <c r="DN7" s="3495"/>
      <c r="DO7" s="3495"/>
      <c r="DP7" s="3495"/>
      <c r="DQ7" s="3495"/>
      <c r="DR7" s="3495"/>
      <c r="DS7" s="3495"/>
      <c r="DT7" s="3495"/>
      <c r="DU7" s="3495"/>
      <c r="DV7" s="3495"/>
      <c r="DW7" s="3495"/>
      <c r="DX7" s="3495"/>
      <c r="DY7" s="3495"/>
      <c r="DZ7" s="3495"/>
      <c r="EA7" s="3495"/>
      <c r="EB7" s="3495"/>
      <c r="EC7" s="3495"/>
      <c r="ED7" s="3495"/>
      <c r="EE7" s="3495"/>
      <c r="EF7" s="3495"/>
      <c r="EG7" s="3495"/>
      <c r="EH7" s="3495"/>
      <c r="EI7" s="3495"/>
      <c r="EJ7" s="3495"/>
      <c r="EK7" s="3495"/>
      <c r="EL7" s="3495"/>
      <c r="EM7" s="3495"/>
      <c r="EN7" s="3495"/>
      <c r="EO7" s="3495"/>
      <c r="EP7" s="3495"/>
      <c r="EQ7" s="3495"/>
      <c r="ER7" s="3495"/>
      <c r="ES7" s="3495"/>
      <c r="ET7" s="3495"/>
      <c r="EU7" s="3495"/>
      <c r="EV7" s="3495"/>
      <c r="EW7" s="3495"/>
      <c r="EX7" s="3495"/>
      <c r="EY7" s="3495"/>
      <c r="EZ7" s="3495"/>
      <c r="FA7" s="3495"/>
      <c r="FB7" s="3495"/>
      <c r="FC7" s="3495"/>
      <c r="FD7" s="3495"/>
      <c r="FE7" s="3495"/>
      <c r="FF7" s="3495"/>
      <c r="FG7" s="3495"/>
      <c r="FH7" s="3495"/>
      <c r="FI7" s="3495"/>
      <c r="FJ7" s="3495"/>
      <c r="FK7" s="3495"/>
      <c r="FL7" s="3495"/>
      <c r="FM7" s="3495"/>
      <c r="FN7" s="3495"/>
      <c r="FO7" s="3495"/>
      <c r="FP7" s="3495"/>
      <c r="FQ7" s="3495"/>
      <c r="FR7" s="3495"/>
      <c r="FS7" s="3495"/>
      <c r="FT7" s="3495"/>
      <c r="FU7" s="3495"/>
      <c r="FV7" s="3495"/>
      <c r="FW7" s="3495"/>
      <c r="FX7" s="3495"/>
      <c r="FY7" s="3495"/>
      <c r="FZ7" s="3495"/>
      <c r="GA7" s="3495"/>
      <c r="GB7" s="3495"/>
      <c r="GC7" s="3495"/>
      <c r="GD7" s="3495"/>
      <c r="GE7" s="3495"/>
      <c r="GF7" s="3495"/>
      <c r="GG7" s="3495"/>
      <c r="GH7" s="3495"/>
      <c r="GI7" s="3495"/>
      <c r="GJ7" s="3495"/>
      <c r="GK7" s="3495"/>
      <c r="GL7" s="3495"/>
      <c r="GM7" s="3495"/>
      <c r="GN7" s="3495"/>
      <c r="GO7" s="3495"/>
      <c r="GP7" s="3495"/>
      <c r="GQ7" s="3495"/>
      <c r="GR7" s="3495"/>
      <c r="GS7" s="3495"/>
      <c r="GT7" s="3495"/>
      <c r="GU7" s="3495"/>
      <c r="GV7" s="3495"/>
      <c r="GW7" s="3495"/>
      <c r="GX7" s="3495"/>
      <c r="GY7" s="3495"/>
      <c r="GZ7" s="3495"/>
      <c r="HA7" s="3495"/>
      <c r="HB7" s="3495"/>
      <c r="HC7" s="3495"/>
      <c r="HD7" s="3495"/>
      <c r="HE7" s="3495"/>
      <c r="HF7" s="3495"/>
      <c r="HG7" s="3495"/>
      <c r="HH7" s="3495"/>
      <c r="HI7" s="3495"/>
      <c r="HJ7" s="3495"/>
      <c r="HK7" s="3495"/>
      <c r="HL7" s="3495"/>
      <c r="HM7" s="3495"/>
      <c r="HN7" s="3495"/>
      <c r="HO7" s="3495"/>
      <c r="HP7" s="3495"/>
      <c r="HQ7" s="3495"/>
      <c r="HR7" s="3495"/>
      <c r="HS7" s="3495"/>
      <c r="HT7" s="3495"/>
      <c r="HU7" s="3495"/>
      <c r="HV7" s="3495"/>
      <c r="HW7" s="3495"/>
      <c r="HX7" s="3495"/>
      <c r="HY7" s="3495"/>
      <c r="HZ7" s="1574"/>
      <c r="IA7" s="1574"/>
      <c r="IB7" s="1574"/>
      <c r="IC7" s="1574"/>
      <c r="ID7" s="1574"/>
      <c r="IE7" s="1574"/>
      <c r="IF7" s="1574"/>
      <c r="IG7" s="1574"/>
      <c r="IH7" s="1574"/>
      <c r="II7" s="1574"/>
      <c r="IJ7" s="1574"/>
      <c r="IK7" s="1574"/>
      <c r="IL7" s="1574"/>
      <c r="IM7" s="1574"/>
      <c r="IN7" s="1574"/>
      <c r="IO7" s="1574"/>
      <c r="IP7" s="1574"/>
      <c r="IQ7" s="1574"/>
      <c r="IR7" s="1574"/>
      <c r="IS7" s="1574"/>
      <c r="IT7" s="1574"/>
      <c r="IU7" s="1574"/>
      <c r="IV7" s="1574"/>
      <c r="IW7" s="1574"/>
      <c r="IX7" s="1574"/>
      <c r="IY7" s="1574"/>
      <c r="IZ7" s="1574"/>
      <c r="JA7" s="1574"/>
      <c r="JB7" s="1574"/>
      <c r="JC7" s="1574"/>
      <c r="JD7" s="1574"/>
      <c r="JE7" s="1574"/>
      <c r="JF7" s="1574"/>
      <c r="JG7" s="1574"/>
      <c r="JH7" s="1574"/>
      <c r="JI7" s="1574"/>
      <c r="JJ7" s="1574"/>
      <c r="JK7" s="1574"/>
      <c r="JL7" s="1574"/>
      <c r="JM7" s="1574"/>
      <c r="JN7" s="1574"/>
      <c r="JO7" s="1574"/>
      <c r="JP7" s="1574"/>
      <c r="JQ7" s="1574"/>
      <c r="JR7" s="1574"/>
      <c r="JS7" s="1574"/>
      <c r="JT7" s="1574"/>
      <c r="JU7" s="1574"/>
      <c r="JV7" s="1574"/>
      <c r="JW7" s="1574"/>
      <c r="JX7" s="1574"/>
      <c r="JY7" s="1574"/>
      <c r="JZ7" s="1574"/>
      <c r="KA7" s="1574"/>
      <c r="KB7" s="1574"/>
      <c r="KC7" s="1574"/>
      <c r="KD7" s="1574"/>
      <c r="KE7" s="1574"/>
      <c r="KF7" s="1574"/>
      <c r="KG7" s="1574"/>
      <c r="KH7" s="1574"/>
      <c r="KI7" s="1574"/>
      <c r="KJ7" s="1574"/>
      <c r="KK7" s="1574"/>
      <c r="KL7" s="1574"/>
      <c r="KM7" s="1222"/>
      <c r="KN7" s="1222"/>
      <c r="KO7" s="1222"/>
      <c r="KP7" s="1222"/>
      <c r="KQ7" s="1222"/>
      <c r="KR7" s="1222"/>
      <c r="KS7" s="1222"/>
      <c r="KT7" s="1222"/>
      <c r="KU7" s="1222"/>
      <c r="KV7" s="1222"/>
      <c r="KW7" s="1222"/>
      <c r="KX7" s="1222"/>
      <c r="KY7" s="1222"/>
      <c r="KZ7" s="1222"/>
      <c r="LA7" s="1222"/>
      <c r="LB7" s="1222"/>
      <c r="LC7" s="1222"/>
      <c r="LD7" s="1222"/>
      <c r="LE7" s="1222"/>
      <c r="LF7" s="1222"/>
      <c r="LG7" s="3495"/>
      <c r="LH7" s="3495"/>
      <c r="LI7" s="3495"/>
      <c r="LJ7" s="3495"/>
      <c r="LK7" s="3495"/>
      <c r="LL7" s="3495"/>
      <c r="LM7" s="3495"/>
      <c r="LN7" s="3495"/>
      <c r="LO7" s="3495"/>
      <c r="LP7" s="3495"/>
      <c r="LQ7" s="3495"/>
      <c r="LR7" s="3495"/>
      <c r="LS7" s="3495"/>
      <c r="LT7" s="3495"/>
      <c r="LU7" s="3495"/>
      <c r="LV7" s="3495"/>
      <c r="LW7" s="3495"/>
      <c r="LX7" s="3495"/>
      <c r="LY7" s="3495"/>
      <c r="LZ7" s="3495"/>
      <c r="MA7" s="3495"/>
      <c r="MB7" s="3495"/>
      <c r="MC7" s="3495"/>
      <c r="MD7" s="3495"/>
      <c r="ME7" s="3495"/>
      <c r="MF7" s="3495"/>
      <c r="MG7" s="3495"/>
      <c r="MH7" s="3495"/>
      <c r="MI7" s="3495"/>
      <c r="MJ7" s="3495"/>
      <c r="MK7" s="3535"/>
      <c r="ML7" s="3535"/>
      <c r="MM7" s="3535"/>
      <c r="MN7" s="3535"/>
      <c r="MO7" s="3535"/>
      <c r="MP7" s="3495"/>
      <c r="MQ7" s="3495"/>
      <c r="MR7" s="3495"/>
      <c r="MS7" s="3495"/>
      <c r="MT7" s="3495"/>
      <c r="MU7" s="45"/>
      <c r="MV7" s="45"/>
      <c r="MW7" s="45"/>
      <c r="MX7" s="45"/>
      <c r="MY7" s="45"/>
      <c r="MZ7" s="45"/>
      <c r="NA7" s="45"/>
      <c r="NB7" s="45"/>
      <c r="NC7" s="45"/>
      <c r="ND7" s="45"/>
      <c r="NE7" s="45"/>
      <c r="NF7" s="45"/>
      <c r="NG7" s="45"/>
      <c r="NH7" s="45"/>
      <c r="NI7" s="45"/>
      <c r="NJ7" s="45"/>
      <c r="NK7" s="45"/>
      <c r="NL7" s="45"/>
      <c r="NM7" s="45"/>
      <c r="NN7" s="45"/>
      <c r="NO7" s="263"/>
      <c r="NP7" s="1414"/>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523"/>
      <c r="B8" s="660" t="s">
        <v>1065</v>
      </c>
      <c r="C8" s="45"/>
      <c r="E8" s="45"/>
      <c r="F8" s="45"/>
      <c r="I8" s="3528"/>
      <c r="J8" s="542" t="s">
        <v>1066</v>
      </c>
      <c r="K8" s="542" t="s">
        <v>1067</v>
      </c>
      <c r="L8" s="529"/>
      <c r="M8" s="529"/>
      <c r="N8" s="1410" t="s">
        <v>1068</v>
      </c>
      <c r="O8" s="3530" t="s">
        <v>7056</v>
      </c>
      <c r="P8" s="3531"/>
      <c r="Q8" s="3563"/>
      <c r="R8" s="530"/>
      <c r="S8" s="532" t="s">
        <v>1069</v>
      </c>
      <c r="T8" s="242"/>
      <c r="W8" s="243"/>
      <c r="X8" s="3495"/>
      <c r="Y8" s="3495"/>
      <c r="Z8" s="3495"/>
      <c r="AA8" s="3495"/>
      <c r="AB8" s="3495"/>
      <c r="AC8" s="3495"/>
      <c r="AD8" s="3495"/>
      <c r="AE8" s="3495"/>
      <c r="AF8" s="3495"/>
      <c r="AG8" s="3495"/>
      <c r="AH8" s="3495"/>
      <c r="AI8" s="3495"/>
      <c r="AJ8" s="3495"/>
      <c r="AK8" s="3495"/>
      <c r="AL8" s="3495"/>
      <c r="AM8" s="3495"/>
      <c r="AN8" s="3495"/>
      <c r="AO8" s="3495"/>
      <c r="AP8" s="3495"/>
      <c r="AQ8" s="3495"/>
      <c r="AR8" s="3495"/>
      <c r="AS8" s="3495"/>
      <c r="AT8" s="3495"/>
      <c r="AU8" s="3495"/>
      <c r="AV8" s="3495"/>
      <c r="AW8" s="3495"/>
      <c r="AX8" s="3495"/>
      <c r="AY8" s="3495"/>
      <c r="AZ8" s="3495"/>
      <c r="BA8" s="3495"/>
      <c r="BB8" s="3495"/>
      <c r="BC8" s="3495"/>
      <c r="BD8" s="3495"/>
      <c r="BE8" s="3495"/>
      <c r="BF8" s="3495"/>
      <c r="BG8" s="3495"/>
      <c r="BH8" s="3495"/>
      <c r="BI8" s="3495"/>
      <c r="BJ8" s="3495"/>
      <c r="BK8" s="3495"/>
      <c r="BL8" s="3495"/>
      <c r="BM8" s="3495"/>
      <c r="BN8" s="3495"/>
      <c r="BO8" s="3495"/>
      <c r="BP8" s="3495"/>
      <c r="BQ8" s="3495"/>
      <c r="BR8" s="3495"/>
      <c r="BS8" s="3495"/>
      <c r="BT8" s="3495"/>
      <c r="BU8" s="3495"/>
      <c r="BV8" s="3495"/>
      <c r="BW8" s="3495"/>
      <c r="BX8" s="3495"/>
      <c r="BY8" s="3495"/>
      <c r="BZ8" s="3495"/>
      <c r="CA8" s="3495"/>
      <c r="CB8" s="3495"/>
      <c r="CC8" s="3495"/>
      <c r="CD8" s="3495"/>
      <c r="CE8" s="3495"/>
      <c r="CF8" s="3495"/>
      <c r="CG8" s="3495"/>
      <c r="CH8" s="3495"/>
      <c r="CI8" s="3495"/>
      <c r="CJ8" s="3495"/>
      <c r="CK8" s="3495"/>
      <c r="CL8" s="3495"/>
      <c r="CM8" s="3495"/>
      <c r="CN8" s="3495"/>
      <c r="CO8" s="3495"/>
      <c r="CP8" s="3495"/>
      <c r="CQ8" s="3495"/>
      <c r="CR8" s="3495"/>
      <c r="CS8" s="3495"/>
      <c r="CT8" s="3495"/>
      <c r="CU8" s="3495"/>
      <c r="CV8" s="3495"/>
      <c r="CW8" s="3495"/>
      <c r="CX8" s="3495"/>
      <c r="CY8" s="3495"/>
      <c r="CZ8" s="3495"/>
      <c r="DA8" s="3495"/>
      <c r="DB8" s="3495"/>
      <c r="DC8" s="3495"/>
      <c r="DD8" s="3495"/>
      <c r="DE8" s="3495"/>
      <c r="DF8" s="3495"/>
      <c r="DG8" s="3495"/>
      <c r="DH8" s="3495"/>
      <c r="DI8" s="3495"/>
      <c r="DJ8" s="3495"/>
      <c r="DK8" s="3495"/>
      <c r="DL8" s="3495"/>
      <c r="DM8" s="3495"/>
      <c r="DN8" s="3495"/>
      <c r="DO8" s="3495"/>
      <c r="DP8" s="3495"/>
      <c r="DQ8" s="3495"/>
      <c r="DR8" s="3495"/>
      <c r="DS8" s="3495"/>
      <c r="DT8" s="3495"/>
      <c r="DU8" s="3495"/>
      <c r="DV8" s="3495"/>
      <c r="DW8" s="3495"/>
      <c r="DX8" s="3495"/>
      <c r="DY8" s="3495"/>
      <c r="DZ8" s="3495"/>
      <c r="EA8" s="3495"/>
      <c r="EB8" s="3495"/>
      <c r="EC8" s="3495"/>
      <c r="ED8" s="3495"/>
      <c r="EE8" s="3495"/>
      <c r="EF8" s="3495"/>
      <c r="EG8" s="3495"/>
      <c r="EH8" s="3495"/>
      <c r="EI8" s="3495"/>
      <c r="EJ8" s="3495"/>
      <c r="EK8" s="3495"/>
      <c r="EL8" s="3495"/>
      <c r="EM8" s="3495"/>
      <c r="EN8" s="3495"/>
      <c r="EO8" s="3495"/>
      <c r="EP8" s="3495"/>
      <c r="EQ8" s="3495"/>
      <c r="ER8" s="3495"/>
      <c r="ES8" s="3495"/>
      <c r="ET8" s="3495"/>
      <c r="EU8" s="3495"/>
      <c r="EV8" s="3495"/>
      <c r="EW8" s="3495"/>
      <c r="EX8" s="3495"/>
      <c r="EY8" s="3495"/>
      <c r="EZ8" s="3495"/>
      <c r="FA8" s="3495"/>
      <c r="FB8" s="3495"/>
      <c r="FC8" s="3495"/>
      <c r="FD8" s="3495"/>
      <c r="FE8" s="3495"/>
      <c r="FF8" s="3495"/>
      <c r="FG8" s="3495"/>
      <c r="FH8" s="3495"/>
      <c r="FI8" s="3495"/>
      <c r="FJ8" s="3495"/>
      <c r="FK8" s="3495"/>
      <c r="FL8" s="3495"/>
      <c r="FM8" s="3495"/>
      <c r="FN8" s="3495"/>
      <c r="FO8" s="3495"/>
      <c r="FP8" s="3495"/>
      <c r="FQ8" s="3495"/>
      <c r="FR8" s="3495"/>
      <c r="FS8" s="3495"/>
      <c r="FT8" s="3495"/>
      <c r="FU8" s="3495"/>
      <c r="FV8" s="3495"/>
      <c r="FW8" s="3495"/>
      <c r="FX8" s="3495"/>
      <c r="FY8" s="3495"/>
      <c r="FZ8" s="3495"/>
      <c r="GA8" s="3495"/>
      <c r="GB8" s="3495"/>
      <c r="GC8" s="3495"/>
      <c r="GD8" s="3495"/>
      <c r="GE8" s="3495"/>
      <c r="GF8" s="3495"/>
      <c r="GG8" s="3495"/>
      <c r="GH8" s="3495"/>
      <c r="GI8" s="3495"/>
      <c r="GJ8" s="3495"/>
      <c r="GK8" s="3495"/>
      <c r="GL8" s="3495"/>
      <c r="GM8" s="3495"/>
      <c r="GN8" s="3495"/>
      <c r="GO8" s="3495"/>
      <c r="GP8" s="3495"/>
      <c r="GQ8" s="3495"/>
      <c r="GR8" s="3495"/>
      <c r="GS8" s="3495"/>
      <c r="GT8" s="3495"/>
      <c r="GU8" s="3495"/>
      <c r="GV8" s="3495"/>
      <c r="GW8" s="3495"/>
      <c r="GX8" s="3495"/>
      <c r="GY8" s="3495"/>
      <c r="GZ8" s="3495"/>
      <c r="HA8" s="3495"/>
      <c r="HB8" s="3495"/>
      <c r="HC8" s="3495"/>
      <c r="HD8" s="3495"/>
      <c r="HE8" s="3495"/>
      <c r="HF8" s="3495"/>
      <c r="HG8" s="3495"/>
      <c r="HH8" s="3495"/>
      <c r="HI8" s="3495"/>
      <c r="HJ8" s="3495"/>
      <c r="HK8" s="3495"/>
      <c r="HL8" s="3495"/>
      <c r="HM8" s="3495"/>
      <c r="HN8" s="3495"/>
      <c r="HO8" s="3495"/>
      <c r="HP8" s="3495"/>
      <c r="HQ8" s="3495"/>
      <c r="HR8" s="3495"/>
      <c r="HS8" s="3495"/>
      <c r="HT8" s="3495"/>
      <c r="HU8" s="3495"/>
      <c r="HV8" s="3495"/>
      <c r="HW8" s="3495"/>
      <c r="HX8" s="3495"/>
      <c r="HY8" s="3495"/>
      <c r="HZ8" s="1574"/>
      <c r="IA8" s="1574"/>
      <c r="IB8" s="1574"/>
      <c r="IC8" s="1574"/>
      <c r="ID8" s="1574"/>
      <c r="IE8" s="1574"/>
      <c r="IF8" s="1574"/>
      <c r="IG8" s="1574"/>
      <c r="IH8" s="1574"/>
      <c r="II8" s="1574"/>
      <c r="IJ8" s="1574"/>
      <c r="IK8" s="1574"/>
      <c r="IL8" s="1574"/>
      <c r="IM8" s="1574"/>
      <c r="IN8" s="1574"/>
      <c r="IO8" s="1574"/>
      <c r="IP8" s="1574"/>
      <c r="IQ8" s="1574"/>
      <c r="IR8" s="1574"/>
      <c r="IS8" s="1574"/>
      <c r="IT8" s="1574"/>
      <c r="IU8" s="1574"/>
      <c r="IV8" s="1574"/>
      <c r="IW8" s="1574"/>
      <c r="IX8" s="1574"/>
      <c r="IY8" s="1563" t="s">
        <v>763</v>
      </c>
      <c r="IZ8" s="1563" t="s">
        <v>802</v>
      </c>
      <c r="JA8" s="1563" t="s">
        <v>803</v>
      </c>
      <c r="JB8" s="1563" t="s">
        <v>804</v>
      </c>
      <c r="JC8" s="1563" t="s">
        <v>805</v>
      </c>
      <c r="JD8" s="1563" t="s">
        <v>763</v>
      </c>
      <c r="JE8" s="1563" t="s">
        <v>802</v>
      </c>
      <c r="JF8" s="1563" t="s">
        <v>803</v>
      </c>
      <c r="JG8" s="1563" t="s">
        <v>804</v>
      </c>
      <c r="JH8" s="1563" t="s">
        <v>805</v>
      </c>
      <c r="JI8" s="1563" t="s">
        <v>763</v>
      </c>
      <c r="JJ8" s="1563" t="s">
        <v>802</v>
      </c>
      <c r="JK8" s="1563" t="s">
        <v>803</v>
      </c>
      <c r="JL8" s="1563" t="s">
        <v>804</v>
      </c>
      <c r="JM8" s="1563" t="s">
        <v>805</v>
      </c>
      <c r="JN8" s="1563" t="s">
        <v>763</v>
      </c>
      <c r="JO8" s="1563" t="s">
        <v>802</v>
      </c>
      <c r="JP8" s="1563" t="s">
        <v>803</v>
      </c>
      <c r="JQ8" s="1563" t="s">
        <v>804</v>
      </c>
      <c r="JR8" s="1563" t="s">
        <v>805</v>
      </c>
      <c r="JS8" s="1563" t="s">
        <v>763</v>
      </c>
      <c r="JT8" s="1563" t="s">
        <v>802</v>
      </c>
      <c r="JU8" s="1563" t="s">
        <v>803</v>
      </c>
      <c r="JV8" s="1563" t="s">
        <v>804</v>
      </c>
      <c r="JW8" s="1563" t="s">
        <v>805</v>
      </c>
      <c r="JX8" s="1563" t="s">
        <v>763</v>
      </c>
      <c r="JY8" s="1563" t="s">
        <v>802</v>
      </c>
      <c r="JZ8" s="1563" t="s">
        <v>803</v>
      </c>
      <c r="KA8" s="1563" t="s">
        <v>804</v>
      </c>
      <c r="KB8" s="1563" t="s">
        <v>805</v>
      </c>
      <c r="KC8" s="1563" t="s">
        <v>763</v>
      </c>
      <c r="KD8" s="1563" t="s">
        <v>802</v>
      </c>
      <c r="KE8" s="1563" t="s">
        <v>803</v>
      </c>
      <c r="KF8" s="1563" t="s">
        <v>804</v>
      </c>
      <c r="KG8" s="1563" t="s">
        <v>805</v>
      </c>
      <c r="KH8" s="1563" t="s">
        <v>763</v>
      </c>
      <c r="KI8" s="1563" t="s">
        <v>802</v>
      </c>
      <c r="KJ8" s="1563" t="s">
        <v>803</v>
      </c>
      <c r="KK8" s="1563" t="s">
        <v>804</v>
      </c>
      <c r="KL8" s="1563" t="s">
        <v>805</v>
      </c>
      <c r="KM8" s="1563" t="s">
        <v>763</v>
      </c>
      <c r="KN8" s="1563" t="s">
        <v>802</v>
      </c>
      <c r="KO8" s="1563" t="s">
        <v>803</v>
      </c>
      <c r="KP8" s="1563" t="s">
        <v>804</v>
      </c>
      <c r="KQ8" s="1563" t="s">
        <v>805</v>
      </c>
      <c r="KR8" s="1563" t="s">
        <v>763</v>
      </c>
      <c r="KS8" s="1563" t="s">
        <v>802</v>
      </c>
      <c r="KT8" s="1563" t="s">
        <v>803</v>
      </c>
      <c r="KU8" s="1563" t="s">
        <v>804</v>
      </c>
      <c r="KV8" s="1563" t="s">
        <v>805</v>
      </c>
      <c r="KW8" s="1563" t="s">
        <v>763</v>
      </c>
      <c r="KX8" s="1563" t="s">
        <v>802</v>
      </c>
      <c r="KY8" s="1563" t="s">
        <v>803</v>
      </c>
      <c r="KZ8" s="1563" t="s">
        <v>804</v>
      </c>
      <c r="LA8" s="1563" t="s">
        <v>805</v>
      </c>
      <c r="LB8" s="1563" t="s">
        <v>763</v>
      </c>
      <c r="LC8" s="1563" t="s">
        <v>802</v>
      </c>
      <c r="LD8" s="1563" t="s">
        <v>803</v>
      </c>
      <c r="LE8" s="1563" t="s">
        <v>804</v>
      </c>
      <c r="LF8" s="1563" t="s">
        <v>805</v>
      </c>
      <c r="LG8" s="3495"/>
      <c r="LH8" s="3495"/>
      <c r="LI8" s="3495"/>
      <c r="LJ8" s="3495"/>
      <c r="LK8" s="3495"/>
      <c r="LL8" s="3495"/>
      <c r="LM8" s="3495"/>
      <c r="LN8" s="3495"/>
      <c r="LO8" s="3495"/>
      <c r="LP8" s="3495"/>
      <c r="LQ8" s="3495"/>
      <c r="LR8" s="3495"/>
      <c r="LS8" s="3495"/>
      <c r="LT8" s="3495"/>
      <c r="LU8" s="3495"/>
      <c r="LV8" s="3495"/>
      <c r="LW8" s="3495"/>
      <c r="LX8" s="3495"/>
      <c r="LY8" s="3495"/>
      <c r="LZ8" s="3495"/>
      <c r="MA8" s="3495"/>
      <c r="MB8" s="3495"/>
      <c r="MC8" s="3495"/>
      <c r="MD8" s="3495"/>
      <c r="ME8" s="3495"/>
      <c r="MF8" s="3495"/>
      <c r="MG8" s="3495"/>
      <c r="MH8" s="3495"/>
      <c r="MI8" s="3495"/>
      <c r="MJ8" s="3495"/>
      <c r="MK8" s="3535"/>
      <c r="ML8" s="3535"/>
      <c r="MM8" s="3535"/>
      <c r="MN8" s="3535"/>
      <c r="MO8" s="3535"/>
      <c r="MP8" s="3495"/>
      <c r="MQ8" s="3495"/>
      <c r="MR8" s="3495"/>
      <c r="MS8" s="3495"/>
      <c r="MT8" s="3495"/>
      <c r="MU8" s="45"/>
      <c r="MV8" s="45"/>
      <c r="MW8" s="45"/>
      <c r="MX8" s="45"/>
      <c r="MY8" s="45"/>
      <c r="MZ8" s="45"/>
      <c r="NA8" s="45"/>
      <c r="NB8" s="45"/>
      <c r="NC8" s="45"/>
      <c r="ND8" s="45"/>
      <c r="NE8" s="45"/>
      <c r="NF8" s="45"/>
      <c r="NG8" s="45"/>
      <c r="NH8" s="45"/>
      <c r="NI8" s="45"/>
      <c r="NJ8" s="45"/>
      <c r="NK8" s="45"/>
      <c r="NL8" s="45"/>
      <c r="NM8" s="45"/>
      <c r="NN8" s="45"/>
      <c r="NO8" s="263"/>
      <c r="NP8" s="1414"/>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523"/>
      <c r="B9" s="907" t="s">
        <v>1070</v>
      </c>
      <c r="C9" s="542" t="s">
        <v>1071</v>
      </c>
      <c r="D9" s="542" t="s">
        <v>1072</v>
      </c>
      <c r="E9" s="542" t="s">
        <v>1073</v>
      </c>
      <c r="F9" s="542" t="s">
        <v>1073</v>
      </c>
      <c r="G9" s="3528" t="s">
        <v>1074</v>
      </c>
      <c r="H9" s="659" t="s">
        <v>1075</v>
      </c>
      <c r="I9" s="3528"/>
      <c r="J9" s="3524" t="s">
        <v>1076</v>
      </c>
      <c r="K9" s="542" t="s">
        <v>1077</v>
      </c>
      <c r="L9" s="3533" t="s">
        <v>1078</v>
      </c>
      <c r="M9" s="3534"/>
      <c r="N9" s="542" t="s">
        <v>1079</v>
      </c>
      <c r="O9" s="542" t="s">
        <v>1080</v>
      </c>
      <c r="P9" s="3526" t="s">
        <v>1081</v>
      </c>
      <c r="Q9" s="3563"/>
      <c r="R9" s="542" t="s">
        <v>1082</v>
      </c>
      <c r="S9" s="542" t="s">
        <v>1083</v>
      </c>
      <c r="T9" s="244"/>
      <c r="W9" s="245"/>
      <c r="X9" s="3495"/>
      <c r="Y9" s="3495"/>
      <c r="Z9" s="3495"/>
      <c r="AA9" s="3495"/>
      <c r="AB9" s="3495"/>
      <c r="AC9" s="3495"/>
      <c r="AD9" s="3495"/>
      <c r="AE9" s="3495"/>
      <c r="AF9" s="3495"/>
      <c r="AG9" s="3495"/>
      <c r="AH9" s="3495"/>
      <c r="AI9" s="3495"/>
      <c r="AJ9" s="3495"/>
      <c r="AK9" s="3495"/>
      <c r="AL9" s="3495"/>
      <c r="AM9" s="3495"/>
      <c r="AN9" s="3495"/>
      <c r="AO9" s="3495"/>
      <c r="AP9" s="3495"/>
      <c r="AQ9" s="3495"/>
      <c r="AR9" s="3495"/>
      <c r="AS9" s="3495"/>
      <c r="AT9" s="3495"/>
      <c r="AU9" s="3495"/>
      <c r="AV9" s="3495"/>
      <c r="AW9" s="3495"/>
      <c r="AX9" s="3495"/>
      <c r="AY9" s="3495"/>
      <c r="AZ9" s="3495"/>
      <c r="BA9" s="3495"/>
      <c r="BB9" s="3495"/>
      <c r="BC9" s="3495"/>
      <c r="BD9" s="3495"/>
      <c r="BE9" s="3495"/>
      <c r="BF9" s="3495"/>
      <c r="BG9" s="3495"/>
      <c r="BH9" s="3495"/>
      <c r="BI9" s="3495"/>
      <c r="BJ9" s="3495"/>
      <c r="BK9" s="3495"/>
      <c r="BL9" s="3495"/>
      <c r="BM9" s="3495"/>
      <c r="BN9" s="3495"/>
      <c r="BO9" s="3495"/>
      <c r="BP9" s="3495"/>
      <c r="BQ9" s="3495"/>
      <c r="BR9" s="3495"/>
      <c r="BS9" s="3495"/>
      <c r="BT9" s="3495"/>
      <c r="BU9" s="3495"/>
      <c r="BV9" s="3495"/>
      <c r="BW9" s="3495"/>
      <c r="BX9" s="3495"/>
      <c r="BY9" s="3495"/>
      <c r="BZ9" s="3495"/>
      <c r="CA9" s="3495"/>
      <c r="CB9" s="3495"/>
      <c r="CC9" s="3495"/>
      <c r="CD9" s="3495"/>
      <c r="CE9" s="3495"/>
      <c r="CF9" s="3495"/>
      <c r="CG9" s="3495"/>
      <c r="CH9" s="3495"/>
      <c r="CI9" s="3495"/>
      <c r="CJ9" s="3495"/>
      <c r="CK9" s="3495"/>
      <c r="CL9" s="3495"/>
      <c r="CM9" s="3495"/>
      <c r="CN9" s="3495"/>
      <c r="CO9" s="3495"/>
      <c r="CP9" s="3495"/>
      <c r="CQ9" s="3495"/>
      <c r="CR9" s="3495"/>
      <c r="CS9" s="3495"/>
      <c r="CT9" s="3495"/>
      <c r="CU9" s="3495"/>
      <c r="CV9" s="3495"/>
      <c r="CW9" s="3495"/>
      <c r="CX9" s="3495"/>
      <c r="CY9" s="3495"/>
      <c r="CZ9" s="3495"/>
      <c r="DA9" s="3495"/>
      <c r="DB9" s="3495"/>
      <c r="DC9" s="3495"/>
      <c r="DD9" s="3495"/>
      <c r="DE9" s="3495"/>
      <c r="DF9" s="3495"/>
      <c r="DG9" s="3495"/>
      <c r="DH9" s="3495"/>
      <c r="DI9" s="3495"/>
      <c r="DJ9" s="3495"/>
      <c r="DK9" s="3495"/>
      <c r="DL9" s="3495"/>
      <c r="DM9" s="3495"/>
      <c r="DN9" s="3495"/>
      <c r="DO9" s="3495"/>
      <c r="DP9" s="3495"/>
      <c r="DQ9" s="3495"/>
      <c r="DR9" s="3495"/>
      <c r="DS9" s="3495"/>
      <c r="DT9" s="3495"/>
      <c r="DU9" s="3495"/>
      <c r="DV9" s="3495"/>
      <c r="DW9" s="3495"/>
      <c r="DX9" s="3495"/>
      <c r="DY9" s="3495"/>
      <c r="DZ9" s="3495"/>
      <c r="EA9" s="3495"/>
      <c r="EB9" s="3495"/>
      <c r="EC9" s="3495"/>
      <c r="ED9" s="3495"/>
      <c r="EE9" s="3495"/>
      <c r="EF9" s="3495"/>
      <c r="EG9" s="3495"/>
      <c r="EH9" s="3495"/>
      <c r="EI9" s="3495"/>
      <c r="EJ9" s="3495"/>
      <c r="EK9" s="3495"/>
      <c r="EL9" s="3495"/>
      <c r="EM9" s="3495"/>
      <c r="EN9" s="3495"/>
      <c r="EO9" s="3495"/>
      <c r="EP9" s="3495"/>
      <c r="EQ9" s="3495"/>
      <c r="ER9" s="3495"/>
      <c r="ES9" s="3495"/>
      <c r="ET9" s="3495"/>
      <c r="EU9" s="3495"/>
      <c r="EV9" s="3495"/>
      <c r="EW9" s="3495"/>
      <c r="EX9" s="3495"/>
      <c r="EY9" s="3495"/>
      <c r="EZ9" s="3495"/>
      <c r="FA9" s="3495"/>
      <c r="FB9" s="3495"/>
      <c r="FC9" s="3495"/>
      <c r="FD9" s="3495"/>
      <c r="FE9" s="3495"/>
      <c r="FF9" s="3495"/>
      <c r="FG9" s="3495"/>
      <c r="FH9" s="3495"/>
      <c r="FI9" s="3495"/>
      <c r="FJ9" s="3495"/>
      <c r="FK9" s="3495"/>
      <c r="FL9" s="3495"/>
      <c r="FM9" s="3495"/>
      <c r="FN9" s="3495"/>
      <c r="FO9" s="3495"/>
      <c r="FP9" s="3495"/>
      <c r="FQ9" s="3495"/>
      <c r="FR9" s="3495"/>
      <c r="FS9" s="3495"/>
      <c r="FT9" s="3495"/>
      <c r="FU9" s="3495"/>
      <c r="FV9" s="3495"/>
      <c r="FW9" s="3495"/>
      <c r="FX9" s="3495"/>
      <c r="FY9" s="3495"/>
      <c r="FZ9" s="3495"/>
      <c r="GA9" s="3495"/>
      <c r="GB9" s="3495"/>
      <c r="GC9" s="3495"/>
      <c r="GD9" s="3495"/>
      <c r="GE9" s="3495"/>
      <c r="GF9" s="3495"/>
      <c r="GG9" s="3495"/>
      <c r="GH9" s="3495"/>
      <c r="GI9" s="3495"/>
      <c r="GJ9" s="3495"/>
      <c r="GK9" s="3495"/>
      <c r="GL9" s="3495"/>
      <c r="GM9" s="3495"/>
      <c r="GN9" s="3495"/>
      <c r="GO9" s="3495"/>
      <c r="GP9" s="3495"/>
      <c r="GQ9" s="3495"/>
      <c r="GR9" s="3495"/>
      <c r="GS9" s="3495"/>
      <c r="GT9" s="3495"/>
      <c r="GU9" s="3495"/>
      <c r="GV9" s="3495"/>
      <c r="GW9" s="3495"/>
      <c r="GX9" s="3495"/>
      <c r="GY9" s="3495"/>
      <c r="GZ9" s="3495"/>
      <c r="HA9" s="3495"/>
      <c r="HB9" s="3495"/>
      <c r="HC9" s="3495"/>
      <c r="HD9" s="3495"/>
      <c r="HE9" s="3495"/>
      <c r="HF9" s="3495"/>
      <c r="HG9" s="3495"/>
      <c r="HH9" s="3495"/>
      <c r="HI9" s="3495"/>
      <c r="HJ9" s="3495"/>
      <c r="HK9" s="3495"/>
      <c r="HL9" s="3495"/>
      <c r="HM9" s="3495"/>
      <c r="HN9" s="3495"/>
      <c r="HO9" s="3495"/>
      <c r="HP9" s="3495"/>
      <c r="HQ9" s="3495"/>
      <c r="HR9" s="3495"/>
      <c r="HS9" s="3495"/>
      <c r="HT9" s="3495"/>
      <c r="HU9" s="3495"/>
      <c r="HV9" s="3495"/>
      <c r="HW9" s="3495"/>
      <c r="HX9" s="3495"/>
      <c r="HY9" s="3495"/>
      <c r="HZ9" s="3495" t="s">
        <v>1084</v>
      </c>
      <c r="IA9" s="1563" t="s">
        <v>802</v>
      </c>
      <c r="IB9" s="1563" t="s">
        <v>803</v>
      </c>
      <c r="IC9" s="1563" t="s">
        <v>804</v>
      </c>
      <c r="ID9" s="1563" t="s">
        <v>805</v>
      </c>
      <c r="IE9" s="3495" t="s">
        <v>1085</v>
      </c>
      <c r="IF9" s="3495" t="s">
        <v>1085</v>
      </c>
      <c r="IG9" s="3495" t="s">
        <v>1085</v>
      </c>
      <c r="IH9" s="3495" t="s">
        <v>1085</v>
      </c>
      <c r="II9" s="3495" t="s">
        <v>1085</v>
      </c>
      <c r="IJ9" s="3495" t="s">
        <v>1086</v>
      </c>
      <c r="IK9" s="3495" t="s">
        <v>1086</v>
      </c>
      <c r="IL9" s="3495" t="s">
        <v>1086</v>
      </c>
      <c r="IM9" s="3495" t="s">
        <v>1086</v>
      </c>
      <c r="IN9" s="3495" t="s">
        <v>1086</v>
      </c>
      <c r="IO9" s="1563" t="s">
        <v>763</v>
      </c>
      <c r="IP9" s="1563" t="s">
        <v>802</v>
      </c>
      <c r="IQ9" s="1563" t="s">
        <v>803</v>
      </c>
      <c r="IR9" s="1563" t="s">
        <v>804</v>
      </c>
      <c r="IS9" s="1563" t="s">
        <v>805</v>
      </c>
      <c r="IT9" s="1563" t="s">
        <v>763</v>
      </c>
      <c r="IU9" s="1563" t="s">
        <v>802</v>
      </c>
      <c r="IV9" s="1563" t="s">
        <v>803</v>
      </c>
      <c r="IW9" s="1563" t="s">
        <v>804</v>
      </c>
      <c r="IX9" s="1563" t="s">
        <v>805</v>
      </c>
      <c r="IY9" s="3495" t="s">
        <v>1087</v>
      </c>
      <c r="IZ9" s="3495" t="s">
        <v>1087</v>
      </c>
      <c r="JA9" s="3495" t="s">
        <v>1087</v>
      </c>
      <c r="JB9" s="3495" t="s">
        <v>1087</v>
      </c>
      <c r="JC9" s="3495" t="s">
        <v>1087</v>
      </c>
      <c r="JD9" s="3495" t="s">
        <v>1088</v>
      </c>
      <c r="JE9" s="3495" t="s">
        <v>1088</v>
      </c>
      <c r="JF9" s="3495" t="s">
        <v>1088</v>
      </c>
      <c r="JG9" s="3495" t="s">
        <v>1088</v>
      </c>
      <c r="JH9" s="3495" t="s">
        <v>1088</v>
      </c>
      <c r="JI9" s="3495" t="s">
        <v>1089</v>
      </c>
      <c r="JJ9" s="3495" t="s">
        <v>1089</v>
      </c>
      <c r="JK9" s="3495" t="s">
        <v>1089</v>
      </c>
      <c r="JL9" s="3495" t="s">
        <v>1089</v>
      </c>
      <c r="JM9" s="3495" t="s">
        <v>1089</v>
      </c>
      <c r="JN9" s="3495" t="s">
        <v>1090</v>
      </c>
      <c r="JO9" s="3495" t="s">
        <v>1090</v>
      </c>
      <c r="JP9" s="3495" t="s">
        <v>1090</v>
      </c>
      <c r="JQ9" s="3495" t="s">
        <v>1090</v>
      </c>
      <c r="JR9" s="3495" t="s">
        <v>1090</v>
      </c>
      <c r="JS9" s="3495" t="s">
        <v>1091</v>
      </c>
      <c r="JT9" s="3495" t="s">
        <v>1091</v>
      </c>
      <c r="JU9" s="3495" t="s">
        <v>1091</v>
      </c>
      <c r="JV9" s="3495" t="s">
        <v>1091</v>
      </c>
      <c r="JW9" s="3495" t="s">
        <v>1091</v>
      </c>
      <c r="JX9" s="3495" t="s">
        <v>1092</v>
      </c>
      <c r="JY9" s="3495" t="s">
        <v>1092</v>
      </c>
      <c r="JZ9" s="3495" t="s">
        <v>1092</v>
      </c>
      <c r="KA9" s="3495" t="s">
        <v>1092</v>
      </c>
      <c r="KB9" s="3495" t="s">
        <v>1092</v>
      </c>
      <c r="KC9" s="3495" t="s">
        <v>1093</v>
      </c>
      <c r="KD9" s="3495" t="s">
        <v>1093</v>
      </c>
      <c r="KE9" s="3495" t="s">
        <v>1093</v>
      </c>
      <c r="KF9" s="3495" t="s">
        <v>1093</v>
      </c>
      <c r="KG9" s="3495" t="s">
        <v>1093</v>
      </c>
      <c r="KH9" s="3495" t="s">
        <v>1094</v>
      </c>
      <c r="KI9" s="3495" t="s">
        <v>1094</v>
      </c>
      <c r="KJ9" s="3495" t="s">
        <v>1094</v>
      </c>
      <c r="KK9" s="3495" t="s">
        <v>1094</v>
      </c>
      <c r="KL9" s="3495" t="s">
        <v>1094</v>
      </c>
      <c r="KM9" s="3495" t="s">
        <v>1095</v>
      </c>
      <c r="KN9" s="3495" t="s">
        <v>1095</v>
      </c>
      <c r="KO9" s="3495" t="s">
        <v>1095</v>
      </c>
      <c r="KP9" s="3495" t="s">
        <v>1095</v>
      </c>
      <c r="KQ9" s="3495" t="s">
        <v>1095</v>
      </c>
      <c r="KR9" s="3495" t="s">
        <v>1096</v>
      </c>
      <c r="KS9" s="3495" t="s">
        <v>1096</v>
      </c>
      <c r="KT9" s="3495" t="s">
        <v>1096</v>
      </c>
      <c r="KU9" s="3495" t="s">
        <v>1096</v>
      </c>
      <c r="KV9" s="3495" t="s">
        <v>1096</v>
      </c>
      <c r="KW9" s="3495" t="s">
        <v>1097</v>
      </c>
      <c r="KX9" s="3495" t="s">
        <v>1097</v>
      </c>
      <c r="KY9" s="3495" t="s">
        <v>1097</v>
      </c>
      <c r="KZ9" s="3495" t="s">
        <v>1097</v>
      </c>
      <c r="LA9" s="3495" t="s">
        <v>1097</v>
      </c>
      <c r="LB9" s="3495" t="s">
        <v>1098</v>
      </c>
      <c r="LC9" s="3495" t="s">
        <v>1098</v>
      </c>
      <c r="LD9" s="3495" t="s">
        <v>1098</v>
      </c>
      <c r="LE9" s="3495" t="s">
        <v>1098</v>
      </c>
      <c r="LF9" s="3495" t="s">
        <v>1098</v>
      </c>
      <c r="LG9" s="3495"/>
      <c r="LH9" s="3495"/>
      <c r="LI9" s="3495"/>
      <c r="LJ9" s="3495"/>
      <c r="LK9" s="3495"/>
      <c r="LL9" s="3495"/>
      <c r="LM9" s="3495"/>
      <c r="LN9" s="3495"/>
      <c r="LO9" s="3495"/>
      <c r="LP9" s="3495"/>
      <c r="LQ9" s="3495"/>
      <c r="LR9" s="3495"/>
      <c r="LS9" s="3495"/>
      <c r="LT9" s="3495"/>
      <c r="LU9" s="3495"/>
      <c r="LV9" s="3495"/>
      <c r="LW9" s="3495"/>
      <c r="LX9" s="3495"/>
      <c r="LY9" s="3495"/>
      <c r="LZ9" s="3495"/>
      <c r="MA9" s="3495"/>
      <c r="MB9" s="3495"/>
      <c r="MC9" s="3495"/>
      <c r="MD9" s="3495"/>
      <c r="ME9" s="3495"/>
      <c r="MF9" s="3495"/>
      <c r="MG9" s="3495"/>
      <c r="MH9" s="3495"/>
      <c r="MI9" s="3495"/>
      <c r="MJ9" s="3495"/>
      <c r="MK9" s="3535"/>
      <c r="ML9" s="3535"/>
      <c r="MM9" s="3535"/>
      <c r="MN9" s="3535"/>
      <c r="MO9" s="3535"/>
      <c r="MP9" s="3495"/>
      <c r="MQ9" s="3495"/>
      <c r="MR9" s="3495"/>
      <c r="MS9" s="3495"/>
      <c r="MT9" s="3495"/>
      <c r="MU9" s="42"/>
      <c r="MV9" s="42"/>
      <c r="MW9" s="42"/>
      <c r="MX9" s="42"/>
      <c r="MY9" s="42"/>
      <c r="MZ9" s="42"/>
      <c r="NA9" s="42"/>
      <c r="NB9" s="42"/>
      <c r="NC9" s="42"/>
      <c r="ND9" s="42"/>
      <c r="NE9" s="42"/>
      <c r="NF9" s="42"/>
      <c r="NG9" s="42"/>
      <c r="NH9" s="42"/>
      <c r="NI9" s="42"/>
      <c r="NJ9" s="42"/>
      <c r="NK9" s="42"/>
      <c r="NL9" s="42"/>
      <c r="NM9" s="42"/>
      <c r="NN9" s="42"/>
      <c r="NO9" s="264"/>
      <c r="NP9" s="1439"/>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523"/>
      <c r="B10" s="1022" t="s">
        <v>1099</v>
      </c>
      <c r="C10" s="542" t="s">
        <v>783</v>
      </c>
      <c r="D10" s="542" t="s">
        <v>784</v>
      </c>
      <c r="E10" s="542" t="s">
        <v>1100</v>
      </c>
      <c r="F10" s="542" t="s">
        <v>1101</v>
      </c>
      <c r="G10" s="3529"/>
      <c r="H10" s="542" t="s">
        <v>1102</v>
      </c>
      <c r="I10" s="3529"/>
      <c r="J10" s="3525"/>
      <c r="K10" s="262" t="s">
        <v>1103</v>
      </c>
      <c r="L10" s="542" t="s">
        <v>1104</v>
      </c>
      <c r="M10" s="542" t="s">
        <v>296</v>
      </c>
      <c r="N10" s="542" t="s">
        <v>1073</v>
      </c>
      <c r="O10" s="542" t="s">
        <v>1105</v>
      </c>
      <c r="P10" s="3527"/>
      <c r="Q10" s="3564"/>
      <c r="R10" s="542" t="s">
        <v>1106</v>
      </c>
      <c r="S10" s="542" t="s">
        <v>1107</v>
      </c>
      <c r="T10" s="7" t="s">
        <v>781</v>
      </c>
      <c r="W10" s="7"/>
      <c r="X10" s="3495"/>
      <c r="Y10" s="3495"/>
      <c r="Z10" s="3495"/>
      <c r="AA10" s="3495"/>
      <c r="AB10" s="3495"/>
      <c r="AC10" s="3495"/>
      <c r="AD10" s="3495"/>
      <c r="AE10" s="3495"/>
      <c r="AF10" s="3495"/>
      <c r="AG10" s="3495"/>
      <c r="AH10" s="3495"/>
      <c r="AI10" s="3495"/>
      <c r="AJ10" s="3495"/>
      <c r="AK10" s="3495"/>
      <c r="AL10" s="3495"/>
      <c r="AM10" s="3495"/>
      <c r="AN10" s="3495"/>
      <c r="AO10" s="3495"/>
      <c r="AP10" s="3495"/>
      <c r="AQ10" s="3495"/>
      <c r="AR10" s="3495"/>
      <c r="AS10" s="3495"/>
      <c r="AT10" s="3495"/>
      <c r="AU10" s="3495"/>
      <c r="AV10" s="3495"/>
      <c r="AW10" s="3495"/>
      <c r="AX10" s="3495"/>
      <c r="AY10" s="3495"/>
      <c r="AZ10" s="3495"/>
      <c r="BA10" s="3495"/>
      <c r="BB10" s="3495"/>
      <c r="BC10" s="3495"/>
      <c r="BD10" s="3495"/>
      <c r="BE10" s="3495"/>
      <c r="BF10" s="3495"/>
      <c r="BG10" s="3495"/>
      <c r="BH10" s="3495"/>
      <c r="BI10" s="3495"/>
      <c r="BJ10" s="3495"/>
      <c r="BK10" s="3495"/>
      <c r="BL10" s="3495"/>
      <c r="BM10" s="3495"/>
      <c r="BN10" s="3495"/>
      <c r="BO10" s="3495"/>
      <c r="BP10" s="3495"/>
      <c r="BQ10" s="3495"/>
      <c r="BR10" s="3495"/>
      <c r="BS10" s="3495"/>
      <c r="BT10" s="3495"/>
      <c r="BU10" s="3495"/>
      <c r="BV10" s="3495"/>
      <c r="BW10" s="3495"/>
      <c r="BX10" s="3495"/>
      <c r="BY10" s="3495"/>
      <c r="BZ10" s="3495"/>
      <c r="CA10" s="3495"/>
      <c r="CB10" s="3495"/>
      <c r="CC10" s="3495"/>
      <c r="CD10" s="3495"/>
      <c r="CE10" s="3495"/>
      <c r="CF10" s="3495"/>
      <c r="CG10" s="3495"/>
      <c r="CH10" s="3495"/>
      <c r="CI10" s="3495"/>
      <c r="CJ10" s="3495"/>
      <c r="CK10" s="3495"/>
      <c r="CL10" s="3495"/>
      <c r="CM10" s="3495"/>
      <c r="CN10" s="3495"/>
      <c r="CO10" s="3495"/>
      <c r="CP10" s="3495"/>
      <c r="CQ10" s="3495"/>
      <c r="CR10" s="3495"/>
      <c r="CS10" s="3495"/>
      <c r="CT10" s="3495"/>
      <c r="CU10" s="3495"/>
      <c r="CV10" s="3495"/>
      <c r="CW10" s="3495"/>
      <c r="CX10" s="3495"/>
      <c r="CY10" s="3495"/>
      <c r="CZ10" s="3495"/>
      <c r="DA10" s="3495"/>
      <c r="DB10" s="3495"/>
      <c r="DC10" s="3495"/>
      <c r="DD10" s="3495"/>
      <c r="DE10" s="3495"/>
      <c r="DF10" s="3495"/>
      <c r="DG10" s="3495"/>
      <c r="DH10" s="3495"/>
      <c r="DI10" s="3495"/>
      <c r="DJ10" s="3495"/>
      <c r="DK10" s="3495"/>
      <c r="DL10" s="3495"/>
      <c r="DM10" s="3495"/>
      <c r="DN10" s="3495"/>
      <c r="DO10" s="3495"/>
      <c r="DP10" s="3495"/>
      <c r="DQ10" s="3495"/>
      <c r="DR10" s="3495"/>
      <c r="DS10" s="3495"/>
      <c r="DT10" s="3495"/>
      <c r="DU10" s="3495"/>
      <c r="DV10" s="3495"/>
      <c r="DW10" s="3495"/>
      <c r="DX10" s="3495"/>
      <c r="DY10" s="3495"/>
      <c r="DZ10" s="3495"/>
      <c r="EA10" s="3495"/>
      <c r="EB10" s="3495"/>
      <c r="EC10" s="3495"/>
      <c r="ED10" s="3495"/>
      <c r="EE10" s="3495"/>
      <c r="EF10" s="3495"/>
      <c r="EG10" s="3495"/>
      <c r="EH10" s="3495"/>
      <c r="EI10" s="3495"/>
      <c r="EJ10" s="3495"/>
      <c r="EK10" s="3495"/>
      <c r="EL10" s="3495"/>
      <c r="EM10" s="3495"/>
      <c r="EN10" s="3495"/>
      <c r="EO10" s="3495"/>
      <c r="EP10" s="3495"/>
      <c r="EQ10" s="3495"/>
      <c r="ER10" s="3495"/>
      <c r="ES10" s="3495"/>
      <c r="ET10" s="3495"/>
      <c r="EU10" s="3495"/>
      <c r="EV10" s="3495"/>
      <c r="EW10" s="3495"/>
      <c r="EX10" s="3495"/>
      <c r="EY10" s="3495"/>
      <c r="EZ10" s="3495"/>
      <c r="FA10" s="3495"/>
      <c r="FB10" s="3495"/>
      <c r="FC10" s="3495"/>
      <c r="FD10" s="3495"/>
      <c r="FE10" s="3495"/>
      <c r="FF10" s="3495"/>
      <c r="FG10" s="3495"/>
      <c r="FH10" s="3495"/>
      <c r="FI10" s="3495"/>
      <c r="FJ10" s="3495"/>
      <c r="FK10" s="3495"/>
      <c r="FL10" s="3495"/>
      <c r="FM10" s="3495"/>
      <c r="FN10" s="3495"/>
      <c r="FO10" s="3495"/>
      <c r="FP10" s="3495"/>
      <c r="FQ10" s="3495"/>
      <c r="FR10" s="3495"/>
      <c r="FS10" s="3495"/>
      <c r="FT10" s="3495"/>
      <c r="FU10" s="3495"/>
      <c r="FV10" s="3495"/>
      <c r="FW10" s="3495"/>
      <c r="FX10" s="3495"/>
      <c r="FY10" s="3495"/>
      <c r="FZ10" s="3495"/>
      <c r="GA10" s="3495"/>
      <c r="GB10" s="3495"/>
      <c r="GC10" s="3495"/>
      <c r="GD10" s="3495"/>
      <c r="GE10" s="3495"/>
      <c r="GF10" s="3495"/>
      <c r="GG10" s="3495"/>
      <c r="GH10" s="3495"/>
      <c r="GI10" s="3495"/>
      <c r="GJ10" s="3495"/>
      <c r="GK10" s="3495"/>
      <c r="GL10" s="3495"/>
      <c r="GM10" s="3495"/>
      <c r="GN10" s="3495"/>
      <c r="GO10" s="3495"/>
      <c r="GP10" s="3495"/>
      <c r="GQ10" s="3495"/>
      <c r="GR10" s="3495"/>
      <c r="GS10" s="3495"/>
      <c r="GT10" s="3495"/>
      <c r="GU10" s="3495"/>
      <c r="GV10" s="3495"/>
      <c r="GW10" s="3495"/>
      <c r="GX10" s="3495"/>
      <c r="GY10" s="3495"/>
      <c r="GZ10" s="3495"/>
      <c r="HA10" s="3495"/>
      <c r="HB10" s="3495"/>
      <c r="HC10" s="3495"/>
      <c r="HD10" s="3495"/>
      <c r="HE10" s="3495"/>
      <c r="HF10" s="3495"/>
      <c r="HG10" s="3495"/>
      <c r="HH10" s="3495"/>
      <c r="HI10" s="3495"/>
      <c r="HJ10" s="3495"/>
      <c r="HK10" s="3495"/>
      <c r="HL10" s="3495"/>
      <c r="HM10" s="3495"/>
      <c r="HN10" s="3495"/>
      <c r="HO10" s="3495"/>
      <c r="HP10" s="3495"/>
      <c r="HQ10" s="3495"/>
      <c r="HR10" s="3495"/>
      <c r="HS10" s="3495"/>
      <c r="HT10" s="3495"/>
      <c r="HU10" s="3495"/>
      <c r="HV10" s="3495"/>
      <c r="HW10" s="3495"/>
      <c r="HX10" s="3495"/>
      <c r="HY10" s="3495"/>
      <c r="HZ10" s="3495"/>
      <c r="IA10" s="1563" t="s">
        <v>1108</v>
      </c>
      <c r="IB10" s="1563" t="s">
        <v>1108</v>
      </c>
      <c r="IC10" s="1563" t="s">
        <v>1108</v>
      </c>
      <c r="ID10" s="1563" t="s">
        <v>1108</v>
      </c>
      <c r="IE10" s="3495"/>
      <c r="IF10" s="3495"/>
      <c r="IG10" s="3495"/>
      <c r="IH10" s="3495"/>
      <c r="II10" s="3495"/>
      <c r="IJ10" s="3495"/>
      <c r="IK10" s="3495"/>
      <c r="IL10" s="3495"/>
      <c r="IM10" s="3495"/>
      <c r="IN10" s="3495"/>
      <c r="IO10" s="1563" t="s">
        <v>1109</v>
      </c>
      <c r="IP10" s="1563" t="s">
        <v>1109</v>
      </c>
      <c r="IQ10" s="1563" t="s">
        <v>1109</v>
      </c>
      <c r="IR10" s="1563" t="s">
        <v>1109</v>
      </c>
      <c r="IS10" s="1563" t="s">
        <v>1109</v>
      </c>
      <c r="IT10" s="1563" t="s">
        <v>1110</v>
      </c>
      <c r="IU10" s="1563" t="s">
        <v>1110</v>
      </c>
      <c r="IV10" s="1563" t="s">
        <v>1110</v>
      </c>
      <c r="IW10" s="1563" t="s">
        <v>1110</v>
      </c>
      <c r="IX10" s="1563" t="s">
        <v>1110</v>
      </c>
      <c r="IY10" s="3495"/>
      <c r="IZ10" s="3495"/>
      <c r="JA10" s="3495"/>
      <c r="JB10" s="3495"/>
      <c r="JC10" s="3495"/>
      <c r="JD10" s="3495"/>
      <c r="JE10" s="3495"/>
      <c r="JF10" s="3495"/>
      <c r="JG10" s="3495"/>
      <c r="JH10" s="3495"/>
      <c r="JI10" s="3495"/>
      <c r="JJ10" s="3495"/>
      <c r="JK10" s="3495"/>
      <c r="JL10" s="3495"/>
      <c r="JM10" s="3495"/>
      <c r="JN10" s="3495"/>
      <c r="JO10" s="3495"/>
      <c r="JP10" s="3495"/>
      <c r="JQ10" s="3495"/>
      <c r="JR10" s="3495"/>
      <c r="JS10" s="3495"/>
      <c r="JT10" s="3495"/>
      <c r="JU10" s="3495"/>
      <c r="JV10" s="3495"/>
      <c r="JW10" s="3495"/>
      <c r="JX10" s="3495"/>
      <c r="JY10" s="3495"/>
      <c r="JZ10" s="3495"/>
      <c r="KA10" s="3495"/>
      <c r="KB10" s="3495"/>
      <c r="KC10" s="3495"/>
      <c r="KD10" s="3495"/>
      <c r="KE10" s="3495"/>
      <c r="KF10" s="3495"/>
      <c r="KG10" s="3495"/>
      <c r="KH10" s="3495"/>
      <c r="KI10" s="3495"/>
      <c r="KJ10" s="3495"/>
      <c r="KK10" s="3495"/>
      <c r="KL10" s="3495"/>
      <c r="KM10" s="3495"/>
      <c r="KN10" s="3495"/>
      <c r="KO10" s="3495"/>
      <c r="KP10" s="3495"/>
      <c r="KQ10" s="3495"/>
      <c r="KR10" s="3495"/>
      <c r="KS10" s="3495"/>
      <c r="KT10" s="3495"/>
      <c r="KU10" s="3495"/>
      <c r="KV10" s="3495"/>
      <c r="KW10" s="3495"/>
      <c r="KX10" s="3495"/>
      <c r="KY10" s="3495"/>
      <c r="KZ10" s="3495"/>
      <c r="LA10" s="3495"/>
      <c r="LB10" s="3495"/>
      <c r="LC10" s="3495"/>
      <c r="LD10" s="3495"/>
      <c r="LE10" s="3495"/>
      <c r="LF10" s="3495"/>
      <c r="LG10" s="3495"/>
      <c r="LH10" s="3495"/>
      <c r="LI10" s="3495"/>
      <c r="LJ10" s="3495"/>
      <c r="LK10" s="3495"/>
      <c r="LL10" s="3495"/>
      <c r="LM10" s="3495"/>
      <c r="LN10" s="3495"/>
      <c r="LO10" s="3495"/>
      <c r="LP10" s="3495"/>
      <c r="LQ10" s="3495"/>
      <c r="LR10" s="3495"/>
      <c r="LS10" s="3495"/>
      <c r="LT10" s="3495"/>
      <c r="LU10" s="3495"/>
      <c r="LV10" s="3495"/>
      <c r="LW10" s="3495"/>
      <c r="LX10" s="3495"/>
      <c r="LY10" s="3495"/>
      <c r="LZ10" s="3495"/>
      <c r="MA10" s="3495"/>
      <c r="MB10" s="3495"/>
      <c r="MC10" s="3495"/>
      <c r="MD10" s="3495"/>
      <c r="ME10" s="3495"/>
      <c r="MF10" s="3495"/>
      <c r="MG10" s="3495"/>
      <c r="MH10" s="3495"/>
      <c r="MI10" s="3495"/>
      <c r="MJ10" s="3495"/>
      <c r="MK10" s="3535"/>
      <c r="ML10" s="3535"/>
      <c r="MM10" s="3535"/>
      <c r="MN10" s="3535"/>
      <c r="MO10" s="3535"/>
      <c r="MP10" s="3495"/>
      <c r="MQ10" s="3495"/>
      <c r="MR10" s="3495"/>
      <c r="MS10" s="3495"/>
      <c r="MT10" s="3495"/>
      <c r="MU10" s="42"/>
      <c r="MV10" s="42"/>
      <c r="MW10" s="42"/>
      <c r="MX10" s="42"/>
      <c r="MY10" s="42"/>
      <c r="MZ10" s="42"/>
      <c r="NA10" s="42"/>
      <c r="NB10" s="42"/>
      <c r="NC10" s="42"/>
      <c r="ND10" s="42"/>
      <c r="NE10" s="42"/>
      <c r="NF10" s="42"/>
      <c r="NG10" s="42"/>
      <c r="NH10" s="42"/>
      <c r="NI10" s="42"/>
      <c r="NJ10" s="42"/>
      <c r="NK10" s="42"/>
      <c r="NL10" s="42"/>
      <c r="NM10" s="42"/>
      <c r="NN10" s="42"/>
      <c r="NO10" s="264"/>
      <c r="NP10" s="1439"/>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t="str">
        <f t="shared" ref="A11:A48" si="0">IF(AND(E11&gt;0,OR(B11="",C11="",D11="",F11="",G11="", H11="",I11="",N11="",O11="",P11="",Q11="")),1,"")</f>
        <v/>
      </c>
      <c r="B11" s="2735" t="s">
        <v>1113</v>
      </c>
      <c r="C11" s="2736">
        <v>2</v>
      </c>
      <c r="D11" s="2737">
        <v>3</v>
      </c>
      <c r="E11" s="1153">
        <v>3</v>
      </c>
      <c r="F11" s="1153">
        <v>1223</v>
      </c>
      <c r="G11" s="1153" t="s">
        <v>3054</v>
      </c>
      <c r="H11" s="1153">
        <v>1667</v>
      </c>
      <c r="I11" s="1153">
        <v>0</v>
      </c>
      <c r="J11" s="2738">
        <v>0</v>
      </c>
      <c r="K11" s="2739"/>
      <c r="L11" s="2740">
        <f t="shared" ref="L11:L48" si="1">MAX(0,H11-I11-J11)</f>
        <v>1667</v>
      </c>
      <c r="M11" s="2740">
        <f t="shared" ref="M11:M48" si="2">MAX(0,E11*L11)</f>
        <v>5001</v>
      </c>
      <c r="N11" s="2741" t="s">
        <v>63</v>
      </c>
      <c r="O11" s="2742" t="s">
        <v>7051</v>
      </c>
      <c r="P11" s="2741" t="s">
        <v>7052</v>
      </c>
      <c r="Q11" s="2743" t="s">
        <v>63</v>
      </c>
      <c r="R11" s="585"/>
      <c r="S11" s="2744"/>
      <c r="T11" s="3503"/>
      <c r="U11" s="3504"/>
      <c r="V11" s="3504"/>
      <c r="W11" s="3505"/>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f t="shared" ref="BI11:BI48" si="40">IF(AND(C11=2,B11="Unrestricted",NOT(N11="Common Space")),E11,"")</f>
        <v>3</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f t="shared" ref="FT11:FT48" si="155">IF(AND(C11=2,B11="Unrestricted",NOT(N11="Common Space")),E11*F11,"")</f>
        <v>3669</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f t="shared" ref="HC11:HC48" si="190">IF(AND($C11=2, $P11="Acquisition/Rehab",$B11="Unrestricted",NOT($B11="N/A-CS"),NOT($N11="Common Space")),$E11,"")</f>
        <v>3</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575" t="str">
        <f t="shared" ref="HZ11:HZ48" si="213">IF(AND($C11="Efficiency", NOT(OR($O11="SF Detached",$O11="Mfd Home",$O11="Semi-Detached",$O11="Row House/TH"))),$E11,"")</f>
        <v/>
      </c>
      <c r="IA11" s="1575" t="str">
        <f t="shared" ref="IA11:IA48" si="214">IF(AND($C11=1, NOT(OR($O11="SF Detached",$O11="Mfd Home",$O11="Semi-Detached",$O11="Row House/TH"))),$E11,"")</f>
        <v/>
      </c>
      <c r="IB11" s="1575" t="str">
        <f t="shared" ref="IB11:IB48" si="215">IF(AND($C11=2, NOT(OR($O11="SF Detached",$O11="Mfd Home",$O11="Semi-Detached",$O11="Row House/TH"))),$E11,"")</f>
        <v/>
      </c>
      <c r="IC11" s="1575" t="str">
        <f t="shared" ref="IC11:IC48" si="216">IF(AND($C11=3, NOT(OR($O11="SF Detached",$O11="Mfd Home",$O11="Semi-Detached",$O11="Row House/TH"))),$E11,"")</f>
        <v/>
      </c>
      <c r="ID11" s="1575" t="str">
        <f t="shared" ref="ID11:ID48" si="217">IF(AND($C11=4, NOT(OR($O11="SF Detached",$O11="Mfd Home",$O11="Semi-Detached",$O11="Row House/TH"))),$E11,"")</f>
        <v/>
      </c>
      <c r="IE11" s="1575" t="str">
        <f t="shared" ref="IE11:IE48" si="218">IF(AND($C11="Efficiency", $O11="SF Detached",NOT($Q11="Yes")),$E11,"")</f>
        <v/>
      </c>
      <c r="IF11" s="1575" t="str">
        <f t="shared" ref="IF11:IF48" si="219">IF(AND($C11=1, $O11="SF Detached",NOT($Q11="Yes")),$E11,"")</f>
        <v/>
      </c>
      <c r="IG11" s="1575" t="str">
        <f t="shared" ref="IG11:IG48" si="220">IF(AND($C11=2, $O11="SF Detached",NOT($Q11="Yes")),$E11,"")</f>
        <v/>
      </c>
      <c r="IH11" s="1575" t="str">
        <f t="shared" ref="IH11:IH48" si="221">IF(AND($C11=3, $O11="SF Detached",NOT($Q11="Yes")),$E11,"")</f>
        <v/>
      </c>
      <c r="II11" s="1575" t="str">
        <f t="shared" ref="II11:II48" si="222">IF(AND($C11=4, $O11="SF Detached",NOT($Q11="Yes")),$E11,"")</f>
        <v/>
      </c>
      <c r="IJ11" s="1575" t="str">
        <f t="shared" ref="IJ11:IJ48" si="223">IF(AND($C11="Efficiency", $O11="SF Detached",$Q11="Yes"),$E11,"")</f>
        <v/>
      </c>
      <c r="IK11" s="1575" t="str">
        <f t="shared" ref="IK11:IK48" si="224">IF(AND($C11=1, $O11="SF Detached",$Q11="Yes"),$E11,"")</f>
        <v/>
      </c>
      <c r="IL11" s="1575" t="str">
        <f t="shared" ref="IL11:IL48" si="225">IF(AND($C11=2, $O11="SF Detached",$Q11="Yes"),$E11,"")</f>
        <v/>
      </c>
      <c r="IM11" s="1575" t="str">
        <f t="shared" ref="IM11:IM48" si="226">IF(AND($C11=3, $O11="SF Detached",$Q11="Yes"),$E11,"")</f>
        <v/>
      </c>
      <c r="IN11" s="1575" t="str">
        <f t="shared" ref="IN11:IN48" si="227">IF(AND($C11=4, $O11="SF Detached",$Q11="Yes"),$E11,"")</f>
        <v/>
      </c>
      <c r="IO11" s="1575" t="str">
        <f t="shared" ref="IO11:IO48" si="228">IF(AND($C11="Efficiency", $O11="Mfd Home",NOT($Q11="Yes")),$E11,"")</f>
        <v/>
      </c>
      <c r="IP11" s="1575" t="str">
        <f t="shared" ref="IP11:IP48" si="229">IF(AND($C11=1, $O11="Mfd Home",NOT($Q11="Yes")),$E11,"")</f>
        <v/>
      </c>
      <c r="IQ11" s="1575" t="str">
        <f t="shared" ref="IQ11:IQ48" si="230">IF(AND($C11=2, $O11="Mfd Home",NOT($Q11="Yes")),$E11,"")</f>
        <v/>
      </c>
      <c r="IR11" s="1575" t="str">
        <f t="shared" ref="IR11:IR48" si="231">IF(AND($C11=3, $O11="Mfd Home",NOT($Q11="Yes")),$E11,"")</f>
        <v/>
      </c>
      <c r="IS11" s="1575" t="str">
        <f t="shared" ref="IS11:IS48" si="232">IF(AND($C11=4, $O11="Mfd Home",NOT($Q11="Yes")),$E11,"")</f>
        <v/>
      </c>
      <c r="IT11" s="1575" t="str">
        <f t="shared" ref="IT11:IT48" si="233">IF(AND($C11="Efficiency", $O11="Mfd Home",$Q11="Yes"),$E11,"")</f>
        <v/>
      </c>
      <c r="IU11" s="1575" t="str">
        <f t="shared" ref="IU11:IU48" si="234">IF(AND($C11=1, $O11="Mfd Home",$Q11="Yes"),$E11,"")</f>
        <v/>
      </c>
      <c r="IV11" s="1575" t="str">
        <f t="shared" ref="IV11:IV48" si="235">IF(AND($C11=2, $O11="Mfd Home",$Q11="Yes"),$E11,"")</f>
        <v/>
      </c>
      <c r="IW11" s="1575" t="str">
        <f t="shared" ref="IW11:IW48" si="236">IF(AND($C11=3, $O11="Mfd Home",$Q11="Yes"),$E11,"")</f>
        <v/>
      </c>
      <c r="IX11" s="1575" t="str">
        <f t="shared" ref="IX11:IX48" si="237">IF(AND($C11=4, $O11="Mfd Home",$Q11="Yes"),$E11,"")</f>
        <v/>
      </c>
      <c r="IY11" s="1575" t="str">
        <f t="shared" ref="IY11:IY48" si="238">IF(AND($C11="Efficiency", $O11="Semi-Detached",NOT($Q11="Yes")),$E11,"")</f>
        <v/>
      </c>
      <c r="IZ11" s="1575" t="str">
        <f t="shared" ref="IZ11:IZ48" si="239">IF(AND($C11=1, $O11="Semi-Detached",NOT($Q11="Yes")),$E11,"")</f>
        <v/>
      </c>
      <c r="JA11" s="1575" t="str">
        <f t="shared" ref="JA11:JA48" si="240">IF(AND($C11=2, $O11="Semi-Detached",NOT($Q11="Yes")),$E11,"")</f>
        <v/>
      </c>
      <c r="JB11" s="1575" t="str">
        <f t="shared" ref="JB11:JB48" si="241">IF(AND($C11=3, $O11="Semi-Detached",NOT($Q11="Yes")),$E11,"")</f>
        <v/>
      </c>
      <c r="JC11" s="1575" t="str">
        <f t="shared" ref="JC11:JC48" si="242">IF(AND($C11=4, $O11="Semi-Detached",NOT($Q11="Yes")),$E11,"")</f>
        <v/>
      </c>
      <c r="JD11" s="1575" t="str">
        <f t="shared" ref="JD11:JD48" si="243">IF(AND($C11="Efficiency", $O11="Semi-Detached",$Q11="Yes"),$E11,"")</f>
        <v/>
      </c>
      <c r="JE11" s="1575" t="str">
        <f t="shared" ref="JE11:JE48" si="244">IF(AND($C11=1, $O11="Semi-Detached",$Q11="Yes"),$E11,"")</f>
        <v/>
      </c>
      <c r="JF11" s="1575" t="str">
        <f t="shared" ref="JF11:JF48" si="245">IF(AND($C11=2, $O11="Semi-Detached",$Q11="Yes"),$E11,"")</f>
        <v/>
      </c>
      <c r="JG11" s="1575" t="str">
        <f t="shared" ref="JG11:JG48" si="246">IF(AND($C11=3, $O11="Semi-Detached",$Q11="Yes"),$E11,"")</f>
        <v/>
      </c>
      <c r="JH11" s="1575" t="str">
        <f t="shared" ref="JH11:JH48" si="247">IF(AND($C11=4, $O11="Semi-Detached",$Q11="Yes"),$E11,"")</f>
        <v/>
      </c>
      <c r="JI11" s="1575" t="str">
        <f t="shared" ref="JI11:JI48" si="248">IF(AND($C11="Efficiency", $O11="Row House/TH",NOT($Q11="Yes")),$E11,"")</f>
        <v/>
      </c>
      <c r="JJ11" s="1575" t="str">
        <f t="shared" ref="JJ11:JJ48" si="249">IF(AND($C11=1, $O11="Row House/TH",NOT($Q11="Yes")),$E11,"")</f>
        <v/>
      </c>
      <c r="JK11" s="1575">
        <f t="shared" ref="JK11:JK48" si="250">IF(AND($C11=2, $O11="Row House/TH",NOT($Q11="Yes")),$E11,"")</f>
        <v>3</v>
      </c>
      <c r="JL11" s="1575" t="str">
        <f t="shared" ref="JL11:JL48" si="251">IF(AND($C11=3, $O11="Row House/TH",NOT($Q11="Yes")),$E11,"")</f>
        <v/>
      </c>
      <c r="JM11" s="1575" t="str">
        <f t="shared" ref="JM11:JM48" si="252">IF(AND($C11=4, $O11="Row House/TH",NOT($Q11="Yes")),$E11,"")</f>
        <v/>
      </c>
      <c r="JN11" s="1575" t="str">
        <f t="shared" ref="JN11:JN48" si="253">IF(AND($C11="Efficiency", $O11="Row House/TH",$Q11="Yes"),$E11,"")</f>
        <v/>
      </c>
      <c r="JO11" s="1575" t="str">
        <f t="shared" ref="JO11:JO48" si="254">IF(AND($C11=1, $O11="Row House/TH",$Q11="Yes"),$E11,"")</f>
        <v/>
      </c>
      <c r="JP11" s="1575" t="str">
        <f t="shared" ref="JP11:JP48" si="255">IF(AND($C11=2, $O11="Row House/TH",$Q11="Yes"),$E11,"")</f>
        <v/>
      </c>
      <c r="JQ11" s="1575" t="str">
        <f t="shared" ref="JQ11:JQ48" si="256">IF(AND($C11=3, $O11="Row House/TH",$Q11="Yes"),$E11,"")</f>
        <v/>
      </c>
      <c r="JR11" s="1575" t="str">
        <f t="shared" ref="JR11:JR48" si="257">IF(AND($C11=4, $O11="Row House/TH",$Q11="Yes"),$E11,"")</f>
        <v/>
      </c>
      <c r="JS11" s="1575" t="str">
        <f t="shared" ref="JS11:JS48" si="258">IF(AND($C11="Efficiency", $O11="Low-Rise Apt",NOT($Q11="Yes")),$E11,"")</f>
        <v/>
      </c>
      <c r="JT11" s="1575" t="str">
        <f t="shared" ref="JT11:JT48" si="259">IF(AND($C11=1, $O11="Low-Rise Apt",NOT($Q11="Yes")),$E11,"")</f>
        <v/>
      </c>
      <c r="JU11" s="1575" t="str">
        <f t="shared" ref="JU11:JU48" si="260">IF(AND($C11=2, $O11="Low-Rise Apt",NOT($Q11="Yes")),$E11,"")</f>
        <v/>
      </c>
      <c r="JV11" s="1575" t="str">
        <f t="shared" ref="JV11:JV48" si="261">IF(AND($C11=3, $O11="Low-Rise Apt",NOT($Q11="Yes")),$E11,"")</f>
        <v/>
      </c>
      <c r="JW11" s="1575" t="str">
        <f t="shared" ref="JW11:JW48" si="262">IF(AND($C11=4, $O11="Low-Rise Apt",NOT($Q11="Yes")),$E11,"")</f>
        <v/>
      </c>
      <c r="JX11" s="1575" t="str">
        <f t="shared" ref="JX11:JX48" si="263">IF(AND($C11="Efficiency", $O11="Low-Rise Elevator",NOT($Q11="Yes")),$E11,"")</f>
        <v/>
      </c>
      <c r="JY11" s="1575" t="str">
        <f t="shared" ref="JY11:JY48" si="264">IF(AND($C11=1, $O11="Low-Rise Elevator",NOT($Q11="Yes")),$E11,"")</f>
        <v/>
      </c>
      <c r="JZ11" s="1575" t="str">
        <f t="shared" ref="JZ11:JZ48" si="265">IF(AND($C11=2, $O11="Low-Rise Elevator",NOT($Q11="Yes")),$E11,"")</f>
        <v/>
      </c>
      <c r="KA11" s="1575" t="str">
        <f t="shared" ref="KA11:KA48" si="266">IF(AND($C11=3, $O11="Low-Rise Elevator",NOT($Q11="Yes")),$E11,"")</f>
        <v/>
      </c>
      <c r="KB11" s="1575" t="str">
        <f t="shared" ref="KB11:KB48" si="267">IF(AND($C11=4, $O11="Low-Rise Elevator",NOT($Q11="Yes")),$E11,"")</f>
        <v/>
      </c>
      <c r="KC11" s="1575" t="str">
        <f t="shared" ref="KC11:KC48" si="268">IF(AND($C11="Efficiency", $O11="Low-Rise Apt",$Q11="Yes"),$E11,"")</f>
        <v/>
      </c>
      <c r="KD11" s="1575" t="str">
        <f t="shared" ref="KD11:KD48" si="269">IF(AND($C11=1, $O11="Low-Rise Apt",$Q11="Yes"),$E11,"")</f>
        <v/>
      </c>
      <c r="KE11" s="1575" t="str">
        <f t="shared" ref="KE11:KE48" si="270">IF(AND($C11=2, $O11="Low-Rise Apt",$Q11="Yes"),$E11,"")</f>
        <v/>
      </c>
      <c r="KF11" s="1575" t="str">
        <f t="shared" ref="KF11:KF48" si="271">IF(AND($C11=3, $O11="Low-Rise Apt",$Q11="Yes"),$E11,"")</f>
        <v/>
      </c>
      <c r="KG11" s="1575" t="str">
        <f t="shared" ref="KG11:KG48" si="272">IF(AND($C11=4, $O11="Low-Rise Apt",$Q11="Yes"),$E11,"")</f>
        <v/>
      </c>
      <c r="KH11" s="1575" t="str">
        <f t="shared" ref="KH11:KH48" si="273">IF(AND($C11="Efficiency", $O11="Low-Rise Elevator",$Q11="Yes"),$E11,"")</f>
        <v/>
      </c>
      <c r="KI11" s="1575" t="str">
        <f t="shared" ref="KI11:KI48" si="274">IF(AND($C11=1, $O11="Low-Rise Elevator",$Q11="Yes"),$E11,"")</f>
        <v/>
      </c>
      <c r="KJ11" s="1575" t="str">
        <f t="shared" ref="KJ11:KJ48" si="275">IF(AND($C11=2, $O11="Low-Rise Elevator",$Q11="Yes"),$E11,"")</f>
        <v/>
      </c>
      <c r="KK11" s="1575" t="str">
        <f t="shared" ref="KK11:KK48" si="276">IF(AND($C11=3, $O11="Low-Rise Elevator",$Q11="Yes"),$E11,"")</f>
        <v/>
      </c>
      <c r="KL11" s="1575" t="str">
        <f t="shared" ref="KL11:KL48" si="277">IF(AND($C11=4, $O11="Low-Rise Elevator",$Q11="Yes"),$E11,"")</f>
        <v/>
      </c>
      <c r="KM11" s="1575" t="str">
        <f t="shared" ref="KM11:KM48" si="278">IF(AND($C11="Efficiency", $O11="High-Rise Apt",NOT($Q11="Yes")),$E11,"")</f>
        <v/>
      </c>
      <c r="KN11" s="1575" t="str">
        <f t="shared" ref="KN11:KN48" si="279">IF(AND($C11=1, $O11="High-Rise Apt",NOT($Q11="Yes")),$E11,"")</f>
        <v/>
      </c>
      <c r="KO11" s="1575" t="str">
        <f t="shared" ref="KO11:KO48" si="280">IF(AND($C11=2, $O11="High-Rise Apt",NOT($Q11="Yes")),$E11,"")</f>
        <v/>
      </c>
      <c r="KP11" s="1575" t="str">
        <f t="shared" ref="KP11:KP48" si="281">IF(AND($C11=3, $O11="High-Rise Apt",NOT($Q11="Yes")),$E11,"")</f>
        <v/>
      </c>
      <c r="KQ11" s="1575" t="str">
        <f t="shared" ref="KQ11:KQ48" si="282">IF(AND($C11=4, $O11="High-Rise Apt",NOT($Q11="Yes")),$E11,"")</f>
        <v/>
      </c>
      <c r="KR11" s="1575" t="str">
        <f t="shared" ref="KR11:KR48" si="283">IF(AND($C11="Efficiency", $O11="High-Rise Elevator",NOT($Q11="Yes")),$E11,"")</f>
        <v/>
      </c>
      <c r="KS11" s="1575" t="str">
        <f t="shared" ref="KS11:KS48" si="284">IF(AND($C11=1, $O11="High-Rise Elevator",NOT($Q11="Yes")),$E11,"")</f>
        <v/>
      </c>
      <c r="KT11" s="1575" t="str">
        <f t="shared" ref="KT11:KT48" si="285">IF(AND($C11=2, $O11="High-Rise Elevator",NOT($Q11="Yes")),$E11,"")</f>
        <v/>
      </c>
      <c r="KU11" s="1575" t="str">
        <f t="shared" ref="KU11:KU48" si="286">IF(AND($C11=3, $O11="High-Rise Elevator",NOT($Q11="Yes")),$E11,"")</f>
        <v/>
      </c>
      <c r="KV11" s="1575" t="str">
        <f t="shared" ref="KV11:KV48" si="287">IF(AND($C11=4, $O11="High-Rise Elevator",NOT($Q11="Yes")),$E11,"")</f>
        <v/>
      </c>
      <c r="KW11" s="1575" t="str">
        <f t="shared" ref="KW11:KW48" si="288">IF(AND($C11="Efficiency", $O11="High-Rise Apt",$Q11="Yes"),$E11,"")</f>
        <v/>
      </c>
      <c r="KX11" s="1575" t="str">
        <f t="shared" ref="KX11:KX48" si="289">IF(AND($C11=1, $O11="High-Rise Apt",$Q11="Yes"),$E11,"")</f>
        <v/>
      </c>
      <c r="KY11" s="1575" t="str">
        <f t="shared" ref="KY11:KY48" si="290">IF(AND($C11=2, $O11="High-Rise Apt",$Q11="Yes"),$E11,"")</f>
        <v/>
      </c>
      <c r="KZ11" s="1575" t="str">
        <f t="shared" ref="KZ11:KZ48" si="291">IF(AND($C11=3, $O11="High-Rise Apt",$Q11="Yes"),$E11,"")</f>
        <v/>
      </c>
      <c r="LA11" s="1575" t="str">
        <f t="shared" ref="LA11:LA48" si="292">IF(AND($C11=4, $O11="High-Rise Apt",$Q11="Yes"),$E11,"")</f>
        <v/>
      </c>
      <c r="LB11" s="1575" t="str">
        <f t="shared" ref="LB11:LB48" si="293">IF(AND($C11="Efficiency", $O11="High-Rise Elevator",$Q11="Yes"),$E11,"")</f>
        <v/>
      </c>
      <c r="LC11" s="1575" t="str">
        <f t="shared" ref="LC11:LC48" si="294">IF(AND($C11=1, $O11="High-Rise Elevator",$Q11="Yes"),$E11,"")</f>
        <v/>
      </c>
      <c r="LD11" s="1575" t="str">
        <f t="shared" ref="LD11:LD48" si="295">IF(AND($C11=2, $O11="High-Rise Elevator",$Q11="Yes"),$E11,"")</f>
        <v/>
      </c>
      <c r="LE11" s="1575" t="str">
        <f t="shared" ref="LE11:LE48" si="296">IF(AND($C11=3, $O11="High-Rise Elevator",$Q11="Yes"),$E11,"")</f>
        <v/>
      </c>
      <c r="LF11" s="1575" t="str">
        <f t="shared" ref="LF11:LF48" si="297">IF(AND($C11=4, $O11="High-Rise Elevator",$Q11="Yes"),$E11,"")</f>
        <v/>
      </c>
      <c r="LG11" s="1564" t="str">
        <f t="shared" ref="LG11:LG48" si="298">IF(AND($B11="NSP 120% AMI",$C11="Efficiency", NOT($N11="Common Space")),$E11,"")</f>
        <v/>
      </c>
      <c r="LH11" s="1564" t="str">
        <f t="shared" ref="LH11:LH48" si="299">IF(AND($B11="NSP 120% AMI",$C11=1,NOT($N11="Common Space")),$E11,"")</f>
        <v/>
      </c>
      <c r="LI11" s="1564" t="str">
        <f t="shared" ref="LI11:LI48" si="300">IF(AND($B11="NSP 120% AMI",$C11=2,NOT($N11="Common Space")),$E11,"")</f>
        <v/>
      </c>
      <c r="LJ11" s="1564" t="str">
        <f t="shared" ref="LJ11:LJ48" si="301">IF(AND($B11="NSP 120% AMI",$C11=3,NOT($N11="Common Space")),$E11,"")</f>
        <v/>
      </c>
      <c r="LK11" s="1564"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441">
        <f t="shared" ref="MF11:MF48" si="323">IF(AND($C11="Efficiency",$E11&gt;0,OR($O11="Low-Rise Apt",$O11="Low-Rise Elevator",$O11="High-Rise Apt",$O11="High-Rise Elevator",$O11="Row House/TH"),OR($P11="Acquisition/Rehab",$P11="Rehabilitation"),NOT($Q11="Yes")),$E11,0)</f>
        <v>0</v>
      </c>
      <c r="MG11" s="1441">
        <f t="shared" ref="MG11:MG48" si="324">IF(AND($C11=1,$E11&gt;0,OR($O11="Low-Rise Apt",$O11="Low-Rise Elevator",$O11="High-Rise Apt",$O11="High-Rise Elevator",$O11="Row House/TH"),OR($P11="Acquisition/Rehab",$P11="Rehabilitation"),NOT($Q11="Yes")),$E11,0)</f>
        <v>0</v>
      </c>
      <c r="MH11" s="1441">
        <f t="shared" ref="MH11:MH48" si="325">IF(AND($C11=2,$E11&gt;0,OR($O11="Low-Rise Apt",$O11="Low-Rise Elevator",$O11="High-Rise Apt",$O11="High-Rise Elevator",$O11="Row House/TH"),OR($P11="Acquisition/Rehab",$P11="Rehabilitation"),NOT($Q11="Yes")),$E11,0)</f>
        <v>3</v>
      </c>
      <c r="MI11" s="1441">
        <f t="shared" ref="MI11:MI48" si="326">IF(AND($C11=3,$E11&gt;0,OR($O11="Low-Rise Apt",$O11="Low-Rise Elevator",$O11="High-Rise Apt",$O11="High-Rise Elevator",$O11="Row House/TH"),OR($P11="Acquisition/Rehab",$P11="Rehabilitation"),NOT($Q11="Yes")),$E11,0)</f>
        <v>0</v>
      </c>
      <c r="MJ11" s="1441">
        <f t="shared" ref="MJ11:MJ48" si="327">IF(AND($C11=4,$E11&gt;0,OR($O11="Low-Rise Apt",$O11="Low-Rise Elevator",$O11="High-Rise Apt",$O11="High-Rise Elevator",$O11="Row House/TH"),OR($P11="Acquisition/Rehab",$P11="Rehabilitation"),NOT($Q11="Yes")),$E11,0)</f>
        <v>0</v>
      </c>
      <c r="MK11" s="1441">
        <f>IF(AND($C11="Efficiency",$E11&gt;0,OR($O11="Low-Rise Apt",$O11="Low-Rise Elevator",$O11="High-Rise Apt",$O11="High-Rise Elevator",$O11="Row House/TH"),$P11="New Construction"),$E11,0)</f>
        <v>0</v>
      </c>
      <c r="ML11" s="1441">
        <f>IF(AND($C11=1,$E11&gt;0,OR($O11="Low-Rise Apt",$O11="Low-Rise Elevator",$O11="High-Rise Apt",$O11="High-Rise Elevator",$O11="Row House/TH"),$P11="New Construction"),$E11,0)</f>
        <v>0</v>
      </c>
      <c r="MM11" s="1441">
        <f>IF(AND($C11=2,$E11&gt;0,OR($O11="Low-Rise Apt",$O11="Low-Rise Elevator",$O11="High-Rise Apt",$O11="High-Rise Elevator",$O11="Row House/TH"),$P11="New Construction"),$E11,0)</f>
        <v>0</v>
      </c>
      <c r="MN11" s="1441">
        <f>IF(AND($C11=3,$E11&gt;0,OR($O11="Low-Rise Apt",$O11="Low-Rise Elevator",$O11="High-Rise Apt",$O11="High-Rise Elevator",$O11="Row House/TH"),$P11="New Construction"),$E11,0)</f>
        <v>0</v>
      </c>
      <c r="MO11" s="1441">
        <f>IF(AND($C11=4,$E11&gt;0,OR($O11="Low-Rise Apt",$O11="Low-Rise Elevator",$O11="High-Rise Apt",$O11="High-Rise Elevator",$O11="Row House/TH"),$P11="New Construction"),$E11,0)</f>
        <v>0</v>
      </c>
      <c r="MP11" s="1441">
        <f t="shared" ref="MP11:MP48" si="328">IF(AND($C11="Efficiency",$E11&gt;0,OR($O11="SF Detached",$O11="Semi-Detached",$O11="Mfd Home"),NOT($Q11="Yes")),$E11,0)</f>
        <v>0</v>
      </c>
      <c r="MQ11" s="1441">
        <f t="shared" ref="MQ11:MQ48" si="329">IF(AND($C11=1,$E11&gt;0,OR($O11="SF Detached",$O11="Semi-Detached",$O11="Mfd Home"),NOT($Q11="Yes")),$E11,0)</f>
        <v>0</v>
      </c>
      <c r="MR11" s="1441">
        <f t="shared" ref="MR11:MR48" si="330">IF(AND($C11=2,$E11&gt;0,OR($O11="SF Detached",$O11="Semi-Detached",$O11="Mfd Home"),NOT($Q11="Yes")),$E11,0)</f>
        <v>0</v>
      </c>
      <c r="MS11" s="1441">
        <f t="shared" ref="MS11:MS48" si="331">IF(AND($C11=3,$E11&gt;0,OR($O11="SF Detached",$O11="Semi-Detached",$O11="Mfd Home"),NOT($Q11="Yes")),$E11,0)</f>
        <v>0</v>
      </c>
      <c r="MT11" s="1441">
        <f t="shared" ref="MT11:MT48" si="332">IF(AND($C11=4,$E11&gt;0,OR($O11="SF Detached",$O11="Semi-Detached",$O11="Mfd Home"),NOT($Q11="Yes")),$E11,0)</f>
        <v>0</v>
      </c>
      <c r="NP11" s="1413" t="s">
        <v>1111</v>
      </c>
    </row>
    <row r="12" spans="1:493" ht="13.9" customHeight="1">
      <c r="A12" s="55" t="str">
        <f t="shared" si="0"/>
        <v/>
      </c>
      <c r="B12" s="886" t="s">
        <v>1113</v>
      </c>
      <c r="C12" s="89">
        <v>1</v>
      </c>
      <c r="D12" s="1443">
        <v>1</v>
      </c>
      <c r="E12" s="90">
        <v>24</v>
      </c>
      <c r="F12" s="90">
        <v>802</v>
      </c>
      <c r="G12" s="90" t="s">
        <v>3054</v>
      </c>
      <c r="H12" s="90">
        <v>1528</v>
      </c>
      <c r="I12" s="90">
        <v>0</v>
      </c>
      <c r="J12" s="1154">
        <v>0</v>
      </c>
      <c r="K12" s="509"/>
      <c r="L12" s="351">
        <f t="shared" si="1"/>
        <v>1528</v>
      </c>
      <c r="M12" s="351">
        <f t="shared" si="2"/>
        <v>36672</v>
      </c>
      <c r="N12" s="549" t="s">
        <v>63</v>
      </c>
      <c r="O12" s="1381" t="s">
        <v>1205</v>
      </c>
      <c r="P12" s="549" t="s">
        <v>7052</v>
      </c>
      <c r="Q12" s="91" t="s">
        <v>63</v>
      </c>
      <c r="R12" s="586"/>
      <c r="S12" s="587"/>
      <c r="T12" s="3500"/>
      <c r="U12" s="3501"/>
      <c r="V12" s="3501"/>
      <c r="W12" s="3502"/>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f t="shared" si="39"/>
        <v>24</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f t="shared" si="154"/>
        <v>19248</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f t="shared" si="189"/>
        <v>24</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575" t="str">
        <f t="shared" si="213"/>
        <v/>
      </c>
      <c r="IA12" s="1575">
        <f t="shared" si="214"/>
        <v>24</v>
      </c>
      <c r="IB12" s="1575" t="str">
        <f t="shared" si="215"/>
        <v/>
      </c>
      <c r="IC12" s="1575" t="str">
        <f t="shared" si="216"/>
        <v/>
      </c>
      <c r="ID12" s="1575" t="str">
        <f t="shared" si="217"/>
        <v/>
      </c>
      <c r="IE12" s="1575" t="str">
        <f t="shared" si="218"/>
        <v/>
      </c>
      <c r="IF12" s="1575" t="str">
        <f t="shared" si="219"/>
        <v/>
      </c>
      <c r="IG12" s="1575" t="str">
        <f t="shared" si="220"/>
        <v/>
      </c>
      <c r="IH12" s="1575" t="str">
        <f t="shared" si="221"/>
        <v/>
      </c>
      <c r="II12" s="1575" t="str">
        <f t="shared" si="222"/>
        <v/>
      </c>
      <c r="IJ12" s="1575" t="str">
        <f t="shared" si="223"/>
        <v/>
      </c>
      <c r="IK12" s="1575" t="str">
        <f t="shared" si="224"/>
        <v/>
      </c>
      <c r="IL12" s="1575" t="str">
        <f t="shared" si="225"/>
        <v/>
      </c>
      <c r="IM12" s="1575" t="str">
        <f t="shared" si="226"/>
        <v/>
      </c>
      <c r="IN12" s="1575" t="str">
        <f t="shared" si="227"/>
        <v/>
      </c>
      <c r="IO12" s="1575" t="str">
        <f t="shared" si="228"/>
        <v/>
      </c>
      <c r="IP12" s="1575" t="str">
        <f t="shared" si="229"/>
        <v/>
      </c>
      <c r="IQ12" s="1575" t="str">
        <f t="shared" si="230"/>
        <v/>
      </c>
      <c r="IR12" s="1575" t="str">
        <f t="shared" si="231"/>
        <v/>
      </c>
      <c r="IS12" s="1575" t="str">
        <f t="shared" si="232"/>
        <v/>
      </c>
      <c r="IT12" s="1575" t="str">
        <f t="shared" si="233"/>
        <v/>
      </c>
      <c r="IU12" s="1575" t="str">
        <f t="shared" si="234"/>
        <v/>
      </c>
      <c r="IV12" s="1575" t="str">
        <f t="shared" si="235"/>
        <v/>
      </c>
      <c r="IW12" s="1575" t="str">
        <f t="shared" si="236"/>
        <v/>
      </c>
      <c r="IX12" s="1575" t="str">
        <f t="shared" si="237"/>
        <v/>
      </c>
      <c r="IY12" s="1575" t="str">
        <f t="shared" si="238"/>
        <v/>
      </c>
      <c r="IZ12" s="1575" t="str">
        <f t="shared" si="239"/>
        <v/>
      </c>
      <c r="JA12" s="1575" t="str">
        <f t="shared" si="240"/>
        <v/>
      </c>
      <c r="JB12" s="1575" t="str">
        <f t="shared" si="241"/>
        <v/>
      </c>
      <c r="JC12" s="1575" t="str">
        <f t="shared" si="242"/>
        <v/>
      </c>
      <c r="JD12" s="1575" t="str">
        <f t="shared" si="243"/>
        <v/>
      </c>
      <c r="JE12" s="1575" t="str">
        <f t="shared" si="244"/>
        <v/>
      </c>
      <c r="JF12" s="1575" t="str">
        <f t="shared" si="245"/>
        <v/>
      </c>
      <c r="JG12" s="1575" t="str">
        <f t="shared" si="246"/>
        <v/>
      </c>
      <c r="JH12" s="1575" t="str">
        <f t="shared" si="247"/>
        <v/>
      </c>
      <c r="JI12" s="1575" t="str">
        <f t="shared" si="248"/>
        <v/>
      </c>
      <c r="JJ12" s="1575" t="str">
        <f t="shared" si="249"/>
        <v/>
      </c>
      <c r="JK12" s="1575" t="str">
        <f t="shared" si="250"/>
        <v/>
      </c>
      <c r="JL12" s="1575" t="str">
        <f t="shared" si="251"/>
        <v/>
      </c>
      <c r="JM12" s="1575" t="str">
        <f t="shared" si="252"/>
        <v/>
      </c>
      <c r="JN12" s="1575" t="str">
        <f t="shared" si="253"/>
        <v/>
      </c>
      <c r="JO12" s="1575" t="str">
        <f t="shared" si="254"/>
        <v/>
      </c>
      <c r="JP12" s="1575" t="str">
        <f t="shared" si="255"/>
        <v/>
      </c>
      <c r="JQ12" s="1575" t="str">
        <f t="shared" si="256"/>
        <v/>
      </c>
      <c r="JR12" s="1575" t="str">
        <f t="shared" si="257"/>
        <v/>
      </c>
      <c r="JS12" s="1575" t="str">
        <f t="shared" si="258"/>
        <v/>
      </c>
      <c r="JT12" s="1575">
        <f t="shared" si="259"/>
        <v>24</v>
      </c>
      <c r="JU12" s="1575" t="str">
        <f t="shared" si="260"/>
        <v/>
      </c>
      <c r="JV12" s="1575" t="str">
        <f t="shared" si="261"/>
        <v/>
      </c>
      <c r="JW12" s="1575" t="str">
        <f t="shared" si="262"/>
        <v/>
      </c>
      <c r="JX12" s="1575" t="str">
        <f t="shared" si="263"/>
        <v/>
      </c>
      <c r="JY12" s="1575" t="str">
        <f t="shared" si="264"/>
        <v/>
      </c>
      <c r="JZ12" s="1575" t="str">
        <f t="shared" si="265"/>
        <v/>
      </c>
      <c r="KA12" s="1575" t="str">
        <f t="shared" si="266"/>
        <v/>
      </c>
      <c r="KB12" s="1575" t="str">
        <f t="shared" si="267"/>
        <v/>
      </c>
      <c r="KC12" s="1575" t="str">
        <f t="shared" si="268"/>
        <v/>
      </c>
      <c r="KD12" s="1575" t="str">
        <f t="shared" si="269"/>
        <v/>
      </c>
      <c r="KE12" s="1575" t="str">
        <f t="shared" si="270"/>
        <v/>
      </c>
      <c r="KF12" s="1575" t="str">
        <f t="shared" si="271"/>
        <v/>
      </c>
      <c r="KG12" s="1575" t="str">
        <f t="shared" si="272"/>
        <v/>
      </c>
      <c r="KH12" s="1575" t="str">
        <f t="shared" si="273"/>
        <v/>
      </c>
      <c r="KI12" s="1575" t="str">
        <f t="shared" si="274"/>
        <v/>
      </c>
      <c r="KJ12" s="1575" t="str">
        <f t="shared" si="275"/>
        <v/>
      </c>
      <c r="KK12" s="1575" t="str">
        <f t="shared" si="276"/>
        <v/>
      </c>
      <c r="KL12" s="1575" t="str">
        <f t="shared" si="277"/>
        <v/>
      </c>
      <c r="KM12" s="1575" t="str">
        <f t="shared" si="278"/>
        <v/>
      </c>
      <c r="KN12" s="1575" t="str">
        <f t="shared" si="279"/>
        <v/>
      </c>
      <c r="KO12" s="1575" t="str">
        <f t="shared" si="280"/>
        <v/>
      </c>
      <c r="KP12" s="1575" t="str">
        <f t="shared" si="281"/>
        <v/>
      </c>
      <c r="KQ12" s="1575" t="str">
        <f t="shared" si="282"/>
        <v/>
      </c>
      <c r="KR12" s="1575" t="str">
        <f t="shared" si="283"/>
        <v/>
      </c>
      <c r="KS12" s="1575" t="str">
        <f t="shared" si="284"/>
        <v/>
      </c>
      <c r="KT12" s="1575" t="str">
        <f t="shared" si="285"/>
        <v/>
      </c>
      <c r="KU12" s="1575" t="str">
        <f t="shared" si="286"/>
        <v/>
      </c>
      <c r="KV12" s="1575" t="str">
        <f t="shared" si="287"/>
        <v/>
      </c>
      <c r="KW12" s="1575" t="str">
        <f t="shared" si="288"/>
        <v/>
      </c>
      <c r="KX12" s="1575" t="str">
        <f t="shared" si="289"/>
        <v/>
      </c>
      <c r="KY12" s="1575" t="str">
        <f t="shared" si="290"/>
        <v/>
      </c>
      <c r="KZ12" s="1575" t="str">
        <f t="shared" si="291"/>
        <v/>
      </c>
      <c r="LA12" s="1575" t="str">
        <f t="shared" si="292"/>
        <v/>
      </c>
      <c r="LB12" s="1575" t="str">
        <f t="shared" si="293"/>
        <v/>
      </c>
      <c r="LC12" s="1575" t="str">
        <f t="shared" si="294"/>
        <v/>
      </c>
      <c r="LD12" s="1575" t="str">
        <f t="shared" si="295"/>
        <v/>
      </c>
      <c r="LE12" s="1575" t="str">
        <f t="shared" si="296"/>
        <v/>
      </c>
      <c r="LF12" s="1575" t="str">
        <f t="shared" si="297"/>
        <v/>
      </c>
      <c r="LG12" s="1564" t="str">
        <f t="shared" si="298"/>
        <v/>
      </c>
      <c r="LH12" s="1564" t="str">
        <f t="shared" si="299"/>
        <v/>
      </c>
      <c r="LI12" s="1564" t="str">
        <f t="shared" si="300"/>
        <v/>
      </c>
      <c r="LJ12" s="1564" t="str">
        <f t="shared" si="301"/>
        <v/>
      </c>
      <c r="LK12" s="1564"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441">
        <f t="shared" si="323"/>
        <v>0</v>
      </c>
      <c r="MG12" s="1441">
        <f t="shared" si="324"/>
        <v>24</v>
      </c>
      <c r="MH12" s="1441">
        <f t="shared" si="325"/>
        <v>0</v>
      </c>
      <c r="MI12" s="1441">
        <f t="shared" si="326"/>
        <v>0</v>
      </c>
      <c r="MJ12" s="1441">
        <f t="shared" si="327"/>
        <v>0</v>
      </c>
      <c r="MK12" s="1441">
        <f t="shared" ref="MK12:MK48" si="333">IF(AND($C12="Efficiency",$E12&gt;0,OR($O12="Low-Rise Apt",$O12="Low-Rise Elevator",$O12="High-Rise Apt",$O12="High-Rise Elevator",$O12="Row House/TH"),$P12="New Construction"),$E12,0)</f>
        <v>0</v>
      </c>
      <c r="ML12" s="1441">
        <f t="shared" ref="ML12:ML48" si="334">IF(AND($C12=1,$E12&gt;0,OR($O12="Low-Rise Apt",$O12="Low-Rise Elevator",$O12="High-Rise Apt",$O12="High-Rise Elevator",$O12="Row House/TH"),$P12="New Construction"),$E12,0)</f>
        <v>0</v>
      </c>
      <c r="MM12" s="1441">
        <f t="shared" ref="MM12:MM48" si="335">IF(AND($C12=2,$E12&gt;0,OR($O12="Low-Rise Apt",$O12="Low-Rise Elevator",$O12="High-Rise Apt",$O12="High-Rise Elevator",$O12="Row House/TH"),$P12="New Construction"),$E12,0)</f>
        <v>0</v>
      </c>
      <c r="MN12" s="1441">
        <f t="shared" ref="MN12:MN48" si="336">IF(AND($C12=3,$E12&gt;0,OR($O12="Low-Rise Apt",$O12="Low-Rise Elevator",$O12="High-Rise Apt",$O12="High-Rise Elevator",$O12="Row House/TH"),$P12="New Construction"),$E12,0)</f>
        <v>0</v>
      </c>
      <c r="MO12" s="1441">
        <f t="shared" ref="MO12:MO48" si="337">IF(AND($C12=4,$E12&gt;0,OR($O12="Low-Rise Apt",$O12="Low-Rise Elevator",$O12="High-Rise Apt",$O12="High-Rise Elevator",$O12="Row House/TH"),$P12="New Construction"),$E12,0)</f>
        <v>0</v>
      </c>
      <c r="MP12" s="1441">
        <f t="shared" si="328"/>
        <v>0</v>
      </c>
      <c r="MQ12" s="1441">
        <f t="shared" si="329"/>
        <v>0</v>
      </c>
      <c r="MR12" s="1441">
        <f t="shared" si="330"/>
        <v>0</v>
      </c>
      <c r="MS12" s="1441">
        <f t="shared" si="331"/>
        <v>0</v>
      </c>
      <c r="MT12" s="1441">
        <f t="shared" si="332"/>
        <v>0</v>
      </c>
      <c r="NP12" s="1413" t="s">
        <v>1112</v>
      </c>
    </row>
    <row r="13" spans="1:493" ht="13.9" customHeight="1">
      <c r="A13" s="55" t="str">
        <f t="shared" si="0"/>
        <v/>
      </c>
      <c r="B13" s="886" t="s">
        <v>1113</v>
      </c>
      <c r="C13" s="89">
        <v>2</v>
      </c>
      <c r="D13" s="1443">
        <v>1</v>
      </c>
      <c r="E13" s="90">
        <v>16</v>
      </c>
      <c r="F13" s="90">
        <v>905</v>
      </c>
      <c r="G13" s="90" t="s">
        <v>3054</v>
      </c>
      <c r="H13" s="90">
        <v>1498</v>
      </c>
      <c r="I13" s="90">
        <v>0</v>
      </c>
      <c r="J13" s="1154">
        <v>0</v>
      </c>
      <c r="K13" s="509"/>
      <c r="L13" s="351">
        <f t="shared" si="1"/>
        <v>1498</v>
      </c>
      <c r="M13" s="351">
        <f t="shared" si="2"/>
        <v>23968</v>
      </c>
      <c r="N13" s="549" t="s">
        <v>63</v>
      </c>
      <c r="O13" s="1381" t="s">
        <v>7051</v>
      </c>
      <c r="P13" s="549" t="s">
        <v>7052</v>
      </c>
      <c r="Q13" s="91" t="s">
        <v>63</v>
      </c>
      <c r="R13" s="586"/>
      <c r="S13" s="587"/>
      <c r="T13" s="3500"/>
      <c r="U13" s="3501"/>
      <c r="V13" s="3501"/>
      <c r="W13" s="3502"/>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f t="shared" si="40"/>
        <v>16</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f t="shared" si="155"/>
        <v>14480</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f t="shared" si="190"/>
        <v>16</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575" t="str">
        <f t="shared" si="213"/>
        <v/>
      </c>
      <c r="IA13" s="1575" t="str">
        <f t="shared" si="214"/>
        <v/>
      </c>
      <c r="IB13" s="1575" t="str">
        <f t="shared" si="215"/>
        <v/>
      </c>
      <c r="IC13" s="1575" t="str">
        <f t="shared" si="216"/>
        <v/>
      </c>
      <c r="ID13" s="1575" t="str">
        <f t="shared" si="217"/>
        <v/>
      </c>
      <c r="IE13" s="1575" t="str">
        <f t="shared" si="218"/>
        <v/>
      </c>
      <c r="IF13" s="1575" t="str">
        <f t="shared" si="219"/>
        <v/>
      </c>
      <c r="IG13" s="1575" t="str">
        <f t="shared" si="220"/>
        <v/>
      </c>
      <c r="IH13" s="1575" t="str">
        <f t="shared" si="221"/>
        <v/>
      </c>
      <c r="II13" s="1575" t="str">
        <f t="shared" si="222"/>
        <v/>
      </c>
      <c r="IJ13" s="1575" t="str">
        <f t="shared" si="223"/>
        <v/>
      </c>
      <c r="IK13" s="1575" t="str">
        <f t="shared" si="224"/>
        <v/>
      </c>
      <c r="IL13" s="1575" t="str">
        <f t="shared" si="225"/>
        <v/>
      </c>
      <c r="IM13" s="1575" t="str">
        <f t="shared" si="226"/>
        <v/>
      </c>
      <c r="IN13" s="1575" t="str">
        <f t="shared" si="227"/>
        <v/>
      </c>
      <c r="IO13" s="1575" t="str">
        <f t="shared" si="228"/>
        <v/>
      </c>
      <c r="IP13" s="1575" t="str">
        <f t="shared" si="229"/>
        <v/>
      </c>
      <c r="IQ13" s="1575" t="str">
        <f t="shared" si="230"/>
        <v/>
      </c>
      <c r="IR13" s="1575" t="str">
        <f t="shared" si="231"/>
        <v/>
      </c>
      <c r="IS13" s="1575" t="str">
        <f t="shared" si="232"/>
        <v/>
      </c>
      <c r="IT13" s="1575" t="str">
        <f t="shared" si="233"/>
        <v/>
      </c>
      <c r="IU13" s="1575" t="str">
        <f t="shared" si="234"/>
        <v/>
      </c>
      <c r="IV13" s="1575" t="str">
        <f t="shared" si="235"/>
        <v/>
      </c>
      <c r="IW13" s="1575" t="str">
        <f t="shared" si="236"/>
        <v/>
      </c>
      <c r="IX13" s="1575" t="str">
        <f t="shared" si="237"/>
        <v/>
      </c>
      <c r="IY13" s="1575" t="str">
        <f t="shared" si="238"/>
        <v/>
      </c>
      <c r="IZ13" s="1575" t="str">
        <f t="shared" si="239"/>
        <v/>
      </c>
      <c r="JA13" s="1575" t="str">
        <f t="shared" si="240"/>
        <v/>
      </c>
      <c r="JB13" s="1575" t="str">
        <f t="shared" si="241"/>
        <v/>
      </c>
      <c r="JC13" s="1575" t="str">
        <f t="shared" si="242"/>
        <v/>
      </c>
      <c r="JD13" s="1575" t="str">
        <f t="shared" si="243"/>
        <v/>
      </c>
      <c r="JE13" s="1575" t="str">
        <f t="shared" si="244"/>
        <v/>
      </c>
      <c r="JF13" s="1575" t="str">
        <f t="shared" si="245"/>
        <v/>
      </c>
      <c r="JG13" s="1575" t="str">
        <f t="shared" si="246"/>
        <v/>
      </c>
      <c r="JH13" s="1575" t="str">
        <f t="shared" si="247"/>
        <v/>
      </c>
      <c r="JI13" s="1575" t="str">
        <f t="shared" si="248"/>
        <v/>
      </c>
      <c r="JJ13" s="1575" t="str">
        <f t="shared" si="249"/>
        <v/>
      </c>
      <c r="JK13" s="1575">
        <f t="shared" si="250"/>
        <v>16</v>
      </c>
      <c r="JL13" s="1575" t="str">
        <f t="shared" si="251"/>
        <v/>
      </c>
      <c r="JM13" s="1575" t="str">
        <f t="shared" si="252"/>
        <v/>
      </c>
      <c r="JN13" s="1575" t="str">
        <f t="shared" si="253"/>
        <v/>
      </c>
      <c r="JO13" s="1575" t="str">
        <f t="shared" si="254"/>
        <v/>
      </c>
      <c r="JP13" s="1575" t="str">
        <f t="shared" si="255"/>
        <v/>
      </c>
      <c r="JQ13" s="1575" t="str">
        <f t="shared" si="256"/>
        <v/>
      </c>
      <c r="JR13" s="1575" t="str">
        <f t="shared" si="257"/>
        <v/>
      </c>
      <c r="JS13" s="1575" t="str">
        <f t="shared" si="258"/>
        <v/>
      </c>
      <c r="JT13" s="1575" t="str">
        <f t="shared" si="259"/>
        <v/>
      </c>
      <c r="JU13" s="1575" t="str">
        <f t="shared" si="260"/>
        <v/>
      </c>
      <c r="JV13" s="1575" t="str">
        <f t="shared" si="261"/>
        <v/>
      </c>
      <c r="JW13" s="1575" t="str">
        <f t="shared" si="262"/>
        <v/>
      </c>
      <c r="JX13" s="1575" t="str">
        <f t="shared" si="263"/>
        <v/>
      </c>
      <c r="JY13" s="1575" t="str">
        <f t="shared" si="264"/>
        <v/>
      </c>
      <c r="JZ13" s="1575" t="str">
        <f t="shared" si="265"/>
        <v/>
      </c>
      <c r="KA13" s="1575" t="str">
        <f t="shared" si="266"/>
        <v/>
      </c>
      <c r="KB13" s="1575" t="str">
        <f t="shared" si="267"/>
        <v/>
      </c>
      <c r="KC13" s="1575" t="str">
        <f t="shared" si="268"/>
        <v/>
      </c>
      <c r="KD13" s="1575" t="str">
        <f t="shared" si="269"/>
        <v/>
      </c>
      <c r="KE13" s="1575" t="str">
        <f t="shared" si="270"/>
        <v/>
      </c>
      <c r="KF13" s="1575" t="str">
        <f t="shared" si="271"/>
        <v/>
      </c>
      <c r="KG13" s="1575" t="str">
        <f t="shared" si="272"/>
        <v/>
      </c>
      <c r="KH13" s="1575" t="str">
        <f t="shared" si="273"/>
        <v/>
      </c>
      <c r="KI13" s="1575" t="str">
        <f t="shared" si="274"/>
        <v/>
      </c>
      <c r="KJ13" s="1575" t="str">
        <f t="shared" si="275"/>
        <v/>
      </c>
      <c r="KK13" s="1575" t="str">
        <f t="shared" si="276"/>
        <v/>
      </c>
      <c r="KL13" s="1575" t="str">
        <f t="shared" si="277"/>
        <v/>
      </c>
      <c r="KM13" s="1575" t="str">
        <f t="shared" si="278"/>
        <v/>
      </c>
      <c r="KN13" s="1575" t="str">
        <f t="shared" si="279"/>
        <v/>
      </c>
      <c r="KO13" s="1575" t="str">
        <f t="shared" si="280"/>
        <v/>
      </c>
      <c r="KP13" s="1575" t="str">
        <f t="shared" si="281"/>
        <v/>
      </c>
      <c r="KQ13" s="1575" t="str">
        <f t="shared" si="282"/>
        <v/>
      </c>
      <c r="KR13" s="1575" t="str">
        <f t="shared" si="283"/>
        <v/>
      </c>
      <c r="KS13" s="1575" t="str">
        <f t="shared" si="284"/>
        <v/>
      </c>
      <c r="KT13" s="1575" t="str">
        <f t="shared" si="285"/>
        <v/>
      </c>
      <c r="KU13" s="1575" t="str">
        <f t="shared" si="286"/>
        <v/>
      </c>
      <c r="KV13" s="1575" t="str">
        <f t="shared" si="287"/>
        <v/>
      </c>
      <c r="KW13" s="1575" t="str">
        <f t="shared" si="288"/>
        <v/>
      </c>
      <c r="KX13" s="1575" t="str">
        <f t="shared" si="289"/>
        <v/>
      </c>
      <c r="KY13" s="1575" t="str">
        <f t="shared" si="290"/>
        <v/>
      </c>
      <c r="KZ13" s="1575" t="str">
        <f t="shared" si="291"/>
        <v/>
      </c>
      <c r="LA13" s="1575" t="str">
        <f t="shared" si="292"/>
        <v/>
      </c>
      <c r="LB13" s="1575" t="str">
        <f t="shared" si="293"/>
        <v/>
      </c>
      <c r="LC13" s="1575" t="str">
        <f t="shared" si="294"/>
        <v/>
      </c>
      <c r="LD13" s="1575" t="str">
        <f t="shared" si="295"/>
        <v/>
      </c>
      <c r="LE13" s="1575" t="str">
        <f t="shared" si="296"/>
        <v/>
      </c>
      <c r="LF13" s="1575" t="str">
        <f t="shared" si="297"/>
        <v/>
      </c>
      <c r="LG13" s="1564" t="str">
        <f t="shared" si="298"/>
        <v/>
      </c>
      <c r="LH13" s="1564" t="str">
        <f t="shared" si="299"/>
        <v/>
      </c>
      <c r="LI13" s="1564" t="str">
        <f t="shared" si="300"/>
        <v/>
      </c>
      <c r="LJ13" s="1564" t="str">
        <f t="shared" si="301"/>
        <v/>
      </c>
      <c r="LK13" s="1564"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441">
        <f t="shared" si="323"/>
        <v>0</v>
      </c>
      <c r="MG13" s="1441">
        <f t="shared" si="324"/>
        <v>0</v>
      </c>
      <c r="MH13" s="1441">
        <f t="shared" si="325"/>
        <v>16</v>
      </c>
      <c r="MI13" s="1441">
        <f t="shared" si="326"/>
        <v>0</v>
      </c>
      <c r="MJ13" s="1441">
        <f t="shared" si="327"/>
        <v>0</v>
      </c>
      <c r="MK13" s="1441">
        <f t="shared" si="333"/>
        <v>0</v>
      </c>
      <c r="ML13" s="1441">
        <f t="shared" si="334"/>
        <v>0</v>
      </c>
      <c r="MM13" s="1441">
        <f t="shared" si="335"/>
        <v>0</v>
      </c>
      <c r="MN13" s="1441">
        <f t="shared" si="336"/>
        <v>0</v>
      </c>
      <c r="MO13" s="1441">
        <f t="shared" si="337"/>
        <v>0</v>
      </c>
      <c r="MP13" s="1441">
        <f t="shared" si="328"/>
        <v>0</v>
      </c>
      <c r="MQ13" s="1441">
        <f t="shared" si="329"/>
        <v>0</v>
      </c>
      <c r="MR13" s="1441">
        <f t="shared" si="330"/>
        <v>0</v>
      </c>
      <c r="MS13" s="1441">
        <f t="shared" si="331"/>
        <v>0</v>
      </c>
      <c r="MT13" s="1441">
        <f t="shared" si="332"/>
        <v>0</v>
      </c>
      <c r="NP13" s="1413" t="s">
        <v>1114</v>
      </c>
    </row>
    <row r="14" spans="1:493" ht="13.9" customHeight="1">
      <c r="A14" s="55" t="str">
        <f t="shared" si="0"/>
        <v/>
      </c>
      <c r="B14" s="886" t="s">
        <v>1113</v>
      </c>
      <c r="C14" s="89">
        <v>2</v>
      </c>
      <c r="D14" s="1443">
        <v>1.5</v>
      </c>
      <c r="E14" s="90">
        <v>11</v>
      </c>
      <c r="F14" s="90">
        <v>1107</v>
      </c>
      <c r="G14" s="90" t="s">
        <v>3054</v>
      </c>
      <c r="H14" s="90">
        <v>1525</v>
      </c>
      <c r="I14" s="90">
        <v>0</v>
      </c>
      <c r="J14" s="1154">
        <v>0</v>
      </c>
      <c r="K14" s="509"/>
      <c r="L14" s="351">
        <f t="shared" si="1"/>
        <v>1525</v>
      </c>
      <c r="M14" s="351">
        <f t="shared" si="2"/>
        <v>16775</v>
      </c>
      <c r="N14" s="549" t="s">
        <v>63</v>
      </c>
      <c r="O14" s="1381" t="s">
        <v>7051</v>
      </c>
      <c r="P14" s="549" t="s">
        <v>7052</v>
      </c>
      <c r="Q14" s="91" t="s">
        <v>63</v>
      </c>
      <c r="R14" s="586"/>
      <c r="S14" s="587"/>
      <c r="T14" s="3500"/>
      <c r="U14" s="3501"/>
      <c r="V14" s="3501"/>
      <c r="W14" s="3502"/>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f t="shared" si="40"/>
        <v>11</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f t="shared" si="155"/>
        <v>12177</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f t="shared" si="190"/>
        <v>11</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575" t="str">
        <f t="shared" si="213"/>
        <v/>
      </c>
      <c r="IA14" s="1575" t="str">
        <f t="shared" si="214"/>
        <v/>
      </c>
      <c r="IB14" s="1575" t="str">
        <f t="shared" si="215"/>
        <v/>
      </c>
      <c r="IC14" s="1575" t="str">
        <f t="shared" si="216"/>
        <v/>
      </c>
      <c r="ID14" s="1575" t="str">
        <f t="shared" si="217"/>
        <v/>
      </c>
      <c r="IE14" s="1575" t="str">
        <f t="shared" si="218"/>
        <v/>
      </c>
      <c r="IF14" s="1575" t="str">
        <f t="shared" si="219"/>
        <v/>
      </c>
      <c r="IG14" s="1575" t="str">
        <f t="shared" si="220"/>
        <v/>
      </c>
      <c r="IH14" s="1575" t="str">
        <f t="shared" si="221"/>
        <v/>
      </c>
      <c r="II14" s="1575" t="str">
        <f t="shared" si="222"/>
        <v/>
      </c>
      <c r="IJ14" s="1575" t="str">
        <f t="shared" si="223"/>
        <v/>
      </c>
      <c r="IK14" s="1575" t="str">
        <f t="shared" si="224"/>
        <v/>
      </c>
      <c r="IL14" s="1575" t="str">
        <f t="shared" si="225"/>
        <v/>
      </c>
      <c r="IM14" s="1575" t="str">
        <f t="shared" si="226"/>
        <v/>
      </c>
      <c r="IN14" s="1575" t="str">
        <f t="shared" si="227"/>
        <v/>
      </c>
      <c r="IO14" s="1575" t="str">
        <f t="shared" si="228"/>
        <v/>
      </c>
      <c r="IP14" s="1575" t="str">
        <f t="shared" si="229"/>
        <v/>
      </c>
      <c r="IQ14" s="1575" t="str">
        <f t="shared" si="230"/>
        <v/>
      </c>
      <c r="IR14" s="1575" t="str">
        <f t="shared" si="231"/>
        <v/>
      </c>
      <c r="IS14" s="1575" t="str">
        <f t="shared" si="232"/>
        <v/>
      </c>
      <c r="IT14" s="1575" t="str">
        <f t="shared" si="233"/>
        <v/>
      </c>
      <c r="IU14" s="1575" t="str">
        <f t="shared" si="234"/>
        <v/>
      </c>
      <c r="IV14" s="1575" t="str">
        <f t="shared" si="235"/>
        <v/>
      </c>
      <c r="IW14" s="1575" t="str">
        <f t="shared" si="236"/>
        <v/>
      </c>
      <c r="IX14" s="1575" t="str">
        <f t="shared" si="237"/>
        <v/>
      </c>
      <c r="IY14" s="1575" t="str">
        <f t="shared" si="238"/>
        <v/>
      </c>
      <c r="IZ14" s="1575" t="str">
        <f t="shared" si="239"/>
        <v/>
      </c>
      <c r="JA14" s="1575" t="str">
        <f t="shared" si="240"/>
        <v/>
      </c>
      <c r="JB14" s="1575" t="str">
        <f t="shared" si="241"/>
        <v/>
      </c>
      <c r="JC14" s="1575" t="str">
        <f t="shared" si="242"/>
        <v/>
      </c>
      <c r="JD14" s="1575" t="str">
        <f t="shared" si="243"/>
        <v/>
      </c>
      <c r="JE14" s="1575" t="str">
        <f t="shared" si="244"/>
        <v/>
      </c>
      <c r="JF14" s="1575" t="str">
        <f t="shared" si="245"/>
        <v/>
      </c>
      <c r="JG14" s="1575" t="str">
        <f t="shared" si="246"/>
        <v/>
      </c>
      <c r="JH14" s="1575" t="str">
        <f t="shared" si="247"/>
        <v/>
      </c>
      <c r="JI14" s="1575" t="str">
        <f t="shared" si="248"/>
        <v/>
      </c>
      <c r="JJ14" s="1575" t="str">
        <f t="shared" si="249"/>
        <v/>
      </c>
      <c r="JK14" s="1575">
        <f t="shared" si="250"/>
        <v>11</v>
      </c>
      <c r="JL14" s="1575" t="str">
        <f t="shared" si="251"/>
        <v/>
      </c>
      <c r="JM14" s="1575" t="str">
        <f t="shared" si="252"/>
        <v/>
      </c>
      <c r="JN14" s="1575" t="str">
        <f t="shared" si="253"/>
        <v/>
      </c>
      <c r="JO14" s="1575" t="str">
        <f t="shared" si="254"/>
        <v/>
      </c>
      <c r="JP14" s="1575" t="str">
        <f t="shared" si="255"/>
        <v/>
      </c>
      <c r="JQ14" s="1575" t="str">
        <f t="shared" si="256"/>
        <v/>
      </c>
      <c r="JR14" s="1575" t="str">
        <f t="shared" si="257"/>
        <v/>
      </c>
      <c r="JS14" s="1575" t="str">
        <f t="shared" si="258"/>
        <v/>
      </c>
      <c r="JT14" s="1575" t="str">
        <f t="shared" si="259"/>
        <v/>
      </c>
      <c r="JU14" s="1575" t="str">
        <f t="shared" si="260"/>
        <v/>
      </c>
      <c r="JV14" s="1575" t="str">
        <f t="shared" si="261"/>
        <v/>
      </c>
      <c r="JW14" s="1575" t="str">
        <f t="shared" si="262"/>
        <v/>
      </c>
      <c r="JX14" s="1575" t="str">
        <f t="shared" si="263"/>
        <v/>
      </c>
      <c r="JY14" s="1575" t="str">
        <f t="shared" si="264"/>
        <v/>
      </c>
      <c r="JZ14" s="1575" t="str">
        <f t="shared" si="265"/>
        <v/>
      </c>
      <c r="KA14" s="1575" t="str">
        <f t="shared" si="266"/>
        <v/>
      </c>
      <c r="KB14" s="1575" t="str">
        <f t="shared" si="267"/>
        <v/>
      </c>
      <c r="KC14" s="1575" t="str">
        <f t="shared" si="268"/>
        <v/>
      </c>
      <c r="KD14" s="1575" t="str">
        <f t="shared" si="269"/>
        <v/>
      </c>
      <c r="KE14" s="1575" t="str">
        <f t="shared" si="270"/>
        <v/>
      </c>
      <c r="KF14" s="1575" t="str">
        <f t="shared" si="271"/>
        <v/>
      </c>
      <c r="KG14" s="1575" t="str">
        <f t="shared" si="272"/>
        <v/>
      </c>
      <c r="KH14" s="1575" t="str">
        <f t="shared" si="273"/>
        <v/>
      </c>
      <c r="KI14" s="1575" t="str">
        <f t="shared" si="274"/>
        <v/>
      </c>
      <c r="KJ14" s="1575" t="str">
        <f t="shared" si="275"/>
        <v/>
      </c>
      <c r="KK14" s="1575" t="str">
        <f t="shared" si="276"/>
        <v/>
      </c>
      <c r="KL14" s="1575" t="str">
        <f t="shared" si="277"/>
        <v/>
      </c>
      <c r="KM14" s="1575" t="str">
        <f t="shared" si="278"/>
        <v/>
      </c>
      <c r="KN14" s="1575" t="str">
        <f t="shared" si="279"/>
        <v/>
      </c>
      <c r="KO14" s="1575" t="str">
        <f t="shared" si="280"/>
        <v/>
      </c>
      <c r="KP14" s="1575" t="str">
        <f t="shared" si="281"/>
        <v/>
      </c>
      <c r="KQ14" s="1575" t="str">
        <f t="shared" si="282"/>
        <v/>
      </c>
      <c r="KR14" s="1575" t="str">
        <f t="shared" si="283"/>
        <v/>
      </c>
      <c r="KS14" s="1575" t="str">
        <f t="shared" si="284"/>
        <v/>
      </c>
      <c r="KT14" s="1575" t="str">
        <f t="shared" si="285"/>
        <v/>
      </c>
      <c r="KU14" s="1575" t="str">
        <f t="shared" si="286"/>
        <v/>
      </c>
      <c r="KV14" s="1575" t="str">
        <f t="shared" si="287"/>
        <v/>
      </c>
      <c r="KW14" s="1575" t="str">
        <f t="shared" si="288"/>
        <v/>
      </c>
      <c r="KX14" s="1575" t="str">
        <f t="shared" si="289"/>
        <v/>
      </c>
      <c r="KY14" s="1575" t="str">
        <f t="shared" si="290"/>
        <v/>
      </c>
      <c r="KZ14" s="1575" t="str">
        <f t="shared" si="291"/>
        <v/>
      </c>
      <c r="LA14" s="1575" t="str">
        <f t="shared" si="292"/>
        <v/>
      </c>
      <c r="LB14" s="1575" t="str">
        <f t="shared" si="293"/>
        <v/>
      </c>
      <c r="LC14" s="1575" t="str">
        <f t="shared" si="294"/>
        <v/>
      </c>
      <c r="LD14" s="1575" t="str">
        <f t="shared" si="295"/>
        <v/>
      </c>
      <c r="LE14" s="1575" t="str">
        <f t="shared" si="296"/>
        <v/>
      </c>
      <c r="LF14" s="1575" t="str">
        <f t="shared" si="297"/>
        <v/>
      </c>
      <c r="LG14" s="1564" t="str">
        <f t="shared" si="298"/>
        <v/>
      </c>
      <c r="LH14" s="1564" t="str">
        <f t="shared" si="299"/>
        <v/>
      </c>
      <c r="LI14" s="1564" t="str">
        <f t="shared" si="300"/>
        <v/>
      </c>
      <c r="LJ14" s="1564" t="str">
        <f t="shared" si="301"/>
        <v/>
      </c>
      <c r="LK14" s="1564"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441">
        <f t="shared" si="323"/>
        <v>0</v>
      </c>
      <c r="MG14" s="1441">
        <f t="shared" si="324"/>
        <v>0</v>
      </c>
      <c r="MH14" s="1441">
        <f t="shared" si="325"/>
        <v>11</v>
      </c>
      <c r="MI14" s="1441">
        <f t="shared" si="326"/>
        <v>0</v>
      </c>
      <c r="MJ14" s="1441">
        <f t="shared" si="327"/>
        <v>0</v>
      </c>
      <c r="MK14" s="1441">
        <f t="shared" si="333"/>
        <v>0</v>
      </c>
      <c r="ML14" s="1441">
        <f t="shared" si="334"/>
        <v>0</v>
      </c>
      <c r="MM14" s="1441">
        <f t="shared" si="335"/>
        <v>0</v>
      </c>
      <c r="MN14" s="1441">
        <f t="shared" si="336"/>
        <v>0</v>
      </c>
      <c r="MO14" s="1441">
        <f t="shared" si="337"/>
        <v>0</v>
      </c>
      <c r="MP14" s="1441">
        <f t="shared" si="328"/>
        <v>0</v>
      </c>
      <c r="MQ14" s="1441">
        <f t="shared" si="329"/>
        <v>0</v>
      </c>
      <c r="MR14" s="1441">
        <f t="shared" si="330"/>
        <v>0</v>
      </c>
      <c r="MS14" s="1441">
        <f t="shared" si="331"/>
        <v>0</v>
      </c>
      <c r="MT14" s="1441">
        <f t="shared" si="332"/>
        <v>0</v>
      </c>
      <c r="NP14" s="1413" t="s">
        <v>1115</v>
      </c>
    </row>
    <row r="15" spans="1:493" ht="13.9" customHeight="1">
      <c r="A15" s="55" t="str">
        <f t="shared" si="0"/>
        <v/>
      </c>
      <c r="B15" s="886" t="s">
        <v>1113</v>
      </c>
      <c r="C15" s="89">
        <v>2</v>
      </c>
      <c r="D15" s="1443">
        <v>2</v>
      </c>
      <c r="E15" s="90">
        <v>12</v>
      </c>
      <c r="F15" s="90">
        <v>1188</v>
      </c>
      <c r="G15" s="90" t="s">
        <v>3054</v>
      </c>
      <c r="H15" s="90">
        <v>1702</v>
      </c>
      <c r="I15" s="90">
        <v>0</v>
      </c>
      <c r="J15" s="1154">
        <v>0</v>
      </c>
      <c r="K15" s="509"/>
      <c r="L15" s="351">
        <f t="shared" si="1"/>
        <v>1702</v>
      </c>
      <c r="M15" s="351">
        <f t="shared" si="2"/>
        <v>20424</v>
      </c>
      <c r="N15" s="549" t="s">
        <v>63</v>
      </c>
      <c r="O15" s="1381" t="s">
        <v>1205</v>
      </c>
      <c r="P15" s="549" t="s">
        <v>7052</v>
      </c>
      <c r="Q15" s="91" t="s">
        <v>63</v>
      </c>
      <c r="R15" s="586"/>
      <c r="S15" s="587"/>
      <c r="T15" s="3500"/>
      <c r="U15" s="3501"/>
      <c r="V15" s="3501"/>
      <c r="W15" s="3502"/>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f t="shared" si="40"/>
        <v>12</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f t="shared" si="155"/>
        <v>14256</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f t="shared" si="190"/>
        <v>12</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575" t="str">
        <f t="shared" si="213"/>
        <v/>
      </c>
      <c r="IA15" s="1575" t="str">
        <f t="shared" si="214"/>
        <v/>
      </c>
      <c r="IB15" s="1575">
        <f t="shared" si="215"/>
        <v>12</v>
      </c>
      <c r="IC15" s="1575" t="str">
        <f t="shared" si="216"/>
        <v/>
      </c>
      <c r="ID15" s="1575" t="str">
        <f t="shared" si="217"/>
        <v/>
      </c>
      <c r="IE15" s="1575" t="str">
        <f t="shared" si="218"/>
        <v/>
      </c>
      <c r="IF15" s="1575" t="str">
        <f t="shared" si="219"/>
        <v/>
      </c>
      <c r="IG15" s="1575" t="str">
        <f t="shared" si="220"/>
        <v/>
      </c>
      <c r="IH15" s="1575" t="str">
        <f t="shared" si="221"/>
        <v/>
      </c>
      <c r="II15" s="1575" t="str">
        <f t="shared" si="222"/>
        <v/>
      </c>
      <c r="IJ15" s="1575" t="str">
        <f t="shared" si="223"/>
        <v/>
      </c>
      <c r="IK15" s="1575" t="str">
        <f t="shared" si="224"/>
        <v/>
      </c>
      <c r="IL15" s="1575" t="str">
        <f t="shared" si="225"/>
        <v/>
      </c>
      <c r="IM15" s="1575" t="str">
        <f t="shared" si="226"/>
        <v/>
      </c>
      <c r="IN15" s="1575" t="str">
        <f t="shared" si="227"/>
        <v/>
      </c>
      <c r="IO15" s="1575" t="str">
        <f t="shared" si="228"/>
        <v/>
      </c>
      <c r="IP15" s="1575" t="str">
        <f t="shared" si="229"/>
        <v/>
      </c>
      <c r="IQ15" s="1575" t="str">
        <f t="shared" si="230"/>
        <v/>
      </c>
      <c r="IR15" s="1575" t="str">
        <f t="shared" si="231"/>
        <v/>
      </c>
      <c r="IS15" s="1575" t="str">
        <f t="shared" si="232"/>
        <v/>
      </c>
      <c r="IT15" s="1575" t="str">
        <f t="shared" si="233"/>
        <v/>
      </c>
      <c r="IU15" s="1575" t="str">
        <f t="shared" si="234"/>
        <v/>
      </c>
      <c r="IV15" s="1575" t="str">
        <f t="shared" si="235"/>
        <v/>
      </c>
      <c r="IW15" s="1575" t="str">
        <f t="shared" si="236"/>
        <v/>
      </c>
      <c r="IX15" s="1575" t="str">
        <f t="shared" si="237"/>
        <v/>
      </c>
      <c r="IY15" s="1575" t="str">
        <f t="shared" si="238"/>
        <v/>
      </c>
      <c r="IZ15" s="1575" t="str">
        <f t="shared" si="239"/>
        <v/>
      </c>
      <c r="JA15" s="1575" t="str">
        <f t="shared" si="240"/>
        <v/>
      </c>
      <c r="JB15" s="1575" t="str">
        <f t="shared" si="241"/>
        <v/>
      </c>
      <c r="JC15" s="1575" t="str">
        <f t="shared" si="242"/>
        <v/>
      </c>
      <c r="JD15" s="1575" t="str">
        <f t="shared" si="243"/>
        <v/>
      </c>
      <c r="JE15" s="1575" t="str">
        <f t="shared" si="244"/>
        <v/>
      </c>
      <c r="JF15" s="1575" t="str">
        <f t="shared" si="245"/>
        <v/>
      </c>
      <c r="JG15" s="1575" t="str">
        <f t="shared" si="246"/>
        <v/>
      </c>
      <c r="JH15" s="1575" t="str">
        <f t="shared" si="247"/>
        <v/>
      </c>
      <c r="JI15" s="1575" t="str">
        <f t="shared" si="248"/>
        <v/>
      </c>
      <c r="JJ15" s="1575" t="str">
        <f t="shared" si="249"/>
        <v/>
      </c>
      <c r="JK15" s="1575" t="str">
        <f t="shared" si="250"/>
        <v/>
      </c>
      <c r="JL15" s="1575" t="str">
        <f t="shared" si="251"/>
        <v/>
      </c>
      <c r="JM15" s="1575" t="str">
        <f t="shared" si="252"/>
        <v/>
      </c>
      <c r="JN15" s="1575" t="str">
        <f t="shared" si="253"/>
        <v/>
      </c>
      <c r="JO15" s="1575" t="str">
        <f t="shared" si="254"/>
        <v/>
      </c>
      <c r="JP15" s="1575" t="str">
        <f t="shared" si="255"/>
        <v/>
      </c>
      <c r="JQ15" s="1575" t="str">
        <f t="shared" si="256"/>
        <v/>
      </c>
      <c r="JR15" s="1575" t="str">
        <f t="shared" si="257"/>
        <v/>
      </c>
      <c r="JS15" s="1575" t="str">
        <f t="shared" si="258"/>
        <v/>
      </c>
      <c r="JT15" s="1575" t="str">
        <f t="shared" si="259"/>
        <v/>
      </c>
      <c r="JU15" s="1575">
        <f t="shared" si="260"/>
        <v>12</v>
      </c>
      <c r="JV15" s="1575" t="str">
        <f t="shared" si="261"/>
        <v/>
      </c>
      <c r="JW15" s="1575" t="str">
        <f t="shared" si="262"/>
        <v/>
      </c>
      <c r="JX15" s="1575" t="str">
        <f t="shared" si="263"/>
        <v/>
      </c>
      <c r="JY15" s="1575" t="str">
        <f t="shared" si="264"/>
        <v/>
      </c>
      <c r="JZ15" s="1575" t="str">
        <f t="shared" si="265"/>
        <v/>
      </c>
      <c r="KA15" s="1575" t="str">
        <f t="shared" si="266"/>
        <v/>
      </c>
      <c r="KB15" s="1575" t="str">
        <f t="shared" si="267"/>
        <v/>
      </c>
      <c r="KC15" s="1575" t="str">
        <f t="shared" si="268"/>
        <v/>
      </c>
      <c r="KD15" s="1575" t="str">
        <f t="shared" si="269"/>
        <v/>
      </c>
      <c r="KE15" s="1575" t="str">
        <f t="shared" si="270"/>
        <v/>
      </c>
      <c r="KF15" s="1575" t="str">
        <f t="shared" si="271"/>
        <v/>
      </c>
      <c r="KG15" s="1575" t="str">
        <f t="shared" si="272"/>
        <v/>
      </c>
      <c r="KH15" s="1575" t="str">
        <f t="shared" si="273"/>
        <v/>
      </c>
      <c r="KI15" s="1575" t="str">
        <f t="shared" si="274"/>
        <v/>
      </c>
      <c r="KJ15" s="1575" t="str">
        <f t="shared" si="275"/>
        <v/>
      </c>
      <c r="KK15" s="1575" t="str">
        <f t="shared" si="276"/>
        <v/>
      </c>
      <c r="KL15" s="1575" t="str">
        <f t="shared" si="277"/>
        <v/>
      </c>
      <c r="KM15" s="1575" t="str">
        <f t="shared" si="278"/>
        <v/>
      </c>
      <c r="KN15" s="1575" t="str">
        <f t="shared" si="279"/>
        <v/>
      </c>
      <c r="KO15" s="1575" t="str">
        <f t="shared" si="280"/>
        <v/>
      </c>
      <c r="KP15" s="1575" t="str">
        <f t="shared" si="281"/>
        <v/>
      </c>
      <c r="KQ15" s="1575" t="str">
        <f t="shared" si="282"/>
        <v/>
      </c>
      <c r="KR15" s="1575" t="str">
        <f t="shared" si="283"/>
        <v/>
      </c>
      <c r="KS15" s="1575" t="str">
        <f t="shared" si="284"/>
        <v/>
      </c>
      <c r="KT15" s="1575" t="str">
        <f t="shared" si="285"/>
        <v/>
      </c>
      <c r="KU15" s="1575" t="str">
        <f t="shared" si="286"/>
        <v/>
      </c>
      <c r="KV15" s="1575" t="str">
        <f t="shared" si="287"/>
        <v/>
      </c>
      <c r="KW15" s="1575" t="str">
        <f t="shared" si="288"/>
        <v/>
      </c>
      <c r="KX15" s="1575" t="str">
        <f t="shared" si="289"/>
        <v/>
      </c>
      <c r="KY15" s="1575" t="str">
        <f t="shared" si="290"/>
        <v/>
      </c>
      <c r="KZ15" s="1575" t="str">
        <f t="shared" si="291"/>
        <v/>
      </c>
      <c r="LA15" s="1575" t="str">
        <f t="shared" si="292"/>
        <v/>
      </c>
      <c r="LB15" s="1575" t="str">
        <f t="shared" si="293"/>
        <v/>
      </c>
      <c r="LC15" s="1575" t="str">
        <f t="shared" si="294"/>
        <v/>
      </c>
      <c r="LD15" s="1575" t="str">
        <f t="shared" si="295"/>
        <v/>
      </c>
      <c r="LE15" s="1575" t="str">
        <f t="shared" si="296"/>
        <v/>
      </c>
      <c r="LF15" s="1575" t="str">
        <f t="shared" si="297"/>
        <v/>
      </c>
      <c r="LG15" s="1564" t="str">
        <f t="shared" si="298"/>
        <v/>
      </c>
      <c r="LH15" s="1564" t="str">
        <f t="shared" si="299"/>
        <v/>
      </c>
      <c r="LI15" s="1564" t="str">
        <f t="shared" si="300"/>
        <v/>
      </c>
      <c r="LJ15" s="1564" t="str">
        <f t="shared" si="301"/>
        <v/>
      </c>
      <c r="LK15" s="1564"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441">
        <f t="shared" si="323"/>
        <v>0</v>
      </c>
      <c r="MG15" s="1441">
        <f t="shared" si="324"/>
        <v>0</v>
      </c>
      <c r="MH15" s="1441">
        <f t="shared" si="325"/>
        <v>12</v>
      </c>
      <c r="MI15" s="1441">
        <f t="shared" si="326"/>
        <v>0</v>
      </c>
      <c r="MJ15" s="1441">
        <f t="shared" si="327"/>
        <v>0</v>
      </c>
      <c r="MK15" s="1441">
        <f t="shared" si="333"/>
        <v>0</v>
      </c>
      <c r="ML15" s="1441">
        <f t="shared" si="334"/>
        <v>0</v>
      </c>
      <c r="MM15" s="1441">
        <f t="shared" si="335"/>
        <v>0</v>
      </c>
      <c r="MN15" s="1441">
        <f t="shared" si="336"/>
        <v>0</v>
      </c>
      <c r="MO15" s="1441">
        <f t="shared" si="337"/>
        <v>0</v>
      </c>
      <c r="MP15" s="1441">
        <f t="shared" si="328"/>
        <v>0</v>
      </c>
      <c r="MQ15" s="1441">
        <f t="shared" si="329"/>
        <v>0</v>
      </c>
      <c r="MR15" s="1441">
        <f t="shared" si="330"/>
        <v>0</v>
      </c>
      <c r="MS15" s="1441">
        <f t="shared" si="331"/>
        <v>0</v>
      </c>
      <c r="MT15" s="1441">
        <f t="shared" si="332"/>
        <v>0</v>
      </c>
      <c r="NP15" s="1413" t="s">
        <v>1116</v>
      </c>
    </row>
    <row r="16" spans="1:493" ht="13.9" customHeight="1">
      <c r="A16" s="55" t="str">
        <f t="shared" si="0"/>
        <v/>
      </c>
      <c r="B16" s="886" t="s">
        <v>1113</v>
      </c>
      <c r="C16" s="89">
        <v>3</v>
      </c>
      <c r="D16" s="1443">
        <v>2</v>
      </c>
      <c r="E16" s="90">
        <v>4</v>
      </c>
      <c r="F16" s="90">
        <v>1359</v>
      </c>
      <c r="G16" s="90" t="s">
        <v>3054</v>
      </c>
      <c r="H16" s="90">
        <v>1927</v>
      </c>
      <c r="I16" s="90">
        <v>0</v>
      </c>
      <c r="J16" s="1154">
        <v>0</v>
      </c>
      <c r="K16" s="509"/>
      <c r="L16" s="351">
        <f t="shared" si="1"/>
        <v>1927</v>
      </c>
      <c r="M16" s="351">
        <f t="shared" si="2"/>
        <v>7708</v>
      </c>
      <c r="N16" s="549" t="s">
        <v>63</v>
      </c>
      <c r="O16" s="1381" t="s">
        <v>1205</v>
      </c>
      <c r="P16" s="549" t="s">
        <v>7052</v>
      </c>
      <c r="Q16" s="91" t="s">
        <v>63</v>
      </c>
      <c r="R16" s="586"/>
      <c r="S16" s="587"/>
      <c r="T16" s="3500"/>
      <c r="U16" s="3501"/>
      <c r="V16" s="3501"/>
      <c r="W16" s="3502"/>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f t="shared" si="41"/>
        <v>4</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f t="shared" si="156"/>
        <v>5436</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f t="shared" si="191"/>
        <v>4</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575" t="str">
        <f t="shared" si="213"/>
        <v/>
      </c>
      <c r="IA16" s="1575" t="str">
        <f t="shared" si="214"/>
        <v/>
      </c>
      <c r="IB16" s="1575" t="str">
        <f t="shared" si="215"/>
        <v/>
      </c>
      <c r="IC16" s="1575">
        <f t="shared" si="216"/>
        <v>4</v>
      </c>
      <c r="ID16" s="1575" t="str">
        <f t="shared" si="217"/>
        <v/>
      </c>
      <c r="IE16" s="1575" t="str">
        <f t="shared" si="218"/>
        <v/>
      </c>
      <c r="IF16" s="1575" t="str">
        <f t="shared" si="219"/>
        <v/>
      </c>
      <c r="IG16" s="1575" t="str">
        <f t="shared" si="220"/>
        <v/>
      </c>
      <c r="IH16" s="1575" t="str">
        <f t="shared" si="221"/>
        <v/>
      </c>
      <c r="II16" s="1575" t="str">
        <f t="shared" si="222"/>
        <v/>
      </c>
      <c r="IJ16" s="1575" t="str">
        <f t="shared" si="223"/>
        <v/>
      </c>
      <c r="IK16" s="1575" t="str">
        <f t="shared" si="224"/>
        <v/>
      </c>
      <c r="IL16" s="1575" t="str">
        <f t="shared" si="225"/>
        <v/>
      </c>
      <c r="IM16" s="1575" t="str">
        <f t="shared" si="226"/>
        <v/>
      </c>
      <c r="IN16" s="1575" t="str">
        <f t="shared" si="227"/>
        <v/>
      </c>
      <c r="IO16" s="1575" t="str">
        <f t="shared" si="228"/>
        <v/>
      </c>
      <c r="IP16" s="1575" t="str">
        <f t="shared" si="229"/>
        <v/>
      </c>
      <c r="IQ16" s="1575" t="str">
        <f t="shared" si="230"/>
        <v/>
      </c>
      <c r="IR16" s="1575" t="str">
        <f t="shared" si="231"/>
        <v/>
      </c>
      <c r="IS16" s="1575" t="str">
        <f t="shared" si="232"/>
        <v/>
      </c>
      <c r="IT16" s="1575" t="str">
        <f t="shared" si="233"/>
        <v/>
      </c>
      <c r="IU16" s="1575" t="str">
        <f t="shared" si="234"/>
        <v/>
      </c>
      <c r="IV16" s="1575" t="str">
        <f t="shared" si="235"/>
        <v/>
      </c>
      <c r="IW16" s="1575" t="str">
        <f t="shared" si="236"/>
        <v/>
      </c>
      <c r="IX16" s="1575" t="str">
        <f t="shared" si="237"/>
        <v/>
      </c>
      <c r="IY16" s="1575" t="str">
        <f t="shared" si="238"/>
        <v/>
      </c>
      <c r="IZ16" s="1575" t="str">
        <f t="shared" si="239"/>
        <v/>
      </c>
      <c r="JA16" s="1575" t="str">
        <f t="shared" si="240"/>
        <v/>
      </c>
      <c r="JB16" s="1575" t="str">
        <f t="shared" si="241"/>
        <v/>
      </c>
      <c r="JC16" s="1575" t="str">
        <f t="shared" si="242"/>
        <v/>
      </c>
      <c r="JD16" s="1575" t="str">
        <f t="shared" si="243"/>
        <v/>
      </c>
      <c r="JE16" s="1575" t="str">
        <f t="shared" si="244"/>
        <v/>
      </c>
      <c r="JF16" s="1575" t="str">
        <f t="shared" si="245"/>
        <v/>
      </c>
      <c r="JG16" s="1575" t="str">
        <f t="shared" si="246"/>
        <v/>
      </c>
      <c r="JH16" s="1575" t="str">
        <f t="shared" si="247"/>
        <v/>
      </c>
      <c r="JI16" s="1575" t="str">
        <f t="shared" si="248"/>
        <v/>
      </c>
      <c r="JJ16" s="1575" t="str">
        <f t="shared" si="249"/>
        <v/>
      </c>
      <c r="JK16" s="1575" t="str">
        <f t="shared" si="250"/>
        <v/>
      </c>
      <c r="JL16" s="1575" t="str">
        <f t="shared" si="251"/>
        <v/>
      </c>
      <c r="JM16" s="1575" t="str">
        <f t="shared" si="252"/>
        <v/>
      </c>
      <c r="JN16" s="1575" t="str">
        <f t="shared" si="253"/>
        <v/>
      </c>
      <c r="JO16" s="1575" t="str">
        <f t="shared" si="254"/>
        <v/>
      </c>
      <c r="JP16" s="1575" t="str">
        <f t="shared" si="255"/>
        <v/>
      </c>
      <c r="JQ16" s="1575" t="str">
        <f t="shared" si="256"/>
        <v/>
      </c>
      <c r="JR16" s="1575" t="str">
        <f t="shared" si="257"/>
        <v/>
      </c>
      <c r="JS16" s="1575" t="str">
        <f t="shared" si="258"/>
        <v/>
      </c>
      <c r="JT16" s="1575" t="str">
        <f t="shared" si="259"/>
        <v/>
      </c>
      <c r="JU16" s="1575" t="str">
        <f t="shared" si="260"/>
        <v/>
      </c>
      <c r="JV16" s="1575">
        <f t="shared" si="261"/>
        <v>4</v>
      </c>
      <c r="JW16" s="1575" t="str">
        <f t="shared" si="262"/>
        <v/>
      </c>
      <c r="JX16" s="1575" t="str">
        <f t="shared" si="263"/>
        <v/>
      </c>
      <c r="JY16" s="1575" t="str">
        <f t="shared" si="264"/>
        <v/>
      </c>
      <c r="JZ16" s="1575" t="str">
        <f t="shared" si="265"/>
        <v/>
      </c>
      <c r="KA16" s="1575" t="str">
        <f t="shared" si="266"/>
        <v/>
      </c>
      <c r="KB16" s="1575" t="str">
        <f t="shared" si="267"/>
        <v/>
      </c>
      <c r="KC16" s="1575" t="str">
        <f t="shared" si="268"/>
        <v/>
      </c>
      <c r="KD16" s="1575" t="str">
        <f t="shared" si="269"/>
        <v/>
      </c>
      <c r="KE16" s="1575" t="str">
        <f t="shared" si="270"/>
        <v/>
      </c>
      <c r="KF16" s="1575" t="str">
        <f t="shared" si="271"/>
        <v/>
      </c>
      <c r="KG16" s="1575" t="str">
        <f t="shared" si="272"/>
        <v/>
      </c>
      <c r="KH16" s="1575" t="str">
        <f t="shared" si="273"/>
        <v/>
      </c>
      <c r="KI16" s="1575" t="str">
        <f t="shared" si="274"/>
        <v/>
      </c>
      <c r="KJ16" s="1575" t="str">
        <f t="shared" si="275"/>
        <v/>
      </c>
      <c r="KK16" s="1575" t="str">
        <f t="shared" si="276"/>
        <v/>
      </c>
      <c r="KL16" s="1575" t="str">
        <f t="shared" si="277"/>
        <v/>
      </c>
      <c r="KM16" s="1575" t="str">
        <f t="shared" si="278"/>
        <v/>
      </c>
      <c r="KN16" s="1575" t="str">
        <f t="shared" si="279"/>
        <v/>
      </c>
      <c r="KO16" s="1575" t="str">
        <f t="shared" si="280"/>
        <v/>
      </c>
      <c r="KP16" s="1575" t="str">
        <f t="shared" si="281"/>
        <v/>
      </c>
      <c r="KQ16" s="1575" t="str">
        <f t="shared" si="282"/>
        <v/>
      </c>
      <c r="KR16" s="1575" t="str">
        <f t="shared" si="283"/>
        <v/>
      </c>
      <c r="KS16" s="1575" t="str">
        <f t="shared" si="284"/>
        <v/>
      </c>
      <c r="KT16" s="1575" t="str">
        <f t="shared" si="285"/>
        <v/>
      </c>
      <c r="KU16" s="1575" t="str">
        <f t="shared" si="286"/>
        <v/>
      </c>
      <c r="KV16" s="1575" t="str">
        <f t="shared" si="287"/>
        <v/>
      </c>
      <c r="KW16" s="1575" t="str">
        <f t="shared" si="288"/>
        <v/>
      </c>
      <c r="KX16" s="1575" t="str">
        <f t="shared" si="289"/>
        <v/>
      </c>
      <c r="KY16" s="1575" t="str">
        <f t="shared" si="290"/>
        <v/>
      </c>
      <c r="KZ16" s="1575" t="str">
        <f t="shared" si="291"/>
        <v/>
      </c>
      <c r="LA16" s="1575" t="str">
        <f t="shared" si="292"/>
        <v/>
      </c>
      <c r="LB16" s="1575" t="str">
        <f t="shared" si="293"/>
        <v/>
      </c>
      <c r="LC16" s="1575" t="str">
        <f t="shared" si="294"/>
        <v/>
      </c>
      <c r="LD16" s="1575" t="str">
        <f t="shared" si="295"/>
        <v/>
      </c>
      <c r="LE16" s="1575" t="str">
        <f t="shared" si="296"/>
        <v/>
      </c>
      <c r="LF16" s="1575" t="str">
        <f t="shared" si="297"/>
        <v/>
      </c>
      <c r="LG16" s="1564" t="str">
        <f t="shared" si="298"/>
        <v/>
      </c>
      <c r="LH16" s="1564" t="str">
        <f t="shared" si="299"/>
        <v/>
      </c>
      <c r="LI16" s="1564" t="str">
        <f t="shared" si="300"/>
        <v/>
      </c>
      <c r="LJ16" s="1564" t="str">
        <f t="shared" si="301"/>
        <v/>
      </c>
      <c r="LK16" s="1564"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441">
        <f t="shared" si="323"/>
        <v>0</v>
      </c>
      <c r="MG16" s="1441">
        <f t="shared" si="324"/>
        <v>0</v>
      </c>
      <c r="MH16" s="1441">
        <f t="shared" si="325"/>
        <v>0</v>
      </c>
      <c r="MI16" s="1441">
        <f t="shared" si="326"/>
        <v>4</v>
      </c>
      <c r="MJ16" s="1441">
        <f t="shared" si="327"/>
        <v>0</v>
      </c>
      <c r="MK16" s="1441">
        <f t="shared" si="333"/>
        <v>0</v>
      </c>
      <c r="ML16" s="1441">
        <f t="shared" si="334"/>
        <v>0</v>
      </c>
      <c r="MM16" s="1441">
        <f t="shared" si="335"/>
        <v>0</v>
      </c>
      <c r="MN16" s="1441">
        <f t="shared" si="336"/>
        <v>0</v>
      </c>
      <c r="MO16" s="1441">
        <f t="shared" si="337"/>
        <v>0</v>
      </c>
      <c r="MP16" s="1441">
        <f t="shared" si="328"/>
        <v>0</v>
      </c>
      <c r="MQ16" s="1441">
        <f t="shared" si="329"/>
        <v>0</v>
      </c>
      <c r="MR16" s="1441">
        <f t="shared" si="330"/>
        <v>0</v>
      </c>
      <c r="MS16" s="1441">
        <f t="shared" si="331"/>
        <v>0</v>
      </c>
      <c r="MT16" s="1441">
        <f t="shared" si="332"/>
        <v>0</v>
      </c>
      <c r="NP16" s="1413" t="s">
        <v>1117</v>
      </c>
    </row>
    <row r="17" spans="1:380" ht="13.9" customHeight="1" thickBot="1">
      <c r="A17" s="55" t="str">
        <f t="shared" si="0"/>
        <v/>
      </c>
      <c r="B17" s="887" t="s">
        <v>1113</v>
      </c>
      <c r="C17" s="890">
        <v>3</v>
      </c>
      <c r="D17" s="1444">
        <v>2.5</v>
      </c>
      <c r="E17" s="891">
        <v>11</v>
      </c>
      <c r="F17" s="891">
        <v>1363</v>
      </c>
      <c r="G17" s="891" t="s">
        <v>3054</v>
      </c>
      <c r="H17" s="891">
        <v>2033</v>
      </c>
      <c r="I17" s="891">
        <v>0</v>
      </c>
      <c r="J17" s="1155">
        <v>0</v>
      </c>
      <c r="K17" s="903"/>
      <c r="L17" s="904">
        <f t="shared" si="1"/>
        <v>2033</v>
      </c>
      <c r="M17" s="904">
        <f t="shared" si="2"/>
        <v>22363</v>
      </c>
      <c r="N17" s="905" t="s">
        <v>63</v>
      </c>
      <c r="O17" s="1382" t="s">
        <v>1205</v>
      </c>
      <c r="P17" s="905" t="s">
        <v>7052</v>
      </c>
      <c r="Q17" s="906" t="s">
        <v>63</v>
      </c>
      <c r="R17" s="586"/>
      <c r="S17" s="587"/>
      <c r="T17" s="3500"/>
      <c r="U17" s="3501"/>
      <c r="V17" s="3501"/>
      <c r="W17" s="3502"/>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f t="shared" si="41"/>
        <v>11</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f t="shared" si="156"/>
        <v>14993</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f t="shared" si="191"/>
        <v>11</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575" t="str">
        <f t="shared" si="213"/>
        <v/>
      </c>
      <c r="IA17" s="1575" t="str">
        <f t="shared" si="214"/>
        <v/>
      </c>
      <c r="IB17" s="1575" t="str">
        <f t="shared" si="215"/>
        <v/>
      </c>
      <c r="IC17" s="1575">
        <f t="shared" si="216"/>
        <v>11</v>
      </c>
      <c r="ID17" s="1575" t="str">
        <f t="shared" si="217"/>
        <v/>
      </c>
      <c r="IE17" s="1575" t="str">
        <f t="shared" si="218"/>
        <v/>
      </c>
      <c r="IF17" s="1575" t="str">
        <f t="shared" si="219"/>
        <v/>
      </c>
      <c r="IG17" s="1575" t="str">
        <f t="shared" si="220"/>
        <v/>
      </c>
      <c r="IH17" s="1575" t="str">
        <f t="shared" si="221"/>
        <v/>
      </c>
      <c r="II17" s="1575" t="str">
        <f t="shared" si="222"/>
        <v/>
      </c>
      <c r="IJ17" s="1575" t="str">
        <f t="shared" si="223"/>
        <v/>
      </c>
      <c r="IK17" s="1575" t="str">
        <f t="shared" si="224"/>
        <v/>
      </c>
      <c r="IL17" s="1575" t="str">
        <f t="shared" si="225"/>
        <v/>
      </c>
      <c r="IM17" s="1575" t="str">
        <f t="shared" si="226"/>
        <v/>
      </c>
      <c r="IN17" s="1575" t="str">
        <f t="shared" si="227"/>
        <v/>
      </c>
      <c r="IO17" s="1575" t="str">
        <f t="shared" si="228"/>
        <v/>
      </c>
      <c r="IP17" s="1575" t="str">
        <f t="shared" si="229"/>
        <v/>
      </c>
      <c r="IQ17" s="1575" t="str">
        <f t="shared" si="230"/>
        <v/>
      </c>
      <c r="IR17" s="1575" t="str">
        <f t="shared" si="231"/>
        <v/>
      </c>
      <c r="IS17" s="1575" t="str">
        <f t="shared" si="232"/>
        <v/>
      </c>
      <c r="IT17" s="1575" t="str">
        <f t="shared" si="233"/>
        <v/>
      </c>
      <c r="IU17" s="1575" t="str">
        <f t="shared" si="234"/>
        <v/>
      </c>
      <c r="IV17" s="1575" t="str">
        <f t="shared" si="235"/>
        <v/>
      </c>
      <c r="IW17" s="1575" t="str">
        <f t="shared" si="236"/>
        <v/>
      </c>
      <c r="IX17" s="1575" t="str">
        <f t="shared" si="237"/>
        <v/>
      </c>
      <c r="IY17" s="1575" t="str">
        <f t="shared" si="238"/>
        <v/>
      </c>
      <c r="IZ17" s="1575" t="str">
        <f t="shared" si="239"/>
        <v/>
      </c>
      <c r="JA17" s="1575" t="str">
        <f t="shared" si="240"/>
        <v/>
      </c>
      <c r="JB17" s="1575" t="str">
        <f t="shared" si="241"/>
        <v/>
      </c>
      <c r="JC17" s="1575" t="str">
        <f t="shared" si="242"/>
        <v/>
      </c>
      <c r="JD17" s="1575" t="str">
        <f t="shared" si="243"/>
        <v/>
      </c>
      <c r="JE17" s="1575" t="str">
        <f t="shared" si="244"/>
        <v/>
      </c>
      <c r="JF17" s="1575" t="str">
        <f t="shared" si="245"/>
        <v/>
      </c>
      <c r="JG17" s="1575" t="str">
        <f t="shared" si="246"/>
        <v/>
      </c>
      <c r="JH17" s="1575" t="str">
        <f t="shared" si="247"/>
        <v/>
      </c>
      <c r="JI17" s="1575" t="str">
        <f t="shared" si="248"/>
        <v/>
      </c>
      <c r="JJ17" s="1575" t="str">
        <f t="shared" si="249"/>
        <v/>
      </c>
      <c r="JK17" s="1575" t="str">
        <f t="shared" si="250"/>
        <v/>
      </c>
      <c r="JL17" s="1575" t="str">
        <f t="shared" si="251"/>
        <v/>
      </c>
      <c r="JM17" s="1575" t="str">
        <f t="shared" si="252"/>
        <v/>
      </c>
      <c r="JN17" s="1575" t="str">
        <f t="shared" si="253"/>
        <v/>
      </c>
      <c r="JO17" s="1575" t="str">
        <f t="shared" si="254"/>
        <v/>
      </c>
      <c r="JP17" s="1575" t="str">
        <f t="shared" si="255"/>
        <v/>
      </c>
      <c r="JQ17" s="1575" t="str">
        <f t="shared" si="256"/>
        <v/>
      </c>
      <c r="JR17" s="1575" t="str">
        <f t="shared" si="257"/>
        <v/>
      </c>
      <c r="JS17" s="1575" t="str">
        <f t="shared" si="258"/>
        <v/>
      </c>
      <c r="JT17" s="1575" t="str">
        <f t="shared" si="259"/>
        <v/>
      </c>
      <c r="JU17" s="1575" t="str">
        <f t="shared" si="260"/>
        <v/>
      </c>
      <c r="JV17" s="1575">
        <f t="shared" si="261"/>
        <v>11</v>
      </c>
      <c r="JW17" s="1575" t="str">
        <f t="shared" si="262"/>
        <v/>
      </c>
      <c r="JX17" s="1575" t="str">
        <f t="shared" si="263"/>
        <v/>
      </c>
      <c r="JY17" s="1575" t="str">
        <f t="shared" si="264"/>
        <v/>
      </c>
      <c r="JZ17" s="1575" t="str">
        <f t="shared" si="265"/>
        <v/>
      </c>
      <c r="KA17" s="1575" t="str">
        <f t="shared" si="266"/>
        <v/>
      </c>
      <c r="KB17" s="1575" t="str">
        <f t="shared" si="267"/>
        <v/>
      </c>
      <c r="KC17" s="1575" t="str">
        <f t="shared" si="268"/>
        <v/>
      </c>
      <c r="KD17" s="1575" t="str">
        <f t="shared" si="269"/>
        <v/>
      </c>
      <c r="KE17" s="1575" t="str">
        <f t="shared" si="270"/>
        <v/>
      </c>
      <c r="KF17" s="1575" t="str">
        <f t="shared" si="271"/>
        <v/>
      </c>
      <c r="KG17" s="1575" t="str">
        <f t="shared" si="272"/>
        <v/>
      </c>
      <c r="KH17" s="1575" t="str">
        <f t="shared" si="273"/>
        <v/>
      </c>
      <c r="KI17" s="1575" t="str">
        <f t="shared" si="274"/>
        <v/>
      </c>
      <c r="KJ17" s="1575" t="str">
        <f t="shared" si="275"/>
        <v/>
      </c>
      <c r="KK17" s="1575" t="str">
        <f t="shared" si="276"/>
        <v/>
      </c>
      <c r="KL17" s="1575" t="str">
        <f t="shared" si="277"/>
        <v/>
      </c>
      <c r="KM17" s="1575" t="str">
        <f t="shared" si="278"/>
        <v/>
      </c>
      <c r="KN17" s="1575" t="str">
        <f t="shared" si="279"/>
        <v/>
      </c>
      <c r="KO17" s="1575" t="str">
        <f t="shared" si="280"/>
        <v/>
      </c>
      <c r="KP17" s="1575" t="str">
        <f t="shared" si="281"/>
        <v/>
      </c>
      <c r="KQ17" s="1575" t="str">
        <f t="shared" si="282"/>
        <v/>
      </c>
      <c r="KR17" s="1575" t="str">
        <f t="shared" si="283"/>
        <v/>
      </c>
      <c r="KS17" s="1575" t="str">
        <f t="shared" si="284"/>
        <v/>
      </c>
      <c r="KT17" s="1575" t="str">
        <f t="shared" si="285"/>
        <v/>
      </c>
      <c r="KU17" s="1575" t="str">
        <f t="shared" si="286"/>
        <v/>
      </c>
      <c r="KV17" s="1575" t="str">
        <f t="shared" si="287"/>
        <v/>
      </c>
      <c r="KW17" s="1575" t="str">
        <f t="shared" si="288"/>
        <v/>
      </c>
      <c r="KX17" s="1575" t="str">
        <f t="shared" si="289"/>
        <v/>
      </c>
      <c r="KY17" s="1575" t="str">
        <f t="shared" si="290"/>
        <v/>
      </c>
      <c r="KZ17" s="1575" t="str">
        <f t="shared" si="291"/>
        <v/>
      </c>
      <c r="LA17" s="1575" t="str">
        <f t="shared" si="292"/>
        <v/>
      </c>
      <c r="LB17" s="1575" t="str">
        <f t="shared" si="293"/>
        <v/>
      </c>
      <c r="LC17" s="1575" t="str">
        <f t="shared" si="294"/>
        <v/>
      </c>
      <c r="LD17" s="1575" t="str">
        <f t="shared" si="295"/>
        <v/>
      </c>
      <c r="LE17" s="1575" t="str">
        <f t="shared" si="296"/>
        <v/>
      </c>
      <c r="LF17" s="1575" t="str">
        <f t="shared" si="297"/>
        <v/>
      </c>
      <c r="LG17" s="1564" t="str">
        <f t="shared" si="298"/>
        <v/>
      </c>
      <c r="LH17" s="1564" t="str">
        <f t="shared" si="299"/>
        <v/>
      </c>
      <c r="LI17" s="1564" t="str">
        <f t="shared" si="300"/>
        <v/>
      </c>
      <c r="LJ17" s="1564" t="str">
        <f t="shared" si="301"/>
        <v/>
      </c>
      <c r="LK17" s="1564"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441">
        <f t="shared" si="323"/>
        <v>0</v>
      </c>
      <c r="MG17" s="1441">
        <f t="shared" si="324"/>
        <v>0</v>
      </c>
      <c r="MH17" s="1441">
        <f t="shared" si="325"/>
        <v>0</v>
      </c>
      <c r="MI17" s="1441">
        <f t="shared" si="326"/>
        <v>11</v>
      </c>
      <c r="MJ17" s="1441">
        <f t="shared" si="327"/>
        <v>0</v>
      </c>
      <c r="MK17" s="1441">
        <f t="shared" si="333"/>
        <v>0</v>
      </c>
      <c r="ML17" s="1441">
        <f t="shared" si="334"/>
        <v>0</v>
      </c>
      <c r="MM17" s="1441">
        <f t="shared" si="335"/>
        <v>0</v>
      </c>
      <c r="MN17" s="1441">
        <f t="shared" si="336"/>
        <v>0</v>
      </c>
      <c r="MO17" s="1441">
        <f t="shared" si="337"/>
        <v>0</v>
      </c>
      <c r="MP17" s="1441">
        <f t="shared" si="328"/>
        <v>0</v>
      </c>
      <c r="MQ17" s="1441">
        <f t="shared" si="329"/>
        <v>0</v>
      </c>
      <c r="MR17" s="1441">
        <f t="shared" si="330"/>
        <v>0</v>
      </c>
      <c r="MS17" s="1441">
        <f t="shared" si="331"/>
        <v>0</v>
      </c>
      <c r="MT17" s="1441">
        <f t="shared" si="332"/>
        <v>0</v>
      </c>
      <c r="NP17" s="1413" t="s">
        <v>1118</v>
      </c>
    </row>
    <row r="18" spans="1:380" ht="13.9" customHeight="1">
      <c r="A18" s="55" t="str">
        <f t="shared" si="0"/>
        <v/>
      </c>
      <c r="B18" s="914">
        <v>60</v>
      </c>
      <c r="C18" s="888">
        <v>1</v>
      </c>
      <c r="D18" s="1445">
        <v>1</v>
      </c>
      <c r="E18" s="889">
        <v>15</v>
      </c>
      <c r="F18" s="889">
        <v>802</v>
      </c>
      <c r="G18" s="889">
        <v>1149</v>
      </c>
      <c r="H18" s="889">
        <v>802</v>
      </c>
      <c r="I18" s="889">
        <v>0</v>
      </c>
      <c r="J18" s="898">
        <f>IF(C18="",0,HLOOKUP(C18,'Part IV-Utility Allowances'!$I$11:$M$22,12))</f>
        <v>138</v>
      </c>
      <c r="K18" s="899" t="s">
        <v>7053</v>
      </c>
      <c r="L18" s="900">
        <f t="shared" si="1"/>
        <v>664</v>
      </c>
      <c r="M18" s="900">
        <f t="shared" si="2"/>
        <v>9960</v>
      </c>
      <c r="N18" s="901" t="s">
        <v>63</v>
      </c>
      <c r="O18" s="1383" t="s">
        <v>1205</v>
      </c>
      <c r="P18" s="901" t="s">
        <v>7052</v>
      </c>
      <c r="Q18" s="902" t="s">
        <v>63</v>
      </c>
      <c r="R18" s="586"/>
      <c r="S18" s="587"/>
      <c r="T18" s="3500"/>
      <c r="U18" s="3501"/>
      <c r="V18" s="3501"/>
      <c r="W18" s="3502"/>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f t="shared" si="14"/>
        <v>15</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f t="shared" si="64"/>
        <v>15</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f t="shared" si="129"/>
        <v>12030</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f t="shared" si="159"/>
        <v>12030</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f t="shared" si="184"/>
        <v>15</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575" t="str">
        <f t="shared" si="213"/>
        <v/>
      </c>
      <c r="IA18" s="1575">
        <f t="shared" si="214"/>
        <v>15</v>
      </c>
      <c r="IB18" s="1575" t="str">
        <f t="shared" si="215"/>
        <v/>
      </c>
      <c r="IC18" s="1575" t="str">
        <f t="shared" si="216"/>
        <v/>
      </c>
      <c r="ID18" s="1575" t="str">
        <f t="shared" si="217"/>
        <v/>
      </c>
      <c r="IE18" s="1575" t="str">
        <f t="shared" si="218"/>
        <v/>
      </c>
      <c r="IF18" s="1575" t="str">
        <f t="shared" si="219"/>
        <v/>
      </c>
      <c r="IG18" s="1575" t="str">
        <f t="shared" si="220"/>
        <v/>
      </c>
      <c r="IH18" s="1575" t="str">
        <f t="shared" si="221"/>
        <v/>
      </c>
      <c r="II18" s="1575" t="str">
        <f t="shared" si="222"/>
        <v/>
      </c>
      <c r="IJ18" s="1575" t="str">
        <f t="shared" si="223"/>
        <v/>
      </c>
      <c r="IK18" s="1575" t="str">
        <f t="shared" si="224"/>
        <v/>
      </c>
      <c r="IL18" s="1575" t="str">
        <f t="shared" si="225"/>
        <v/>
      </c>
      <c r="IM18" s="1575" t="str">
        <f t="shared" si="226"/>
        <v/>
      </c>
      <c r="IN18" s="1575" t="str">
        <f t="shared" si="227"/>
        <v/>
      </c>
      <c r="IO18" s="1575" t="str">
        <f t="shared" si="228"/>
        <v/>
      </c>
      <c r="IP18" s="1575" t="str">
        <f t="shared" si="229"/>
        <v/>
      </c>
      <c r="IQ18" s="1575" t="str">
        <f t="shared" si="230"/>
        <v/>
      </c>
      <c r="IR18" s="1575" t="str">
        <f t="shared" si="231"/>
        <v/>
      </c>
      <c r="IS18" s="1575" t="str">
        <f t="shared" si="232"/>
        <v/>
      </c>
      <c r="IT18" s="1575" t="str">
        <f t="shared" si="233"/>
        <v/>
      </c>
      <c r="IU18" s="1575" t="str">
        <f t="shared" si="234"/>
        <v/>
      </c>
      <c r="IV18" s="1575" t="str">
        <f t="shared" si="235"/>
        <v/>
      </c>
      <c r="IW18" s="1575" t="str">
        <f t="shared" si="236"/>
        <v/>
      </c>
      <c r="IX18" s="1575" t="str">
        <f t="shared" si="237"/>
        <v/>
      </c>
      <c r="IY18" s="1575" t="str">
        <f t="shared" si="238"/>
        <v/>
      </c>
      <c r="IZ18" s="1575" t="str">
        <f t="shared" si="239"/>
        <v/>
      </c>
      <c r="JA18" s="1575" t="str">
        <f t="shared" si="240"/>
        <v/>
      </c>
      <c r="JB18" s="1575" t="str">
        <f t="shared" si="241"/>
        <v/>
      </c>
      <c r="JC18" s="1575" t="str">
        <f t="shared" si="242"/>
        <v/>
      </c>
      <c r="JD18" s="1575" t="str">
        <f t="shared" si="243"/>
        <v/>
      </c>
      <c r="JE18" s="1575" t="str">
        <f t="shared" si="244"/>
        <v/>
      </c>
      <c r="JF18" s="1575" t="str">
        <f t="shared" si="245"/>
        <v/>
      </c>
      <c r="JG18" s="1575" t="str">
        <f t="shared" si="246"/>
        <v/>
      </c>
      <c r="JH18" s="1575" t="str">
        <f t="shared" si="247"/>
        <v/>
      </c>
      <c r="JI18" s="1575" t="str">
        <f t="shared" si="248"/>
        <v/>
      </c>
      <c r="JJ18" s="1575" t="str">
        <f t="shared" si="249"/>
        <v/>
      </c>
      <c r="JK18" s="1575" t="str">
        <f t="shared" si="250"/>
        <v/>
      </c>
      <c r="JL18" s="1575" t="str">
        <f t="shared" si="251"/>
        <v/>
      </c>
      <c r="JM18" s="1575" t="str">
        <f t="shared" si="252"/>
        <v/>
      </c>
      <c r="JN18" s="1575" t="str">
        <f t="shared" si="253"/>
        <v/>
      </c>
      <c r="JO18" s="1575" t="str">
        <f t="shared" si="254"/>
        <v/>
      </c>
      <c r="JP18" s="1575" t="str">
        <f t="shared" si="255"/>
        <v/>
      </c>
      <c r="JQ18" s="1575" t="str">
        <f t="shared" si="256"/>
        <v/>
      </c>
      <c r="JR18" s="1575" t="str">
        <f t="shared" si="257"/>
        <v/>
      </c>
      <c r="JS18" s="1575" t="str">
        <f t="shared" si="258"/>
        <v/>
      </c>
      <c r="JT18" s="1575">
        <f t="shared" si="259"/>
        <v>15</v>
      </c>
      <c r="JU18" s="1575" t="str">
        <f t="shared" si="260"/>
        <v/>
      </c>
      <c r="JV18" s="1575" t="str">
        <f t="shared" si="261"/>
        <v/>
      </c>
      <c r="JW18" s="1575" t="str">
        <f t="shared" si="262"/>
        <v/>
      </c>
      <c r="JX18" s="1575" t="str">
        <f t="shared" si="263"/>
        <v/>
      </c>
      <c r="JY18" s="1575" t="str">
        <f t="shared" si="264"/>
        <v/>
      </c>
      <c r="JZ18" s="1575" t="str">
        <f t="shared" si="265"/>
        <v/>
      </c>
      <c r="KA18" s="1575" t="str">
        <f t="shared" si="266"/>
        <v/>
      </c>
      <c r="KB18" s="1575" t="str">
        <f t="shared" si="267"/>
        <v/>
      </c>
      <c r="KC18" s="1575" t="str">
        <f t="shared" si="268"/>
        <v/>
      </c>
      <c r="KD18" s="1575" t="str">
        <f t="shared" si="269"/>
        <v/>
      </c>
      <c r="KE18" s="1575" t="str">
        <f t="shared" si="270"/>
        <v/>
      </c>
      <c r="KF18" s="1575" t="str">
        <f t="shared" si="271"/>
        <v/>
      </c>
      <c r="KG18" s="1575" t="str">
        <f t="shared" si="272"/>
        <v/>
      </c>
      <c r="KH18" s="1575" t="str">
        <f t="shared" si="273"/>
        <v/>
      </c>
      <c r="KI18" s="1575" t="str">
        <f t="shared" si="274"/>
        <v/>
      </c>
      <c r="KJ18" s="1575" t="str">
        <f t="shared" si="275"/>
        <v/>
      </c>
      <c r="KK18" s="1575" t="str">
        <f t="shared" si="276"/>
        <v/>
      </c>
      <c r="KL18" s="1575" t="str">
        <f t="shared" si="277"/>
        <v/>
      </c>
      <c r="KM18" s="1575" t="str">
        <f t="shared" si="278"/>
        <v/>
      </c>
      <c r="KN18" s="1575" t="str">
        <f t="shared" si="279"/>
        <v/>
      </c>
      <c r="KO18" s="1575" t="str">
        <f t="shared" si="280"/>
        <v/>
      </c>
      <c r="KP18" s="1575" t="str">
        <f t="shared" si="281"/>
        <v/>
      </c>
      <c r="KQ18" s="1575" t="str">
        <f t="shared" si="282"/>
        <v/>
      </c>
      <c r="KR18" s="1575" t="str">
        <f t="shared" si="283"/>
        <v/>
      </c>
      <c r="KS18" s="1575" t="str">
        <f t="shared" si="284"/>
        <v/>
      </c>
      <c r="KT18" s="1575" t="str">
        <f t="shared" si="285"/>
        <v/>
      </c>
      <c r="KU18" s="1575" t="str">
        <f t="shared" si="286"/>
        <v/>
      </c>
      <c r="KV18" s="1575" t="str">
        <f t="shared" si="287"/>
        <v/>
      </c>
      <c r="KW18" s="1575" t="str">
        <f t="shared" si="288"/>
        <v/>
      </c>
      <c r="KX18" s="1575" t="str">
        <f t="shared" si="289"/>
        <v/>
      </c>
      <c r="KY18" s="1575" t="str">
        <f t="shared" si="290"/>
        <v/>
      </c>
      <c r="KZ18" s="1575" t="str">
        <f t="shared" si="291"/>
        <v/>
      </c>
      <c r="LA18" s="1575" t="str">
        <f t="shared" si="292"/>
        <v/>
      </c>
      <c r="LB18" s="1575" t="str">
        <f t="shared" si="293"/>
        <v/>
      </c>
      <c r="LC18" s="1575" t="str">
        <f t="shared" si="294"/>
        <v/>
      </c>
      <c r="LD18" s="1575" t="str">
        <f t="shared" si="295"/>
        <v/>
      </c>
      <c r="LE18" s="1575" t="str">
        <f t="shared" si="296"/>
        <v/>
      </c>
      <c r="LF18" s="1575" t="str">
        <f t="shared" si="297"/>
        <v/>
      </c>
      <c r="LG18" s="1564" t="str">
        <f t="shared" si="298"/>
        <v/>
      </c>
      <c r="LH18" s="1564" t="str">
        <f t="shared" si="299"/>
        <v/>
      </c>
      <c r="LI18" s="1564" t="str">
        <f t="shared" si="300"/>
        <v/>
      </c>
      <c r="LJ18" s="1564" t="str">
        <f t="shared" si="301"/>
        <v/>
      </c>
      <c r="LK18" s="1564"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441">
        <f t="shared" si="323"/>
        <v>0</v>
      </c>
      <c r="MG18" s="1441">
        <f t="shared" si="324"/>
        <v>15</v>
      </c>
      <c r="MH18" s="1441">
        <f t="shared" si="325"/>
        <v>0</v>
      </c>
      <c r="MI18" s="1441">
        <f t="shared" si="326"/>
        <v>0</v>
      </c>
      <c r="MJ18" s="1441">
        <f t="shared" si="327"/>
        <v>0</v>
      </c>
      <c r="MK18" s="1441">
        <f t="shared" si="333"/>
        <v>0</v>
      </c>
      <c r="ML18" s="1441">
        <f t="shared" si="334"/>
        <v>0</v>
      </c>
      <c r="MM18" s="1441">
        <f t="shared" si="335"/>
        <v>0</v>
      </c>
      <c r="MN18" s="1441">
        <f t="shared" si="336"/>
        <v>0</v>
      </c>
      <c r="MO18" s="1441">
        <f t="shared" si="337"/>
        <v>0</v>
      </c>
      <c r="MP18" s="1441">
        <f t="shared" si="328"/>
        <v>0</v>
      </c>
      <c r="MQ18" s="1441">
        <f t="shared" si="329"/>
        <v>0</v>
      </c>
      <c r="MR18" s="1441">
        <f t="shared" si="330"/>
        <v>0</v>
      </c>
      <c r="MS18" s="1441">
        <f t="shared" si="331"/>
        <v>0</v>
      </c>
      <c r="MT18" s="1441">
        <f t="shared" si="332"/>
        <v>0</v>
      </c>
      <c r="NP18" s="1413" t="s">
        <v>1119</v>
      </c>
    </row>
    <row r="19" spans="1:380" ht="13.9" customHeight="1">
      <c r="A19" s="55" t="str">
        <f t="shared" si="0"/>
        <v/>
      </c>
      <c r="B19" s="915">
        <v>60</v>
      </c>
      <c r="C19" s="89">
        <v>1</v>
      </c>
      <c r="D19" s="1443">
        <v>1</v>
      </c>
      <c r="E19" s="90">
        <v>1</v>
      </c>
      <c r="F19" s="90">
        <v>989</v>
      </c>
      <c r="G19" s="90">
        <v>1149</v>
      </c>
      <c r="H19" s="90">
        <v>802</v>
      </c>
      <c r="I19" s="90">
        <v>0</v>
      </c>
      <c r="J19" s="596">
        <f>IF(C19="",0,HLOOKUP(C19,'Part IV-Utility Allowances'!$I$11:$M$22,12))</f>
        <v>138</v>
      </c>
      <c r="K19" s="509" t="s">
        <v>7053</v>
      </c>
      <c r="L19" s="351">
        <f t="shared" si="1"/>
        <v>664</v>
      </c>
      <c r="M19" s="351">
        <f t="shared" si="2"/>
        <v>664</v>
      </c>
      <c r="N19" s="549" t="s">
        <v>63</v>
      </c>
      <c r="O19" s="1381" t="s">
        <v>1205</v>
      </c>
      <c r="P19" s="549" t="s">
        <v>7052</v>
      </c>
      <c r="Q19" s="91" t="s">
        <v>63</v>
      </c>
      <c r="R19" s="586"/>
      <c r="S19" s="587"/>
      <c r="T19" s="3500"/>
      <c r="U19" s="3501"/>
      <c r="V19" s="3501"/>
      <c r="W19" s="3502"/>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f t="shared" si="14"/>
        <v>1</v>
      </c>
      <c r="AJ19" s="261" t="str">
        <f t="shared" si="15"/>
        <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f t="shared" si="64"/>
        <v>1</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f t="shared" si="129"/>
        <v>989</v>
      </c>
      <c r="EU19" s="261" t="str">
        <f t="shared" si="130"/>
        <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f t="shared" si="159"/>
        <v>989</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f t="shared" si="184"/>
        <v>1</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575" t="str">
        <f t="shared" si="213"/>
        <v/>
      </c>
      <c r="IA19" s="1575">
        <f t="shared" si="214"/>
        <v>1</v>
      </c>
      <c r="IB19" s="1575" t="str">
        <f t="shared" si="215"/>
        <v/>
      </c>
      <c r="IC19" s="1575" t="str">
        <f t="shared" si="216"/>
        <v/>
      </c>
      <c r="ID19" s="1575" t="str">
        <f t="shared" si="217"/>
        <v/>
      </c>
      <c r="IE19" s="1575" t="str">
        <f t="shared" si="218"/>
        <v/>
      </c>
      <c r="IF19" s="1575" t="str">
        <f t="shared" si="219"/>
        <v/>
      </c>
      <c r="IG19" s="1575" t="str">
        <f t="shared" si="220"/>
        <v/>
      </c>
      <c r="IH19" s="1575" t="str">
        <f t="shared" si="221"/>
        <v/>
      </c>
      <c r="II19" s="1575" t="str">
        <f t="shared" si="222"/>
        <v/>
      </c>
      <c r="IJ19" s="1575" t="str">
        <f t="shared" si="223"/>
        <v/>
      </c>
      <c r="IK19" s="1575" t="str">
        <f t="shared" si="224"/>
        <v/>
      </c>
      <c r="IL19" s="1575" t="str">
        <f t="shared" si="225"/>
        <v/>
      </c>
      <c r="IM19" s="1575" t="str">
        <f t="shared" si="226"/>
        <v/>
      </c>
      <c r="IN19" s="1575" t="str">
        <f t="shared" si="227"/>
        <v/>
      </c>
      <c r="IO19" s="1575" t="str">
        <f t="shared" si="228"/>
        <v/>
      </c>
      <c r="IP19" s="1575" t="str">
        <f t="shared" si="229"/>
        <v/>
      </c>
      <c r="IQ19" s="1575" t="str">
        <f t="shared" si="230"/>
        <v/>
      </c>
      <c r="IR19" s="1575" t="str">
        <f t="shared" si="231"/>
        <v/>
      </c>
      <c r="IS19" s="1575" t="str">
        <f t="shared" si="232"/>
        <v/>
      </c>
      <c r="IT19" s="1575" t="str">
        <f t="shared" si="233"/>
        <v/>
      </c>
      <c r="IU19" s="1575" t="str">
        <f t="shared" si="234"/>
        <v/>
      </c>
      <c r="IV19" s="1575" t="str">
        <f t="shared" si="235"/>
        <v/>
      </c>
      <c r="IW19" s="1575" t="str">
        <f t="shared" si="236"/>
        <v/>
      </c>
      <c r="IX19" s="1575" t="str">
        <f t="shared" si="237"/>
        <v/>
      </c>
      <c r="IY19" s="1575" t="str">
        <f t="shared" si="238"/>
        <v/>
      </c>
      <c r="IZ19" s="1575" t="str">
        <f t="shared" si="239"/>
        <v/>
      </c>
      <c r="JA19" s="1575" t="str">
        <f t="shared" si="240"/>
        <v/>
      </c>
      <c r="JB19" s="1575" t="str">
        <f t="shared" si="241"/>
        <v/>
      </c>
      <c r="JC19" s="1575" t="str">
        <f t="shared" si="242"/>
        <v/>
      </c>
      <c r="JD19" s="1575" t="str">
        <f t="shared" si="243"/>
        <v/>
      </c>
      <c r="JE19" s="1575" t="str">
        <f t="shared" si="244"/>
        <v/>
      </c>
      <c r="JF19" s="1575" t="str">
        <f t="shared" si="245"/>
        <v/>
      </c>
      <c r="JG19" s="1575" t="str">
        <f t="shared" si="246"/>
        <v/>
      </c>
      <c r="JH19" s="1575" t="str">
        <f t="shared" si="247"/>
        <v/>
      </c>
      <c r="JI19" s="1575" t="str">
        <f t="shared" si="248"/>
        <v/>
      </c>
      <c r="JJ19" s="1575" t="str">
        <f t="shared" si="249"/>
        <v/>
      </c>
      <c r="JK19" s="1575" t="str">
        <f t="shared" si="250"/>
        <v/>
      </c>
      <c r="JL19" s="1575" t="str">
        <f t="shared" si="251"/>
        <v/>
      </c>
      <c r="JM19" s="1575" t="str">
        <f t="shared" si="252"/>
        <v/>
      </c>
      <c r="JN19" s="1575" t="str">
        <f t="shared" si="253"/>
        <v/>
      </c>
      <c r="JO19" s="1575" t="str">
        <f t="shared" si="254"/>
        <v/>
      </c>
      <c r="JP19" s="1575" t="str">
        <f t="shared" si="255"/>
        <v/>
      </c>
      <c r="JQ19" s="1575" t="str">
        <f t="shared" si="256"/>
        <v/>
      </c>
      <c r="JR19" s="1575" t="str">
        <f t="shared" si="257"/>
        <v/>
      </c>
      <c r="JS19" s="1575" t="str">
        <f t="shared" si="258"/>
        <v/>
      </c>
      <c r="JT19" s="1575">
        <f t="shared" si="259"/>
        <v>1</v>
      </c>
      <c r="JU19" s="1575" t="str">
        <f t="shared" si="260"/>
        <v/>
      </c>
      <c r="JV19" s="1575" t="str">
        <f t="shared" si="261"/>
        <v/>
      </c>
      <c r="JW19" s="1575" t="str">
        <f t="shared" si="262"/>
        <v/>
      </c>
      <c r="JX19" s="1575" t="str">
        <f t="shared" si="263"/>
        <v/>
      </c>
      <c r="JY19" s="1575" t="str">
        <f t="shared" si="264"/>
        <v/>
      </c>
      <c r="JZ19" s="1575" t="str">
        <f t="shared" si="265"/>
        <v/>
      </c>
      <c r="KA19" s="1575" t="str">
        <f t="shared" si="266"/>
        <v/>
      </c>
      <c r="KB19" s="1575" t="str">
        <f t="shared" si="267"/>
        <v/>
      </c>
      <c r="KC19" s="1575" t="str">
        <f t="shared" si="268"/>
        <v/>
      </c>
      <c r="KD19" s="1575" t="str">
        <f t="shared" si="269"/>
        <v/>
      </c>
      <c r="KE19" s="1575" t="str">
        <f t="shared" si="270"/>
        <v/>
      </c>
      <c r="KF19" s="1575" t="str">
        <f t="shared" si="271"/>
        <v/>
      </c>
      <c r="KG19" s="1575" t="str">
        <f t="shared" si="272"/>
        <v/>
      </c>
      <c r="KH19" s="1575" t="str">
        <f t="shared" si="273"/>
        <v/>
      </c>
      <c r="KI19" s="1575" t="str">
        <f t="shared" si="274"/>
        <v/>
      </c>
      <c r="KJ19" s="1575" t="str">
        <f t="shared" si="275"/>
        <v/>
      </c>
      <c r="KK19" s="1575" t="str">
        <f t="shared" si="276"/>
        <v/>
      </c>
      <c r="KL19" s="1575" t="str">
        <f t="shared" si="277"/>
        <v/>
      </c>
      <c r="KM19" s="1575" t="str">
        <f t="shared" si="278"/>
        <v/>
      </c>
      <c r="KN19" s="1575" t="str">
        <f t="shared" si="279"/>
        <v/>
      </c>
      <c r="KO19" s="1575" t="str">
        <f t="shared" si="280"/>
        <v/>
      </c>
      <c r="KP19" s="1575" t="str">
        <f t="shared" si="281"/>
        <v/>
      </c>
      <c r="KQ19" s="1575" t="str">
        <f t="shared" si="282"/>
        <v/>
      </c>
      <c r="KR19" s="1575" t="str">
        <f t="shared" si="283"/>
        <v/>
      </c>
      <c r="KS19" s="1575" t="str">
        <f t="shared" si="284"/>
        <v/>
      </c>
      <c r="KT19" s="1575" t="str">
        <f t="shared" si="285"/>
        <v/>
      </c>
      <c r="KU19" s="1575" t="str">
        <f t="shared" si="286"/>
        <v/>
      </c>
      <c r="KV19" s="1575" t="str">
        <f t="shared" si="287"/>
        <v/>
      </c>
      <c r="KW19" s="1575" t="str">
        <f t="shared" si="288"/>
        <v/>
      </c>
      <c r="KX19" s="1575" t="str">
        <f t="shared" si="289"/>
        <v/>
      </c>
      <c r="KY19" s="1575" t="str">
        <f t="shared" si="290"/>
        <v/>
      </c>
      <c r="KZ19" s="1575" t="str">
        <f t="shared" si="291"/>
        <v/>
      </c>
      <c r="LA19" s="1575" t="str">
        <f t="shared" si="292"/>
        <v/>
      </c>
      <c r="LB19" s="1575" t="str">
        <f t="shared" si="293"/>
        <v/>
      </c>
      <c r="LC19" s="1575" t="str">
        <f t="shared" si="294"/>
        <v/>
      </c>
      <c r="LD19" s="1575" t="str">
        <f t="shared" si="295"/>
        <v/>
      </c>
      <c r="LE19" s="1575" t="str">
        <f t="shared" si="296"/>
        <v/>
      </c>
      <c r="LF19" s="1575" t="str">
        <f t="shared" si="297"/>
        <v/>
      </c>
      <c r="LG19" s="1564" t="str">
        <f t="shared" si="298"/>
        <v/>
      </c>
      <c r="LH19" s="1564" t="str">
        <f t="shared" si="299"/>
        <v/>
      </c>
      <c r="LI19" s="1564" t="str">
        <f t="shared" si="300"/>
        <v/>
      </c>
      <c r="LJ19" s="1564" t="str">
        <f t="shared" si="301"/>
        <v/>
      </c>
      <c r="LK19" s="1564"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441">
        <f t="shared" si="323"/>
        <v>0</v>
      </c>
      <c r="MG19" s="1441">
        <f t="shared" si="324"/>
        <v>1</v>
      </c>
      <c r="MH19" s="1441">
        <f t="shared" si="325"/>
        <v>0</v>
      </c>
      <c r="MI19" s="1441">
        <f t="shared" si="326"/>
        <v>0</v>
      </c>
      <c r="MJ19" s="1441">
        <f t="shared" si="327"/>
        <v>0</v>
      </c>
      <c r="MK19" s="1441">
        <f t="shared" si="333"/>
        <v>0</v>
      </c>
      <c r="ML19" s="1441">
        <f t="shared" si="334"/>
        <v>0</v>
      </c>
      <c r="MM19" s="1441">
        <f t="shared" si="335"/>
        <v>0</v>
      </c>
      <c r="MN19" s="1441">
        <f t="shared" si="336"/>
        <v>0</v>
      </c>
      <c r="MO19" s="1441">
        <f t="shared" si="337"/>
        <v>0</v>
      </c>
      <c r="MP19" s="1441">
        <f t="shared" si="328"/>
        <v>0</v>
      </c>
      <c r="MQ19" s="1441">
        <f t="shared" si="329"/>
        <v>0</v>
      </c>
      <c r="MR19" s="1441">
        <f t="shared" si="330"/>
        <v>0</v>
      </c>
      <c r="MS19" s="1441">
        <f t="shared" si="331"/>
        <v>0</v>
      </c>
      <c r="MT19" s="1441">
        <f t="shared" si="332"/>
        <v>0</v>
      </c>
      <c r="NP19" s="1413" t="s">
        <v>1120</v>
      </c>
    </row>
    <row r="20" spans="1:380" ht="13.9" customHeight="1">
      <c r="A20" s="55" t="str">
        <f t="shared" si="0"/>
        <v/>
      </c>
      <c r="B20" s="915">
        <v>60</v>
      </c>
      <c r="C20" s="89">
        <v>2</v>
      </c>
      <c r="D20" s="1443">
        <v>1</v>
      </c>
      <c r="E20" s="90">
        <v>21</v>
      </c>
      <c r="F20" s="90">
        <v>989</v>
      </c>
      <c r="G20" s="90">
        <v>1378</v>
      </c>
      <c r="H20" s="90">
        <v>930</v>
      </c>
      <c r="I20" s="90">
        <v>0</v>
      </c>
      <c r="J20" s="596">
        <f>IF(C20="",0,HLOOKUP(C20,'Part IV-Utility Allowances'!$I$11:$M$22,12))</f>
        <v>173</v>
      </c>
      <c r="K20" s="509" t="s">
        <v>7053</v>
      </c>
      <c r="L20" s="351">
        <f t="shared" si="1"/>
        <v>757</v>
      </c>
      <c r="M20" s="351">
        <f t="shared" si="2"/>
        <v>15897</v>
      </c>
      <c r="N20" s="549" t="s">
        <v>63</v>
      </c>
      <c r="O20" s="1381" t="s">
        <v>1205</v>
      </c>
      <c r="P20" s="549" t="s">
        <v>7052</v>
      </c>
      <c r="Q20" s="91" t="s">
        <v>63</v>
      </c>
      <c r="R20" s="586"/>
      <c r="S20" s="587"/>
      <c r="T20" s="3500"/>
      <c r="U20" s="3501"/>
      <c r="V20" s="3501"/>
      <c r="W20" s="3502"/>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f t="shared" si="15"/>
        <v>21</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f t="shared" si="65"/>
        <v>21</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f t="shared" si="130"/>
        <v>20769</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f t="shared" si="160"/>
        <v>20769</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f t="shared" si="185"/>
        <v>21</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575" t="str">
        <f t="shared" si="213"/>
        <v/>
      </c>
      <c r="IA20" s="1575" t="str">
        <f t="shared" si="214"/>
        <v/>
      </c>
      <c r="IB20" s="1575">
        <f t="shared" si="215"/>
        <v>21</v>
      </c>
      <c r="IC20" s="1575" t="str">
        <f t="shared" si="216"/>
        <v/>
      </c>
      <c r="ID20" s="1575" t="str">
        <f t="shared" si="217"/>
        <v/>
      </c>
      <c r="IE20" s="1575" t="str">
        <f t="shared" si="218"/>
        <v/>
      </c>
      <c r="IF20" s="1575" t="str">
        <f t="shared" si="219"/>
        <v/>
      </c>
      <c r="IG20" s="1575" t="str">
        <f t="shared" si="220"/>
        <v/>
      </c>
      <c r="IH20" s="1575" t="str">
        <f t="shared" si="221"/>
        <v/>
      </c>
      <c r="II20" s="1575" t="str">
        <f t="shared" si="222"/>
        <v/>
      </c>
      <c r="IJ20" s="1575" t="str">
        <f t="shared" si="223"/>
        <v/>
      </c>
      <c r="IK20" s="1575" t="str">
        <f t="shared" si="224"/>
        <v/>
      </c>
      <c r="IL20" s="1575" t="str">
        <f t="shared" si="225"/>
        <v/>
      </c>
      <c r="IM20" s="1575" t="str">
        <f t="shared" si="226"/>
        <v/>
      </c>
      <c r="IN20" s="1575" t="str">
        <f t="shared" si="227"/>
        <v/>
      </c>
      <c r="IO20" s="1575" t="str">
        <f t="shared" si="228"/>
        <v/>
      </c>
      <c r="IP20" s="1575" t="str">
        <f t="shared" si="229"/>
        <v/>
      </c>
      <c r="IQ20" s="1575" t="str">
        <f t="shared" si="230"/>
        <v/>
      </c>
      <c r="IR20" s="1575" t="str">
        <f t="shared" si="231"/>
        <v/>
      </c>
      <c r="IS20" s="1575" t="str">
        <f t="shared" si="232"/>
        <v/>
      </c>
      <c r="IT20" s="1575" t="str">
        <f t="shared" si="233"/>
        <v/>
      </c>
      <c r="IU20" s="1575" t="str">
        <f t="shared" si="234"/>
        <v/>
      </c>
      <c r="IV20" s="1575" t="str">
        <f t="shared" si="235"/>
        <v/>
      </c>
      <c r="IW20" s="1575" t="str">
        <f t="shared" si="236"/>
        <v/>
      </c>
      <c r="IX20" s="1575" t="str">
        <f t="shared" si="237"/>
        <v/>
      </c>
      <c r="IY20" s="1575" t="str">
        <f t="shared" si="238"/>
        <v/>
      </c>
      <c r="IZ20" s="1575" t="str">
        <f t="shared" si="239"/>
        <v/>
      </c>
      <c r="JA20" s="1575" t="str">
        <f t="shared" si="240"/>
        <v/>
      </c>
      <c r="JB20" s="1575" t="str">
        <f t="shared" si="241"/>
        <v/>
      </c>
      <c r="JC20" s="1575" t="str">
        <f t="shared" si="242"/>
        <v/>
      </c>
      <c r="JD20" s="1575" t="str">
        <f t="shared" si="243"/>
        <v/>
      </c>
      <c r="JE20" s="1575" t="str">
        <f t="shared" si="244"/>
        <v/>
      </c>
      <c r="JF20" s="1575" t="str">
        <f t="shared" si="245"/>
        <v/>
      </c>
      <c r="JG20" s="1575" t="str">
        <f t="shared" si="246"/>
        <v/>
      </c>
      <c r="JH20" s="1575" t="str">
        <f t="shared" si="247"/>
        <v/>
      </c>
      <c r="JI20" s="1575" t="str">
        <f t="shared" si="248"/>
        <v/>
      </c>
      <c r="JJ20" s="1575" t="str">
        <f t="shared" si="249"/>
        <v/>
      </c>
      <c r="JK20" s="1575" t="str">
        <f t="shared" si="250"/>
        <v/>
      </c>
      <c r="JL20" s="1575" t="str">
        <f t="shared" si="251"/>
        <v/>
      </c>
      <c r="JM20" s="1575" t="str">
        <f t="shared" si="252"/>
        <v/>
      </c>
      <c r="JN20" s="1575" t="str">
        <f t="shared" si="253"/>
        <v/>
      </c>
      <c r="JO20" s="1575" t="str">
        <f t="shared" si="254"/>
        <v/>
      </c>
      <c r="JP20" s="1575" t="str">
        <f t="shared" si="255"/>
        <v/>
      </c>
      <c r="JQ20" s="1575" t="str">
        <f t="shared" si="256"/>
        <v/>
      </c>
      <c r="JR20" s="1575" t="str">
        <f t="shared" si="257"/>
        <v/>
      </c>
      <c r="JS20" s="1575" t="str">
        <f t="shared" si="258"/>
        <v/>
      </c>
      <c r="JT20" s="1575" t="str">
        <f t="shared" si="259"/>
        <v/>
      </c>
      <c r="JU20" s="1575">
        <f t="shared" si="260"/>
        <v>21</v>
      </c>
      <c r="JV20" s="1575" t="str">
        <f t="shared" si="261"/>
        <v/>
      </c>
      <c r="JW20" s="1575" t="str">
        <f t="shared" si="262"/>
        <v/>
      </c>
      <c r="JX20" s="1575" t="str">
        <f t="shared" si="263"/>
        <v/>
      </c>
      <c r="JY20" s="1575" t="str">
        <f t="shared" si="264"/>
        <v/>
      </c>
      <c r="JZ20" s="1575" t="str">
        <f t="shared" si="265"/>
        <v/>
      </c>
      <c r="KA20" s="1575" t="str">
        <f t="shared" si="266"/>
        <v/>
      </c>
      <c r="KB20" s="1575" t="str">
        <f t="shared" si="267"/>
        <v/>
      </c>
      <c r="KC20" s="1575" t="str">
        <f t="shared" si="268"/>
        <v/>
      </c>
      <c r="KD20" s="1575" t="str">
        <f t="shared" si="269"/>
        <v/>
      </c>
      <c r="KE20" s="1575" t="str">
        <f t="shared" si="270"/>
        <v/>
      </c>
      <c r="KF20" s="1575" t="str">
        <f t="shared" si="271"/>
        <v/>
      </c>
      <c r="KG20" s="1575" t="str">
        <f t="shared" si="272"/>
        <v/>
      </c>
      <c r="KH20" s="1575" t="str">
        <f t="shared" si="273"/>
        <v/>
      </c>
      <c r="KI20" s="1575" t="str">
        <f t="shared" si="274"/>
        <v/>
      </c>
      <c r="KJ20" s="1575" t="str">
        <f t="shared" si="275"/>
        <v/>
      </c>
      <c r="KK20" s="1575" t="str">
        <f t="shared" si="276"/>
        <v/>
      </c>
      <c r="KL20" s="1575" t="str">
        <f t="shared" si="277"/>
        <v/>
      </c>
      <c r="KM20" s="1575" t="str">
        <f t="shared" si="278"/>
        <v/>
      </c>
      <c r="KN20" s="1575" t="str">
        <f t="shared" si="279"/>
        <v/>
      </c>
      <c r="KO20" s="1575" t="str">
        <f t="shared" si="280"/>
        <v/>
      </c>
      <c r="KP20" s="1575" t="str">
        <f t="shared" si="281"/>
        <v/>
      </c>
      <c r="KQ20" s="1575" t="str">
        <f t="shared" si="282"/>
        <v/>
      </c>
      <c r="KR20" s="1575" t="str">
        <f t="shared" si="283"/>
        <v/>
      </c>
      <c r="KS20" s="1575" t="str">
        <f t="shared" si="284"/>
        <v/>
      </c>
      <c r="KT20" s="1575" t="str">
        <f t="shared" si="285"/>
        <v/>
      </c>
      <c r="KU20" s="1575" t="str">
        <f t="shared" si="286"/>
        <v/>
      </c>
      <c r="KV20" s="1575" t="str">
        <f t="shared" si="287"/>
        <v/>
      </c>
      <c r="KW20" s="1575" t="str">
        <f t="shared" si="288"/>
        <v/>
      </c>
      <c r="KX20" s="1575" t="str">
        <f t="shared" si="289"/>
        <v/>
      </c>
      <c r="KY20" s="1575" t="str">
        <f t="shared" si="290"/>
        <v/>
      </c>
      <c r="KZ20" s="1575" t="str">
        <f t="shared" si="291"/>
        <v/>
      </c>
      <c r="LA20" s="1575" t="str">
        <f t="shared" si="292"/>
        <v/>
      </c>
      <c r="LB20" s="1575" t="str">
        <f t="shared" si="293"/>
        <v/>
      </c>
      <c r="LC20" s="1575" t="str">
        <f t="shared" si="294"/>
        <v/>
      </c>
      <c r="LD20" s="1575" t="str">
        <f t="shared" si="295"/>
        <v/>
      </c>
      <c r="LE20" s="1575" t="str">
        <f t="shared" si="296"/>
        <v/>
      </c>
      <c r="LF20" s="1575" t="str">
        <f t="shared" si="297"/>
        <v/>
      </c>
      <c r="LG20" s="1564" t="str">
        <f t="shared" si="298"/>
        <v/>
      </c>
      <c r="LH20" s="1564" t="str">
        <f t="shared" si="299"/>
        <v/>
      </c>
      <c r="LI20" s="1564" t="str">
        <f t="shared" si="300"/>
        <v/>
      </c>
      <c r="LJ20" s="1564" t="str">
        <f t="shared" si="301"/>
        <v/>
      </c>
      <c r="LK20" s="1564"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441">
        <f t="shared" si="323"/>
        <v>0</v>
      </c>
      <c r="MG20" s="1441">
        <f t="shared" si="324"/>
        <v>0</v>
      </c>
      <c r="MH20" s="1441">
        <f t="shared" si="325"/>
        <v>21</v>
      </c>
      <c r="MI20" s="1441">
        <f t="shared" si="326"/>
        <v>0</v>
      </c>
      <c r="MJ20" s="1441">
        <f t="shared" si="327"/>
        <v>0</v>
      </c>
      <c r="MK20" s="1441">
        <f t="shared" si="333"/>
        <v>0</v>
      </c>
      <c r="ML20" s="1441">
        <f t="shared" si="334"/>
        <v>0</v>
      </c>
      <c r="MM20" s="1441">
        <f t="shared" si="335"/>
        <v>0</v>
      </c>
      <c r="MN20" s="1441">
        <f t="shared" si="336"/>
        <v>0</v>
      </c>
      <c r="MO20" s="1441">
        <f t="shared" si="337"/>
        <v>0</v>
      </c>
      <c r="MP20" s="1441">
        <f t="shared" si="328"/>
        <v>0</v>
      </c>
      <c r="MQ20" s="1441">
        <f t="shared" si="329"/>
        <v>0</v>
      </c>
      <c r="MR20" s="1441">
        <f t="shared" si="330"/>
        <v>0</v>
      </c>
      <c r="MS20" s="1441">
        <f t="shared" si="331"/>
        <v>0</v>
      </c>
      <c r="MT20" s="1441">
        <f t="shared" si="332"/>
        <v>0</v>
      </c>
      <c r="NP20" s="1413" t="s">
        <v>1121</v>
      </c>
    </row>
    <row r="21" spans="1:380" ht="13.9" customHeight="1">
      <c r="A21" s="55" t="str">
        <f t="shared" si="0"/>
        <v/>
      </c>
      <c r="B21" s="915">
        <v>60</v>
      </c>
      <c r="C21" s="89">
        <v>2</v>
      </c>
      <c r="D21" s="1443">
        <v>1.5</v>
      </c>
      <c r="E21" s="90">
        <v>6</v>
      </c>
      <c r="F21" s="90">
        <v>1107</v>
      </c>
      <c r="G21" s="90">
        <v>1378</v>
      </c>
      <c r="H21" s="90">
        <v>930</v>
      </c>
      <c r="I21" s="90">
        <v>0</v>
      </c>
      <c r="J21" s="596">
        <f>IF(C21="",0,HLOOKUP(C21,'Part IV-Utility Allowances'!$I$11:$M$22,12))</f>
        <v>173</v>
      </c>
      <c r="K21" s="509" t="s">
        <v>7053</v>
      </c>
      <c r="L21" s="351">
        <f t="shared" si="1"/>
        <v>757</v>
      </c>
      <c r="M21" s="351">
        <f t="shared" si="2"/>
        <v>4542</v>
      </c>
      <c r="N21" s="549" t="s">
        <v>63</v>
      </c>
      <c r="O21" s="1381" t="s">
        <v>7051</v>
      </c>
      <c r="P21" s="549" t="s">
        <v>7052</v>
      </c>
      <c r="Q21" s="91" t="s">
        <v>63</v>
      </c>
      <c r="R21" s="586"/>
      <c r="S21" s="587"/>
      <c r="T21" s="3500"/>
      <c r="U21" s="3501"/>
      <c r="V21" s="3501"/>
      <c r="W21" s="3502"/>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f t="shared" si="15"/>
        <v>6</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f t="shared" si="65"/>
        <v>6</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f t="shared" si="130"/>
        <v>6642</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f t="shared" si="160"/>
        <v>6642</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f t="shared" si="185"/>
        <v>6</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575" t="str">
        <f t="shared" si="213"/>
        <v/>
      </c>
      <c r="IA21" s="1575" t="str">
        <f t="shared" si="214"/>
        <v/>
      </c>
      <c r="IB21" s="1575" t="str">
        <f t="shared" si="215"/>
        <v/>
      </c>
      <c r="IC21" s="1575" t="str">
        <f t="shared" si="216"/>
        <v/>
      </c>
      <c r="ID21" s="1575" t="str">
        <f t="shared" si="217"/>
        <v/>
      </c>
      <c r="IE21" s="1575" t="str">
        <f t="shared" si="218"/>
        <v/>
      </c>
      <c r="IF21" s="1575" t="str">
        <f t="shared" si="219"/>
        <v/>
      </c>
      <c r="IG21" s="1575" t="str">
        <f t="shared" si="220"/>
        <v/>
      </c>
      <c r="IH21" s="1575" t="str">
        <f t="shared" si="221"/>
        <v/>
      </c>
      <c r="II21" s="1575" t="str">
        <f t="shared" si="222"/>
        <v/>
      </c>
      <c r="IJ21" s="1575" t="str">
        <f t="shared" si="223"/>
        <v/>
      </c>
      <c r="IK21" s="1575" t="str">
        <f t="shared" si="224"/>
        <v/>
      </c>
      <c r="IL21" s="1575" t="str">
        <f t="shared" si="225"/>
        <v/>
      </c>
      <c r="IM21" s="1575" t="str">
        <f t="shared" si="226"/>
        <v/>
      </c>
      <c r="IN21" s="1575" t="str">
        <f t="shared" si="227"/>
        <v/>
      </c>
      <c r="IO21" s="1575" t="str">
        <f t="shared" si="228"/>
        <v/>
      </c>
      <c r="IP21" s="1575" t="str">
        <f t="shared" si="229"/>
        <v/>
      </c>
      <c r="IQ21" s="1575" t="str">
        <f t="shared" si="230"/>
        <v/>
      </c>
      <c r="IR21" s="1575" t="str">
        <f t="shared" si="231"/>
        <v/>
      </c>
      <c r="IS21" s="1575" t="str">
        <f t="shared" si="232"/>
        <v/>
      </c>
      <c r="IT21" s="1575" t="str">
        <f t="shared" si="233"/>
        <v/>
      </c>
      <c r="IU21" s="1575" t="str">
        <f t="shared" si="234"/>
        <v/>
      </c>
      <c r="IV21" s="1575" t="str">
        <f t="shared" si="235"/>
        <v/>
      </c>
      <c r="IW21" s="1575" t="str">
        <f t="shared" si="236"/>
        <v/>
      </c>
      <c r="IX21" s="1575" t="str">
        <f t="shared" si="237"/>
        <v/>
      </c>
      <c r="IY21" s="1575" t="str">
        <f t="shared" si="238"/>
        <v/>
      </c>
      <c r="IZ21" s="1575" t="str">
        <f t="shared" si="239"/>
        <v/>
      </c>
      <c r="JA21" s="1575" t="str">
        <f t="shared" si="240"/>
        <v/>
      </c>
      <c r="JB21" s="1575" t="str">
        <f t="shared" si="241"/>
        <v/>
      </c>
      <c r="JC21" s="1575" t="str">
        <f t="shared" si="242"/>
        <v/>
      </c>
      <c r="JD21" s="1575" t="str">
        <f t="shared" si="243"/>
        <v/>
      </c>
      <c r="JE21" s="1575" t="str">
        <f t="shared" si="244"/>
        <v/>
      </c>
      <c r="JF21" s="1575" t="str">
        <f t="shared" si="245"/>
        <v/>
      </c>
      <c r="JG21" s="1575" t="str">
        <f t="shared" si="246"/>
        <v/>
      </c>
      <c r="JH21" s="1575" t="str">
        <f t="shared" si="247"/>
        <v/>
      </c>
      <c r="JI21" s="1575" t="str">
        <f t="shared" si="248"/>
        <v/>
      </c>
      <c r="JJ21" s="1575" t="str">
        <f t="shared" si="249"/>
        <v/>
      </c>
      <c r="JK21" s="1575">
        <f t="shared" si="250"/>
        <v>6</v>
      </c>
      <c r="JL21" s="1575" t="str">
        <f t="shared" si="251"/>
        <v/>
      </c>
      <c r="JM21" s="1575" t="str">
        <f t="shared" si="252"/>
        <v/>
      </c>
      <c r="JN21" s="1575" t="str">
        <f t="shared" si="253"/>
        <v/>
      </c>
      <c r="JO21" s="1575" t="str">
        <f t="shared" si="254"/>
        <v/>
      </c>
      <c r="JP21" s="1575" t="str">
        <f t="shared" si="255"/>
        <v/>
      </c>
      <c r="JQ21" s="1575" t="str">
        <f t="shared" si="256"/>
        <v/>
      </c>
      <c r="JR21" s="1575" t="str">
        <f t="shared" si="257"/>
        <v/>
      </c>
      <c r="JS21" s="1575" t="str">
        <f t="shared" si="258"/>
        <v/>
      </c>
      <c r="JT21" s="1575" t="str">
        <f t="shared" si="259"/>
        <v/>
      </c>
      <c r="JU21" s="1575" t="str">
        <f t="shared" si="260"/>
        <v/>
      </c>
      <c r="JV21" s="1575" t="str">
        <f t="shared" si="261"/>
        <v/>
      </c>
      <c r="JW21" s="1575" t="str">
        <f t="shared" si="262"/>
        <v/>
      </c>
      <c r="JX21" s="1575" t="str">
        <f t="shared" si="263"/>
        <v/>
      </c>
      <c r="JY21" s="1575" t="str">
        <f t="shared" si="264"/>
        <v/>
      </c>
      <c r="JZ21" s="1575" t="str">
        <f t="shared" si="265"/>
        <v/>
      </c>
      <c r="KA21" s="1575" t="str">
        <f t="shared" si="266"/>
        <v/>
      </c>
      <c r="KB21" s="1575" t="str">
        <f t="shared" si="267"/>
        <v/>
      </c>
      <c r="KC21" s="1575" t="str">
        <f t="shared" si="268"/>
        <v/>
      </c>
      <c r="KD21" s="1575" t="str">
        <f t="shared" si="269"/>
        <v/>
      </c>
      <c r="KE21" s="1575" t="str">
        <f t="shared" si="270"/>
        <v/>
      </c>
      <c r="KF21" s="1575" t="str">
        <f t="shared" si="271"/>
        <v/>
      </c>
      <c r="KG21" s="1575" t="str">
        <f t="shared" si="272"/>
        <v/>
      </c>
      <c r="KH21" s="1575" t="str">
        <f t="shared" si="273"/>
        <v/>
      </c>
      <c r="KI21" s="1575" t="str">
        <f t="shared" si="274"/>
        <v/>
      </c>
      <c r="KJ21" s="1575" t="str">
        <f t="shared" si="275"/>
        <v/>
      </c>
      <c r="KK21" s="1575" t="str">
        <f t="shared" si="276"/>
        <v/>
      </c>
      <c r="KL21" s="1575" t="str">
        <f t="shared" si="277"/>
        <v/>
      </c>
      <c r="KM21" s="1575" t="str">
        <f t="shared" si="278"/>
        <v/>
      </c>
      <c r="KN21" s="1575" t="str">
        <f t="shared" si="279"/>
        <v/>
      </c>
      <c r="KO21" s="1575" t="str">
        <f t="shared" si="280"/>
        <v/>
      </c>
      <c r="KP21" s="1575" t="str">
        <f t="shared" si="281"/>
        <v/>
      </c>
      <c r="KQ21" s="1575" t="str">
        <f t="shared" si="282"/>
        <v/>
      </c>
      <c r="KR21" s="1575" t="str">
        <f t="shared" si="283"/>
        <v/>
      </c>
      <c r="KS21" s="1575" t="str">
        <f t="shared" si="284"/>
        <v/>
      </c>
      <c r="KT21" s="1575" t="str">
        <f t="shared" si="285"/>
        <v/>
      </c>
      <c r="KU21" s="1575" t="str">
        <f t="shared" si="286"/>
        <v/>
      </c>
      <c r="KV21" s="1575" t="str">
        <f t="shared" si="287"/>
        <v/>
      </c>
      <c r="KW21" s="1575" t="str">
        <f t="shared" si="288"/>
        <v/>
      </c>
      <c r="KX21" s="1575" t="str">
        <f t="shared" si="289"/>
        <v/>
      </c>
      <c r="KY21" s="1575" t="str">
        <f t="shared" si="290"/>
        <v/>
      </c>
      <c r="KZ21" s="1575" t="str">
        <f t="shared" si="291"/>
        <v/>
      </c>
      <c r="LA21" s="1575" t="str">
        <f t="shared" si="292"/>
        <v/>
      </c>
      <c r="LB21" s="1575" t="str">
        <f t="shared" si="293"/>
        <v/>
      </c>
      <c r="LC21" s="1575" t="str">
        <f t="shared" si="294"/>
        <v/>
      </c>
      <c r="LD21" s="1575" t="str">
        <f t="shared" si="295"/>
        <v/>
      </c>
      <c r="LE21" s="1575" t="str">
        <f t="shared" si="296"/>
        <v/>
      </c>
      <c r="LF21" s="1575" t="str">
        <f t="shared" si="297"/>
        <v/>
      </c>
      <c r="LG21" s="1564" t="str">
        <f t="shared" si="298"/>
        <v/>
      </c>
      <c r="LH21" s="1564" t="str">
        <f t="shared" si="299"/>
        <v/>
      </c>
      <c r="LI21" s="1564" t="str">
        <f t="shared" si="300"/>
        <v/>
      </c>
      <c r="LJ21" s="1564" t="str">
        <f t="shared" si="301"/>
        <v/>
      </c>
      <c r="LK21" s="1564"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441">
        <f t="shared" si="323"/>
        <v>0</v>
      </c>
      <c r="MG21" s="1441">
        <f t="shared" si="324"/>
        <v>0</v>
      </c>
      <c r="MH21" s="1441">
        <f t="shared" si="325"/>
        <v>6</v>
      </c>
      <c r="MI21" s="1441">
        <f t="shared" si="326"/>
        <v>0</v>
      </c>
      <c r="MJ21" s="1441">
        <f t="shared" si="327"/>
        <v>0</v>
      </c>
      <c r="MK21" s="1441">
        <f t="shared" si="333"/>
        <v>0</v>
      </c>
      <c r="ML21" s="1441">
        <f t="shared" si="334"/>
        <v>0</v>
      </c>
      <c r="MM21" s="1441">
        <f t="shared" si="335"/>
        <v>0</v>
      </c>
      <c r="MN21" s="1441">
        <f t="shared" si="336"/>
        <v>0</v>
      </c>
      <c r="MO21" s="1441">
        <f t="shared" si="337"/>
        <v>0</v>
      </c>
      <c r="MP21" s="1441">
        <f t="shared" si="328"/>
        <v>0</v>
      </c>
      <c r="MQ21" s="1441">
        <f t="shared" si="329"/>
        <v>0</v>
      </c>
      <c r="MR21" s="1441">
        <f t="shared" si="330"/>
        <v>0</v>
      </c>
      <c r="MS21" s="1441">
        <f t="shared" si="331"/>
        <v>0</v>
      </c>
      <c r="MT21" s="1441">
        <f t="shared" si="332"/>
        <v>0</v>
      </c>
      <c r="NP21" s="1413" t="s">
        <v>1122</v>
      </c>
    </row>
    <row r="22" spans="1:380" ht="13.9" customHeight="1">
      <c r="A22" s="55" t="str">
        <f t="shared" si="0"/>
        <v/>
      </c>
      <c r="B22" s="915">
        <v>60</v>
      </c>
      <c r="C22" s="89">
        <v>2</v>
      </c>
      <c r="D22" s="1443">
        <v>1.5</v>
      </c>
      <c r="E22" s="90">
        <v>1</v>
      </c>
      <c r="F22" s="90">
        <v>1146</v>
      </c>
      <c r="G22" s="90">
        <v>1378</v>
      </c>
      <c r="H22" s="90">
        <v>930</v>
      </c>
      <c r="I22" s="90">
        <v>0</v>
      </c>
      <c r="J22" s="596">
        <f>IF(C22="",0,HLOOKUP(C22,'Part IV-Utility Allowances'!$I$11:$M$22,12))</f>
        <v>173</v>
      </c>
      <c r="K22" s="509" t="s">
        <v>7053</v>
      </c>
      <c r="L22" s="351">
        <f t="shared" si="1"/>
        <v>757</v>
      </c>
      <c r="M22" s="351">
        <f t="shared" si="2"/>
        <v>757</v>
      </c>
      <c r="N22" s="549" t="s">
        <v>63</v>
      </c>
      <c r="O22" s="1381" t="s">
        <v>1205</v>
      </c>
      <c r="P22" s="549" t="s">
        <v>7052</v>
      </c>
      <c r="Q22" s="91" t="s">
        <v>63</v>
      </c>
      <c r="R22" s="586"/>
      <c r="S22" s="587"/>
      <c r="T22" s="3500"/>
      <c r="U22" s="3501"/>
      <c r="V22" s="3501"/>
      <c r="W22" s="3502"/>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f t="shared" si="15"/>
        <v>1</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f t="shared" si="65"/>
        <v>1</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f t="shared" si="130"/>
        <v>1146</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f t="shared" si="160"/>
        <v>1146</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f t="shared" si="185"/>
        <v>1</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575" t="str">
        <f t="shared" si="213"/>
        <v/>
      </c>
      <c r="IA22" s="1575" t="str">
        <f t="shared" si="214"/>
        <v/>
      </c>
      <c r="IB22" s="1575">
        <f t="shared" si="215"/>
        <v>1</v>
      </c>
      <c r="IC22" s="1575" t="str">
        <f t="shared" si="216"/>
        <v/>
      </c>
      <c r="ID22" s="1575" t="str">
        <f t="shared" si="217"/>
        <v/>
      </c>
      <c r="IE22" s="1575" t="str">
        <f t="shared" si="218"/>
        <v/>
      </c>
      <c r="IF22" s="1575" t="str">
        <f t="shared" si="219"/>
        <v/>
      </c>
      <c r="IG22" s="1575" t="str">
        <f t="shared" si="220"/>
        <v/>
      </c>
      <c r="IH22" s="1575" t="str">
        <f t="shared" si="221"/>
        <v/>
      </c>
      <c r="II22" s="1575" t="str">
        <f t="shared" si="222"/>
        <v/>
      </c>
      <c r="IJ22" s="1575" t="str">
        <f t="shared" si="223"/>
        <v/>
      </c>
      <c r="IK22" s="1575" t="str">
        <f t="shared" si="224"/>
        <v/>
      </c>
      <c r="IL22" s="1575" t="str">
        <f t="shared" si="225"/>
        <v/>
      </c>
      <c r="IM22" s="1575" t="str">
        <f t="shared" si="226"/>
        <v/>
      </c>
      <c r="IN22" s="1575" t="str">
        <f t="shared" si="227"/>
        <v/>
      </c>
      <c r="IO22" s="1575" t="str">
        <f t="shared" si="228"/>
        <v/>
      </c>
      <c r="IP22" s="1575" t="str">
        <f t="shared" si="229"/>
        <v/>
      </c>
      <c r="IQ22" s="1575" t="str">
        <f t="shared" si="230"/>
        <v/>
      </c>
      <c r="IR22" s="1575" t="str">
        <f t="shared" si="231"/>
        <v/>
      </c>
      <c r="IS22" s="1575" t="str">
        <f t="shared" si="232"/>
        <v/>
      </c>
      <c r="IT22" s="1575" t="str">
        <f t="shared" si="233"/>
        <v/>
      </c>
      <c r="IU22" s="1575" t="str">
        <f t="shared" si="234"/>
        <v/>
      </c>
      <c r="IV22" s="1575" t="str">
        <f t="shared" si="235"/>
        <v/>
      </c>
      <c r="IW22" s="1575" t="str">
        <f t="shared" si="236"/>
        <v/>
      </c>
      <c r="IX22" s="1575" t="str">
        <f t="shared" si="237"/>
        <v/>
      </c>
      <c r="IY22" s="1575" t="str">
        <f t="shared" si="238"/>
        <v/>
      </c>
      <c r="IZ22" s="1575" t="str">
        <f t="shared" si="239"/>
        <v/>
      </c>
      <c r="JA22" s="1575" t="str">
        <f t="shared" si="240"/>
        <v/>
      </c>
      <c r="JB22" s="1575" t="str">
        <f t="shared" si="241"/>
        <v/>
      </c>
      <c r="JC22" s="1575" t="str">
        <f t="shared" si="242"/>
        <v/>
      </c>
      <c r="JD22" s="1575" t="str">
        <f t="shared" si="243"/>
        <v/>
      </c>
      <c r="JE22" s="1575" t="str">
        <f t="shared" si="244"/>
        <v/>
      </c>
      <c r="JF22" s="1575" t="str">
        <f t="shared" si="245"/>
        <v/>
      </c>
      <c r="JG22" s="1575" t="str">
        <f t="shared" si="246"/>
        <v/>
      </c>
      <c r="JH22" s="1575" t="str">
        <f t="shared" si="247"/>
        <v/>
      </c>
      <c r="JI22" s="1575" t="str">
        <f t="shared" si="248"/>
        <v/>
      </c>
      <c r="JJ22" s="1575" t="str">
        <f t="shared" si="249"/>
        <v/>
      </c>
      <c r="JK22" s="1575" t="str">
        <f t="shared" si="250"/>
        <v/>
      </c>
      <c r="JL22" s="1575" t="str">
        <f t="shared" si="251"/>
        <v/>
      </c>
      <c r="JM22" s="1575" t="str">
        <f t="shared" si="252"/>
        <v/>
      </c>
      <c r="JN22" s="1575" t="str">
        <f t="shared" si="253"/>
        <v/>
      </c>
      <c r="JO22" s="1575" t="str">
        <f t="shared" si="254"/>
        <v/>
      </c>
      <c r="JP22" s="1575" t="str">
        <f t="shared" si="255"/>
        <v/>
      </c>
      <c r="JQ22" s="1575" t="str">
        <f t="shared" si="256"/>
        <v/>
      </c>
      <c r="JR22" s="1575" t="str">
        <f t="shared" si="257"/>
        <v/>
      </c>
      <c r="JS22" s="1575" t="str">
        <f t="shared" si="258"/>
        <v/>
      </c>
      <c r="JT22" s="1575" t="str">
        <f t="shared" si="259"/>
        <v/>
      </c>
      <c r="JU22" s="1575">
        <f t="shared" si="260"/>
        <v>1</v>
      </c>
      <c r="JV22" s="1575" t="str">
        <f t="shared" si="261"/>
        <v/>
      </c>
      <c r="JW22" s="1575" t="str">
        <f t="shared" si="262"/>
        <v/>
      </c>
      <c r="JX22" s="1575" t="str">
        <f t="shared" si="263"/>
        <v/>
      </c>
      <c r="JY22" s="1575" t="str">
        <f t="shared" si="264"/>
        <v/>
      </c>
      <c r="JZ22" s="1575" t="str">
        <f t="shared" si="265"/>
        <v/>
      </c>
      <c r="KA22" s="1575" t="str">
        <f t="shared" si="266"/>
        <v/>
      </c>
      <c r="KB22" s="1575" t="str">
        <f t="shared" si="267"/>
        <v/>
      </c>
      <c r="KC22" s="1575" t="str">
        <f t="shared" si="268"/>
        <v/>
      </c>
      <c r="KD22" s="1575" t="str">
        <f t="shared" si="269"/>
        <v/>
      </c>
      <c r="KE22" s="1575" t="str">
        <f t="shared" si="270"/>
        <v/>
      </c>
      <c r="KF22" s="1575" t="str">
        <f t="shared" si="271"/>
        <v/>
      </c>
      <c r="KG22" s="1575" t="str">
        <f t="shared" si="272"/>
        <v/>
      </c>
      <c r="KH22" s="1575" t="str">
        <f t="shared" si="273"/>
        <v/>
      </c>
      <c r="KI22" s="1575" t="str">
        <f t="shared" si="274"/>
        <v/>
      </c>
      <c r="KJ22" s="1575" t="str">
        <f t="shared" si="275"/>
        <v/>
      </c>
      <c r="KK22" s="1575" t="str">
        <f t="shared" si="276"/>
        <v/>
      </c>
      <c r="KL22" s="1575" t="str">
        <f t="shared" si="277"/>
        <v/>
      </c>
      <c r="KM22" s="1575" t="str">
        <f t="shared" si="278"/>
        <v/>
      </c>
      <c r="KN22" s="1575" t="str">
        <f t="shared" si="279"/>
        <v/>
      </c>
      <c r="KO22" s="1575" t="str">
        <f t="shared" si="280"/>
        <v/>
      </c>
      <c r="KP22" s="1575" t="str">
        <f t="shared" si="281"/>
        <v/>
      </c>
      <c r="KQ22" s="1575" t="str">
        <f t="shared" si="282"/>
        <v/>
      </c>
      <c r="KR22" s="1575" t="str">
        <f t="shared" si="283"/>
        <v/>
      </c>
      <c r="KS22" s="1575" t="str">
        <f t="shared" si="284"/>
        <v/>
      </c>
      <c r="KT22" s="1575" t="str">
        <f t="shared" si="285"/>
        <v/>
      </c>
      <c r="KU22" s="1575" t="str">
        <f t="shared" si="286"/>
        <v/>
      </c>
      <c r="KV22" s="1575" t="str">
        <f t="shared" si="287"/>
        <v/>
      </c>
      <c r="KW22" s="1575" t="str">
        <f t="shared" si="288"/>
        <v/>
      </c>
      <c r="KX22" s="1575" t="str">
        <f t="shared" si="289"/>
        <v/>
      </c>
      <c r="KY22" s="1575" t="str">
        <f t="shared" si="290"/>
        <v/>
      </c>
      <c r="KZ22" s="1575" t="str">
        <f t="shared" si="291"/>
        <v/>
      </c>
      <c r="LA22" s="1575" t="str">
        <f t="shared" si="292"/>
        <v/>
      </c>
      <c r="LB22" s="1575" t="str">
        <f t="shared" si="293"/>
        <v/>
      </c>
      <c r="LC22" s="1575" t="str">
        <f t="shared" si="294"/>
        <v/>
      </c>
      <c r="LD22" s="1575" t="str">
        <f t="shared" si="295"/>
        <v/>
      </c>
      <c r="LE22" s="1575" t="str">
        <f t="shared" si="296"/>
        <v/>
      </c>
      <c r="LF22" s="1575" t="str">
        <f t="shared" si="297"/>
        <v/>
      </c>
      <c r="LG22" s="1564" t="str">
        <f t="shared" si="298"/>
        <v/>
      </c>
      <c r="LH22" s="1564" t="str">
        <f t="shared" si="299"/>
        <v/>
      </c>
      <c r="LI22" s="1564" t="str">
        <f t="shared" si="300"/>
        <v/>
      </c>
      <c r="LJ22" s="1564" t="str">
        <f t="shared" si="301"/>
        <v/>
      </c>
      <c r="LK22" s="1564"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441">
        <f t="shared" si="323"/>
        <v>0</v>
      </c>
      <c r="MG22" s="1441">
        <f t="shared" si="324"/>
        <v>0</v>
      </c>
      <c r="MH22" s="1441">
        <f t="shared" si="325"/>
        <v>1</v>
      </c>
      <c r="MI22" s="1441">
        <f t="shared" si="326"/>
        <v>0</v>
      </c>
      <c r="MJ22" s="1441">
        <f t="shared" si="327"/>
        <v>0</v>
      </c>
      <c r="MK22" s="1441">
        <f t="shared" si="333"/>
        <v>0</v>
      </c>
      <c r="ML22" s="1441">
        <f t="shared" si="334"/>
        <v>0</v>
      </c>
      <c r="MM22" s="1441">
        <f t="shared" si="335"/>
        <v>0</v>
      </c>
      <c r="MN22" s="1441">
        <f t="shared" si="336"/>
        <v>0</v>
      </c>
      <c r="MO22" s="1441">
        <f t="shared" si="337"/>
        <v>0</v>
      </c>
      <c r="MP22" s="1441">
        <f t="shared" si="328"/>
        <v>0</v>
      </c>
      <c r="MQ22" s="1441">
        <f t="shared" si="329"/>
        <v>0</v>
      </c>
      <c r="MR22" s="1441">
        <f t="shared" si="330"/>
        <v>0</v>
      </c>
      <c r="MS22" s="1441">
        <f t="shared" si="331"/>
        <v>0</v>
      </c>
      <c r="MT22" s="1441">
        <f t="shared" si="332"/>
        <v>0</v>
      </c>
      <c r="NP22" s="1413" t="s">
        <v>1123</v>
      </c>
    </row>
    <row r="23" spans="1:380" ht="13.9" customHeight="1">
      <c r="A23" s="55" t="str">
        <f t="shared" si="0"/>
        <v/>
      </c>
      <c r="B23" s="915">
        <v>60</v>
      </c>
      <c r="C23" s="89">
        <v>2</v>
      </c>
      <c r="D23" s="1443">
        <v>2</v>
      </c>
      <c r="E23" s="90">
        <v>1</v>
      </c>
      <c r="F23" s="90">
        <v>1188</v>
      </c>
      <c r="G23" s="90">
        <v>1378</v>
      </c>
      <c r="H23" s="90">
        <v>930</v>
      </c>
      <c r="I23" s="90">
        <v>0</v>
      </c>
      <c r="J23" s="596">
        <f>IF(C23="",0,HLOOKUP(C23,'Part IV-Utility Allowances'!$I$11:$M$22,12))</f>
        <v>173</v>
      </c>
      <c r="K23" s="509" t="s">
        <v>7053</v>
      </c>
      <c r="L23" s="351">
        <f t="shared" si="1"/>
        <v>757</v>
      </c>
      <c r="M23" s="351">
        <f t="shared" si="2"/>
        <v>757</v>
      </c>
      <c r="N23" s="549" t="s">
        <v>63</v>
      </c>
      <c r="O23" s="1381" t="s">
        <v>1205</v>
      </c>
      <c r="P23" s="549" t="s">
        <v>7052</v>
      </c>
      <c r="Q23" s="91" t="s">
        <v>63</v>
      </c>
      <c r="R23" s="586"/>
      <c r="S23" s="587"/>
      <c r="T23" s="3500"/>
      <c r="U23" s="3501"/>
      <c r="V23" s="3501"/>
      <c r="W23" s="3502"/>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f t="shared" si="15"/>
        <v>1</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f t="shared" si="65"/>
        <v>1</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f t="shared" si="130"/>
        <v>1188</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f t="shared" si="160"/>
        <v>1188</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f t="shared" si="185"/>
        <v>1</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575" t="str">
        <f t="shared" si="213"/>
        <v/>
      </c>
      <c r="IA23" s="1575" t="str">
        <f t="shared" si="214"/>
        <v/>
      </c>
      <c r="IB23" s="1575">
        <f t="shared" si="215"/>
        <v>1</v>
      </c>
      <c r="IC23" s="1575" t="str">
        <f t="shared" si="216"/>
        <v/>
      </c>
      <c r="ID23" s="1575" t="str">
        <f t="shared" si="217"/>
        <v/>
      </c>
      <c r="IE23" s="1575" t="str">
        <f t="shared" si="218"/>
        <v/>
      </c>
      <c r="IF23" s="1575" t="str">
        <f t="shared" si="219"/>
        <v/>
      </c>
      <c r="IG23" s="1575" t="str">
        <f t="shared" si="220"/>
        <v/>
      </c>
      <c r="IH23" s="1575" t="str">
        <f t="shared" si="221"/>
        <v/>
      </c>
      <c r="II23" s="1575" t="str">
        <f t="shared" si="222"/>
        <v/>
      </c>
      <c r="IJ23" s="1575" t="str">
        <f t="shared" si="223"/>
        <v/>
      </c>
      <c r="IK23" s="1575" t="str">
        <f t="shared" si="224"/>
        <v/>
      </c>
      <c r="IL23" s="1575" t="str">
        <f t="shared" si="225"/>
        <v/>
      </c>
      <c r="IM23" s="1575" t="str">
        <f t="shared" si="226"/>
        <v/>
      </c>
      <c r="IN23" s="1575" t="str">
        <f t="shared" si="227"/>
        <v/>
      </c>
      <c r="IO23" s="1575" t="str">
        <f t="shared" si="228"/>
        <v/>
      </c>
      <c r="IP23" s="1575" t="str">
        <f t="shared" si="229"/>
        <v/>
      </c>
      <c r="IQ23" s="1575" t="str">
        <f t="shared" si="230"/>
        <v/>
      </c>
      <c r="IR23" s="1575" t="str">
        <f t="shared" si="231"/>
        <v/>
      </c>
      <c r="IS23" s="1575" t="str">
        <f t="shared" si="232"/>
        <v/>
      </c>
      <c r="IT23" s="1575" t="str">
        <f t="shared" si="233"/>
        <v/>
      </c>
      <c r="IU23" s="1575" t="str">
        <f t="shared" si="234"/>
        <v/>
      </c>
      <c r="IV23" s="1575" t="str">
        <f t="shared" si="235"/>
        <v/>
      </c>
      <c r="IW23" s="1575" t="str">
        <f t="shared" si="236"/>
        <v/>
      </c>
      <c r="IX23" s="1575" t="str">
        <f t="shared" si="237"/>
        <v/>
      </c>
      <c r="IY23" s="1575" t="str">
        <f t="shared" si="238"/>
        <v/>
      </c>
      <c r="IZ23" s="1575" t="str">
        <f t="shared" si="239"/>
        <v/>
      </c>
      <c r="JA23" s="1575" t="str">
        <f t="shared" si="240"/>
        <v/>
      </c>
      <c r="JB23" s="1575" t="str">
        <f t="shared" si="241"/>
        <v/>
      </c>
      <c r="JC23" s="1575" t="str">
        <f t="shared" si="242"/>
        <v/>
      </c>
      <c r="JD23" s="1575" t="str">
        <f t="shared" si="243"/>
        <v/>
      </c>
      <c r="JE23" s="1575" t="str">
        <f t="shared" si="244"/>
        <v/>
      </c>
      <c r="JF23" s="1575" t="str">
        <f t="shared" si="245"/>
        <v/>
      </c>
      <c r="JG23" s="1575" t="str">
        <f t="shared" si="246"/>
        <v/>
      </c>
      <c r="JH23" s="1575" t="str">
        <f t="shared" si="247"/>
        <v/>
      </c>
      <c r="JI23" s="1575" t="str">
        <f t="shared" si="248"/>
        <v/>
      </c>
      <c r="JJ23" s="1575" t="str">
        <f t="shared" si="249"/>
        <v/>
      </c>
      <c r="JK23" s="1575" t="str">
        <f t="shared" si="250"/>
        <v/>
      </c>
      <c r="JL23" s="1575" t="str">
        <f t="shared" si="251"/>
        <v/>
      </c>
      <c r="JM23" s="1575" t="str">
        <f t="shared" si="252"/>
        <v/>
      </c>
      <c r="JN23" s="1575" t="str">
        <f t="shared" si="253"/>
        <v/>
      </c>
      <c r="JO23" s="1575" t="str">
        <f t="shared" si="254"/>
        <v/>
      </c>
      <c r="JP23" s="1575" t="str">
        <f t="shared" si="255"/>
        <v/>
      </c>
      <c r="JQ23" s="1575" t="str">
        <f t="shared" si="256"/>
        <v/>
      </c>
      <c r="JR23" s="1575" t="str">
        <f t="shared" si="257"/>
        <v/>
      </c>
      <c r="JS23" s="1575" t="str">
        <f t="shared" si="258"/>
        <v/>
      </c>
      <c r="JT23" s="1575" t="str">
        <f t="shared" si="259"/>
        <v/>
      </c>
      <c r="JU23" s="1575">
        <f t="shared" si="260"/>
        <v>1</v>
      </c>
      <c r="JV23" s="1575" t="str">
        <f t="shared" si="261"/>
        <v/>
      </c>
      <c r="JW23" s="1575" t="str">
        <f t="shared" si="262"/>
        <v/>
      </c>
      <c r="JX23" s="1575" t="str">
        <f t="shared" si="263"/>
        <v/>
      </c>
      <c r="JY23" s="1575" t="str">
        <f t="shared" si="264"/>
        <v/>
      </c>
      <c r="JZ23" s="1575" t="str">
        <f t="shared" si="265"/>
        <v/>
      </c>
      <c r="KA23" s="1575" t="str">
        <f t="shared" si="266"/>
        <v/>
      </c>
      <c r="KB23" s="1575" t="str">
        <f t="shared" si="267"/>
        <v/>
      </c>
      <c r="KC23" s="1575" t="str">
        <f t="shared" si="268"/>
        <v/>
      </c>
      <c r="KD23" s="1575" t="str">
        <f t="shared" si="269"/>
        <v/>
      </c>
      <c r="KE23" s="1575" t="str">
        <f t="shared" si="270"/>
        <v/>
      </c>
      <c r="KF23" s="1575" t="str">
        <f t="shared" si="271"/>
        <v/>
      </c>
      <c r="KG23" s="1575" t="str">
        <f t="shared" si="272"/>
        <v/>
      </c>
      <c r="KH23" s="1575" t="str">
        <f t="shared" si="273"/>
        <v/>
      </c>
      <c r="KI23" s="1575" t="str">
        <f t="shared" si="274"/>
        <v/>
      </c>
      <c r="KJ23" s="1575" t="str">
        <f t="shared" si="275"/>
        <v/>
      </c>
      <c r="KK23" s="1575" t="str">
        <f t="shared" si="276"/>
        <v/>
      </c>
      <c r="KL23" s="1575" t="str">
        <f t="shared" si="277"/>
        <v/>
      </c>
      <c r="KM23" s="1575" t="str">
        <f t="shared" si="278"/>
        <v/>
      </c>
      <c r="KN23" s="1575" t="str">
        <f t="shared" si="279"/>
        <v/>
      </c>
      <c r="KO23" s="1575" t="str">
        <f t="shared" si="280"/>
        <v/>
      </c>
      <c r="KP23" s="1575" t="str">
        <f t="shared" si="281"/>
        <v/>
      </c>
      <c r="KQ23" s="1575" t="str">
        <f t="shared" si="282"/>
        <v/>
      </c>
      <c r="KR23" s="1575" t="str">
        <f t="shared" si="283"/>
        <v/>
      </c>
      <c r="KS23" s="1575" t="str">
        <f t="shared" si="284"/>
        <v/>
      </c>
      <c r="KT23" s="1575" t="str">
        <f t="shared" si="285"/>
        <v/>
      </c>
      <c r="KU23" s="1575" t="str">
        <f t="shared" si="286"/>
        <v/>
      </c>
      <c r="KV23" s="1575" t="str">
        <f t="shared" si="287"/>
        <v/>
      </c>
      <c r="KW23" s="1575" t="str">
        <f t="shared" si="288"/>
        <v/>
      </c>
      <c r="KX23" s="1575" t="str">
        <f t="shared" si="289"/>
        <v/>
      </c>
      <c r="KY23" s="1575" t="str">
        <f t="shared" si="290"/>
        <v/>
      </c>
      <c r="KZ23" s="1575" t="str">
        <f t="shared" si="291"/>
        <v/>
      </c>
      <c r="LA23" s="1575" t="str">
        <f t="shared" si="292"/>
        <v/>
      </c>
      <c r="LB23" s="1575" t="str">
        <f t="shared" si="293"/>
        <v/>
      </c>
      <c r="LC23" s="1575" t="str">
        <f t="shared" si="294"/>
        <v/>
      </c>
      <c r="LD23" s="1575" t="str">
        <f t="shared" si="295"/>
        <v/>
      </c>
      <c r="LE23" s="1575" t="str">
        <f t="shared" si="296"/>
        <v/>
      </c>
      <c r="LF23" s="1575" t="str">
        <f t="shared" si="297"/>
        <v/>
      </c>
      <c r="LG23" s="1564" t="str">
        <f t="shared" si="298"/>
        <v/>
      </c>
      <c r="LH23" s="1564" t="str">
        <f t="shared" si="299"/>
        <v/>
      </c>
      <c r="LI23" s="1564" t="str">
        <f t="shared" si="300"/>
        <v/>
      </c>
      <c r="LJ23" s="1564" t="str">
        <f t="shared" si="301"/>
        <v/>
      </c>
      <c r="LK23" s="1564"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441">
        <f t="shared" si="323"/>
        <v>0</v>
      </c>
      <c r="MG23" s="1441">
        <f t="shared" si="324"/>
        <v>0</v>
      </c>
      <c r="MH23" s="1441">
        <f t="shared" si="325"/>
        <v>1</v>
      </c>
      <c r="MI23" s="1441">
        <f t="shared" si="326"/>
        <v>0</v>
      </c>
      <c r="MJ23" s="1441">
        <f t="shared" si="327"/>
        <v>0</v>
      </c>
      <c r="MK23" s="1441">
        <f t="shared" si="333"/>
        <v>0</v>
      </c>
      <c r="ML23" s="1441">
        <f t="shared" si="334"/>
        <v>0</v>
      </c>
      <c r="MM23" s="1441">
        <f t="shared" si="335"/>
        <v>0</v>
      </c>
      <c r="MN23" s="1441">
        <f t="shared" si="336"/>
        <v>0</v>
      </c>
      <c r="MO23" s="1441">
        <f t="shared" si="337"/>
        <v>0</v>
      </c>
      <c r="MP23" s="1441">
        <f t="shared" si="328"/>
        <v>0</v>
      </c>
      <c r="MQ23" s="1441">
        <f t="shared" si="329"/>
        <v>0</v>
      </c>
      <c r="MR23" s="1441">
        <f t="shared" si="330"/>
        <v>0</v>
      </c>
      <c r="MS23" s="1441">
        <f t="shared" si="331"/>
        <v>0</v>
      </c>
      <c r="MT23" s="1441">
        <f t="shared" si="332"/>
        <v>0</v>
      </c>
      <c r="NP23" s="1413" t="s">
        <v>1124</v>
      </c>
    </row>
    <row r="24" spans="1:380" ht="13.9" customHeight="1">
      <c r="A24" s="55" t="str">
        <f t="shared" si="0"/>
        <v/>
      </c>
      <c r="B24" s="915">
        <v>60</v>
      </c>
      <c r="C24" s="89">
        <v>2</v>
      </c>
      <c r="D24" s="1443">
        <v>2</v>
      </c>
      <c r="E24" s="90">
        <v>2</v>
      </c>
      <c r="F24" s="90">
        <v>1223</v>
      </c>
      <c r="G24" s="90">
        <v>1378</v>
      </c>
      <c r="H24" s="90">
        <v>930</v>
      </c>
      <c r="I24" s="90">
        <v>0</v>
      </c>
      <c r="J24" s="596">
        <f>IF(C24="",0,HLOOKUP(C24,'Part IV-Utility Allowances'!$I$11:$M$22,12))</f>
        <v>173</v>
      </c>
      <c r="K24" s="509" t="s">
        <v>7053</v>
      </c>
      <c r="L24" s="351">
        <f t="shared" si="1"/>
        <v>757</v>
      </c>
      <c r="M24" s="351">
        <f t="shared" si="2"/>
        <v>1514</v>
      </c>
      <c r="N24" s="549" t="s">
        <v>63</v>
      </c>
      <c r="O24" s="1381" t="s">
        <v>1205</v>
      </c>
      <c r="P24" s="549" t="s">
        <v>7052</v>
      </c>
      <c r="Q24" s="91" t="s">
        <v>63</v>
      </c>
      <c r="R24" s="586"/>
      <c r="S24" s="587"/>
      <c r="T24" s="3500"/>
      <c r="U24" s="3501"/>
      <c r="V24" s="3501"/>
      <c r="W24" s="3502"/>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f t="shared" si="15"/>
        <v>2</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f t="shared" si="65"/>
        <v>2</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f t="shared" si="130"/>
        <v>2446</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f t="shared" si="160"/>
        <v>2446</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f t="shared" si="185"/>
        <v>2</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575" t="str">
        <f t="shared" si="213"/>
        <v/>
      </c>
      <c r="IA24" s="1575" t="str">
        <f t="shared" si="214"/>
        <v/>
      </c>
      <c r="IB24" s="1575">
        <f t="shared" si="215"/>
        <v>2</v>
      </c>
      <c r="IC24" s="1575" t="str">
        <f t="shared" si="216"/>
        <v/>
      </c>
      <c r="ID24" s="1575" t="str">
        <f t="shared" si="217"/>
        <v/>
      </c>
      <c r="IE24" s="1575" t="str">
        <f t="shared" si="218"/>
        <v/>
      </c>
      <c r="IF24" s="1575" t="str">
        <f t="shared" si="219"/>
        <v/>
      </c>
      <c r="IG24" s="1575" t="str">
        <f t="shared" si="220"/>
        <v/>
      </c>
      <c r="IH24" s="1575" t="str">
        <f t="shared" si="221"/>
        <v/>
      </c>
      <c r="II24" s="1575" t="str">
        <f t="shared" si="222"/>
        <v/>
      </c>
      <c r="IJ24" s="1575" t="str">
        <f t="shared" si="223"/>
        <v/>
      </c>
      <c r="IK24" s="1575" t="str">
        <f t="shared" si="224"/>
        <v/>
      </c>
      <c r="IL24" s="1575" t="str">
        <f t="shared" si="225"/>
        <v/>
      </c>
      <c r="IM24" s="1575" t="str">
        <f t="shared" si="226"/>
        <v/>
      </c>
      <c r="IN24" s="1575" t="str">
        <f t="shared" si="227"/>
        <v/>
      </c>
      <c r="IO24" s="1575" t="str">
        <f t="shared" si="228"/>
        <v/>
      </c>
      <c r="IP24" s="1575" t="str">
        <f t="shared" si="229"/>
        <v/>
      </c>
      <c r="IQ24" s="1575" t="str">
        <f t="shared" si="230"/>
        <v/>
      </c>
      <c r="IR24" s="1575" t="str">
        <f t="shared" si="231"/>
        <v/>
      </c>
      <c r="IS24" s="1575" t="str">
        <f t="shared" si="232"/>
        <v/>
      </c>
      <c r="IT24" s="1575" t="str">
        <f t="shared" si="233"/>
        <v/>
      </c>
      <c r="IU24" s="1575" t="str">
        <f t="shared" si="234"/>
        <v/>
      </c>
      <c r="IV24" s="1575" t="str">
        <f t="shared" si="235"/>
        <v/>
      </c>
      <c r="IW24" s="1575" t="str">
        <f t="shared" si="236"/>
        <v/>
      </c>
      <c r="IX24" s="1575" t="str">
        <f t="shared" si="237"/>
        <v/>
      </c>
      <c r="IY24" s="1575" t="str">
        <f t="shared" si="238"/>
        <v/>
      </c>
      <c r="IZ24" s="1575" t="str">
        <f t="shared" si="239"/>
        <v/>
      </c>
      <c r="JA24" s="1575" t="str">
        <f t="shared" si="240"/>
        <v/>
      </c>
      <c r="JB24" s="1575" t="str">
        <f t="shared" si="241"/>
        <v/>
      </c>
      <c r="JC24" s="1575" t="str">
        <f t="shared" si="242"/>
        <v/>
      </c>
      <c r="JD24" s="1575" t="str">
        <f t="shared" si="243"/>
        <v/>
      </c>
      <c r="JE24" s="1575" t="str">
        <f t="shared" si="244"/>
        <v/>
      </c>
      <c r="JF24" s="1575" t="str">
        <f t="shared" si="245"/>
        <v/>
      </c>
      <c r="JG24" s="1575" t="str">
        <f t="shared" si="246"/>
        <v/>
      </c>
      <c r="JH24" s="1575" t="str">
        <f t="shared" si="247"/>
        <v/>
      </c>
      <c r="JI24" s="1575" t="str">
        <f t="shared" si="248"/>
        <v/>
      </c>
      <c r="JJ24" s="1575" t="str">
        <f t="shared" si="249"/>
        <v/>
      </c>
      <c r="JK24" s="1575" t="str">
        <f t="shared" si="250"/>
        <v/>
      </c>
      <c r="JL24" s="1575" t="str">
        <f t="shared" si="251"/>
        <v/>
      </c>
      <c r="JM24" s="1575" t="str">
        <f t="shared" si="252"/>
        <v/>
      </c>
      <c r="JN24" s="1575" t="str">
        <f t="shared" si="253"/>
        <v/>
      </c>
      <c r="JO24" s="1575" t="str">
        <f t="shared" si="254"/>
        <v/>
      </c>
      <c r="JP24" s="1575" t="str">
        <f t="shared" si="255"/>
        <v/>
      </c>
      <c r="JQ24" s="1575" t="str">
        <f t="shared" si="256"/>
        <v/>
      </c>
      <c r="JR24" s="1575" t="str">
        <f t="shared" si="257"/>
        <v/>
      </c>
      <c r="JS24" s="1575" t="str">
        <f t="shared" si="258"/>
        <v/>
      </c>
      <c r="JT24" s="1575" t="str">
        <f t="shared" si="259"/>
        <v/>
      </c>
      <c r="JU24" s="1575">
        <f t="shared" si="260"/>
        <v>2</v>
      </c>
      <c r="JV24" s="1575" t="str">
        <f t="shared" si="261"/>
        <v/>
      </c>
      <c r="JW24" s="1575" t="str">
        <f t="shared" si="262"/>
        <v/>
      </c>
      <c r="JX24" s="1575" t="str">
        <f t="shared" si="263"/>
        <v/>
      </c>
      <c r="JY24" s="1575" t="str">
        <f t="shared" si="264"/>
        <v/>
      </c>
      <c r="JZ24" s="1575" t="str">
        <f t="shared" si="265"/>
        <v/>
      </c>
      <c r="KA24" s="1575" t="str">
        <f t="shared" si="266"/>
        <v/>
      </c>
      <c r="KB24" s="1575" t="str">
        <f t="shared" si="267"/>
        <v/>
      </c>
      <c r="KC24" s="1575" t="str">
        <f t="shared" si="268"/>
        <v/>
      </c>
      <c r="KD24" s="1575" t="str">
        <f t="shared" si="269"/>
        <v/>
      </c>
      <c r="KE24" s="1575" t="str">
        <f t="shared" si="270"/>
        <v/>
      </c>
      <c r="KF24" s="1575" t="str">
        <f t="shared" si="271"/>
        <v/>
      </c>
      <c r="KG24" s="1575" t="str">
        <f t="shared" si="272"/>
        <v/>
      </c>
      <c r="KH24" s="1575" t="str">
        <f t="shared" si="273"/>
        <v/>
      </c>
      <c r="KI24" s="1575" t="str">
        <f t="shared" si="274"/>
        <v/>
      </c>
      <c r="KJ24" s="1575" t="str">
        <f t="shared" si="275"/>
        <v/>
      </c>
      <c r="KK24" s="1575" t="str">
        <f t="shared" si="276"/>
        <v/>
      </c>
      <c r="KL24" s="1575" t="str">
        <f t="shared" si="277"/>
        <v/>
      </c>
      <c r="KM24" s="1575" t="str">
        <f t="shared" si="278"/>
        <v/>
      </c>
      <c r="KN24" s="1575" t="str">
        <f t="shared" si="279"/>
        <v/>
      </c>
      <c r="KO24" s="1575" t="str">
        <f t="shared" si="280"/>
        <v/>
      </c>
      <c r="KP24" s="1575" t="str">
        <f t="shared" si="281"/>
        <v/>
      </c>
      <c r="KQ24" s="1575" t="str">
        <f t="shared" si="282"/>
        <v/>
      </c>
      <c r="KR24" s="1575" t="str">
        <f t="shared" si="283"/>
        <v/>
      </c>
      <c r="KS24" s="1575" t="str">
        <f t="shared" si="284"/>
        <v/>
      </c>
      <c r="KT24" s="1575" t="str">
        <f t="shared" si="285"/>
        <v/>
      </c>
      <c r="KU24" s="1575" t="str">
        <f t="shared" si="286"/>
        <v/>
      </c>
      <c r="KV24" s="1575" t="str">
        <f t="shared" si="287"/>
        <v/>
      </c>
      <c r="KW24" s="1575" t="str">
        <f t="shared" si="288"/>
        <v/>
      </c>
      <c r="KX24" s="1575" t="str">
        <f t="shared" si="289"/>
        <v/>
      </c>
      <c r="KY24" s="1575" t="str">
        <f t="shared" si="290"/>
        <v/>
      </c>
      <c r="KZ24" s="1575" t="str">
        <f t="shared" si="291"/>
        <v/>
      </c>
      <c r="LA24" s="1575" t="str">
        <f t="shared" si="292"/>
        <v/>
      </c>
      <c r="LB24" s="1575" t="str">
        <f t="shared" si="293"/>
        <v/>
      </c>
      <c r="LC24" s="1575" t="str">
        <f t="shared" si="294"/>
        <v/>
      </c>
      <c r="LD24" s="1575" t="str">
        <f t="shared" si="295"/>
        <v/>
      </c>
      <c r="LE24" s="1575" t="str">
        <f t="shared" si="296"/>
        <v/>
      </c>
      <c r="LF24" s="1575" t="str">
        <f t="shared" si="297"/>
        <v/>
      </c>
      <c r="LG24" s="1564" t="str">
        <f t="shared" si="298"/>
        <v/>
      </c>
      <c r="LH24" s="1564" t="str">
        <f t="shared" si="299"/>
        <v/>
      </c>
      <c r="LI24" s="1564" t="str">
        <f t="shared" si="300"/>
        <v/>
      </c>
      <c r="LJ24" s="1564" t="str">
        <f t="shared" si="301"/>
        <v/>
      </c>
      <c r="LK24" s="1564"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441">
        <f t="shared" si="323"/>
        <v>0</v>
      </c>
      <c r="MG24" s="1441">
        <f t="shared" si="324"/>
        <v>0</v>
      </c>
      <c r="MH24" s="1441">
        <f t="shared" si="325"/>
        <v>2</v>
      </c>
      <c r="MI24" s="1441">
        <f t="shared" si="326"/>
        <v>0</v>
      </c>
      <c r="MJ24" s="1441">
        <f t="shared" si="327"/>
        <v>0</v>
      </c>
      <c r="MK24" s="1441">
        <f t="shared" si="333"/>
        <v>0</v>
      </c>
      <c r="ML24" s="1441">
        <f t="shared" si="334"/>
        <v>0</v>
      </c>
      <c r="MM24" s="1441">
        <f t="shared" si="335"/>
        <v>0</v>
      </c>
      <c r="MN24" s="1441">
        <f t="shared" si="336"/>
        <v>0</v>
      </c>
      <c r="MO24" s="1441">
        <f t="shared" si="337"/>
        <v>0</v>
      </c>
      <c r="MP24" s="1441">
        <f t="shared" si="328"/>
        <v>0</v>
      </c>
      <c r="MQ24" s="1441">
        <f t="shared" si="329"/>
        <v>0</v>
      </c>
      <c r="MR24" s="1441">
        <f t="shared" si="330"/>
        <v>0</v>
      </c>
      <c r="MS24" s="1441">
        <f t="shared" si="331"/>
        <v>0</v>
      </c>
      <c r="MT24" s="1441">
        <f t="shared" si="332"/>
        <v>0</v>
      </c>
      <c r="NP24" s="1413" t="s">
        <v>1125</v>
      </c>
    </row>
    <row r="25" spans="1:380" ht="13.9" customHeight="1">
      <c r="A25" s="55" t="str">
        <f t="shared" si="0"/>
        <v/>
      </c>
      <c r="B25" s="915"/>
      <c r="C25" s="89"/>
      <c r="D25" s="1443"/>
      <c r="E25" s="90"/>
      <c r="F25" s="90"/>
      <c r="G25" s="90"/>
      <c r="H25" s="90"/>
      <c r="I25" s="90"/>
      <c r="J25" s="596">
        <f>IF(C25="",0,HLOOKUP(C25,'Part IV-Utility Allowances'!$I$11:$M$22,12))</f>
        <v>0</v>
      </c>
      <c r="K25" s="509"/>
      <c r="L25" s="351">
        <f t="shared" si="1"/>
        <v>0</v>
      </c>
      <c r="M25" s="351">
        <f t="shared" si="2"/>
        <v>0</v>
      </c>
      <c r="N25" s="549"/>
      <c r="O25" s="1381"/>
      <c r="P25" s="549"/>
      <c r="Q25" s="91"/>
      <c r="R25" s="586"/>
      <c r="S25" s="587"/>
      <c r="T25" s="3500"/>
      <c r="U25" s="3501"/>
      <c r="V25" s="3501"/>
      <c r="W25" s="3502"/>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575" t="str">
        <f t="shared" si="213"/>
        <v/>
      </c>
      <c r="IA25" s="1575" t="str">
        <f t="shared" si="214"/>
        <v/>
      </c>
      <c r="IB25" s="1575" t="str">
        <f t="shared" si="215"/>
        <v/>
      </c>
      <c r="IC25" s="1575" t="str">
        <f t="shared" si="216"/>
        <v/>
      </c>
      <c r="ID25" s="1575" t="str">
        <f t="shared" si="217"/>
        <v/>
      </c>
      <c r="IE25" s="1575" t="str">
        <f t="shared" si="218"/>
        <v/>
      </c>
      <c r="IF25" s="1575" t="str">
        <f t="shared" si="219"/>
        <v/>
      </c>
      <c r="IG25" s="1575" t="str">
        <f t="shared" si="220"/>
        <v/>
      </c>
      <c r="IH25" s="1575" t="str">
        <f t="shared" si="221"/>
        <v/>
      </c>
      <c r="II25" s="1575" t="str">
        <f t="shared" si="222"/>
        <v/>
      </c>
      <c r="IJ25" s="1575" t="str">
        <f t="shared" si="223"/>
        <v/>
      </c>
      <c r="IK25" s="1575" t="str">
        <f t="shared" si="224"/>
        <v/>
      </c>
      <c r="IL25" s="1575" t="str">
        <f t="shared" si="225"/>
        <v/>
      </c>
      <c r="IM25" s="1575" t="str">
        <f t="shared" si="226"/>
        <v/>
      </c>
      <c r="IN25" s="1575" t="str">
        <f t="shared" si="227"/>
        <v/>
      </c>
      <c r="IO25" s="1575" t="str">
        <f t="shared" si="228"/>
        <v/>
      </c>
      <c r="IP25" s="1575" t="str">
        <f t="shared" si="229"/>
        <v/>
      </c>
      <c r="IQ25" s="1575" t="str">
        <f t="shared" si="230"/>
        <v/>
      </c>
      <c r="IR25" s="1575" t="str">
        <f t="shared" si="231"/>
        <v/>
      </c>
      <c r="IS25" s="1575" t="str">
        <f t="shared" si="232"/>
        <v/>
      </c>
      <c r="IT25" s="1575" t="str">
        <f t="shared" si="233"/>
        <v/>
      </c>
      <c r="IU25" s="1575" t="str">
        <f t="shared" si="234"/>
        <v/>
      </c>
      <c r="IV25" s="1575" t="str">
        <f t="shared" si="235"/>
        <v/>
      </c>
      <c r="IW25" s="1575" t="str">
        <f t="shared" si="236"/>
        <v/>
      </c>
      <c r="IX25" s="1575" t="str">
        <f t="shared" si="237"/>
        <v/>
      </c>
      <c r="IY25" s="1575" t="str">
        <f t="shared" si="238"/>
        <v/>
      </c>
      <c r="IZ25" s="1575" t="str">
        <f t="shared" si="239"/>
        <v/>
      </c>
      <c r="JA25" s="1575" t="str">
        <f t="shared" si="240"/>
        <v/>
      </c>
      <c r="JB25" s="1575" t="str">
        <f t="shared" si="241"/>
        <v/>
      </c>
      <c r="JC25" s="1575" t="str">
        <f t="shared" si="242"/>
        <v/>
      </c>
      <c r="JD25" s="1575" t="str">
        <f t="shared" si="243"/>
        <v/>
      </c>
      <c r="JE25" s="1575" t="str">
        <f t="shared" si="244"/>
        <v/>
      </c>
      <c r="JF25" s="1575" t="str">
        <f t="shared" si="245"/>
        <v/>
      </c>
      <c r="JG25" s="1575" t="str">
        <f t="shared" si="246"/>
        <v/>
      </c>
      <c r="JH25" s="1575" t="str">
        <f t="shared" si="247"/>
        <v/>
      </c>
      <c r="JI25" s="1575" t="str">
        <f t="shared" si="248"/>
        <v/>
      </c>
      <c r="JJ25" s="1575" t="str">
        <f t="shared" si="249"/>
        <v/>
      </c>
      <c r="JK25" s="1575" t="str">
        <f t="shared" si="250"/>
        <v/>
      </c>
      <c r="JL25" s="1575" t="str">
        <f t="shared" si="251"/>
        <v/>
      </c>
      <c r="JM25" s="1575" t="str">
        <f t="shared" si="252"/>
        <v/>
      </c>
      <c r="JN25" s="1575" t="str">
        <f t="shared" si="253"/>
        <v/>
      </c>
      <c r="JO25" s="1575" t="str">
        <f t="shared" si="254"/>
        <v/>
      </c>
      <c r="JP25" s="1575" t="str">
        <f t="shared" si="255"/>
        <v/>
      </c>
      <c r="JQ25" s="1575" t="str">
        <f t="shared" si="256"/>
        <v/>
      </c>
      <c r="JR25" s="1575" t="str">
        <f t="shared" si="257"/>
        <v/>
      </c>
      <c r="JS25" s="1575" t="str">
        <f t="shared" si="258"/>
        <v/>
      </c>
      <c r="JT25" s="1575" t="str">
        <f t="shared" si="259"/>
        <v/>
      </c>
      <c r="JU25" s="1575" t="str">
        <f t="shared" si="260"/>
        <v/>
      </c>
      <c r="JV25" s="1575" t="str">
        <f t="shared" si="261"/>
        <v/>
      </c>
      <c r="JW25" s="1575" t="str">
        <f t="shared" si="262"/>
        <v/>
      </c>
      <c r="JX25" s="1575" t="str">
        <f t="shared" si="263"/>
        <v/>
      </c>
      <c r="JY25" s="1575" t="str">
        <f t="shared" si="264"/>
        <v/>
      </c>
      <c r="JZ25" s="1575" t="str">
        <f t="shared" si="265"/>
        <v/>
      </c>
      <c r="KA25" s="1575" t="str">
        <f t="shared" si="266"/>
        <v/>
      </c>
      <c r="KB25" s="1575" t="str">
        <f t="shared" si="267"/>
        <v/>
      </c>
      <c r="KC25" s="1575" t="str">
        <f t="shared" si="268"/>
        <v/>
      </c>
      <c r="KD25" s="1575" t="str">
        <f t="shared" si="269"/>
        <v/>
      </c>
      <c r="KE25" s="1575" t="str">
        <f t="shared" si="270"/>
        <v/>
      </c>
      <c r="KF25" s="1575" t="str">
        <f t="shared" si="271"/>
        <v/>
      </c>
      <c r="KG25" s="1575" t="str">
        <f t="shared" si="272"/>
        <v/>
      </c>
      <c r="KH25" s="1575" t="str">
        <f t="shared" si="273"/>
        <v/>
      </c>
      <c r="KI25" s="1575" t="str">
        <f t="shared" si="274"/>
        <v/>
      </c>
      <c r="KJ25" s="1575" t="str">
        <f t="shared" si="275"/>
        <v/>
      </c>
      <c r="KK25" s="1575" t="str">
        <f t="shared" si="276"/>
        <v/>
      </c>
      <c r="KL25" s="1575" t="str">
        <f t="shared" si="277"/>
        <v/>
      </c>
      <c r="KM25" s="1575" t="str">
        <f t="shared" si="278"/>
        <v/>
      </c>
      <c r="KN25" s="1575" t="str">
        <f t="shared" si="279"/>
        <v/>
      </c>
      <c r="KO25" s="1575" t="str">
        <f t="shared" si="280"/>
        <v/>
      </c>
      <c r="KP25" s="1575" t="str">
        <f t="shared" si="281"/>
        <v/>
      </c>
      <c r="KQ25" s="1575" t="str">
        <f t="shared" si="282"/>
        <v/>
      </c>
      <c r="KR25" s="1575" t="str">
        <f t="shared" si="283"/>
        <v/>
      </c>
      <c r="KS25" s="1575" t="str">
        <f t="shared" si="284"/>
        <v/>
      </c>
      <c r="KT25" s="1575" t="str">
        <f t="shared" si="285"/>
        <v/>
      </c>
      <c r="KU25" s="1575" t="str">
        <f t="shared" si="286"/>
        <v/>
      </c>
      <c r="KV25" s="1575" t="str">
        <f t="shared" si="287"/>
        <v/>
      </c>
      <c r="KW25" s="1575" t="str">
        <f t="shared" si="288"/>
        <v/>
      </c>
      <c r="KX25" s="1575" t="str">
        <f t="shared" si="289"/>
        <v/>
      </c>
      <c r="KY25" s="1575" t="str">
        <f t="shared" si="290"/>
        <v/>
      </c>
      <c r="KZ25" s="1575" t="str">
        <f t="shared" si="291"/>
        <v/>
      </c>
      <c r="LA25" s="1575" t="str">
        <f t="shared" si="292"/>
        <v/>
      </c>
      <c r="LB25" s="1575" t="str">
        <f t="shared" si="293"/>
        <v/>
      </c>
      <c r="LC25" s="1575" t="str">
        <f t="shared" si="294"/>
        <v/>
      </c>
      <c r="LD25" s="1575" t="str">
        <f t="shared" si="295"/>
        <v/>
      </c>
      <c r="LE25" s="1575" t="str">
        <f t="shared" si="296"/>
        <v/>
      </c>
      <c r="LF25" s="1575" t="str">
        <f t="shared" si="297"/>
        <v/>
      </c>
      <c r="LG25" s="1564" t="str">
        <f t="shared" si="298"/>
        <v/>
      </c>
      <c r="LH25" s="1564" t="str">
        <f t="shared" si="299"/>
        <v/>
      </c>
      <c r="LI25" s="1564" t="str">
        <f t="shared" si="300"/>
        <v/>
      </c>
      <c r="LJ25" s="1564" t="str">
        <f t="shared" si="301"/>
        <v/>
      </c>
      <c r="LK25" s="1564"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441">
        <f t="shared" si="323"/>
        <v>0</v>
      </c>
      <c r="MG25" s="1441">
        <f t="shared" si="324"/>
        <v>0</v>
      </c>
      <c r="MH25" s="1441">
        <f t="shared" si="325"/>
        <v>0</v>
      </c>
      <c r="MI25" s="1441">
        <f t="shared" si="326"/>
        <v>0</v>
      </c>
      <c r="MJ25" s="1441">
        <f t="shared" si="327"/>
        <v>0</v>
      </c>
      <c r="MK25" s="1441">
        <f t="shared" si="333"/>
        <v>0</v>
      </c>
      <c r="ML25" s="1441">
        <f t="shared" si="334"/>
        <v>0</v>
      </c>
      <c r="MM25" s="1441">
        <f t="shared" si="335"/>
        <v>0</v>
      </c>
      <c r="MN25" s="1441">
        <f t="shared" si="336"/>
        <v>0</v>
      </c>
      <c r="MO25" s="1441">
        <f t="shared" si="337"/>
        <v>0</v>
      </c>
      <c r="MP25" s="1441">
        <f t="shared" si="328"/>
        <v>0</v>
      </c>
      <c r="MQ25" s="1441">
        <f t="shared" si="329"/>
        <v>0</v>
      </c>
      <c r="MR25" s="1441">
        <f t="shared" si="330"/>
        <v>0</v>
      </c>
      <c r="MS25" s="1441">
        <f t="shared" si="331"/>
        <v>0</v>
      </c>
      <c r="MT25" s="1441">
        <f t="shared" si="332"/>
        <v>0</v>
      </c>
      <c r="NP25" s="1413" t="s">
        <v>1126</v>
      </c>
    </row>
    <row r="26" spans="1:380" ht="13.9" customHeight="1">
      <c r="A26" s="55" t="str">
        <f t="shared" si="0"/>
        <v/>
      </c>
      <c r="B26" s="915">
        <v>60</v>
      </c>
      <c r="C26" s="89">
        <v>2</v>
      </c>
      <c r="D26" s="1443">
        <v>2</v>
      </c>
      <c r="E26" s="90">
        <v>2</v>
      </c>
      <c r="F26" s="90">
        <v>1089</v>
      </c>
      <c r="G26" s="90">
        <v>1378</v>
      </c>
      <c r="H26" s="90">
        <v>1485.0000000000002</v>
      </c>
      <c r="I26" s="90">
        <v>0</v>
      </c>
      <c r="J26" s="596">
        <f>IF(C26="",0,HLOOKUP(C26,'Part IV-Utility Allowances'!$I$11:$M$22,12))</f>
        <v>173</v>
      </c>
      <c r="K26" s="509" t="s">
        <v>7054</v>
      </c>
      <c r="L26" s="351">
        <f t="shared" si="1"/>
        <v>1312.0000000000002</v>
      </c>
      <c r="M26" s="351">
        <f t="shared" si="2"/>
        <v>2624.0000000000005</v>
      </c>
      <c r="N26" s="549" t="s">
        <v>63</v>
      </c>
      <c r="O26" s="1381" t="s">
        <v>1205</v>
      </c>
      <c r="P26" s="549" t="s">
        <v>7052</v>
      </c>
      <c r="Q26" s="91" t="s">
        <v>63</v>
      </c>
      <c r="R26" s="586"/>
      <c r="S26" s="587"/>
      <c r="T26" s="3500"/>
      <c r="U26" s="3501"/>
      <c r="V26" s="3501"/>
      <c r="W26" s="3502"/>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f t="shared" si="15"/>
        <v>2</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f t="shared" si="65"/>
        <v>2</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f t="shared" si="130"/>
        <v>2178</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f t="shared" si="160"/>
        <v>2178</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f t="shared" si="185"/>
        <v>2</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575" t="str">
        <f t="shared" si="213"/>
        <v/>
      </c>
      <c r="IA26" s="1575" t="str">
        <f t="shared" si="214"/>
        <v/>
      </c>
      <c r="IB26" s="1575">
        <f t="shared" si="215"/>
        <v>2</v>
      </c>
      <c r="IC26" s="1575" t="str">
        <f t="shared" si="216"/>
        <v/>
      </c>
      <c r="ID26" s="1575" t="str">
        <f t="shared" si="217"/>
        <v/>
      </c>
      <c r="IE26" s="1575" t="str">
        <f t="shared" si="218"/>
        <v/>
      </c>
      <c r="IF26" s="1575" t="str">
        <f t="shared" si="219"/>
        <v/>
      </c>
      <c r="IG26" s="1575" t="str">
        <f t="shared" si="220"/>
        <v/>
      </c>
      <c r="IH26" s="1575" t="str">
        <f t="shared" si="221"/>
        <v/>
      </c>
      <c r="II26" s="1575" t="str">
        <f t="shared" si="222"/>
        <v/>
      </c>
      <c r="IJ26" s="1575" t="str">
        <f t="shared" si="223"/>
        <v/>
      </c>
      <c r="IK26" s="1575" t="str">
        <f t="shared" si="224"/>
        <v/>
      </c>
      <c r="IL26" s="1575" t="str">
        <f t="shared" si="225"/>
        <v/>
      </c>
      <c r="IM26" s="1575" t="str">
        <f t="shared" si="226"/>
        <v/>
      </c>
      <c r="IN26" s="1575" t="str">
        <f t="shared" si="227"/>
        <v/>
      </c>
      <c r="IO26" s="1575" t="str">
        <f t="shared" si="228"/>
        <v/>
      </c>
      <c r="IP26" s="1575" t="str">
        <f t="shared" si="229"/>
        <v/>
      </c>
      <c r="IQ26" s="1575" t="str">
        <f t="shared" si="230"/>
        <v/>
      </c>
      <c r="IR26" s="1575" t="str">
        <f t="shared" si="231"/>
        <v/>
      </c>
      <c r="IS26" s="1575" t="str">
        <f t="shared" si="232"/>
        <v/>
      </c>
      <c r="IT26" s="1575" t="str">
        <f t="shared" si="233"/>
        <v/>
      </c>
      <c r="IU26" s="1575" t="str">
        <f t="shared" si="234"/>
        <v/>
      </c>
      <c r="IV26" s="1575" t="str">
        <f t="shared" si="235"/>
        <v/>
      </c>
      <c r="IW26" s="1575" t="str">
        <f t="shared" si="236"/>
        <v/>
      </c>
      <c r="IX26" s="1575" t="str">
        <f t="shared" si="237"/>
        <v/>
      </c>
      <c r="IY26" s="1575" t="str">
        <f t="shared" si="238"/>
        <v/>
      </c>
      <c r="IZ26" s="1575" t="str">
        <f t="shared" si="239"/>
        <v/>
      </c>
      <c r="JA26" s="1575" t="str">
        <f t="shared" si="240"/>
        <v/>
      </c>
      <c r="JB26" s="1575" t="str">
        <f t="shared" si="241"/>
        <v/>
      </c>
      <c r="JC26" s="1575" t="str">
        <f t="shared" si="242"/>
        <v/>
      </c>
      <c r="JD26" s="1575" t="str">
        <f t="shared" si="243"/>
        <v/>
      </c>
      <c r="JE26" s="1575" t="str">
        <f t="shared" si="244"/>
        <v/>
      </c>
      <c r="JF26" s="1575" t="str">
        <f t="shared" si="245"/>
        <v/>
      </c>
      <c r="JG26" s="1575" t="str">
        <f t="shared" si="246"/>
        <v/>
      </c>
      <c r="JH26" s="1575" t="str">
        <f t="shared" si="247"/>
        <v/>
      </c>
      <c r="JI26" s="1575" t="str">
        <f t="shared" si="248"/>
        <v/>
      </c>
      <c r="JJ26" s="1575" t="str">
        <f t="shared" si="249"/>
        <v/>
      </c>
      <c r="JK26" s="1575" t="str">
        <f t="shared" si="250"/>
        <v/>
      </c>
      <c r="JL26" s="1575" t="str">
        <f t="shared" si="251"/>
        <v/>
      </c>
      <c r="JM26" s="1575" t="str">
        <f t="shared" si="252"/>
        <v/>
      </c>
      <c r="JN26" s="1575" t="str">
        <f t="shared" si="253"/>
        <v/>
      </c>
      <c r="JO26" s="1575" t="str">
        <f t="shared" si="254"/>
        <v/>
      </c>
      <c r="JP26" s="1575" t="str">
        <f t="shared" si="255"/>
        <v/>
      </c>
      <c r="JQ26" s="1575" t="str">
        <f t="shared" si="256"/>
        <v/>
      </c>
      <c r="JR26" s="1575" t="str">
        <f t="shared" si="257"/>
        <v/>
      </c>
      <c r="JS26" s="1575" t="str">
        <f t="shared" si="258"/>
        <v/>
      </c>
      <c r="JT26" s="1575" t="str">
        <f t="shared" si="259"/>
        <v/>
      </c>
      <c r="JU26" s="1575">
        <f t="shared" si="260"/>
        <v>2</v>
      </c>
      <c r="JV26" s="1575" t="str">
        <f t="shared" si="261"/>
        <v/>
      </c>
      <c r="JW26" s="1575" t="str">
        <f t="shared" si="262"/>
        <v/>
      </c>
      <c r="JX26" s="1575" t="str">
        <f t="shared" si="263"/>
        <v/>
      </c>
      <c r="JY26" s="1575" t="str">
        <f t="shared" si="264"/>
        <v/>
      </c>
      <c r="JZ26" s="1575" t="str">
        <f t="shared" si="265"/>
        <v/>
      </c>
      <c r="KA26" s="1575" t="str">
        <f t="shared" si="266"/>
        <v/>
      </c>
      <c r="KB26" s="1575" t="str">
        <f t="shared" si="267"/>
        <v/>
      </c>
      <c r="KC26" s="1575" t="str">
        <f t="shared" si="268"/>
        <v/>
      </c>
      <c r="KD26" s="1575" t="str">
        <f t="shared" si="269"/>
        <v/>
      </c>
      <c r="KE26" s="1575" t="str">
        <f t="shared" si="270"/>
        <v/>
      </c>
      <c r="KF26" s="1575" t="str">
        <f t="shared" si="271"/>
        <v/>
      </c>
      <c r="KG26" s="1575" t="str">
        <f t="shared" si="272"/>
        <v/>
      </c>
      <c r="KH26" s="1575" t="str">
        <f t="shared" si="273"/>
        <v/>
      </c>
      <c r="KI26" s="1575" t="str">
        <f t="shared" si="274"/>
        <v/>
      </c>
      <c r="KJ26" s="1575" t="str">
        <f t="shared" si="275"/>
        <v/>
      </c>
      <c r="KK26" s="1575" t="str">
        <f t="shared" si="276"/>
        <v/>
      </c>
      <c r="KL26" s="1575" t="str">
        <f t="shared" si="277"/>
        <v/>
      </c>
      <c r="KM26" s="1575" t="str">
        <f t="shared" si="278"/>
        <v/>
      </c>
      <c r="KN26" s="1575" t="str">
        <f t="shared" si="279"/>
        <v/>
      </c>
      <c r="KO26" s="1575" t="str">
        <f t="shared" si="280"/>
        <v/>
      </c>
      <c r="KP26" s="1575" t="str">
        <f t="shared" si="281"/>
        <v/>
      </c>
      <c r="KQ26" s="1575" t="str">
        <f t="shared" si="282"/>
        <v/>
      </c>
      <c r="KR26" s="1575" t="str">
        <f t="shared" si="283"/>
        <v/>
      </c>
      <c r="KS26" s="1575" t="str">
        <f t="shared" si="284"/>
        <v/>
      </c>
      <c r="KT26" s="1575" t="str">
        <f t="shared" si="285"/>
        <v/>
      </c>
      <c r="KU26" s="1575" t="str">
        <f t="shared" si="286"/>
        <v/>
      </c>
      <c r="KV26" s="1575" t="str">
        <f t="shared" si="287"/>
        <v/>
      </c>
      <c r="KW26" s="1575" t="str">
        <f t="shared" si="288"/>
        <v/>
      </c>
      <c r="KX26" s="1575" t="str">
        <f t="shared" si="289"/>
        <v/>
      </c>
      <c r="KY26" s="1575" t="str">
        <f t="shared" si="290"/>
        <v/>
      </c>
      <c r="KZ26" s="1575" t="str">
        <f t="shared" si="291"/>
        <v/>
      </c>
      <c r="LA26" s="1575" t="str">
        <f t="shared" si="292"/>
        <v/>
      </c>
      <c r="LB26" s="1575" t="str">
        <f t="shared" si="293"/>
        <v/>
      </c>
      <c r="LC26" s="1575" t="str">
        <f t="shared" si="294"/>
        <v/>
      </c>
      <c r="LD26" s="1575" t="str">
        <f t="shared" si="295"/>
        <v/>
      </c>
      <c r="LE26" s="1575" t="str">
        <f t="shared" si="296"/>
        <v/>
      </c>
      <c r="LF26" s="1575" t="str">
        <f t="shared" si="297"/>
        <v/>
      </c>
      <c r="LG26" s="1564" t="str">
        <f t="shared" si="298"/>
        <v/>
      </c>
      <c r="LH26" s="1564" t="str">
        <f t="shared" si="299"/>
        <v/>
      </c>
      <c r="LI26" s="1564" t="str">
        <f t="shared" si="300"/>
        <v/>
      </c>
      <c r="LJ26" s="1564" t="str">
        <f t="shared" si="301"/>
        <v/>
      </c>
      <c r="LK26" s="1564"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441">
        <f t="shared" si="323"/>
        <v>0</v>
      </c>
      <c r="MG26" s="1441">
        <f t="shared" si="324"/>
        <v>0</v>
      </c>
      <c r="MH26" s="1441">
        <f t="shared" si="325"/>
        <v>2</v>
      </c>
      <c r="MI26" s="1441">
        <f t="shared" si="326"/>
        <v>0</v>
      </c>
      <c r="MJ26" s="1441">
        <f t="shared" si="327"/>
        <v>0</v>
      </c>
      <c r="MK26" s="1441">
        <f t="shared" si="333"/>
        <v>0</v>
      </c>
      <c r="ML26" s="1441">
        <f t="shared" si="334"/>
        <v>0</v>
      </c>
      <c r="MM26" s="1441">
        <f t="shared" si="335"/>
        <v>0</v>
      </c>
      <c r="MN26" s="1441">
        <f t="shared" si="336"/>
        <v>0</v>
      </c>
      <c r="MO26" s="1441">
        <f t="shared" si="337"/>
        <v>0</v>
      </c>
      <c r="MP26" s="1441">
        <f t="shared" si="328"/>
        <v>0</v>
      </c>
      <c r="MQ26" s="1441">
        <f t="shared" si="329"/>
        <v>0</v>
      </c>
      <c r="MR26" s="1441">
        <f t="shared" si="330"/>
        <v>0</v>
      </c>
      <c r="MS26" s="1441">
        <f t="shared" si="331"/>
        <v>0</v>
      </c>
      <c r="MT26" s="1441">
        <f t="shared" si="332"/>
        <v>0</v>
      </c>
      <c r="NP26" s="1413" t="s">
        <v>1127</v>
      </c>
    </row>
    <row r="27" spans="1:380" ht="13.9" customHeight="1">
      <c r="A27" s="55" t="str">
        <f t="shared" si="0"/>
        <v/>
      </c>
      <c r="B27" s="915">
        <v>60</v>
      </c>
      <c r="C27" s="89">
        <v>2</v>
      </c>
      <c r="D27" s="1443">
        <v>2</v>
      </c>
      <c r="E27" s="90">
        <v>1</v>
      </c>
      <c r="F27" s="90">
        <v>1176</v>
      </c>
      <c r="G27" s="90">
        <v>1378</v>
      </c>
      <c r="H27" s="90">
        <v>1485.0000000000002</v>
      </c>
      <c r="I27" s="90">
        <v>0</v>
      </c>
      <c r="J27" s="596">
        <f>IF(C27="",0,HLOOKUP(C27,'Part IV-Utility Allowances'!$I$11:$M$22,12))</f>
        <v>173</v>
      </c>
      <c r="K27" s="509" t="s">
        <v>7054</v>
      </c>
      <c r="L27" s="351">
        <f t="shared" si="1"/>
        <v>1312.0000000000002</v>
      </c>
      <c r="M27" s="351">
        <f t="shared" si="2"/>
        <v>1312.0000000000002</v>
      </c>
      <c r="N27" s="549" t="s">
        <v>63</v>
      </c>
      <c r="O27" s="1381" t="s">
        <v>1205</v>
      </c>
      <c r="P27" s="549" t="s">
        <v>7052</v>
      </c>
      <c r="Q27" s="91" t="s">
        <v>63</v>
      </c>
      <c r="R27" s="586"/>
      <c r="S27" s="587"/>
      <c r="T27" s="3500"/>
      <c r="U27" s="3501"/>
      <c r="V27" s="3501"/>
      <c r="W27" s="3502"/>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f t="shared" si="15"/>
        <v>1</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f t="shared" si="65"/>
        <v>1</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f t="shared" si="130"/>
        <v>1176</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f t="shared" si="160"/>
        <v>1176</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f t="shared" si="185"/>
        <v>1</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575" t="str">
        <f t="shared" si="213"/>
        <v/>
      </c>
      <c r="IA27" s="1575" t="str">
        <f t="shared" si="214"/>
        <v/>
      </c>
      <c r="IB27" s="1575">
        <f t="shared" si="215"/>
        <v>1</v>
      </c>
      <c r="IC27" s="1575" t="str">
        <f t="shared" si="216"/>
        <v/>
      </c>
      <c r="ID27" s="1575" t="str">
        <f t="shared" si="217"/>
        <v/>
      </c>
      <c r="IE27" s="1575" t="str">
        <f t="shared" si="218"/>
        <v/>
      </c>
      <c r="IF27" s="1575" t="str">
        <f t="shared" si="219"/>
        <v/>
      </c>
      <c r="IG27" s="1575" t="str">
        <f t="shared" si="220"/>
        <v/>
      </c>
      <c r="IH27" s="1575" t="str">
        <f t="shared" si="221"/>
        <v/>
      </c>
      <c r="II27" s="1575" t="str">
        <f t="shared" si="222"/>
        <v/>
      </c>
      <c r="IJ27" s="1575" t="str">
        <f t="shared" si="223"/>
        <v/>
      </c>
      <c r="IK27" s="1575" t="str">
        <f t="shared" si="224"/>
        <v/>
      </c>
      <c r="IL27" s="1575" t="str">
        <f t="shared" si="225"/>
        <v/>
      </c>
      <c r="IM27" s="1575" t="str">
        <f t="shared" si="226"/>
        <v/>
      </c>
      <c r="IN27" s="1575" t="str">
        <f t="shared" si="227"/>
        <v/>
      </c>
      <c r="IO27" s="1575" t="str">
        <f t="shared" si="228"/>
        <v/>
      </c>
      <c r="IP27" s="1575" t="str">
        <f t="shared" si="229"/>
        <v/>
      </c>
      <c r="IQ27" s="1575" t="str">
        <f t="shared" si="230"/>
        <v/>
      </c>
      <c r="IR27" s="1575" t="str">
        <f t="shared" si="231"/>
        <v/>
      </c>
      <c r="IS27" s="1575" t="str">
        <f t="shared" si="232"/>
        <v/>
      </c>
      <c r="IT27" s="1575" t="str">
        <f t="shared" si="233"/>
        <v/>
      </c>
      <c r="IU27" s="1575" t="str">
        <f t="shared" si="234"/>
        <v/>
      </c>
      <c r="IV27" s="1575" t="str">
        <f t="shared" si="235"/>
        <v/>
      </c>
      <c r="IW27" s="1575" t="str">
        <f t="shared" si="236"/>
        <v/>
      </c>
      <c r="IX27" s="1575" t="str">
        <f t="shared" si="237"/>
        <v/>
      </c>
      <c r="IY27" s="1575" t="str">
        <f t="shared" si="238"/>
        <v/>
      </c>
      <c r="IZ27" s="1575" t="str">
        <f t="shared" si="239"/>
        <v/>
      </c>
      <c r="JA27" s="1575" t="str">
        <f t="shared" si="240"/>
        <v/>
      </c>
      <c r="JB27" s="1575" t="str">
        <f t="shared" si="241"/>
        <v/>
      </c>
      <c r="JC27" s="1575" t="str">
        <f t="shared" si="242"/>
        <v/>
      </c>
      <c r="JD27" s="1575" t="str">
        <f t="shared" si="243"/>
        <v/>
      </c>
      <c r="JE27" s="1575" t="str">
        <f t="shared" si="244"/>
        <v/>
      </c>
      <c r="JF27" s="1575" t="str">
        <f t="shared" si="245"/>
        <v/>
      </c>
      <c r="JG27" s="1575" t="str">
        <f t="shared" si="246"/>
        <v/>
      </c>
      <c r="JH27" s="1575" t="str">
        <f t="shared" si="247"/>
        <v/>
      </c>
      <c r="JI27" s="1575" t="str">
        <f t="shared" si="248"/>
        <v/>
      </c>
      <c r="JJ27" s="1575" t="str">
        <f t="shared" si="249"/>
        <v/>
      </c>
      <c r="JK27" s="1575" t="str">
        <f t="shared" si="250"/>
        <v/>
      </c>
      <c r="JL27" s="1575" t="str">
        <f t="shared" si="251"/>
        <v/>
      </c>
      <c r="JM27" s="1575" t="str">
        <f t="shared" si="252"/>
        <v/>
      </c>
      <c r="JN27" s="1575" t="str">
        <f t="shared" si="253"/>
        <v/>
      </c>
      <c r="JO27" s="1575" t="str">
        <f t="shared" si="254"/>
        <v/>
      </c>
      <c r="JP27" s="1575" t="str">
        <f t="shared" si="255"/>
        <v/>
      </c>
      <c r="JQ27" s="1575" t="str">
        <f t="shared" si="256"/>
        <v/>
      </c>
      <c r="JR27" s="1575" t="str">
        <f t="shared" si="257"/>
        <v/>
      </c>
      <c r="JS27" s="1575" t="str">
        <f t="shared" si="258"/>
        <v/>
      </c>
      <c r="JT27" s="1575" t="str">
        <f t="shared" si="259"/>
        <v/>
      </c>
      <c r="JU27" s="1575">
        <f t="shared" si="260"/>
        <v>1</v>
      </c>
      <c r="JV27" s="1575" t="str">
        <f t="shared" si="261"/>
        <v/>
      </c>
      <c r="JW27" s="1575" t="str">
        <f t="shared" si="262"/>
        <v/>
      </c>
      <c r="JX27" s="1575" t="str">
        <f t="shared" si="263"/>
        <v/>
      </c>
      <c r="JY27" s="1575" t="str">
        <f t="shared" si="264"/>
        <v/>
      </c>
      <c r="JZ27" s="1575" t="str">
        <f t="shared" si="265"/>
        <v/>
      </c>
      <c r="KA27" s="1575" t="str">
        <f t="shared" si="266"/>
        <v/>
      </c>
      <c r="KB27" s="1575" t="str">
        <f t="shared" si="267"/>
        <v/>
      </c>
      <c r="KC27" s="1575" t="str">
        <f t="shared" si="268"/>
        <v/>
      </c>
      <c r="KD27" s="1575" t="str">
        <f t="shared" si="269"/>
        <v/>
      </c>
      <c r="KE27" s="1575" t="str">
        <f t="shared" si="270"/>
        <v/>
      </c>
      <c r="KF27" s="1575" t="str">
        <f t="shared" si="271"/>
        <v/>
      </c>
      <c r="KG27" s="1575" t="str">
        <f t="shared" si="272"/>
        <v/>
      </c>
      <c r="KH27" s="1575" t="str">
        <f t="shared" si="273"/>
        <v/>
      </c>
      <c r="KI27" s="1575" t="str">
        <f t="shared" si="274"/>
        <v/>
      </c>
      <c r="KJ27" s="1575" t="str">
        <f t="shared" si="275"/>
        <v/>
      </c>
      <c r="KK27" s="1575" t="str">
        <f t="shared" si="276"/>
        <v/>
      </c>
      <c r="KL27" s="1575" t="str">
        <f t="shared" si="277"/>
        <v/>
      </c>
      <c r="KM27" s="1575" t="str">
        <f t="shared" si="278"/>
        <v/>
      </c>
      <c r="KN27" s="1575" t="str">
        <f t="shared" si="279"/>
        <v/>
      </c>
      <c r="KO27" s="1575" t="str">
        <f t="shared" si="280"/>
        <v/>
      </c>
      <c r="KP27" s="1575" t="str">
        <f t="shared" si="281"/>
        <v/>
      </c>
      <c r="KQ27" s="1575" t="str">
        <f t="shared" si="282"/>
        <v/>
      </c>
      <c r="KR27" s="1575" t="str">
        <f t="shared" si="283"/>
        <v/>
      </c>
      <c r="KS27" s="1575" t="str">
        <f t="shared" si="284"/>
        <v/>
      </c>
      <c r="KT27" s="1575" t="str">
        <f t="shared" si="285"/>
        <v/>
      </c>
      <c r="KU27" s="1575" t="str">
        <f t="shared" si="286"/>
        <v/>
      </c>
      <c r="KV27" s="1575" t="str">
        <f t="shared" si="287"/>
        <v/>
      </c>
      <c r="KW27" s="1575" t="str">
        <f t="shared" si="288"/>
        <v/>
      </c>
      <c r="KX27" s="1575" t="str">
        <f t="shared" si="289"/>
        <v/>
      </c>
      <c r="KY27" s="1575" t="str">
        <f t="shared" si="290"/>
        <v/>
      </c>
      <c r="KZ27" s="1575" t="str">
        <f t="shared" si="291"/>
        <v/>
      </c>
      <c r="LA27" s="1575" t="str">
        <f t="shared" si="292"/>
        <v/>
      </c>
      <c r="LB27" s="1575" t="str">
        <f t="shared" si="293"/>
        <v/>
      </c>
      <c r="LC27" s="1575" t="str">
        <f t="shared" si="294"/>
        <v/>
      </c>
      <c r="LD27" s="1575" t="str">
        <f t="shared" si="295"/>
        <v/>
      </c>
      <c r="LE27" s="1575" t="str">
        <f t="shared" si="296"/>
        <v/>
      </c>
      <c r="LF27" s="1575" t="str">
        <f t="shared" si="297"/>
        <v/>
      </c>
      <c r="LG27" s="1564" t="str">
        <f t="shared" si="298"/>
        <v/>
      </c>
      <c r="LH27" s="1564" t="str">
        <f t="shared" si="299"/>
        <v/>
      </c>
      <c r="LI27" s="1564" t="str">
        <f t="shared" si="300"/>
        <v/>
      </c>
      <c r="LJ27" s="1564" t="str">
        <f t="shared" si="301"/>
        <v/>
      </c>
      <c r="LK27" s="1564"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441">
        <f t="shared" si="323"/>
        <v>0</v>
      </c>
      <c r="MG27" s="1441">
        <f t="shared" si="324"/>
        <v>0</v>
      </c>
      <c r="MH27" s="1441">
        <f t="shared" si="325"/>
        <v>1</v>
      </c>
      <c r="MI27" s="1441">
        <f t="shared" si="326"/>
        <v>0</v>
      </c>
      <c r="MJ27" s="1441">
        <f t="shared" si="327"/>
        <v>0</v>
      </c>
      <c r="MK27" s="1441">
        <f t="shared" si="333"/>
        <v>0</v>
      </c>
      <c r="ML27" s="1441">
        <f t="shared" si="334"/>
        <v>0</v>
      </c>
      <c r="MM27" s="1441">
        <f t="shared" si="335"/>
        <v>0</v>
      </c>
      <c r="MN27" s="1441">
        <f t="shared" si="336"/>
        <v>0</v>
      </c>
      <c r="MO27" s="1441">
        <f t="shared" si="337"/>
        <v>0</v>
      </c>
      <c r="MP27" s="1441">
        <f t="shared" si="328"/>
        <v>0</v>
      </c>
      <c r="MQ27" s="1441">
        <f t="shared" si="329"/>
        <v>0</v>
      </c>
      <c r="MR27" s="1441">
        <f t="shared" si="330"/>
        <v>0</v>
      </c>
      <c r="MS27" s="1441">
        <f t="shared" si="331"/>
        <v>0</v>
      </c>
      <c r="MT27" s="1441">
        <f t="shared" si="332"/>
        <v>0</v>
      </c>
      <c r="NP27" s="1413" t="s">
        <v>1128</v>
      </c>
    </row>
    <row r="28" spans="1:380" ht="13.9" customHeight="1">
      <c r="A28" s="55" t="str">
        <f t="shared" si="0"/>
        <v/>
      </c>
      <c r="B28" s="915">
        <v>60</v>
      </c>
      <c r="C28" s="89">
        <v>2</v>
      </c>
      <c r="D28" s="1443">
        <v>2</v>
      </c>
      <c r="E28" s="90">
        <v>6</v>
      </c>
      <c r="F28" s="90">
        <v>1188</v>
      </c>
      <c r="G28" s="90">
        <v>1378</v>
      </c>
      <c r="H28" s="90">
        <v>1485.0000000000002</v>
      </c>
      <c r="I28" s="90">
        <v>0</v>
      </c>
      <c r="J28" s="596">
        <f>IF(C28="",0,HLOOKUP(C28,'Part IV-Utility Allowances'!$I$11:$M$22,12))</f>
        <v>173</v>
      </c>
      <c r="K28" s="509" t="s">
        <v>7054</v>
      </c>
      <c r="L28" s="351">
        <f t="shared" si="1"/>
        <v>1312.0000000000002</v>
      </c>
      <c r="M28" s="351">
        <f t="shared" si="2"/>
        <v>7872.0000000000018</v>
      </c>
      <c r="N28" s="549" t="s">
        <v>63</v>
      </c>
      <c r="O28" s="1381" t="s">
        <v>1205</v>
      </c>
      <c r="P28" s="549" t="s">
        <v>7052</v>
      </c>
      <c r="Q28" s="91" t="s">
        <v>63</v>
      </c>
      <c r="R28" s="586"/>
      <c r="S28" s="587"/>
      <c r="T28" s="3500"/>
      <c r="U28" s="3501"/>
      <c r="V28" s="3501"/>
      <c r="W28" s="3502"/>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f t="shared" si="15"/>
        <v>6</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f t="shared" si="65"/>
        <v>6</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f t="shared" si="130"/>
        <v>7128</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f t="shared" si="160"/>
        <v>7128</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f t="shared" si="185"/>
        <v>6</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575" t="str">
        <f t="shared" si="213"/>
        <v/>
      </c>
      <c r="IA28" s="1575" t="str">
        <f t="shared" si="214"/>
        <v/>
      </c>
      <c r="IB28" s="1575">
        <f t="shared" si="215"/>
        <v>6</v>
      </c>
      <c r="IC28" s="1575" t="str">
        <f t="shared" si="216"/>
        <v/>
      </c>
      <c r="ID28" s="1575" t="str">
        <f t="shared" si="217"/>
        <v/>
      </c>
      <c r="IE28" s="1575" t="str">
        <f t="shared" si="218"/>
        <v/>
      </c>
      <c r="IF28" s="1575" t="str">
        <f t="shared" si="219"/>
        <v/>
      </c>
      <c r="IG28" s="1575" t="str">
        <f t="shared" si="220"/>
        <v/>
      </c>
      <c r="IH28" s="1575" t="str">
        <f t="shared" si="221"/>
        <v/>
      </c>
      <c r="II28" s="1575" t="str">
        <f t="shared" si="222"/>
        <v/>
      </c>
      <c r="IJ28" s="1575" t="str">
        <f t="shared" si="223"/>
        <v/>
      </c>
      <c r="IK28" s="1575" t="str">
        <f t="shared" si="224"/>
        <v/>
      </c>
      <c r="IL28" s="1575" t="str">
        <f t="shared" si="225"/>
        <v/>
      </c>
      <c r="IM28" s="1575" t="str">
        <f t="shared" si="226"/>
        <v/>
      </c>
      <c r="IN28" s="1575" t="str">
        <f t="shared" si="227"/>
        <v/>
      </c>
      <c r="IO28" s="1575" t="str">
        <f t="shared" si="228"/>
        <v/>
      </c>
      <c r="IP28" s="1575" t="str">
        <f t="shared" si="229"/>
        <v/>
      </c>
      <c r="IQ28" s="1575" t="str">
        <f t="shared" si="230"/>
        <v/>
      </c>
      <c r="IR28" s="1575" t="str">
        <f t="shared" si="231"/>
        <v/>
      </c>
      <c r="IS28" s="1575" t="str">
        <f t="shared" si="232"/>
        <v/>
      </c>
      <c r="IT28" s="1575" t="str">
        <f t="shared" si="233"/>
        <v/>
      </c>
      <c r="IU28" s="1575" t="str">
        <f t="shared" si="234"/>
        <v/>
      </c>
      <c r="IV28" s="1575" t="str">
        <f t="shared" si="235"/>
        <v/>
      </c>
      <c r="IW28" s="1575" t="str">
        <f t="shared" si="236"/>
        <v/>
      </c>
      <c r="IX28" s="1575" t="str">
        <f t="shared" si="237"/>
        <v/>
      </c>
      <c r="IY28" s="1575" t="str">
        <f t="shared" si="238"/>
        <v/>
      </c>
      <c r="IZ28" s="1575" t="str">
        <f t="shared" si="239"/>
        <v/>
      </c>
      <c r="JA28" s="1575" t="str">
        <f t="shared" si="240"/>
        <v/>
      </c>
      <c r="JB28" s="1575" t="str">
        <f t="shared" si="241"/>
        <v/>
      </c>
      <c r="JC28" s="1575" t="str">
        <f t="shared" si="242"/>
        <v/>
      </c>
      <c r="JD28" s="1575" t="str">
        <f t="shared" si="243"/>
        <v/>
      </c>
      <c r="JE28" s="1575" t="str">
        <f t="shared" si="244"/>
        <v/>
      </c>
      <c r="JF28" s="1575" t="str">
        <f t="shared" si="245"/>
        <v/>
      </c>
      <c r="JG28" s="1575" t="str">
        <f t="shared" si="246"/>
        <v/>
      </c>
      <c r="JH28" s="1575" t="str">
        <f t="shared" si="247"/>
        <v/>
      </c>
      <c r="JI28" s="1575" t="str">
        <f t="shared" si="248"/>
        <v/>
      </c>
      <c r="JJ28" s="1575" t="str">
        <f t="shared" si="249"/>
        <v/>
      </c>
      <c r="JK28" s="1575" t="str">
        <f t="shared" si="250"/>
        <v/>
      </c>
      <c r="JL28" s="1575" t="str">
        <f t="shared" si="251"/>
        <v/>
      </c>
      <c r="JM28" s="1575" t="str">
        <f t="shared" si="252"/>
        <v/>
      </c>
      <c r="JN28" s="1575" t="str">
        <f t="shared" si="253"/>
        <v/>
      </c>
      <c r="JO28" s="1575" t="str">
        <f t="shared" si="254"/>
        <v/>
      </c>
      <c r="JP28" s="1575" t="str">
        <f t="shared" si="255"/>
        <v/>
      </c>
      <c r="JQ28" s="1575" t="str">
        <f t="shared" si="256"/>
        <v/>
      </c>
      <c r="JR28" s="1575" t="str">
        <f t="shared" si="257"/>
        <v/>
      </c>
      <c r="JS28" s="1575" t="str">
        <f t="shared" si="258"/>
        <v/>
      </c>
      <c r="JT28" s="1575" t="str">
        <f t="shared" si="259"/>
        <v/>
      </c>
      <c r="JU28" s="1575">
        <f t="shared" si="260"/>
        <v>6</v>
      </c>
      <c r="JV28" s="1575" t="str">
        <f t="shared" si="261"/>
        <v/>
      </c>
      <c r="JW28" s="1575" t="str">
        <f t="shared" si="262"/>
        <v/>
      </c>
      <c r="JX28" s="1575" t="str">
        <f t="shared" si="263"/>
        <v/>
      </c>
      <c r="JY28" s="1575" t="str">
        <f t="shared" si="264"/>
        <v/>
      </c>
      <c r="JZ28" s="1575" t="str">
        <f t="shared" si="265"/>
        <v/>
      </c>
      <c r="KA28" s="1575" t="str">
        <f t="shared" si="266"/>
        <v/>
      </c>
      <c r="KB28" s="1575" t="str">
        <f t="shared" si="267"/>
        <v/>
      </c>
      <c r="KC28" s="1575" t="str">
        <f t="shared" si="268"/>
        <v/>
      </c>
      <c r="KD28" s="1575" t="str">
        <f t="shared" si="269"/>
        <v/>
      </c>
      <c r="KE28" s="1575" t="str">
        <f t="shared" si="270"/>
        <v/>
      </c>
      <c r="KF28" s="1575" t="str">
        <f t="shared" si="271"/>
        <v/>
      </c>
      <c r="KG28" s="1575" t="str">
        <f t="shared" si="272"/>
        <v/>
      </c>
      <c r="KH28" s="1575" t="str">
        <f t="shared" si="273"/>
        <v/>
      </c>
      <c r="KI28" s="1575" t="str">
        <f t="shared" si="274"/>
        <v/>
      </c>
      <c r="KJ28" s="1575" t="str">
        <f t="shared" si="275"/>
        <v/>
      </c>
      <c r="KK28" s="1575" t="str">
        <f t="shared" si="276"/>
        <v/>
      </c>
      <c r="KL28" s="1575" t="str">
        <f t="shared" si="277"/>
        <v/>
      </c>
      <c r="KM28" s="1575" t="str">
        <f t="shared" si="278"/>
        <v/>
      </c>
      <c r="KN28" s="1575" t="str">
        <f t="shared" si="279"/>
        <v/>
      </c>
      <c r="KO28" s="1575" t="str">
        <f t="shared" si="280"/>
        <v/>
      </c>
      <c r="KP28" s="1575" t="str">
        <f t="shared" si="281"/>
        <v/>
      </c>
      <c r="KQ28" s="1575" t="str">
        <f t="shared" si="282"/>
        <v/>
      </c>
      <c r="KR28" s="1575" t="str">
        <f t="shared" si="283"/>
        <v/>
      </c>
      <c r="KS28" s="1575" t="str">
        <f t="shared" si="284"/>
        <v/>
      </c>
      <c r="KT28" s="1575" t="str">
        <f t="shared" si="285"/>
        <v/>
      </c>
      <c r="KU28" s="1575" t="str">
        <f t="shared" si="286"/>
        <v/>
      </c>
      <c r="KV28" s="1575" t="str">
        <f t="shared" si="287"/>
        <v/>
      </c>
      <c r="KW28" s="1575" t="str">
        <f t="shared" si="288"/>
        <v/>
      </c>
      <c r="KX28" s="1575" t="str">
        <f t="shared" si="289"/>
        <v/>
      </c>
      <c r="KY28" s="1575" t="str">
        <f t="shared" si="290"/>
        <v/>
      </c>
      <c r="KZ28" s="1575" t="str">
        <f t="shared" si="291"/>
        <v/>
      </c>
      <c r="LA28" s="1575" t="str">
        <f t="shared" si="292"/>
        <v/>
      </c>
      <c r="LB28" s="1575" t="str">
        <f t="shared" si="293"/>
        <v/>
      </c>
      <c r="LC28" s="1575" t="str">
        <f t="shared" si="294"/>
        <v/>
      </c>
      <c r="LD28" s="1575" t="str">
        <f t="shared" si="295"/>
        <v/>
      </c>
      <c r="LE28" s="1575" t="str">
        <f t="shared" si="296"/>
        <v/>
      </c>
      <c r="LF28" s="1575" t="str">
        <f t="shared" si="297"/>
        <v/>
      </c>
      <c r="LG28" s="1564" t="str">
        <f t="shared" si="298"/>
        <v/>
      </c>
      <c r="LH28" s="1564" t="str">
        <f t="shared" si="299"/>
        <v/>
      </c>
      <c r="LI28" s="1564" t="str">
        <f t="shared" si="300"/>
        <v/>
      </c>
      <c r="LJ28" s="1564" t="str">
        <f t="shared" si="301"/>
        <v/>
      </c>
      <c r="LK28" s="1564"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441">
        <f t="shared" si="323"/>
        <v>0</v>
      </c>
      <c r="MG28" s="1441">
        <f t="shared" si="324"/>
        <v>0</v>
      </c>
      <c r="MH28" s="1441">
        <f t="shared" si="325"/>
        <v>6</v>
      </c>
      <c r="MI28" s="1441">
        <f t="shared" si="326"/>
        <v>0</v>
      </c>
      <c r="MJ28" s="1441">
        <f t="shared" si="327"/>
        <v>0</v>
      </c>
      <c r="MK28" s="1441">
        <f t="shared" si="333"/>
        <v>0</v>
      </c>
      <c r="ML28" s="1441">
        <f t="shared" si="334"/>
        <v>0</v>
      </c>
      <c r="MM28" s="1441">
        <f t="shared" si="335"/>
        <v>0</v>
      </c>
      <c r="MN28" s="1441">
        <f t="shared" si="336"/>
        <v>0</v>
      </c>
      <c r="MO28" s="1441">
        <f t="shared" si="337"/>
        <v>0</v>
      </c>
      <c r="MP28" s="1441">
        <f t="shared" si="328"/>
        <v>0</v>
      </c>
      <c r="MQ28" s="1441">
        <f t="shared" si="329"/>
        <v>0</v>
      </c>
      <c r="MR28" s="1441">
        <f t="shared" si="330"/>
        <v>0</v>
      </c>
      <c r="MS28" s="1441">
        <f t="shared" si="331"/>
        <v>0</v>
      </c>
      <c r="MT28" s="1441">
        <f t="shared" si="332"/>
        <v>0</v>
      </c>
      <c r="NP28" s="1413" t="s">
        <v>1129</v>
      </c>
    </row>
    <row r="29" spans="1:380" ht="13.9" customHeight="1">
      <c r="A29" s="55" t="str">
        <f t="shared" si="0"/>
        <v/>
      </c>
      <c r="B29" s="915">
        <v>60</v>
      </c>
      <c r="C29" s="89">
        <v>2</v>
      </c>
      <c r="D29" s="1443">
        <v>2</v>
      </c>
      <c r="E29" s="90">
        <v>6</v>
      </c>
      <c r="F29" s="90">
        <v>1223</v>
      </c>
      <c r="G29" s="90">
        <v>1378</v>
      </c>
      <c r="H29" s="90">
        <v>1485.0000000000002</v>
      </c>
      <c r="I29" s="90">
        <v>0</v>
      </c>
      <c r="J29" s="596">
        <f>IF(C29="",0,HLOOKUP(C29,'Part IV-Utility Allowances'!$I$11:$M$22,12))</f>
        <v>173</v>
      </c>
      <c r="K29" s="509" t="s">
        <v>7054</v>
      </c>
      <c r="L29" s="351">
        <f t="shared" si="1"/>
        <v>1312.0000000000002</v>
      </c>
      <c r="M29" s="351">
        <f t="shared" si="2"/>
        <v>7872.0000000000018</v>
      </c>
      <c r="N29" s="549" t="s">
        <v>63</v>
      </c>
      <c r="O29" s="1381" t="s">
        <v>1205</v>
      </c>
      <c r="P29" s="549" t="s">
        <v>7052</v>
      </c>
      <c r="Q29" s="91" t="s">
        <v>63</v>
      </c>
      <c r="R29" s="586"/>
      <c r="S29" s="587"/>
      <c r="T29" s="3500"/>
      <c r="U29" s="3501"/>
      <c r="V29" s="3501"/>
      <c r="W29" s="3502"/>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f t="shared" si="15"/>
        <v>6</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f t="shared" si="65"/>
        <v>6</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f t="shared" si="130"/>
        <v>7338</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f t="shared" si="160"/>
        <v>7338</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f t="shared" si="185"/>
        <v>6</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575" t="str">
        <f t="shared" si="213"/>
        <v/>
      </c>
      <c r="IA29" s="1575" t="str">
        <f t="shared" si="214"/>
        <v/>
      </c>
      <c r="IB29" s="1575">
        <f t="shared" si="215"/>
        <v>6</v>
      </c>
      <c r="IC29" s="1575" t="str">
        <f t="shared" si="216"/>
        <v/>
      </c>
      <c r="ID29" s="1575" t="str">
        <f t="shared" si="217"/>
        <v/>
      </c>
      <c r="IE29" s="1575" t="str">
        <f t="shared" si="218"/>
        <v/>
      </c>
      <c r="IF29" s="1575" t="str">
        <f t="shared" si="219"/>
        <v/>
      </c>
      <c r="IG29" s="1575" t="str">
        <f t="shared" si="220"/>
        <v/>
      </c>
      <c r="IH29" s="1575" t="str">
        <f t="shared" si="221"/>
        <v/>
      </c>
      <c r="II29" s="1575" t="str">
        <f t="shared" si="222"/>
        <v/>
      </c>
      <c r="IJ29" s="1575" t="str">
        <f t="shared" si="223"/>
        <v/>
      </c>
      <c r="IK29" s="1575" t="str">
        <f t="shared" si="224"/>
        <v/>
      </c>
      <c r="IL29" s="1575" t="str">
        <f t="shared" si="225"/>
        <v/>
      </c>
      <c r="IM29" s="1575" t="str">
        <f t="shared" si="226"/>
        <v/>
      </c>
      <c r="IN29" s="1575" t="str">
        <f t="shared" si="227"/>
        <v/>
      </c>
      <c r="IO29" s="1575" t="str">
        <f t="shared" si="228"/>
        <v/>
      </c>
      <c r="IP29" s="1575" t="str">
        <f t="shared" si="229"/>
        <v/>
      </c>
      <c r="IQ29" s="1575" t="str">
        <f t="shared" si="230"/>
        <v/>
      </c>
      <c r="IR29" s="1575" t="str">
        <f t="shared" si="231"/>
        <v/>
      </c>
      <c r="IS29" s="1575" t="str">
        <f t="shared" si="232"/>
        <v/>
      </c>
      <c r="IT29" s="1575" t="str">
        <f t="shared" si="233"/>
        <v/>
      </c>
      <c r="IU29" s="1575" t="str">
        <f t="shared" si="234"/>
        <v/>
      </c>
      <c r="IV29" s="1575" t="str">
        <f t="shared" si="235"/>
        <v/>
      </c>
      <c r="IW29" s="1575" t="str">
        <f t="shared" si="236"/>
        <v/>
      </c>
      <c r="IX29" s="1575" t="str">
        <f t="shared" si="237"/>
        <v/>
      </c>
      <c r="IY29" s="1575" t="str">
        <f t="shared" si="238"/>
        <v/>
      </c>
      <c r="IZ29" s="1575" t="str">
        <f t="shared" si="239"/>
        <v/>
      </c>
      <c r="JA29" s="1575" t="str">
        <f t="shared" si="240"/>
        <v/>
      </c>
      <c r="JB29" s="1575" t="str">
        <f t="shared" si="241"/>
        <v/>
      </c>
      <c r="JC29" s="1575" t="str">
        <f t="shared" si="242"/>
        <v/>
      </c>
      <c r="JD29" s="1575" t="str">
        <f t="shared" si="243"/>
        <v/>
      </c>
      <c r="JE29" s="1575" t="str">
        <f t="shared" si="244"/>
        <v/>
      </c>
      <c r="JF29" s="1575" t="str">
        <f t="shared" si="245"/>
        <v/>
      </c>
      <c r="JG29" s="1575" t="str">
        <f t="shared" si="246"/>
        <v/>
      </c>
      <c r="JH29" s="1575" t="str">
        <f t="shared" si="247"/>
        <v/>
      </c>
      <c r="JI29" s="1575" t="str">
        <f t="shared" si="248"/>
        <v/>
      </c>
      <c r="JJ29" s="1575" t="str">
        <f t="shared" si="249"/>
        <v/>
      </c>
      <c r="JK29" s="1575" t="str">
        <f t="shared" si="250"/>
        <v/>
      </c>
      <c r="JL29" s="1575" t="str">
        <f t="shared" si="251"/>
        <v/>
      </c>
      <c r="JM29" s="1575" t="str">
        <f t="shared" si="252"/>
        <v/>
      </c>
      <c r="JN29" s="1575" t="str">
        <f t="shared" si="253"/>
        <v/>
      </c>
      <c r="JO29" s="1575" t="str">
        <f t="shared" si="254"/>
        <v/>
      </c>
      <c r="JP29" s="1575" t="str">
        <f t="shared" si="255"/>
        <v/>
      </c>
      <c r="JQ29" s="1575" t="str">
        <f t="shared" si="256"/>
        <v/>
      </c>
      <c r="JR29" s="1575" t="str">
        <f t="shared" si="257"/>
        <v/>
      </c>
      <c r="JS29" s="1575" t="str">
        <f t="shared" si="258"/>
        <v/>
      </c>
      <c r="JT29" s="1575" t="str">
        <f t="shared" si="259"/>
        <v/>
      </c>
      <c r="JU29" s="1575">
        <f t="shared" si="260"/>
        <v>6</v>
      </c>
      <c r="JV29" s="1575" t="str">
        <f t="shared" si="261"/>
        <v/>
      </c>
      <c r="JW29" s="1575" t="str">
        <f t="shared" si="262"/>
        <v/>
      </c>
      <c r="JX29" s="1575" t="str">
        <f t="shared" si="263"/>
        <v/>
      </c>
      <c r="JY29" s="1575" t="str">
        <f t="shared" si="264"/>
        <v/>
      </c>
      <c r="JZ29" s="1575" t="str">
        <f t="shared" si="265"/>
        <v/>
      </c>
      <c r="KA29" s="1575" t="str">
        <f t="shared" si="266"/>
        <v/>
      </c>
      <c r="KB29" s="1575" t="str">
        <f t="shared" si="267"/>
        <v/>
      </c>
      <c r="KC29" s="1575" t="str">
        <f t="shared" si="268"/>
        <v/>
      </c>
      <c r="KD29" s="1575" t="str">
        <f t="shared" si="269"/>
        <v/>
      </c>
      <c r="KE29" s="1575" t="str">
        <f t="shared" si="270"/>
        <v/>
      </c>
      <c r="KF29" s="1575" t="str">
        <f t="shared" si="271"/>
        <v/>
      </c>
      <c r="KG29" s="1575" t="str">
        <f t="shared" si="272"/>
        <v/>
      </c>
      <c r="KH29" s="1575" t="str">
        <f t="shared" si="273"/>
        <v/>
      </c>
      <c r="KI29" s="1575" t="str">
        <f t="shared" si="274"/>
        <v/>
      </c>
      <c r="KJ29" s="1575" t="str">
        <f t="shared" si="275"/>
        <v/>
      </c>
      <c r="KK29" s="1575" t="str">
        <f t="shared" si="276"/>
        <v/>
      </c>
      <c r="KL29" s="1575" t="str">
        <f t="shared" si="277"/>
        <v/>
      </c>
      <c r="KM29" s="1575" t="str">
        <f t="shared" si="278"/>
        <v/>
      </c>
      <c r="KN29" s="1575" t="str">
        <f t="shared" si="279"/>
        <v/>
      </c>
      <c r="KO29" s="1575" t="str">
        <f t="shared" si="280"/>
        <v/>
      </c>
      <c r="KP29" s="1575" t="str">
        <f t="shared" si="281"/>
        <v/>
      </c>
      <c r="KQ29" s="1575" t="str">
        <f t="shared" si="282"/>
        <v/>
      </c>
      <c r="KR29" s="1575" t="str">
        <f t="shared" si="283"/>
        <v/>
      </c>
      <c r="KS29" s="1575" t="str">
        <f t="shared" si="284"/>
        <v/>
      </c>
      <c r="KT29" s="1575" t="str">
        <f t="shared" si="285"/>
        <v/>
      </c>
      <c r="KU29" s="1575" t="str">
        <f t="shared" si="286"/>
        <v/>
      </c>
      <c r="KV29" s="1575" t="str">
        <f t="shared" si="287"/>
        <v/>
      </c>
      <c r="KW29" s="1575" t="str">
        <f t="shared" si="288"/>
        <v/>
      </c>
      <c r="KX29" s="1575" t="str">
        <f t="shared" si="289"/>
        <v/>
      </c>
      <c r="KY29" s="1575" t="str">
        <f t="shared" si="290"/>
        <v/>
      </c>
      <c r="KZ29" s="1575" t="str">
        <f t="shared" si="291"/>
        <v/>
      </c>
      <c r="LA29" s="1575" t="str">
        <f t="shared" si="292"/>
        <v/>
      </c>
      <c r="LB29" s="1575" t="str">
        <f t="shared" si="293"/>
        <v/>
      </c>
      <c r="LC29" s="1575" t="str">
        <f t="shared" si="294"/>
        <v/>
      </c>
      <c r="LD29" s="1575" t="str">
        <f t="shared" si="295"/>
        <v/>
      </c>
      <c r="LE29" s="1575" t="str">
        <f t="shared" si="296"/>
        <v/>
      </c>
      <c r="LF29" s="1575" t="str">
        <f t="shared" si="297"/>
        <v/>
      </c>
      <c r="LG29" s="1564" t="str">
        <f t="shared" si="298"/>
        <v/>
      </c>
      <c r="LH29" s="1564" t="str">
        <f t="shared" si="299"/>
        <v/>
      </c>
      <c r="LI29" s="1564" t="str">
        <f t="shared" si="300"/>
        <v/>
      </c>
      <c r="LJ29" s="1564" t="str">
        <f t="shared" si="301"/>
        <v/>
      </c>
      <c r="LK29" s="1564"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441">
        <f t="shared" si="323"/>
        <v>0</v>
      </c>
      <c r="MG29" s="1441">
        <f t="shared" si="324"/>
        <v>0</v>
      </c>
      <c r="MH29" s="1441">
        <f t="shared" si="325"/>
        <v>6</v>
      </c>
      <c r="MI29" s="1441">
        <f t="shared" si="326"/>
        <v>0</v>
      </c>
      <c r="MJ29" s="1441">
        <f t="shared" si="327"/>
        <v>0</v>
      </c>
      <c r="MK29" s="1441">
        <f t="shared" si="333"/>
        <v>0</v>
      </c>
      <c r="ML29" s="1441">
        <f t="shared" si="334"/>
        <v>0</v>
      </c>
      <c r="MM29" s="1441">
        <f t="shared" si="335"/>
        <v>0</v>
      </c>
      <c r="MN29" s="1441">
        <f t="shared" si="336"/>
        <v>0</v>
      </c>
      <c r="MO29" s="1441">
        <f t="shared" si="337"/>
        <v>0</v>
      </c>
      <c r="MP29" s="1441">
        <f t="shared" si="328"/>
        <v>0</v>
      </c>
      <c r="MQ29" s="1441">
        <f t="shared" si="329"/>
        <v>0</v>
      </c>
      <c r="MR29" s="1441">
        <f t="shared" si="330"/>
        <v>0</v>
      </c>
      <c r="MS29" s="1441">
        <f t="shared" si="331"/>
        <v>0</v>
      </c>
      <c r="MT29" s="1441">
        <f t="shared" si="332"/>
        <v>0</v>
      </c>
      <c r="NP29" s="1413" t="s">
        <v>1130</v>
      </c>
    </row>
    <row r="30" spans="1:380" ht="13.9" customHeight="1">
      <c r="A30" s="55" t="str">
        <f t="shared" si="0"/>
        <v/>
      </c>
      <c r="B30" s="915">
        <v>60</v>
      </c>
      <c r="C30" s="89">
        <v>3</v>
      </c>
      <c r="D30" s="1443">
        <v>2</v>
      </c>
      <c r="E30" s="90">
        <v>8</v>
      </c>
      <c r="F30" s="90">
        <v>1278</v>
      </c>
      <c r="G30" s="90">
        <v>1593</v>
      </c>
      <c r="H30" s="90">
        <v>1804.0000000000002</v>
      </c>
      <c r="I30" s="90">
        <v>0</v>
      </c>
      <c r="J30" s="596">
        <f>IF(C30="",0,HLOOKUP(C30,'Part IV-Utility Allowances'!$I$11:$M$22,12))</f>
        <v>216</v>
      </c>
      <c r="K30" s="509" t="s">
        <v>7054</v>
      </c>
      <c r="L30" s="351">
        <f t="shared" si="1"/>
        <v>1588.0000000000002</v>
      </c>
      <c r="M30" s="351">
        <f t="shared" si="2"/>
        <v>12704.000000000002</v>
      </c>
      <c r="N30" s="549" t="s">
        <v>63</v>
      </c>
      <c r="O30" s="1381" t="s">
        <v>1205</v>
      </c>
      <c r="P30" s="549" t="s">
        <v>7052</v>
      </c>
      <c r="Q30" s="91" t="s">
        <v>63</v>
      </c>
      <c r="R30" s="586"/>
      <c r="S30" s="587"/>
      <c r="T30" s="3500"/>
      <c r="U30" s="3501"/>
      <c r="V30" s="3501"/>
      <c r="W30" s="3502"/>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f t="shared" si="16"/>
        <v>8</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f t="shared" si="66"/>
        <v>8</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f t="shared" si="131"/>
        <v>10224</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f t="shared" si="161"/>
        <v>10224</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f t="shared" si="186"/>
        <v>8</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575" t="str">
        <f t="shared" si="213"/>
        <v/>
      </c>
      <c r="IA30" s="1575" t="str">
        <f t="shared" si="214"/>
        <v/>
      </c>
      <c r="IB30" s="1575" t="str">
        <f t="shared" si="215"/>
        <v/>
      </c>
      <c r="IC30" s="1575">
        <f t="shared" si="216"/>
        <v>8</v>
      </c>
      <c r="ID30" s="1575" t="str">
        <f t="shared" si="217"/>
        <v/>
      </c>
      <c r="IE30" s="1575" t="str">
        <f t="shared" si="218"/>
        <v/>
      </c>
      <c r="IF30" s="1575" t="str">
        <f t="shared" si="219"/>
        <v/>
      </c>
      <c r="IG30" s="1575" t="str">
        <f t="shared" si="220"/>
        <v/>
      </c>
      <c r="IH30" s="1575" t="str">
        <f t="shared" si="221"/>
        <v/>
      </c>
      <c r="II30" s="1575" t="str">
        <f t="shared" si="222"/>
        <v/>
      </c>
      <c r="IJ30" s="1575" t="str">
        <f t="shared" si="223"/>
        <v/>
      </c>
      <c r="IK30" s="1575" t="str">
        <f t="shared" si="224"/>
        <v/>
      </c>
      <c r="IL30" s="1575" t="str">
        <f t="shared" si="225"/>
        <v/>
      </c>
      <c r="IM30" s="1575" t="str">
        <f t="shared" si="226"/>
        <v/>
      </c>
      <c r="IN30" s="1575" t="str">
        <f t="shared" si="227"/>
        <v/>
      </c>
      <c r="IO30" s="1575" t="str">
        <f t="shared" si="228"/>
        <v/>
      </c>
      <c r="IP30" s="1575" t="str">
        <f t="shared" si="229"/>
        <v/>
      </c>
      <c r="IQ30" s="1575" t="str">
        <f t="shared" si="230"/>
        <v/>
      </c>
      <c r="IR30" s="1575" t="str">
        <f t="shared" si="231"/>
        <v/>
      </c>
      <c r="IS30" s="1575" t="str">
        <f t="shared" si="232"/>
        <v/>
      </c>
      <c r="IT30" s="1575" t="str">
        <f t="shared" si="233"/>
        <v/>
      </c>
      <c r="IU30" s="1575" t="str">
        <f t="shared" si="234"/>
        <v/>
      </c>
      <c r="IV30" s="1575" t="str">
        <f t="shared" si="235"/>
        <v/>
      </c>
      <c r="IW30" s="1575" t="str">
        <f t="shared" si="236"/>
        <v/>
      </c>
      <c r="IX30" s="1575" t="str">
        <f t="shared" si="237"/>
        <v/>
      </c>
      <c r="IY30" s="1575" t="str">
        <f t="shared" si="238"/>
        <v/>
      </c>
      <c r="IZ30" s="1575" t="str">
        <f t="shared" si="239"/>
        <v/>
      </c>
      <c r="JA30" s="1575" t="str">
        <f t="shared" si="240"/>
        <v/>
      </c>
      <c r="JB30" s="1575" t="str">
        <f t="shared" si="241"/>
        <v/>
      </c>
      <c r="JC30" s="1575" t="str">
        <f t="shared" si="242"/>
        <v/>
      </c>
      <c r="JD30" s="1575" t="str">
        <f t="shared" si="243"/>
        <v/>
      </c>
      <c r="JE30" s="1575" t="str">
        <f t="shared" si="244"/>
        <v/>
      </c>
      <c r="JF30" s="1575" t="str">
        <f t="shared" si="245"/>
        <v/>
      </c>
      <c r="JG30" s="1575" t="str">
        <f t="shared" si="246"/>
        <v/>
      </c>
      <c r="JH30" s="1575" t="str">
        <f t="shared" si="247"/>
        <v/>
      </c>
      <c r="JI30" s="1575" t="str">
        <f t="shared" si="248"/>
        <v/>
      </c>
      <c r="JJ30" s="1575" t="str">
        <f t="shared" si="249"/>
        <v/>
      </c>
      <c r="JK30" s="1575" t="str">
        <f t="shared" si="250"/>
        <v/>
      </c>
      <c r="JL30" s="1575" t="str">
        <f t="shared" si="251"/>
        <v/>
      </c>
      <c r="JM30" s="1575" t="str">
        <f t="shared" si="252"/>
        <v/>
      </c>
      <c r="JN30" s="1575" t="str">
        <f t="shared" si="253"/>
        <v/>
      </c>
      <c r="JO30" s="1575" t="str">
        <f t="shared" si="254"/>
        <v/>
      </c>
      <c r="JP30" s="1575" t="str">
        <f t="shared" si="255"/>
        <v/>
      </c>
      <c r="JQ30" s="1575" t="str">
        <f t="shared" si="256"/>
        <v/>
      </c>
      <c r="JR30" s="1575" t="str">
        <f t="shared" si="257"/>
        <v/>
      </c>
      <c r="JS30" s="1575" t="str">
        <f t="shared" si="258"/>
        <v/>
      </c>
      <c r="JT30" s="1575" t="str">
        <f t="shared" si="259"/>
        <v/>
      </c>
      <c r="JU30" s="1575" t="str">
        <f t="shared" si="260"/>
        <v/>
      </c>
      <c r="JV30" s="1575">
        <f t="shared" si="261"/>
        <v>8</v>
      </c>
      <c r="JW30" s="1575" t="str">
        <f t="shared" si="262"/>
        <v/>
      </c>
      <c r="JX30" s="1575" t="str">
        <f t="shared" si="263"/>
        <v/>
      </c>
      <c r="JY30" s="1575" t="str">
        <f t="shared" si="264"/>
        <v/>
      </c>
      <c r="JZ30" s="1575" t="str">
        <f t="shared" si="265"/>
        <v/>
      </c>
      <c r="KA30" s="1575" t="str">
        <f t="shared" si="266"/>
        <v/>
      </c>
      <c r="KB30" s="1575" t="str">
        <f t="shared" si="267"/>
        <v/>
      </c>
      <c r="KC30" s="1575" t="str">
        <f t="shared" si="268"/>
        <v/>
      </c>
      <c r="KD30" s="1575" t="str">
        <f t="shared" si="269"/>
        <v/>
      </c>
      <c r="KE30" s="1575" t="str">
        <f t="shared" si="270"/>
        <v/>
      </c>
      <c r="KF30" s="1575" t="str">
        <f t="shared" si="271"/>
        <v/>
      </c>
      <c r="KG30" s="1575" t="str">
        <f t="shared" si="272"/>
        <v/>
      </c>
      <c r="KH30" s="1575" t="str">
        <f t="shared" si="273"/>
        <v/>
      </c>
      <c r="KI30" s="1575" t="str">
        <f t="shared" si="274"/>
        <v/>
      </c>
      <c r="KJ30" s="1575" t="str">
        <f t="shared" si="275"/>
        <v/>
      </c>
      <c r="KK30" s="1575" t="str">
        <f t="shared" si="276"/>
        <v/>
      </c>
      <c r="KL30" s="1575" t="str">
        <f t="shared" si="277"/>
        <v/>
      </c>
      <c r="KM30" s="1575" t="str">
        <f t="shared" si="278"/>
        <v/>
      </c>
      <c r="KN30" s="1575" t="str">
        <f t="shared" si="279"/>
        <v/>
      </c>
      <c r="KO30" s="1575" t="str">
        <f t="shared" si="280"/>
        <v/>
      </c>
      <c r="KP30" s="1575" t="str">
        <f t="shared" si="281"/>
        <v/>
      </c>
      <c r="KQ30" s="1575" t="str">
        <f t="shared" si="282"/>
        <v/>
      </c>
      <c r="KR30" s="1575" t="str">
        <f t="shared" si="283"/>
        <v/>
      </c>
      <c r="KS30" s="1575" t="str">
        <f t="shared" si="284"/>
        <v/>
      </c>
      <c r="KT30" s="1575" t="str">
        <f t="shared" si="285"/>
        <v/>
      </c>
      <c r="KU30" s="1575" t="str">
        <f t="shared" si="286"/>
        <v/>
      </c>
      <c r="KV30" s="1575" t="str">
        <f t="shared" si="287"/>
        <v/>
      </c>
      <c r="KW30" s="1575" t="str">
        <f t="shared" si="288"/>
        <v/>
      </c>
      <c r="KX30" s="1575" t="str">
        <f t="shared" si="289"/>
        <v/>
      </c>
      <c r="KY30" s="1575" t="str">
        <f t="shared" si="290"/>
        <v/>
      </c>
      <c r="KZ30" s="1575" t="str">
        <f t="shared" si="291"/>
        <v/>
      </c>
      <c r="LA30" s="1575" t="str">
        <f t="shared" si="292"/>
        <v/>
      </c>
      <c r="LB30" s="1575" t="str">
        <f t="shared" si="293"/>
        <v/>
      </c>
      <c r="LC30" s="1575" t="str">
        <f t="shared" si="294"/>
        <v/>
      </c>
      <c r="LD30" s="1575" t="str">
        <f t="shared" si="295"/>
        <v/>
      </c>
      <c r="LE30" s="1575" t="str">
        <f t="shared" si="296"/>
        <v/>
      </c>
      <c r="LF30" s="1575" t="str">
        <f t="shared" si="297"/>
        <v/>
      </c>
      <c r="LG30" s="1564" t="str">
        <f t="shared" si="298"/>
        <v/>
      </c>
      <c r="LH30" s="1564" t="str">
        <f t="shared" si="299"/>
        <v/>
      </c>
      <c r="LI30" s="1564" t="str">
        <f t="shared" si="300"/>
        <v/>
      </c>
      <c r="LJ30" s="1564" t="str">
        <f t="shared" si="301"/>
        <v/>
      </c>
      <c r="LK30" s="1564"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441">
        <f t="shared" si="323"/>
        <v>0</v>
      </c>
      <c r="MG30" s="1441">
        <f t="shared" si="324"/>
        <v>0</v>
      </c>
      <c r="MH30" s="1441">
        <f t="shared" si="325"/>
        <v>0</v>
      </c>
      <c r="MI30" s="1441">
        <f t="shared" si="326"/>
        <v>8</v>
      </c>
      <c r="MJ30" s="1441">
        <f t="shared" si="327"/>
        <v>0</v>
      </c>
      <c r="MK30" s="1441">
        <f t="shared" si="333"/>
        <v>0</v>
      </c>
      <c r="ML30" s="1441">
        <f t="shared" si="334"/>
        <v>0</v>
      </c>
      <c r="MM30" s="1441">
        <f t="shared" si="335"/>
        <v>0</v>
      </c>
      <c r="MN30" s="1441">
        <f t="shared" si="336"/>
        <v>0</v>
      </c>
      <c r="MO30" s="1441">
        <f t="shared" si="337"/>
        <v>0</v>
      </c>
      <c r="MP30" s="1441">
        <f t="shared" si="328"/>
        <v>0</v>
      </c>
      <c r="MQ30" s="1441">
        <f t="shared" si="329"/>
        <v>0</v>
      </c>
      <c r="MR30" s="1441">
        <f t="shared" si="330"/>
        <v>0</v>
      </c>
      <c r="MS30" s="1441">
        <f t="shared" si="331"/>
        <v>0</v>
      </c>
      <c r="MT30" s="1441">
        <f t="shared" si="332"/>
        <v>0</v>
      </c>
      <c r="NP30" s="1413" t="s">
        <v>1131</v>
      </c>
    </row>
    <row r="31" spans="1:380" ht="13.9" customHeight="1">
      <c r="A31" s="55" t="str">
        <f t="shared" si="0"/>
        <v/>
      </c>
      <c r="B31" s="915">
        <v>60</v>
      </c>
      <c r="C31" s="89">
        <v>3</v>
      </c>
      <c r="D31" s="1443">
        <v>2.5</v>
      </c>
      <c r="E31" s="90">
        <v>2</v>
      </c>
      <c r="F31" s="90">
        <v>1349</v>
      </c>
      <c r="G31" s="90">
        <v>1593</v>
      </c>
      <c r="H31" s="90">
        <v>1804.0000000000002</v>
      </c>
      <c r="I31" s="90">
        <v>0</v>
      </c>
      <c r="J31" s="596">
        <f>IF(C31="",0,HLOOKUP(C31,'Part IV-Utility Allowances'!$I$11:$M$22,12))</f>
        <v>216</v>
      </c>
      <c r="K31" s="509" t="s">
        <v>7054</v>
      </c>
      <c r="L31" s="351">
        <f t="shared" si="1"/>
        <v>1588.0000000000002</v>
      </c>
      <c r="M31" s="351">
        <f t="shared" si="2"/>
        <v>3176.0000000000005</v>
      </c>
      <c r="N31" s="549" t="s">
        <v>63</v>
      </c>
      <c r="O31" s="1381" t="s">
        <v>7051</v>
      </c>
      <c r="P31" s="549" t="s">
        <v>7052</v>
      </c>
      <c r="Q31" s="91" t="s">
        <v>63</v>
      </c>
      <c r="R31" s="586"/>
      <c r="S31" s="587"/>
      <c r="T31" s="3500"/>
      <c r="U31" s="3501"/>
      <c r="V31" s="3501"/>
      <c r="W31" s="3502"/>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f t="shared" si="16"/>
        <v>2</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f t="shared" si="66"/>
        <v>2</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f t="shared" si="131"/>
        <v>2698</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f t="shared" si="161"/>
        <v>2698</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f t="shared" si="186"/>
        <v>2</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575" t="str">
        <f t="shared" si="213"/>
        <v/>
      </c>
      <c r="IA31" s="1575" t="str">
        <f t="shared" si="214"/>
        <v/>
      </c>
      <c r="IB31" s="1575" t="str">
        <f t="shared" si="215"/>
        <v/>
      </c>
      <c r="IC31" s="1575" t="str">
        <f t="shared" si="216"/>
        <v/>
      </c>
      <c r="ID31" s="1575" t="str">
        <f t="shared" si="217"/>
        <v/>
      </c>
      <c r="IE31" s="1575" t="str">
        <f t="shared" si="218"/>
        <v/>
      </c>
      <c r="IF31" s="1575" t="str">
        <f t="shared" si="219"/>
        <v/>
      </c>
      <c r="IG31" s="1575" t="str">
        <f t="shared" si="220"/>
        <v/>
      </c>
      <c r="IH31" s="1575" t="str">
        <f t="shared" si="221"/>
        <v/>
      </c>
      <c r="II31" s="1575" t="str">
        <f t="shared" si="222"/>
        <v/>
      </c>
      <c r="IJ31" s="1575" t="str">
        <f t="shared" si="223"/>
        <v/>
      </c>
      <c r="IK31" s="1575" t="str">
        <f t="shared" si="224"/>
        <v/>
      </c>
      <c r="IL31" s="1575" t="str">
        <f t="shared" si="225"/>
        <v/>
      </c>
      <c r="IM31" s="1575" t="str">
        <f t="shared" si="226"/>
        <v/>
      </c>
      <c r="IN31" s="1575" t="str">
        <f t="shared" si="227"/>
        <v/>
      </c>
      <c r="IO31" s="1575" t="str">
        <f t="shared" si="228"/>
        <v/>
      </c>
      <c r="IP31" s="1575" t="str">
        <f t="shared" si="229"/>
        <v/>
      </c>
      <c r="IQ31" s="1575" t="str">
        <f t="shared" si="230"/>
        <v/>
      </c>
      <c r="IR31" s="1575" t="str">
        <f t="shared" si="231"/>
        <v/>
      </c>
      <c r="IS31" s="1575" t="str">
        <f t="shared" si="232"/>
        <v/>
      </c>
      <c r="IT31" s="1575" t="str">
        <f t="shared" si="233"/>
        <v/>
      </c>
      <c r="IU31" s="1575" t="str">
        <f t="shared" si="234"/>
        <v/>
      </c>
      <c r="IV31" s="1575" t="str">
        <f t="shared" si="235"/>
        <v/>
      </c>
      <c r="IW31" s="1575" t="str">
        <f t="shared" si="236"/>
        <v/>
      </c>
      <c r="IX31" s="1575" t="str">
        <f t="shared" si="237"/>
        <v/>
      </c>
      <c r="IY31" s="1575" t="str">
        <f t="shared" si="238"/>
        <v/>
      </c>
      <c r="IZ31" s="1575" t="str">
        <f t="shared" si="239"/>
        <v/>
      </c>
      <c r="JA31" s="1575" t="str">
        <f t="shared" si="240"/>
        <v/>
      </c>
      <c r="JB31" s="1575" t="str">
        <f t="shared" si="241"/>
        <v/>
      </c>
      <c r="JC31" s="1575" t="str">
        <f t="shared" si="242"/>
        <v/>
      </c>
      <c r="JD31" s="1575" t="str">
        <f t="shared" si="243"/>
        <v/>
      </c>
      <c r="JE31" s="1575" t="str">
        <f t="shared" si="244"/>
        <v/>
      </c>
      <c r="JF31" s="1575" t="str">
        <f t="shared" si="245"/>
        <v/>
      </c>
      <c r="JG31" s="1575" t="str">
        <f t="shared" si="246"/>
        <v/>
      </c>
      <c r="JH31" s="1575" t="str">
        <f t="shared" si="247"/>
        <v/>
      </c>
      <c r="JI31" s="1575" t="str">
        <f t="shared" si="248"/>
        <v/>
      </c>
      <c r="JJ31" s="1575" t="str">
        <f t="shared" si="249"/>
        <v/>
      </c>
      <c r="JK31" s="1575" t="str">
        <f t="shared" si="250"/>
        <v/>
      </c>
      <c r="JL31" s="1575">
        <f t="shared" si="251"/>
        <v>2</v>
      </c>
      <c r="JM31" s="1575" t="str">
        <f t="shared" si="252"/>
        <v/>
      </c>
      <c r="JN31" s="1575" t="str">
        <f t="shared" si="253"/>
        <v/>
      </c>
      <c r="JO31" s="1575" t="str">
        <f t="shared" si="254"/>
        <v/>
      </c>
      <c r="JP31" s="1575" t="str">
        <f t="shared" si="255"/>
        <v/>
      </c>
      <c r="JQ31" s="1575" t="str">
        <f t="shared" si="256"/>
        <v/>
      </c>
      <c r="JR31" s="1575" t="str">
        <f t="shared" si="257"/>
        <v/>
      </c>
      <c r="JS31" s="1575" t="str">
        <f t="shared" si="258"/>
        <v/>
      </c>
      <c r="JT31" s="1575" t="str">
        <f t="shared" si="259"/>
        <v/>
      </c>
      <c r="JU31" s="1575" t="str">
        <f t="shared" si="260"/>
        <v/>
      </c>
      <c r="JV31" s="1575" t="str">
        <f t="shared" si="261"/>
        <v/>
      </c>
      <c r="JW31" s="1575" t="str">
        <f t="shared" si="262"/>
        <v/>
      </c>
      <c r="JX31" s="1575" t="str">
        <f t="shared" si="263"/>
        <v/>
      </c>
      <c r="JY31" s="1575" t="str">
        <f t="shared" si="264"/>
        <v/>
      </c>
      <c r="JZ31" s="1575" t="str">
        <f t="shared" si="265"/>
        <v/>
      </c>
      <c r="KA31" s="1575" t="str">
        <f t="shared" si="266"/>
        <v/>
      </c>
      <c r="KB31" s="1575" t="str">
        <f t="shared" si="267"/>
        <v/>
      </c>
      <c r="KC31" s="1575" t="str">
        <f t="shared" si="268"/>
        <v/>
      </c>
      <c r="KD31" s="1575" t="str">
        <f t="shared" si="269"/>
        <v/>
      </c>
      <c r="KE31" s="1575" t="str">
        <f t="shared" si="270"/>
        <v/>
      </c>
      <c r="KF31" s="1575" t="str">
        <f t="shared" si="271"/>
        <v/>
      </c>
      <c r="KG31" s="1575" t="str">
        <f t="shared" si="272"/>
        <v/>
      </c>
      <c r="KH31" s="1575" t="str">
        <f t="shared" si="273"/>
        <v/>
      </c>
      <c r="KI31" s="1575" t="str">
        <f t="shared" si="274"/>
        <v/>
      </c>
      <c r="KJ31" s="1575" t="str">
        <f t="shared" si="275"/>
        <v/>
      </c>
      <c r="KK31" s="1575" t="str">
        <f t="shared" si="276"/>
        <v/>
      </c>
      <c r="KL31" s="1575" t="str">
        <f t="shared" si="277"/>
        <v/>
      </c>
      <c r="KM31" s="1575" t="str">
        <f t="shared" si="278"/>
        <v/>
      </c>
      <c r="KN31" s="1575" t="str">
        <f t="shared" si="279"/>
        <v/>
      </c>
      <c r="KO31" s="1575" t="str">
        <f t="shared" si="280"/>
        <v/>
      </c>
      <c r="KP31" s="1575" t="str">
        <f t="shared" si="281"/>
        <v/>
      </c>
      <c r="KQ31" s="1575" t="str">
        <f t="shared" si="282"/>
        <v/>
      </c>
      <c r="KR31" s="1575" t="str">
        <f t="shared" si="283"/>
        <v/>
      </c>
      <c r="KS31" s="1575" t="str">
        <f t="shared" si="284"/>
        <v/>
      </c>
      <c r="KT31" s="1575" t="str">
        <f t="shared" si="285"/>
        <v/>
      </c>
      <c r="KU31" s="1575" t="str">
        <f t="shared" si="286"/>
        <v/>
      </c>
      <c r="KV31" s="1575" t="str">
        <f t="shared" si="287"/>
        <v/>
      </c>
      <c r="KW31" s="1575" t="str">
        <f t="shared" si="288"/>
        <v/>
      </c>
      <c r="KX31" s="1575" t="str">
        <f t="shared" si="289"/>
        <v/>
      </c>
      <c r="KY31" s="1575" t="str">
        <f t="shared" si="290"/>
        <v/>
      </c>
      <c r="KZ31" s="1575" t="str">
        <f t="shared" si="291"/>
        <v/>
      </c>
      <c r="LA31" s="1575" t="str">
        <f t="shared" si="292"/>
        <v/>
      </c>
      <c r="LB31" s="1575" t="str">
        <f t="shared" si="293"/>
        <v/>
      </c>
      <c r="LC31" s="1575" t="str">
        <f t="shared" si="294"/>
        <v/>
      </c>
      <c r="LD31" s="1575" t="str">
        <f t="shared" si="295"/>
        <v/>
      </c>
      <c r="LE31" s="1575" t="str">
        <f t="shared" si="296"/>
        <v/>
      </c>
      <c r="LF31" s="1575" t="str">
        <f t="shared" si="297"/>
        <v/>
      </c>
      <c r="LG31" s="1564" t="str">
        <f t="shared" si="298"/>
        <v/>
      </c>
      <c r="LH31" s="1564" t="str">
        <f t="shared" si="299"/>
        <v/>
      </c>
      <c r="LI31" s="1564" t="str">
        <f t="shared" si="300"/>
        <v/>
      </c>
      <c r="LJ31" s="1564" t="str">
        <f t="shared" si="301"/>
        <v/>
      </c>
      <c r="LK31" s="1564"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441">
        <f t="shared" si="323"/>
        <v>0</v>
      </c>
      <c r="MG31" s="1441">
        <f t="shared" si="324"/>
        <v>0</v>
      </c>
      <c r="MH31" s="1441">
        <f t="shared" si="325"/>
        <v>0</v>
      </c>
      <c r="MI31" s="1441">
        <f t="shared" si="326"/>
        <v>2</v>
      </c>
      <c r="MJ31" s="1441">
        <f t="shared" si="327"/>
        <v>0</v>
      </c>
      <c r="MK31" s="1441">
        <f t="shared" si="333"/>
        <v>0</v>
      </c>
      <c r="ML31" s="1441">
        <f t="shared" si="334"/>
        <v>0</v>
      </c>
      <c r="MM31" s="1441">
        <f t="shared" si="335"/>
        <v>0</v>
      </c>
      <c r="MN31" s="1441">
        <f t="shared" si="336"/>
        <v>0</v>
      </c>
      <c r="MO31" s="1441">
        <f t="shared" si="337"/>
        <v>0</v>
      </c>
      <c r="MP31" s="1441">
        <f t="shared" si="328"/>
        <v>0</v>
      </c>
      <c r="MQ31" s="1441">
        <f t="shared" si="329"/>
        <v>0</v>
      </c>
      <c r="MR31" s="1441">
        <f t="shared" si="330"/>
        <v>0</v>
      </c>
      <c r="MS31" s="1441">
        <f t="shared" si="331"/>
        <v>0</v>
      </c>
      <c r="MT31" s="1441">
        <f t="shared" si="332"/>
        <v>0</v>
      </c>
      <c r="NP31" s="1413" t="s">
        <v>1132</v>
      </c>
    </row>
    <row r="32" spans="1:380" ht="13.9" customHeight="1">
      <c r="A32" s="55" t="str">
        <f t="shared" si="0"/>
        <v/>
      </c>
      <c r="B32" s="915">
        <v>60</v>
      </c>
      <c r="C32" s="89">
        <v>3</v>
      </c>
      <c r="D32" s="1443">
        <v>2.5</v>
      </c>
      <c r="E32" s="90">
        <v>1</v>
      </c>
      <c r="F32" s="90">
        <v>1349</v>
      </c>
      <c r="G32" s="90">
        <v>1593</v>
      </c>
      <c r="H32" s="90">
        <v>1804.0000000000002</v>
      </c>
      <c r="I32" s="90">
        <v>0</v>
      </c>
      <c r="J32" s="596">
        <f>IF(C32="",0,HLOOKUP(C32,'Part IV-Utility Allowances'!$I$11:$M$22,12))</f>
        <v>216</v>
      </c>
      <c r="K32" s="509" t="s">
        <v>7054</v>
      </c>
      <c r="L32" s="351">
        <f t="shared" si="1"/>
        <v>1588.0000000000002</v>
      </c>
      <c r="M32" s="351">
        <f t="shared" si="2"/>
        <v>1588.0000000000002</v>
      </c>
      <c r="N32" s="549" t="s">
        <v>63</v>
      </c>
      <c r="O32" s="1381" t="s">
        <v>1205</v>
      </c>
      <c r="P32" s="549" t="s">
        <v>7052</v>
      </c>
      <c r="Q32" s="91" t="s">
        <v>63</v>
      </c>
      <c r="R32" s="586"/>
      <c r="S32" s="587"/>
      <c r="T32" s="3500"/>
      <c r="U32" s="3501"/>
      <c r="V32" s="3501"/>
      <c r="W32" s="3502"/>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f t="shared" si="16"/>
        <v>1</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f t="shared" si="66"/>
        <v>1</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f t="shared" si="131"/>
        <v>1349</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f t="shared" si="161"/>
        <v>1349</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f t="shared" si="186"/>
        <v>1</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575" t="str">
        <f t="shared" si="213"/>
        <v/>
      </c>
      <c r="IA32" s="1575" t="str">
        <f t="shared" si="214"/>
        <v/>
      </c>
      <c r="IB32" s="1575" t="str">
        <f t="shared" si="215"/>
        <v/>
      </c>
      <c r="IC32" s="1575">
        <f t="shared" si="216"/>
        <v>1</v>
      </c>
      <c r="ID32" s="1575" t="str">
        <f t="shared" si="217"/>
        <v/>
      </c>
      <c r="IE32" s="1575" t="str">
        <f t="shared" si="218"/>
        <v/>
      </c>
      <c r="IF32" s="1575" t="str">
        <f t="shared" si="219"/>
        <v/>
      </c>
      <c r="IG32" s="1575" t="str">
        <f t="shared" si="220"/>
        <v/>
      </c>
      <c r="IH32" s="1575" t="str">
        <f t="shared" si="221"/>
        <v/>
      </c>
      <c r="II32" s="1575" t="str">
        <f t="shared" si="222"/>
        <v/>
      </c>
      <c r="IJ32" s="1575" t="str">
        <f t="shared" si="223"/>
        <v/>
      </c>
      <c r="IK32" s="1575" t="str">
        <f t="shared" si="224"/>
        <v/>
      </c>
      <c r="IL32" s="1575" t="str">
        <f t="shared" si="225"/>
        <v/>
      </c>
      <c r="IM32" s="1575" t="str">
        <f t="shared" si="226"/>
        <v/>
      </c>
      <c r="IN32" s="1575" t="str">
        <f t="shared" si="227"/>
        <v/>
      </c>
      <c r="IO32" s="1575" t="str">
        <f t="shared" si="228"/>
        <v/>
      </c>
      <c r="IP32" s="1575" t="str">
        <f t="shared" si="229"/>
        <v/>
      </c>
      <c r="IQ32" s="1575" t="str">
        <f t="shared" si="230"/>
        <v/>
      </c>
      <c r="IR32" s="1575" t="str">
        <f t="shared" si="231"/>
        <v/>
      </c>
      <c r="IS32" s="1575" t="str">
        <f t="shared" si="232"/>
        <v/>
      </c>
      <c r="IT32" s="1575" t="str">
        <f t="shared" si="233"/>
        <v/>
      </c>
      <c r="IU32" s="1575" t="str">
        <f t="shared" si="234"/>
        <v/>
      </c>
      <c r="IV32" s="1575" t="str">
        <f t="shared" si="235"/>
        <v/>
      </c>
      <c r="IW32" s="1575" t="str">
        <f t="shared" si="236"/>
        <v/>
      </c>
      <c r="IX32" s="1575" t="str">
        <f t="shared" si="237"/>
        <v/>
      </c>
      <c r="IY32" s="1575" t="str">
        <f t="shared" si="238"/>
        <v/>
      </c>
      <c r="IZ32" s="1575" t="str">
        <f t="shared" si="239"/>
        <v/>
      </c>
      <c r="JA32" s="1575" t="str">
        <f t="shared" si="240"/>
        <v/>
      </c>
      <c r="JB32" s="1575" t="str">
        <f t="shared" si="241"/>
        <v/>
      </c>
      <c r="JC32" s="1575" t="str">
        <f t="shared" si="242"/>
        <v/>
      </c>
      <c r="JD32" s="1575" t="str">
        <f t="shared" si="243"/>
        <v/>
      </c>
      <c r="JE32" s="1575" t="str">
        <f t="shared" si="244"/>
        <v/>
      </c>
      <c r="JF32" s="1575" t="str">
        <f t="shared" si="245"/>
        <v/>
      </c>
      <c r="JG32" s="1575" t="str">
        <f t="shared" si="246"/>
        <v/>
      </c>
      <c r="JH32" s="1575" t="str">
        <f t="shared" si="247"/>
        <v/>
      </c>
      <c r="JI32" s="1575" t="str">
        <f t="shared" si="248"/>
        <v/>
      </c>
      <c r="JJ32" s="1575" t="str">
        <f t="shared" si="249"/>
        <v/>
      </c>
      <c r="JK32" s="1575" t="str">
        <f t="shared" si="250"/>
        <v/>
      </c>
      <c r="JL32" s="1575" t="str">
        <f t="shared" si="251"/>
        <v/>
      </c>
      <c r="JM32" s="1575" t="str">
        <f t="shared" si="252"/>
        <v/>
      </c>
      <c r="JN32" s="1575" t="str">
        <f t="shared" si="253"/>
        <v/>
      </c>
      <c r="JO32" s="1575" t="str">
        <f t="shared" si="254"/>
        <v/>
      </c>
      <c r="JP32" s="1575" t="str">
        <f t="shared" si="255"/>
        <v/>
      </c>
      <c r="JQ32" s="1575" t="str">
        <f t="shared" si="256"/>
        <v/>
      </c>
      <c r="JR32" s="1575" t="str">
        <f t="shared" si="257"/>
        <v/>
      </c>
      <c r="JS32" s="1575" t="str">
        <f t="shared" si="258"/>
        <v/>
      </c>
      <c r="JT32" s="1575" t="str">
        <f t="shared" si="259"/>
        <v/>
      </c>
      <c r="JU32" s="1575" t="str">
        <f t="shared" si="260"/>
        <v/>
      </c>
      <c r="JV32" s="1575">
        <f t="shared" si="261"/>
        <v>1</v>
      </c>
      <c r="JW32" s="1575" t="str">
        <f t="shared" si="262"/>
        <v/>
      </c>
      <c r="JX32" s="1575" t="str">
        <f t="shared" si="263"/>
        <v/>
      </c>
      <c r="JY32" s="1575" t="str">
        <f t="shared" si="264"/>
        <v/>
      </c>
      <c r="JZ32" s="1575" t="str">
        <f t="shared" si="265"/>
        <v/>
      </c>
      <c r="KA32" s="1575" t="str">
        <f t="shared" si="266"/>
        <v/>
      </c>
      <c r="KB32" s="1575" t="str">
        <f t="shared" si="267"/>
        <v/>
      </c>
      <c r="KC32" s="1575" t="str">
        <f t="shared" si="268"/>
        <v/>
      </c>
      <c r="KD32" s="1575" t="str">
        <f t="shared" si="269"/>
        <v/>
      </c>
      <c r="KE32" s="1575" t="str">
        <f t="shared" si="270"/>
        <v/>
      </c>
      <c r="KF32" s="1575" t="str">
        <f t="shared" si="271"/>
        <v/>
      </c>
      <c r="KG32" s="1575" t="str">
        <f t="shared" si="272"/>
        <v/>
      </c>
      <c r="KH32" s="1575" t="str">
        <f t="shared" si="273"/>
        <v/>
      </c>
      <c r="KI32" s="1575" t="str">
        <f t="shared" si="274"/>
        <v/>
      </c>
      <c r="KJ32" s="1575" t="str">
        <f t="shared" si="275"/>
        <v/>
      </c>
      <c r="KK32" s="1575" t="str">
        <f t="shared" si="276"/>
        <v/>
      </c>
      <c r="KL32" s="1575" t="str">
        <f t="shared" si="277"/>
        <v/>
      </c>
      <c r="KM32" s="1575" t="str">
        <f t="shared" si="278"/>
        <v/>
      </c>
      <c r="KN32" s="1575" t="str">
        <f t="shared" si="279"/>
        <v/>
      </c>
      <c r="KO32" s="1575" t="str">
        <f t="shared" si="280"/>
        <v/>
      </c>
      <c r="KP32" s="1575" t="str">
        <f t="shared" si="281"/>
        <v/>
      </c>
      <c r="KQ32" s="1575" t="str">
        <f t="shared" si="282"/>
        <v/>
      </c>
      <c r="KR32" s="1575" t="str">
        <f t="shared" si="283"/>
        <v/>
      </c>
      <c r="KS32" s="1575" t="str">
        <f t="shared" si="284"/>
        <v/>
      </c>
      <c r="KT32" s="1575" t="str">
        <f t="shared" si="285"/>
        <v/>
      </c>
      <c r="KU32" s="1575" t="str">
        <f t="shared" si="286"/>
        <v/>
      </c>
      <c r="KV32" s="1575" t="str">
        <f t="shared" si="287"/>
        <v/>
      </c>
      <c r="KW32" s="1575" t="str">
        <f t="shared" si="288"/>
        <v/>
      </c>
      <c r="KX32" s="1575" t="str">
        <f t="shared" si="289"/>
        <v/>
      </c>
      <c r="KY32" s="1575" t="str">
        <f t="shared" si="290"/>
        <v/>
      </c>
      <c r="KZ32" s="1575" t="str">
        <f t="shared" si="291"/>
        <v/>
      </c>
      <c r="LA32" s="1575" t="str">
        <f t="shared" si="292"/>
        <v/>
      </c>
      <c r="LB32" s="1575" t="str">
        <f t="shared" si="293"/>
        <v/>
      </c>
      <c r="LC32" s="1575" t="str">
        <f t="shared" si="294"/>
        <v/>
      </c>
      <c r="LD32" s="1575" t="str">
        <f t="shared" si="295"/>
        <v/>
      </c>
      <c r="LE32" s="1575" t="str">
        <f t="shared" si="296"/>
        <v/>
      </c>
      <c r="LF32" s="1575" t="str">
        <f t="shared" si="297"/>
        <v/>
      </c>
      <c r="LG32" s="1564" t="str">
        <f t="shared" si="298"/>
        <v/>
      </c>
      <c r="LH32" s="1564" t="str">
        <f t="shared" si="299"/>
        <v/>
      </c>
      <c r="LI32" s="1564" t="str">
        <f t="shared" si="300"/>
        <v/>
      </c>
      <c r="LJ32" s="1564" t="str">
        <f t="shared" si="301"/>
        <v/>
      </c>
      <c r="LK32" s="1564"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441">
        <f t="shared" si="323"/>
        <v>0</v>
      </c>
      <c r="MG32" s="1441">
        <f t="shared" si="324"/>
        <v>0</v>
      </c>
      <c r="MH32" s="1441">
        <f t="shared" si="325"/>
        <v>0</v>
      </c>
      <c r="MI32" s="1441">
        <f t="shared" si="326"/>
        <v>1</v>
      </c>
      <c r="MJ32" s="1441">
        <f t="shared" si="327"/>
        <v>0</v>
      </c>
      <c r="MK32" s="1441">
        <f t="shared" si="333"/>
        <v>0</v>
      </c>
      <c r="ML32" s="1441">
        <f t="shared" si="334"/>
        <v>0</v>
      </c>
      <c r="MM32" s="1441">
        <f t="shared" si="335"/>
        <v>0</v>
      </c>
      <c r="MN32" s="1441">
        <f t="shared" si="336"/>
        <v>0</v>
      </c>
      <c r="MO32" s="1441">
        <f t="shared" si="337"/>
        <v>0</v>
      </c>
      <c r="MP32" s="1441">
        <f t="shared" si="328"/>
        <v>0</v>
      </c>
      <c r="MQ32" s="1441">
        <f t="shared" si="329"/>
        <v>0</v>
      </c>
      <c r="MR32" s="1441">
        <f t="shared" si="330"/>
        <v>0</v>
      </c>
      <c r="MS32" s="1441">
        <f t="shared" si="331"/>
        <v>0</v>
      </c>
      <c r="MT32" s="1441">
        <f t="shared" si="332"/>
        <v>0</v>
      </c>
      <c r="NP32" s="1413" t="s">
        <v>1133</v>
      </c>
    </row>
    <row r="33" spans="1:380" ht="13.9" customHeight="1">
      <c r="A33" s="55" t="str">
        <f t="shared" si="0"/>
        <v/>
      </c>
      <c r="B33" s="915">
        <v>60</v>
      </c>
      <c r="C33" s="89">
        <v>3</v>
      </c>
      <c r="D33" s="1443">
        <v>2.5</v>
      </c>
      <c r="E33" s="90">
        <v>5</v>
      </c>
      <c r="F33" s="90">
        <v>1392</v>
      </c>
      <c r="G33" s="90">
        <v>1593</v>
      </c>
      <c r="H33" s="90">
        <v>1804.0000000000002</v>
      </c>
      <c r="I33" s="90">
        <v>0</v>
      </c>
      <c r="J33" s="596">
        <f>IF(C33="",0,HLOOKUP(C33,'Part IV-Utility Allowances'!$I$11:$M$22,12))</f>
        <v>216</v>
      </c>
      <c r="K33" s="509" t="s">
        <v>7054</v>
      </c>
      <c r="L33" s="351">
        <f t="shared" si="1"/>
        <v>1588.0000000000002</v>
      </c>
      <c r="M33" s="351">
        <f t="shared" si="2"/>
        <v>7940.0000000000009</v>
      </c>
      <c r="N33" s="549" t="s">
        <v>63</v>
      </c>
      <c r="O33" s="1381" t="s">
        <v>1205</v>
      </c>
      <c r="P33" s="549" t="s">
        <v>7052</v>
      </c>
      <c r="Q33" s="91" t="s">
        <v>63</v>
      </c>
      <c r="R33" s="586"/>
      <c r="S33" s="587"/>
      <c r="T33" s="3500"/>
      <c r="U33" s="3501"/>
      <c r="V33" s="3501"/>
      <c r="W33" s="3502"/>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f t="shared" si="16"/>
        <v>5</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f t="shared" si="66"/>
        <v>5</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f t="shared" si="131"/>
        <v>6960</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f t="shared" si="161"/>
        <v>6960</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f t="shared" si="186"/>
        <v>5</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575" t="str">
        <f t="shared" si="213"/>
        <v/>
      </c>
      <c r="IA33" s="1575" t="str">
        <f t="shared" si="214"/>
        <v/>
      </c>
      <c r="IB33" s="1575" t="str">
        <f t="shared" si="215"/>
        <v/>
      </c>
      <c r="IC33" s="1575">
        <f t="shared" si="216"/>
        <v>5</v>
      </c>
      <c r="ID33" s="1575" t="str">
        <f t="shared" si="217"/>
        <v/>
      </c>
      <c r="IE33" s="1575" t="str">
        <f t="shared" si="218"/>
        <v/>
      </c>
      <c r="IF33" s="1575" t="str">
        <f t="shared" si="219"/>
        <v/>
      </c>
      <c r="IG33" s="1575" t="str">
        <f t="shared" si="220"/>
        <v/>
      </c>
      <c r="IH33" s="1575" t="str">
        <f t="shared" si="221"/>
        <v/>
      </c>
      <c r="II33" s="1575" t="str">
        <f t="shared" si="222"/>
        <v/>
      </c>
      <c r="IJ33" s="1575" t="str">
        <f t="shared" si="223"/>
        <v/>
      </c>
      <c r="IK33" s="1575" t="str">
        <f t="shared" si="224"/>
        <v/>
      </c>
      <c r="IL33" s="1575" t="str">
        <f t="shared" si="225"/>
        <v/>
      </c>
      <c r="IM33" s="1575" t="str">
        <f t="shared" si="226"/>
        <v/>
      </c>
      <c r="IN33" s="1575" t="str">
        <f t="shared" si="227"/>
        <v/>
      </c>
      <c r="IO33" s="1575" t="str">
        <f t="shared" si="228"/>
        <v/>
      </c>
      <c r="IP33" s="1575" t="str">
        <f t="shared" si="229"/>
        <v/>
      </c>
      <c r="IQ33" s="1575" t="str">
        <f t="shared" si="230"/>
        <v/>
      </c>
      <c r="IR33" s="1575" t="str">
        <f t="shared" si="231"/>
        <v/>
      </c>
      <c r="IS33" s="1575" t="str">
        <f t="shared" si="232"/>
        <v/>
      </c>
      <c r="IT33" s="1575" t="str">
        <f t="shared" si="233"/>
        <v/>
      </c>
      <c r="IU33" s="1575" t="str">
        <f t="shared" si="234"/>
        <v/>
      </c>
      <c r="IV33" s="1575" t="str">
        <f t="shared" si="235"/>
        <v/>
      </c>
      <c r="IW33" s="1575" t="str">
        <f t="shared" si="236"/>
        <v/>
      </c>
      <c r="IX33" s="1575" t="str">
        <f t="shared" si="237"/>
        <v/>
      </c>
      <c r="IY33" s="1575" t="str">
        <f t="shared" si="238"/>
        <v/>
      </c>
      <c r="IZ33" s="1575" t="str">
        <f t="shared" si="239"/>
        <v/>
      </c>
      <c r="JA33" s="1575" t="str">
        <f t="shared" si="240"/>
        <v/>
      </c>
      <c r="JB33" s="1575" t="str">
        <f t="shared" si="241"/>
        <v/>
      </c>
      <c r="JC33" s="1575" t="str">
        <f t="shared" si="242"/>
        <v/>
      </c>
      <c r="JD33" s="1575" t="str">
        <f t="shared" si="243"/>
        <v/>
      </c>
      <c r="JE33" s="1575" t="str">
        <f t="shared" si="244"/>
        <v/>
      </c>
      <c r="JF33" s="1575" t="str">
        <f t="shared" si="245"/>
        <v/>
      </c>
      <c r="JG33" s="1575" t="str">
        <f t="shared" si="246"/>
        <v/>
      </c>
      <c r="JH33" s="1575" t="str">
        <f t="shared" si="247"/>
        <v/>
      </c>
      <c r="JI33" s="1575" t="str">
        <f t="shared" si="248"/>
        <v/>
      </c>
      <c r="JJ33" s="1575" t="str">
        <f t="shared" si="249"/>
        <v/>
      </c>
      <c r="JK33" s="1575" t="str">
        <f t="shared" si="250"/>
        <v/>
      </c>
      <c r="JL33" s="1575" t="str">
        <f t="shared" si="251"/>
        <v/>
      </c>
      <c r="JM33" s="1575" t="str">
        <f t="shared" si="252"/>
        <v/>
      </c>
      <c r="JN33" s="1575" t="str">
        <f t="shared" si="253"/>
        <v/>
      </c>
      <c r="JO33" s="1575" t="str">
        <f t="shared" si="254"/>
        <v/>
      </c>
      <c r="JP33" s="1575" t="str">
        <f t="shared" si="255"/>
        <v/>
      </c>
      <c r="JQ33" s="1575" t="str">
        <f t="shared" si="256"/>
        <v/>
      </c>
      <c r="JR33" s="1575" t="str">
        <f t="shared" si="257"/>
        <v/>
      </c>
      <c r="JS33" s="1575" t="str">
        <f t="shared" si="258"/>
        <v/>
      </c>
      <c r="JT33" s="1575" t="str">
        <f t="shared" si="259"/>
        <v/>
      </c>
      <c r="JU33" s="1575" t="str">
        <f t="shared" si="260"/>
        <v/>
      </c>
      <c r="JV33" s="1575">
        <f t="shared" si="261"/>
        <v>5</v>
      </c>
      <c r="JW33" s="1575" t="str">
        <f t="shared" si="262"/>
        <v/>
      </c>
      <c r="JX33" s="1575" t="str">
        <f t="shared" si="263"/>
        <v/>
      </c>
      <c r="JY33" s="1575" t="str">
        <f t="shared" si="264"/>
        <v/>
      </c>
      <c r="JZ33" s="1575" t="str">
        <f t="shared" si="265"/>
        <v/>
      </c>
      <c r="KA33" s="1575" t="str">
        <f t="shared" si="266"/>
        <v/>
      </c>
      <c r="KB33" s="1575" t="str">
        <f t="shared" si="267"/>
        <v/>
      </c>
      <c r="KC33" s="1575" t="str">
        <f t="shared" si="268"/>
        <v/>
      </c>
      <c r="KD33" s="1575" t="str">
        <f t="shared" si="269"/>
        <v/>
      </c>
      <c r="KE33" s="1575" t="str">
        <f t="shared" si="270"/>
        <v/>
      </c>
      <c r="KF33" s="1575" t="str">
        <f t="shared" si="271"/>
        <v/>
      </c>
      <c r="KG33" s="1575" t="str">
        <f t="shared" si="272"/>
        <v/>
      </c>
      <c r="KH33" s="1575" t="str">
        <f t="shared" si="273"/>
        <v/>
      </c>
      <c r="KI33" s="1575" t="str">
        <f t="shared" si="274"/>
        <v/>
      </c>
      <c r="KJ33" s="1575" t="str">
        <f t="shared" si="275"/>
        <v/>
      </c>
      <c r="KK33" s="1575" t="str">
        <f t="shared" si="276"/>
        <v/>
      </c>
      <c r="KL33" s="1575" t="str">
        <f t="shared" si="277"/>
        <v/>
      </c>
      <c r="KM33" s="1575" t="str">
        <f t="shared" si="278"/>
        <v/>
      </c>
      <c r="KN33" s="1575" t="str">
        <f t="shared" si="279"/>
        <v/>
      </c>
      <c r="KO33" s="1575" t="str">
        <f t="shared" si="280"/>
        <v/>
      </c>
      <c r="KP33" s="1575" t="str">
        <f t="shared" si="281"/>
        <v/>
      </c>
      <c r="KQ33" s="1575" t="str">
        <f t="shared" si="282"/>
        <v/>
      </c>
      <c r="KR33" s="1575" t="str">
        <f t="shared" si="283"/>
        <v/>
      </c>
      <c r="KS33" s="1575" t="str">
        <f t="shared" si="284"/>
        <v/>
      </c>
      <c r="KT33" s="1575" t="str">
        <f t="shared" si="285"/>
        <v/>
      </c>
      <c r="KU33" s="1575" t="str">
        <f t="shared" si="286"/>
        <v/>
      </c>
      <c r="KV33" s="1575" t="str">
        <f t="shared" si="287"/>
        <v/>
      </c>
      <c r="KW33" s="1575" t="str">
        <f t="shared" si="288"/>
        <v/>
      </c>
      <c r="KX33" s="1575" t="str">
        <f t="shared" si="289"/>
        <v/>
      </c>
      <c r="KY33" s="1575" t="str">
        <f t="shared" si="290"/>
        <v/>
      </c>
      <c r="KZ33" s="1575" t="str">
        <f t="shared" si="291"/>
        <v/>
      </c>
      <c r="LA33" s="1575" t="str">
        <f t="shared" si="292"/>
        <v/>
      </c>
      <c r="LB33" s="1575" t="str">
        <f t="shared" si="293"/>
        <v/>
      </c>
      <c r="LC33" s="1575" t="str">
        <f t="shared" si="294"/>
        <v/>
      </c>
      <c r="LD33" s="1575" t="str">
        <f t="shared" si="295"/>
        <v/>
      </c>
      <c r="LE33" s="1575" t="str">
        <f t="shared" si="296"/>
        <v/>
      </c>
      <c r="LF33" s="1575" t="str">
        <f t="shared" si="297"/>
        <v/>
      </c>
      <c r="LG33" s="1564" t="str">
        <f t="shared" si="298"/>
        <v/>
      </c>
      <c r="LH33" s="1564" t="str">
        <f t="shared" si="299"/>
        <v/>
      </c>
      <c r="LI33" s="1564" t="str">
        <f t="shared" si="300"/>
        <v/>
      </c>
      <c r="LJ33" s="1564" t="str">
        <f t="shared" si="301"/>
        <v/>
      </c>
      <c r="LK33" s="1564"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441">
        <f t="shared" si="323"/>
        <v>0</v>
      </c>
      <c r="MG33" s="1441">
        <f t="shared" si="324"/>
        <v>0</v>
      </c>
      <c r="MH33" s="1441">
        <f t="shared" si="325"/>
        <v>0</v>
      </c>
      <c r="MI33" s="1441">
        <f t="shared" si="326"/>
        <v>5</v>
      </c>
      <c r="MJ33" s="1441">
        <f t="shared" si="327"/>
        <v>0</v>
      </c>
      <c r="MK33" s="1441">
        <f t="shared" si="333"/>
        <v>0</v>
      </c>
      <c r="ML33" s="1441">
        <f t="shared" si="334"/>
        <v>0</v>
      </c>
      <c r="MM33" s="1441">
        <f t="shared" si="335"/>
        <v>0</v>
      </c>
      <c r="MN33" s="1441">
        <f t="shared" si="336"/>
        <v>0</v>
      </c>
      <c r="MO33" s="1441">
        <f t="shared" si="337"/>
        <v>0</v>
      </c>
      <c r="MP33" s="1441">
        <f t="shared" si="328"/>
        <v>0</v>
      </c>
      <c r="MQ33" s="1441">
        <f t="shared" si="329"/>
        <v>0</v>
      </c>
      <c r="MR33" s="1441">
        <f t="shared" si="330"/>
        <v>0</v>
      </c>
      <c r="MS33" s="1441">
        <f t="shared" si="331"/>
        <v>0</v>
      </c>
      <c r="MT33" s="1441">
        <f t="shared" si="332"/>
        <v>0</v>
      </c>
      <c r="NP33" s="1413" t="s">
        <v>1134</v>
      </c>
    </row>
    <row r="34" spans="1:380" ht="13.9" customHeight="1">
      <c r="A34" s="55" t="str">
        <f t="shared" si="0"/>
        <v/>
      </c>
      <c r="B34" s="915"/>
      <c r="C34" s="89"/>
      <c r="D34" s="1443"/>
      <c r="E34" s="90"/>
      <c r="F34" s="90"/>
      <c r="G34" s="90"/>
      <c r="H34" s="90"/>
      <c r="I34" s="90"/>
      <c r="J34" s="596">
        <f>IF(C34="",0,HLOOKUP(C34,'Part IV-Utility Allowances'!$I$11:$M$22,12))</f>
        <v>0</v>
      </c>
      <c r="K34" s="509"/>
      <c r="L34" s="351">
        <f t="shared" si="1"/>
        <v>0</v>
      </c>
      <c r="M34" s="351">
        <f t="shared" si="2"/>
        <v>0</v>
      </c>
      <c r="N34" s="549"/>
      <c r="O34" s="1381"/>
      <c r="P34" s="549"/>
      <c r="Q34" s="91"/>
      <c r="R34" s="586"/>
      <c r="S34" s="587"/>
      <c r="T34" s="3500"/>
      <c r="U34" s="3501"/>
      <c r="V34" s="3501"/>
      <c r="W34" s="3502"/>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575" t="str">
        <f t="shared" si="213"/>
        <v/>
      </c>
      <c r="IA34" s="1575" t="str">
        <f t="shared" si="214"/>
        <v/>
      </c>
      <c r="IB34" s="1575" t="str">
        <f t="shared" si="215"/>
        <v/>
      </c>
      <c r="IC34" s="1575" t="str">
        <f t="shared" si="216"/>
        <v/>
      </c>
      <c r="ID34" s="1575" t="str">
        <f t="shared" si="217"/>
        <v/>
      </c>
      <c r="IE34" s="1575" t="str">
        <f t="shared" si="218"/>
        <v/>
      </c>
      <c r="IF34" s="1575" t="str">
        <f t="shared" si="219"/>
        <v/>
      </c>
      <c r="IG34" s="1575" t="str">
        <f t="shared" si="220"/>
        <v/>
      </c>
      <c r="IH34" s="1575" t="str">
        <f t="shared" si="221"/>
        <v/>
      </c>
      <c r="II34" s="1575" t="str">
        <f t="shared" si="222"/>
        <v/>
      </c>
      <c r="IJ34" s="1575" t="str">
        <f t="shared" si="223"/>
        <v/>
      </c>
      <c r="IK34" s="1575" t="str">
        <f t="shared" si="224"/>
        <v/>
      </c>
      <c r="IL34" s="1575" t="str">
        <f t="shared" si="225"/>
        <v/>
      </c>
      <c r="IM34" s="1575" t="str">
        <f t="shared" si="226"/>
        <v/>
      </c>
      <c r="IN34" s="1575" t="str">
        <f t="shared" si="227"/>
        <v/>
      </c>
      <c r="IO34" s="1575" t="str">
        <f t="shared" si="228"/>
        <v/>
      </c>
      <c r="IP34" s="1575" t="str">
        <f t="shared" si="229"/>
        <v/>
      </c>
      <c r="IQ34" s="1575" t="str">
        <f t="shared" si="230"/>
        <v/>
      </c>
      <c r="IR34" s="1575" t="str">
        <f t="shared" si="231"/>
        <v/>
      </c>
      <c r="IS34" s="1575" t="str">
        <f t="shared" si="232"/>
        <v/>
      </c>
      <c r="IT34" s="1575" t="str">
        <f t="shared" si="233"/>
        <v/>
      </c>
      <c r="IU34" s="1575" t="str">
        <f t="shared" si="234"/>
        <v/>
      </c>
      <c r="IV34" s="1575" t="str">
        <f t="shared" si="235"/>
        <v/>
      </c>
      <c r="IW34" s="1575" t="str">
        <f t="shared" si="236"/>
        <v/>
      </c>
      <c r="IX34" s="1575" t="str">
        <f t="shared" si="237"/>
        <v/>
      </c>
      <c r="IY34" s="1575" t="str">
        <f t="shared" si="238"/>
        <v/>
      </c>
      <c r="IZ34" s="1575" t="str">
        <f t="shared" si="239"/>
        <v/>
      </c>
      <c r="JA34" s="1575" t="str">
        <f t="shared" si="240"/>
        <v/>
      </c>
      <c r="JB34" s="1575" t="str">
        <f t="shared" si="241"/>
        <v/>
      </c>
      <c r="JC34" s="1575" t="str">
        <f t="shared" si="242"/>
        <v/>
      </c>
      <c r="JD34" s="1575" t="str">
        <f t="shared" si="243"/>
        <v/>
      </c>
      <c r="JE34" s="1575" t="str">
        <f t="shared" si="244"/>
        <v/>
      </c>
      <c r="JF34" s="1575" t="str">
        <f t="shared" si="245"/>
        <v/>
      </c>
      <c r="JG34" s="1575" t="str">
        <f t="shared" si="246"/>
        <v/>
      </c>
      <c r="JH34" s="1575" t="str">
        <f t="shared" si="247"/>
        <v/>
      </c>
      <c r="JI34" s="1575" t="str">
        <f t="shared" si="248"/>
        <v/>
      </c>
      <c r="JJ34" s="1575" t="str">
        <f t="shared" si="249"/>
        <v/>
      </c>
      <c r="JK34" s="1575" t="str">
        <f t="shared" si="250"/>
        <v/>
      </c>
      <c r="JL34" s="1575" t="str">
        <f t="shared" si="251"/>
        <v/>
      </c>
      <c r="JM34" s="1575" t="str">
        <f t="shared" si="252"/>
        <v/>
      </c>
      <c r="JN34" s="1575" t="str">
        <f t="shared" si="253"/>
        <v/>
      </c>
      <c r="JO34" s="1575" t="str">
        <f t="shared" si="254"/>
        <v/>
      </c>
      <c r="JP34" s="1575" t="str">
        <f t="shared" si="255"/>
        <v/>
      </c>
      <c r="JQ34" s="1575" t="str">
        <f t="shared" si="256"/>
        <v/>
      </c>
      <c r="JR34" s="1575" t="str">
        <f t="shared" si="257"/>
        <v/>
      </c>
      <c r="JS34" s="1575" t="str">
        <f t="shared" si="258"/>
        <v/>
      </c>
      <c r="JT34" s="1575" t="str">
        <f t="shared" si="259"/>
        <v/>
      </c>
      <c r="JU34" s="1575" t="str">
        <f t="shared" si="260"/>
        <v/>
      </c>
      <c r="JV34" s="1575" t="str">
        <f t="shared" si="261"/>
        <v/>
      </c>
      <c r="JW34" s="1575" t="str">
        <f t="shared" si="262"/>
        <v/>
      </c>
      <c r="JX34" s="1575" t="str">
        <f t="shared" si="263"/>
        <v/>
      </c>
      <c r="JY34" s="1575" t="str">
        <f t="shared" si="264"/>
        <v/>
      </c>
      <c r="JZ34" s="1575" t="str">
        <f t="shared" si="265"/>
        <v/>
      </c>
      <c r="KA34" s="1575" t="str">
        <f t="shared" si="266"/>
        <v/>
      </c>
      <c r="KB34" s="1575" t="str">
        <f t="shared" si="267"/>
        <v/>
      </c>
      <c r="KC34" s="1575" t="str">
        <f t="shared" si="268"/>
        <v/>
      </c>
      <c r="KD34" s="1575" t="str">
        <f t="shared" si="269"/>
        <v/>
      </c>
      <c r="KE34" s="1575" t="str">
        <f t="shared" si="270"/>
        <v/>
      </c>
      <c r="KF34" s="1575" t="str">
        <f t="shared" si="271"/>
        <v/>
      </c>
      <c r="KG34" s="1575" t="str">
        <f t="shared" si="272"/>
        <v/>
      </c>
      <c r="KH34" s="1575" t="str">
        <f t="shared" si="273"/>
        <v/>
      </c>
      <c r="KI34" s="1575" t="str">
        <f t="shared" si="274"/>
        <v/>
      </c>
      <c r="KJ34" s="1575" t="str">
        <f t="shared" si="275"/>
        <v/>
      </c>
      <c r="KK34" s="1575" t="str">
        <f t="shared" si="276"/>
        <v/>
      </c>
      <c r="KL34" s="1575" t="str">
        <f t="shared" si="277"/>
        <v/>
      </c>
      <c r="KM34" s="1575" t="str">
        <f t="shared" si="278"/>
        <v/>
      </c>
      <c r="KN34" s="1575" t="str">
        <f t="shared" si="279"/>
        <v/>
      </c>
      <c r="KO34" s="1575" t="str">
        <f t="shared" si="280"/>
        <v/>
      </c>
      <c r="KP34" s="1575" t="str">
        <f t="shared" si="281"/>
        <v/>
      </c>
      <c r="KQ34" s="1575" t="str">
        <f t="shared" si="282"/>
        <v/>
      </c>
      <c r="KR34" s="1575" t="str">
        <f t="shared" si="283"/>
        <v/>
      </c>
      <c r="KS34" s="1575" t="str">
        <f t="shared" si="284"/>
        <v/>
      </c>
      <c r="KT34" s="1575" t="str">
        <f t="shared" si="285"/>
        <v/>
      </c>
      <c r="KU34" s="1575" t="str">
        <f t="shared" si="286"/>
        <v/>
      </c>
      <c r="KV34" s="1575" t="str">
        <f t="shared" si="287"/>
        <v/>
      </c>
      <c r="KW34" s="1575" t="str">
        <f t="shared" si="288"/>
        <v/>
      </c>
      <c r="KX34" s="1575" t="str">
        <f t="shared" si="289"/>
        <v/>
      </c>
      <c r="KY34" s="1575" t="str">
        <f t="shared" si="290"/>
        <v/>
      </c>
      <c r="KZ34" s="1575" t="str">
        <f t="shared" si="291"/>
        <v/>
      </c>
      <c r="LA34" s="1575" t="str">
        <f t="shared" si="292"/>
        <v/>
      </c>
      <c r="LB34" s="1575" t="str">
        <f t="shared" si="293"/>
        <v/>
      </c>
      <c r="LC34" s="1575" t="str">
        <f t="shared" si="294"/>
        <v/>
      </c>
      <c r="LD34" s="1575" t="str">
        <f t="shared" si="295"/>
        <v/>
      </c>
      <c r="LE34" s="1575" t="str">
        <f t="shared" si="296"/>
        <v/>
      </c>
      <c r="LF34" s="1575" t="str">
        <f t="shared" si="297"/>
        <v/>
      </c>
      <c r="LG34" s="1564" t="str">
        <f t="shared" si="298"/>
        <v/>
      </c>
      <c r="LH34" s="1564" t="str">
        <f t="shared" si="299"/>
        <v/>
      </c>
      <c r="LI34" s="1564" t="str">
        <f t="shared" si="300"/>
        <v/>
      </c>
      <c r="LJ34" s="1564" t="str">
        <f t="shared" si="301"/>
        <v/>
      </c>
      <c r="LK34" s="1564"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441">
        <f t="shared" si="323"/>
        <v>0</v>
      </c>
      <c r="MG34" s="1441">
        <f t="shared" si="324"/>
        <v>0</v>
      </c>
      <c r="MH34" s="1441">
        <f t="shared" si="325"/>
        <v>0</v>
      </c>
      <c r="MI34" s="1441">
        <f t="shared" si="326"/>
        <v>0</v>
      </c>
      <c r="MJ34" s="1441">
        <f t="shared" si="327"/>
        <v>0</v>
      </c>
      <c r="MK34" s="1441">
        <f t="shared" si="333"/>
        <v>0</v>
      </c>
      <c r="ML34" s="1441">
        <f t="shared" si="334"/>
        <v>0</v>
      </c>
      <c r="MM34" s="1441">
        <f t="shared" si="335"/>
        <v>0</v>
      </c>
      <c r="MN34" s="1441">
        <f t="shared" si="336"/>
        <v>0</v>
      </c>
      <c r="MO34" s="1441">
        <f t="shared" si="337"/>
        <v>0</v>
      </c>
      <c r="MP34" s="1441">
        <f t="shared" si="328"/>
        <v>0</v>
      </c>
      <c r="MQ34" s="1441">
        <f t="shared" si="329"/>
        <v>0</v>
      </c>
      <c r="MR34" s="1441">
        <f t="shared" si="330"/>
        <v>0</v>
      </c>
      <c r="MS34" s="1441">
        <f t="shared" si="331"/>
        <v>0</v>
      </c>
      <c r="MT34" s="1441">
        <f t="shared" si="332"/>
        <v>0</v>
      </c>
      <c r="NP34" s="1413" t="s">
        <v>1135</v>
      </c>
    </row>
    <row r="35" spans="1:380" ht="13.9" customHeight="1">
      <c r="A35" s="55" t="str">
        <f t="shared" si="0"/>
        <v/>
      </c>
      <c r="B35" s="915">
        <v>60</v>
      </c>
      <c r="C35" s="89">
        <v>1</v>
      </c>
      <c r="D35" s="1443">
        <v>1</v>
      </c>
      <c r="E35" s="90">
        <v>21</v>
      </c>
      <c r="F35" s="90">
        <v>802</v>
      </c>
      <c r="G35" s="90">
        <v>1149</v>
      </c>
      <c r="H35" s="90">
        <v>1149</v>
      </c>
      <c r="I35" s="90">
        <v>0</v>
      </c>
      <c r="J35" s="596">
        <f>IF(C35="",0,HLOOKUP(C35,'Part IV-Utility Allowances'!$I$11:$M$22,12))</f>
        <v>138</v>
      </c>
      <c r="K35" s="509"/>
      <c r="L35" s="351">
        <f t="shared" si="1"/>
        <v>1011</v>
      </c>
      <c r="M35" s="351">
        <f t="shared" si="2"/>
        <v>21231</v>
      </c>
      <c r="N35" s="549" t="s">
        <v>63</v>
      </c>
      <c r="O35" s="1381" t="s">
        <v>1205</v>
      </c>
      <c r="P35" s="549" t="s">
        <v>7052</v>
      </c>
      <c r="Q35" s="91" t="s">
        <v>63</v>
      </c>
      <c r="R35" s="586"/>
      <c r="S35" s="587"/>
      <c r="T35" s="3500"/>
      <c r="U35" s="3501"/>
      <c r="V35" s="3501"/>
      <c r="W35" s="3502"/>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f t="shared" si="14"/>
        <v>21</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f t="shared" si="129"/>
        <v>16842</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f t="shared" si="184"/>
        <v>21</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575" t="str">
        <f t="shared" si="213"/>
        <v/>
      </c>
      <c r="IA35" s="1575">
        <f t="shared" si="214"/>
        <v>21</v>
      </c>
      <c r="IB35" s="1575" t="str">
        <f t="shared" si="215"/>
        <v/>
      </c>
      <c r="IC35" s="1575" t="str">
        <f t="shared" si="216"/>
        <v/>
      </c>
      <c r="ID35" s="1575" t="str">
        <f t="shared" si="217"/>
        <v/>
      </c>
      <c r="IE35" s="1575" t="str">
        <f t="shared" si="218"/>
        <v/>
      </c>
      <c r="IF35" s="1575" t="str">
        <f t="shared" si="219"/>
        <v/>
      </c>
      <c r="IG35" s="1575" t="str">
        <f t="shared" si="220"/>
        <v/>
      </c>
      <c r="IH35" s="1575" t="str">
        <f t="shared" si="221"/>
        <v/>
      </c>
      <c r="II35" s="1575" t="str">
        <f t="shared" si="222"/>
        <v/>
      </c>
      <c r="IJ35" s="1575" t="str">
        <f t="shared" si="223"/>
        <v/>
      </c>
      <c r="IK35" s="1575" t="str">
        <f t="shared" si="224"/>
        <v/>
      </c>
      <c r="IL35" s="1575" t="str">
        <f t="shared" si="225"/>
        <v/>
      </c>
      <c r="IM35" s="1575" t="str">
        <f t="shared" si="226"/>
        <v/>
      </c>
      <c r="IN35" s="1575" t="str">
        <f t="shared" si="227"/>
        <v/>
      </c>
      <c r="IO35" s="1575" t="str">
        <f t="shared" si="228"/>
        <v/>
      </c>
      <c r="IP35" s="1575" t="str">
        <f t="shared" si="229"/>
        <v/>
      </c>
      <c r="IQ35" s="1575" t="str">
        <f t="shared" si="230"/>
        <v/>
      </c>
      <c r="IR35" s="1575" t="str">
        <f t="shared" si="231"/>
        <v/>
      </c>
      <c r="IS35" s="1575" t="str">
        <f t="shared" si="232"/>
        <v/>
      </c>
      <c r="IT35" s="1575" t="str">
        <f t="shared" si="233"/>
        <v/>
      </c>
      <c r="IU35" s="1575" t="str">
        <f t="shared" si="234"/>
        <v/>
      </c>
      <c r="IV35" s="1575" t="str">
        <f t="shared" si="235"/>
        <v/>
      </c>
      <c r="IW35" s="1575" t="str">
        <f t="shared" si="236"/>
        <v/>
      </c>
      <c r="IX35" s="1575" t="str">
        <f t="shared" si="237"/>
        <v/>
      </c>
      <c r="IY35" s="1575" t="str">
        <f t="shared" si="238"/>
        <v/>
      </c>
      <c r="IZ35" s="1575" t="str">
        <f t="shared" si="239"/>
        <v/>
      </c>
      <c r="JA35" s="1575" t="str">
        <f t="shared" si="240"/>
        <v/>
      </c>
      <c r="JB35" s="1575" t="str">
        <f t="shared" si="241"/>
        <v/>
      </c>
      <c r="JC35" s="1575" t="str">
        <f t="shared" si="242"/>
        <v/>
      </c>
      <c r="JD35" s="1575" t="str">
        <f t="shared" si="243"/>
        <v/>
      </c>
      <c r="JE35" s="1575" t="str">
        <f t="shared" si="244"/>
        <v/>
      </c>
      <c r="JF35" s="1575" t="str">
        <f t="shared" si="245"/>
        <v/>
      </c>
      <c r="JG35" s="1575" t="str">
        <f t="shared" si="246"/>
        <v/>
      </c>
      <c r="JH35" s="1575" t="str">
        <f t="shared" si="247"/>
        <v/>
      </c>
      <c r="JI35" s="1575" t="str">
        <f t="shared" si="248"/>
        <v/>
      </c>
      <c r="JJ35" s="1575" t="str">
        <f t="shared" si="249"/>
        <v/>
      </c>
      <c r="JK35" s="1575" t="str">
        <f t="shared" si="250"/>
        <v/>
      </c>
      <c r="JL35" s="1575" t="str">
        <f t="shared" si="251"/>
        <v/>
      </c>
      <c r="JM35" s="1575" t="str">
        <f t="shared" si="252"/>
        <v/>
      </c>
      <c r="JN35" s="1575" t="str">
        <f t="shared" si="253"/>
        <v/>
      </c>
      <c r="JO35" s="1575" t="str">
        <f t="shared" si="254"/>
        <v/>
      </c>
      <c r="JP35" s="1575" t="str">
        <f t="shared" si="255"/>
        <v/>
      </c>
      <c r="JQ35" s="1575" t="str">
        <f t="shared" si="256"/>
        <v/>
      </c>
      <c r="JR35" s="1575" t="str">
        <f t="shared" si="257"/>
        <v/>
      </c>
      <c r="JS35" s="1575" t="str">
        <f t="shared" si="258"/>
        <v/>
      </c>
      <c r="JT35" s="1575">
        <f t="shared" si="259"/>
        <v>21</v>
      </c>
      <c r="JU35" s="1575" t="str">
        <f t="shared" si="260"/>
        <v/>
      </c>
      <c r="JV35" s="1575" t="str">
        <f t="shared" si="261"/>
        <v/>
      </c>
      <c r="JW35" s="1575" t="str">
        <f t="shared" si="262"/>
        <v/>
      </c>
      <c r="JX35" s="1575" t="str">
        <f t="shared" si="263"/>
        <v/>
      </c>
      <c r="JY35" s="1575" t="str">
        <f t="shared" si="264"/>
        <v/>
      </c>
      <c r="JZ35" s="1575" t="str">
        <f t="shared" si="265"/>
        <v/>
      </c>
      <c r="KA35" s="1575" t="str">
        <f t="shared" si="266"/>
        <v/>
      </c>
      <c r="KB35" s="1575" t="str">
        <f t="shared" si="267"/>
        <v/>
      </c>
      <c r="KC35" s="1575" t="str">
        <f t="shared" si="268"/>
        <v/>
      </c>
      <c r="KD35" s="1575" t="str">
        <f t="shared" si="269"/>
        <v/>
      </c>
      <c r="KE35" s="1575" t="str">
        <f t="shared" si="270"/>
        <v/>
      </c>
      <c r="KF35" s="1575" t="str">
        <f t="shared" si="271"/>
        <v/>
      </c>
      <c r="KG35" s="1575" t="str">
        <f t="shared" si="272"/>
        <v/>
      </c>
      <c r="KH35" s="1575" t="str">
        <f t="shared" si="273"/>
        <v/>
      </c>
      <c r="KI35" s="1575" t="str">
        <f t="shared" si="274"/>
        <v/>
      </c>
      <c r="KJ35" s="1575" t="str">
        <f t="shared" si="275"/>
        <v/>
      </c>
      <c r="KK35" s="1575" t="str">
        <f t="shared" si="276"/>
        <v/>
      </c>
      <c r="KL35" s="1575" t="str">
        <f t="shared" si="277"/>
        <v/>
      </c>
      <c r="KM35" s="1575" t="str">
        <f t="shared" si="278"/>
        <v/>
      </c>
      <c r="KN35" s="1575" t="str">
        <f t="shared" si="279"/>
        <v/>
      </c>
      <c r="KO35" s="1575" t="str">
        <f t="shared" si="280"/>
        <v/>
      </c>
      <c r="KP35" s="1575" t="str">
        <f t="shared" si="281"/>
        <v/>
      </c>
      <c r="KQ35" s="1575" t="str">
        <f t="shared" si="282"/>
        <v/>
      </c>
      <c r="KR35" s="1575" t="str">
        <f t="shared" si="283"/>
        <v/>
      </c>
      <c r="KS35" s="1575" t="str">
        <f t="shared" si="284"/>
        <v/>
      </c>
      <c r="KT35" s="1575" t="str">
        <f t="shared" si="285"/>
        <v/>
      </c>
      <c r="KU35" s="1575" t="str">
        <f t="shared" si="286"/>
        <v/>
      </c>
      <c r="KV35" s="1575" t="str">
        <f t="shared" si="287"/>
        <v/>
      </c>
      <c r="KW35" s="1575" t="str">
        <f t="shared" si="288"/>
        <v/>
      </c>
      <c r="KX35" s="1575" t="str">
        <f t="shared" si="289"/>
        <v/>
      </c>
      <c r="KY35" s="1575" t="str">
        <f t="shared" si="290"/>
        <v/>
      </c>
      <c r="KZ35" s="1575" t="str">
        <f t="shared" si="291"/>
        <v/>
      </c>
      <c r="LA35" s="1575" t="str">
        <f t="shared" si="292"/>
        <v/>
      </c>
      <c r="LB35" s="1575" t="str">
        <f t="shared" si="293"/>
        <v/>
      </c>
      <c r="LC35" s="1575" t="str">
        <f t="shared" si="294"/>
        <v/>
      </c>
      <c r="LD35" s="1575" t="str">
        <f t="shared" si="295"/>
        <v/>
      </c>
      <c r="LE35" s="1575" t="str">
        <f t="shared" si="296"/>
        <v/>
      </c>
      <c r="LF35" s="1575" t="str">
        <f t="shared" si="297"/>
        <v/>
      </c>
      <c r="LG35" s="1564" t="str">
        <f t="shared" si="298"/>
        <v/>
      </c>
      <c r="LH35" s="1564" t="str">
        <f t="shared" si="299"/>
        <v/>
      </c>
      <c r="LI35" s="1564" t="str">
        <f t="shared" si="300"/>
        <v/>
      </c>
      <c r="LJ35" s="1564" t="str">
        <f t="shared" si="301"/>
        <v/>
      </c>
      <c r="LK35" s="1564"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441">
        <f t="shared" si="323"/>
        <v>0</v>
      </c>
      <c r="MG35" s="1441">
        <f t="shared" si="324"/>
        <v>21</v>
      </c>
      <c r="MH35" s="1441">
        <f t="shared" si="325"/>
        <v>0</v>
      </c>
      <c r="MI35" s="1441">
        <f t="shared" si="326"/>
        <v>0</v>
      </c>
      <c r="MJ35" s="1441">
        <f t="shared" si="327"/>
        <v>0</v>
      </c>
      <c r="MK35" s="1441">
        <f t="shared" si="333"/>
        <v>0</v>
      </c>
      <c r="ML35" s="1441">
        <f t="shared" si="334"/>
        <v>0</v>
      </c>
      <c r="MM35" s="1441">
        <f t="shared" si="335"/>
        <v>0</v>
      </c>
      <c r="MN35" s="1441">
        <f t="shared" si="336"/>
        <v>0</v>
      </c>
      <c r="MO35" s="1441">
        <f t="shared" si="337"/>
        <v>0</v>
      </c>
      <c r="MP35" s="1441">
        <f t="shared" si="328"/>
        <v>0</v>
      </c>
      <c r="MQ35" s="1441">
        <f t="shared" si="329"/>
        <v>0</v>
      </c>
      <c r="MR35" s="1441">
        <f t="shared" si="330"/>
        <v>0</v>
      </c>
      <c r="MS35" s="1441">
        <f t="shared" si="331"/>
        <v>0</v>
      </c>
      <c r="MT35" s="1441">
        <f t="shared" si="332"/>
        <v>0</v>
      </c>
      <c r="NP35" s="1413" t="s">
        <v>1136</v>
      </c>
    </row>
    <row r="36" spans="1:380" ht="13.9" customHeight="1">
      <c r="A36" s="55" t="str">
        <f t="shared" si="0"/>
        <v/>
      </c>
      <c r="B36" s="915">
        <v>60</v>
      </c>
      <c r="C36" s="89">
        <v>1</v>
      </c>
      <c r="D36" s="1443">
        <v>1</v>
      </c>
      <c r="E36" s="90">
        <v>1</v>
      </c>
      <c r="F36" s="90">
        <v>730</v>
      </c>
      <c r="G36" s="90">
        <v>1149</v>
      </c>
      <c r="H36" s="90">
        <v>1149</v>
      </c>
      <c r="I36" s="90">
        <v>0</v>
      </c>
      <c r="J36" s="596">
        <f>IF(C36="",0,HLOOKUP(C36,'Part IV-Utility Allowances'!$I$11:$M$22,12))</f>
        <v>138</v>
      </c>
      <c r="K36" s="509"/>
      <c r="L36" s="351">
        <f t="shared" si="1"/>
        <v>1011</v>
      </c>
      <c r="M36" s="351">
        <f t="shared" si="2"/>
        <v>1011</v>
      </c>
      <c r="N36" s="549" t="s">
        <v>63</v>
      </c>
      <c r="O36" s="1381" t="s">
        <v>1205</v>
      </c>
      <c r="P36" s="549" t="s">
        <v>7052</v>
      </c>
      <c r="Q36" s="91" t="s">
        <v>63</v>
      </c>
      <c r="R36" s="586"/>
      <c r="S36" s="587"/>
      <c r="T36" s="3500"/>
      <c r="U36" s="3501"/>
      <c r="V36" s="3501"/>
      <c r="W36" s="3502"/>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f t="shared" si="14"/>
        <v>1</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f t="shared" si="129"/>
        <v>730</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f t="shared" si="184"/>
        <v>1</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575" t="str">
        <f t="shared" si="213"/>
        <v/>
      </c>
      <c r="IA36" s="1575">
        <f t="shared" si="214"/>
        <v>1</v>
      </c>
      <c r="IB36" s="1575" t="str">
        <f t="shared" si="215"/>
        <v/>
      </c>
      <c r="IC36" s="1575" t="str">
        <f t="shared" si="216"/>
        <v/>
      </c>
      <c r="ID36" s="1575" t="str">
        <f t="shared" si="217"/>
        <v/>
      </c>
      <c r="IE36" s="1575" t="str">
        <f t="shared" si="218"/>
        <v/>
      </c>
      <c r="IF36" s="1575" t="str">
        <f t="shared" si="219"/>
        <v/>
      </c>
      <c r="IG36" s="1575" t="str">
        <f t="shared" si="220"/>
        <v/>
      </c>
      <c r="IH36" s="1575" t="str">
        <f t="shared" si="221"/>
        <v/>
      </c>
      <c r="II36" s="1575" t="str">
        <f t="shared" si="222"/>
        <v/>
      </c>
      <c r="IJ36" s="1575" t="str">
        <f t="shared" si="223"/>
        <v/>
      </c>
      <c r="IK36" s="1575" t="str">
        <f t="shared" si="224"/>
        <v/>
      </c>
      <c r="IL36" s="1575" t="str">
        <f t="shared" si="225"/>
        <v/>
      </c>
      <c r="IM36" s="1575" t="str">
        <f t="shared" si="226"/>
        <v/>
      </c>
      <c r="IN36" s="1575" t="str">
        <f t="shared" si="227"/>
        <v/>
      </c>
      <c r="IO36" s="1575" t="str">
        <f t="shared" si="228"/>
        <v/>
      </c>
      <c r="IP36" s="1575" t="str">
        <f t="shared" si="229"/>
        <v/>
      </c>
      <c r="IQ36" s="1575" t="str">
        <f t="shared" si="230"/>
        <v/>
      </c>
      <c r="IR36" s="1575" t="str">
        <f t="shared" si="231"/>
        <v/>
      </c>
      <c r="IS36" s="1575" t="str">
        <f t="shared" si="232"/>
        <v/>
      </c>
      <c r="IT36" s="1575" t="str">
        <f t="shared" si="233"/>
        <v/>
      </c>
      <c r="IU36" s="1575" t="str">
        <f t="shared" si="234"/>
        <v/>
      </c>
      <c r="IV36" s="1575" t="str">
        <f t="shared" si="235"/>
        <v/>
      </c>
      <c r="IW36" s="1575" t="str">
        <f t="shared" si="236"/>
        <v/>
      </c>
      <c r="IX36" s="1575" t="str">
        <f t="shared" si="237"/>
        <v/>
      </c>
      <c r="IY36" s="1575" t="str">
        <f t="shared" si="238"/>
        <v/>
      </c>
      <c r="IZ36" s="1575" t="str">
        <f t="shared" si="239"/>
        <v/>
      </c>
      <c r="JA36" s="1575" t="str">
        <f t="shared" si="240"/>
        <v/>
      </c>
      <c r="JB36" s="1575" t="str">
        <f t="shared" si="241"/>
        <v/>
      </c>
      <c r="JC36" s="1575" t="str">
        <f t="shared" si="242"/>
        <v/>
      </c>
      <c r="JD36" s="1575" t="str">
        <f t="shared" si="243"/>
        <v/>
      </c>
      <c r="JE36" s="1575" t="str">
        <f t="shared" si="244"/>
        <v/>
      </c>
      <c r="JF36" s="1575" t="str">
        <f t="shared" si="245"/>
        <v/>
      </c>
      <c r="JG36" s="1575" t="str">
        <f t="shared" si="246"/>
        <v/>
      </c>
      <c r="JH36" s="1575" t="str">
        <f t="shared" si="247"/>
        <v/>
      </c>
      <c r="JI36" s="1575" t="str">
        <f t="shared" si="248"/>
        <v/>
      </c>
      <c r="JJ36" s="1575" t="str">
        <f t="shared" si="249"/>
        <v/>
      </c>
      <c r="JK36" s="1575" t="str">
        <f t="shared" si="250"/>
        <v/>
      </c>
      <c r="JL36" s="1575" t="str">
        <f t="shared" si="251"/>
        <v/>
      </c>
      <c r="JM36" s="1575" t="str">
        <f t="shared" si="252"/>
        <v/>
      </c>
      <c r="JN36" s="1575" t="str">
        <f t="shared" si="253"/>
        <v/>
      </c>
      <c r="JO36" s="1575" t="str">
        <f t="shared" si="254"/>
        <v/>
      </c>
      <c r="JP36" s="1575" t="str">
        <f t="shared" si="255"/>
        <v/>
      </c>
      <c r="JQ36" s="1575" t="str">
        <f t="shared" si="256"/>
        <v/>
      </c>
      <c r="JR36" s="1575" t="str">
        <f t="shared" si="257"/>
        <v/>
      </c>
      <c r="JS36" s="1575" t="str">
        <f t="shared" si="258"/>
        <v/>
      </c>
      <c r="JT36" s="1575">
        <f t="shared" si="259"/>
        <v>1</v>
      </c>
      <c r="JU36" s="1575" t="str">
        <f t="shared" si="260"/>
        <v/>
      </c>
      <c r="JV36" s="1575" t="str">
        <f t="shared" si="261"/>
        <v/>
      </c>
      <c r="JW36" s="1575" t="str">
        <f t="shared" si="262"/>
        <v/>
      </c>
      <c r="JX36" s="1575" t="str">
        <f t="shared" si="263"/>
        <v/>
      </c>
      <c r="JY36" s="1575" t="str">
        <f t="shared" si="264"/>
        <v/>
      </c>
      <c r="JZ36" s="1575" t="str">
        <f t="shared" si="265"/>
        <v/>
      </c>
      <c r="KA36" s="1575" t="str">
        <f t="shared" si="266"/>
        <v/>
      </c>
      <c r="KB36" s="1575" t="str">
        <f t="shared" si="267"/>
        <v/>
      </c>
      <c r="KC36" s="1575" t="str">
        <f t="shared" si="268"/>
        <v/>
      </c>
      <c r="KD36" s="1575" t="str">
        <f t="shared" si="269"/>
        <v/>
      </c>
      <c r="KE36" s="1575" t="str">
        <f t="shared" si="270"/>
        <v/>
      </c>
      <c r="KF36" s="1575" t="str">
        <f t="shared" si="271"/>
        <v/>
      </c>
      <c r="KG36" s="1575" t="str">
        <f t="shared" si="272"/>
        <v/>
      </c>
      <c r="KH36" s="1575" t="str">
        <f t="shared" si="273"/>
        <v/>
      </c>
      <c r="KI36" s="1575" t="str">
        <f t="shared" si="274"/>
        <v/>
      </c>
      <c r="KJ36" s="1575" t="str">
        <f t="shared" si="275"/>
        <v/>
      </c>
      <c r="KK36" s="1575" t="str">
        <f t="shared" si="276"/>
        <v/>
      </c>
      <c r="KL36" s="1575" t="str">
        <f t="shared" si="277"/>
        <v/>
      </c>
      <c r="KM36" s="1575" t="str">
        <f t="shared" si="278"/>
        <v/>
      </c>
      <c r="KN36" s="1575" t="str">
        <f t="shared" si="279"/>
        <v/>
      </c>
      <c r="KO36" s="1575" t="str">
        <f t="shared" si="280"/>
        <v/>
      </c>
      <c r="KP36" s="1575" t="str">
        <f t="shared" si="281"/>
        <v/>
      </c>
      <c r="KQ36" s="1575" t="str">
        <f t="shared" si="282"/>
        <v/>
      </c>
      <c r="KR36" s="1575" t="str">
        <f t="shared" si="283"/>
        <v/>
      </c>
      <c r="KS36" s="1575" t="str">
        <f t="shared" si="284"/>
        <v/>
      </c>
      <c r="KT36" s="1575" t="str">
        <f t="shared" si="285"/>
        <v/>
      </c>
      <c r="KU36" s="1575" t="str">
        <f t="shared" si="286"/>
        <v/>
      </c>
      <c r="KV36" s="1575" t="str">
        <f t="shared" si="287"/>
        <v/>
      </c>
      <c r="KW36" s="1575" t="str">
        <f t="shared" si="288"/>
        <v/>
      </c>
      <c r="KX36" s="1575" t="str">
        <f t="shared" si="289"/>
        <v/>
      </c>
      <c r="KY36" s="1575" t="str">
        <f t="shared" si="290"/>
        <v/>
      </c>
      <c r="KZ36" s="1575" t="str">
        <f t="shared" si="291"/>
        <v/>
      </c>
      <c r="LA36" s="1575" t="str">
        <f t="shared" si="292"/>
        <v/>
      </c>
      <c r="LB36" s="1575" t="str">
        <f t="shared" si="293"/>
        <v/>
      </c>
      <c r="LC36" s="1575" t="str">
        <f t="shared" si="294"/>
        <v/>
      </c>
      <c r="LD36" s="1575" t="str">
        <f t="shared" si="295"/>
        <v/>
      </c>
      <c r="LE36" s="1575" t="str">
        <f t="shared" si="296"/>
        <v/>
      </c>
      <c r="LF36" s="1575" t="str">
        <f t="shared" si="297"/>
        <v/>
      </c>
      <c r="LG36" s="1564" t="str">
        <f t="shared" si="298"/>
        <v/>
      </c>
      <c r="LH36" s="1564" t="str">
        <f t="shared" si="299"/>
        <v/>
      </c>
      <c r="LI36" s="1564" t="str">
        <f t="shared" si="300"/>
        <v/>
      </c>
      <c r="LJ36" s="1564" t="str">
        <f t="shared" si="301"/>
        <v/>
      </c>
      <c r="LK36" s="1564"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441">
        <f t="shared" si="323"/>
        <v>0</v>
      </c>
      <c r="MG36" s="1441">
        <f t="shared" si="324"/>
        <v>1</v>
      </c>
      <c r="MH36" s="1441">
        <f t="shared" si="325"/>
        <v>0</v>
      </c>
      <c r="MI36" s="1441">
        <f t="shared" si="326"/>
        <v>0</v>
      </c>
      <c r="MJ36" s="1441">
        <f t="shared" si="327"/>
        <v>0</v>
      </c>
      <c r="MK36" s="1441">
        <f t="shared" si="333"/>
        <v>0</v>
      </c>
      <c r="ML36" s="1441">
        <f t="shared" si="334"/>
        <v>0</v>
      </c>
      <c r="MM36" s="1441">
        <f t="shared" si="335"/>
        <v>0</v>
      </c>
      <c r="MN36" s="1441">
        <f t="shared" si="336"/>
        <v>0</v>
      </c>
      <c r="MO36" s="1441">
        <f t="shared" si="337"/>
        <v>0</v>
      </c>
      <c r="MP36" s="1441">
        <f t="shared" si="328"/>
        <v>0</v>
      </c>
      <c r="MQ36" s="1441">
        <f t="shared" si="329"/>
        <v>0</v>
      </c>
      <c r="MR36" s="1441">
        <f t="shared" si="330"/>
        <v>0</v>
      </c>
      <c r="MS36" s="1441">
        <f t="shared" si="331"/>
        <v>0</v>
      </c>
      <c r="MT36" s="1441">
        <f t="shared" si="332"/>
        <v>0</v>
      </c>
      <c r="NP36" s="1413" t="s">
        <v>1137</v>
      </c>
    </row>
    <row r="37" spans="1:380" ht="13.9" customHeight="1">
      <c r="A37" s="55" t="str">
        <f t="shared" si="0"/>
        <v/>
      </c>
      <c r="B37" s="915">
        <v>60</v>
      </c>
      <c r="C37" s="89">
        <v>2</v>
      </c>
      <c r="D37" s="1443">
        <v>1</v>
      </c>
      <c r="E37" s="90">
        <v>6</v>
      </c>
      <c r="F37" s="90">
        <v>989</v>
      </c>
      <c r="G37" s="90">
        <v>1378</v>
      </c>
      <c r="H37" s="90">
        <v>1378</v>
      </c>
      <c r="I37" s="90">
        <v>0</v>
      </c>
      <c r="J37" s="596">
        <f>IF(C37="",0,HLOOKUP(C37,'Part IV-Utility Allowances'!$I$11:$M$22,12))</f>
        <v>173</v>
      </c>
      <c r="K37" s="509"/>
      <c r="L37" s="351">
        <f t="shared" si="1"/>
        <v>1205</v>
      </c>
      <c r="M37" s="351">
        <f t="shared" si="2"/>
        <v>7230</v>
      </c>
      <c r="N37" s="549" t="s">
        <v>63</v>
      </c>
      <c r="O37" s="1381" t="s">
        <v>1205</v>
      </c>
      <c r="P37" s="549" t="s">
        <v>7052</v>
      </c>
      <c r="Q37" s="91" t="s">
        <v>63</v>
      </c>
      <c r="R37" s="586"/>
      <c r="S37" s="587"/>
      <c r="T37" s="3500"/>
      <c r="U37" s="3501"/>
      <c r="V37" s="3501"/>
      <c r="W37" s="3502"/>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f t="shared" si="15"/>
        <v>6</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f t="shared" si="130"/>
        <v>5934</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f t="shared" si="185"/>
        <v>6</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575" t="str">
        <f t="shared" si="213"/>
        <v/>
      </c>
      <c r="IA37" s="1575" t="str">
        <f t="shared" si="214"/>
        <v/>
      </c>
      <c r="IB37" s="1575">
        <f t="shared" si="215"/>
        <v>6</v>
      </c>
      <c r="IC37" s="1575" t="str">
        <f t="shared" si="216"/>
        <v/>
      </c>
      <c r="ID37" s="1575" t="str">
        <f t="shared" si="217"/>
        <v/>
      </c>
      <c r="IE37" s="1575" t="str">
        <f t="shared" si="218"/>
        <v/>
      </c>
      <c r="IF37" s="1575" t="str">
        <f t="shared" si="219"/>
        <v/>
      </c>
      <c r="IG37" s="1575" t="str">
        <f t="shared" si="220"/>
        <v/>
      </c>
      <c r="IH37" s="1575" t="str">
        <f t="shared" si="221"/>
        <v/>
      </c>
      <c r="II37" s="1575" t="str">
        <f t="shared" si="222"/>
        <v/>
      </c>
      <c r="IJ37" s="1575" t="str">
        <f t="shared" si="223"/>
        <v/>
      </c>
      <c r="IK37" s="1575" t="str">
        <f t="shared" si="224"/>
        <v/>
      </c>
      <c r="IL37" s="1575" t="str">
        <f t="shared" si="225"/>
        <v/>
      </c>
      <c r="IM37" s="1575" t="str">
        <f t="shared" si="226"/>
        <v/>
      </c>
      <c r="IN37" s="1575" t="str">
        <f t="shared" si="227"/>
        <v/>
      </c>
      <c r="IO37" s="1575" t="str">
        <f t="shared" si="228"/>
        <v/>
      </c>
      <c r="IP37" s="1575" t="str">
        <f t="shared" si="229"/>
        <v/>
      </c>
      <c r="IQ37" s="1575" t="str">
        <f t="shared" si="230"/>
        <v/>
      </c>
      <c r="IR37" s="1575" t="str">
        <f t="shared" si="231"/>
        <v/>
      </c>
      <c r="IS37" s="1575" t="str">
        <f t="shared" si="232"/>
        <v/>
      </c>
      <c r="IT37" s="1575" t="str">
        <f t="shared" si="233"/>
        <v/>
      </c>
      <c r="IU37" s="1575" t="str">
        <f t="shared" si="234"/>
        <v/>
      </c>
      <c r="IV37" s="1575" t="str">
        <f t="shared" si="235"/>
        <v/>
      </c>
      <c r="IW37" s="1575" t="str">
        <f t="shared" si="236"/>
        <v/>
      </c>
      <c r="IX37" s="1575" t="str">
        <f t="shared" si="237"/>
        <v/>
      </c>
      <c r="IY37" s="1575" t="str">
        <f t="shared" si="238"/>
        <v/>
      </c>
      <c r="IZ37" s="1575" t="str">
        <f t="shared" si="239"/>
        <v/>
      </c>
      <c r="JA37" s="1575" t="str">
        <f t="shared" si="240"/>
        <v/>
      </c>
      <c r="JB37" s="1575" t="str">
        <f t="shared" si="241"/>
        <v/>
      </c>
      <c r="JC37" s="1575" t="str">
        <f t="shared" si="242"/>
        <v/>
      </c>
      <c r="JD37" s="1575" t="str">
        <f t="shared" si="243"/>
        <v/>
      </c>
      <c r="JE37" s="1575" t="str">
        <f t="shared" si="244"/>
        <v/>
      </c>
      <c r="JF37" s="1575" t="str">
        <f t="shared" si="245"/>
        <v/>
      </c>
      <c r="JG37" s="1575" t="str">
        <f t="shared" si="246"/>
        <v/>
      </c>
      <c r="JH37" s="1575" t="str">
        <f t="shared" si="247"/>
        <v/>
      </c>
      <c r="JI37" s="1575" t="str">
        <f t="shared" si="248"/>
        <v/>
      </c>
      <c r="JJ37" s="1575" t="str">
        <f t="shared" si="249"/>
        <v/>
      </c>
      <c r="JK37" s="1575" t="str">
        <f t="shared" si="250"/>
        <v/>
      </c>
      <c r="JL37" s="1575" t="str">
        <f t="shared" si="251"/>
        <v/>
      </c>
      <c r="JM37" s="1575" t="str">
        <f t="shared" si="252"/>
        <v/>
      </c>
      <c r="JN37" s="1575" t="str">
        <f t="shared" si="253"/>
        <v/>
      </c>
      <c r="JO37" s="1575" t="str">
        <f t="shared" si="254"/>
        <v/>
      </c>
      <c r="JP37" s="1575" t="str">
        <f t="shared" si="255"/>
        <v/>
      </c>
      <c r="JQ37" s="1575" t="str">
        <f t="shared" si="256"/>
        <v/>
      </c>
      <c r="JR37" s="1575" t="str">
        <f t="shared" si="257"/>
        <v/>
      </c>
      <c r="JS37" s="1575" t="str">
        <f t="shared" si="258"/>
        <v/>
      </c>
      <c r="JT37" s="1575" t="str">
        <f t="shared" si="259"/>
        <v/>
      </c>
      <c r="JU37" s="1575">
        <f t="shared" si="260"/>
        <v>6</v>
      </c>
      <c r="JV37" s="1575" t="str">
        <f t="shared" si="261"/>
        <v/>
      </c>
      <c r="JW37" s="1575" t="str">
        <f t="shared" si="262"/>
        <v/>
      </c>
      <c r="JX37" s="1575" t="str">
        <f t="shared" si="263"/>
        <v/>
      </c>
      <c r="JY37" s="1575" t="str">
        <f t="shared" si="264"/>
        <v/>
      </c>
      <c r="JZ37" s="1575" t="str">
        <f t="shared" si="265"/>
        <v/>
      </c>
      <c r="KA37" s="1575" t="str">
        <f t="shared" si="266"/>
        <v/>
      </c>
      <c r="KB37" s="1575" t="str">
        <f t="shared" si="267"/>
        <v/>
      </c>
      <c r="KC37" s="1575" t="str">
        <f t="shared" si="268"/>
        <v/>
      </c>
      <c r="KD37" s="1575" t="str">
        <f t="shared" si="269"/>
        <v/>
      </c>
      <c r="KE37" s="1575" t="str">
        <f t="shared" si="270"/>
        <v/>
      </c>
      <c r="KF37" s="1575" t="str">
        <f t="shared" si="271"/>
        <v/>
      </c>
      <c r="KG37" s="1575" t="str">
        <f t="shared" si="272"/>
        <v/>
      </c>
      <c r="KH37" s="1575" t="str">
        <f t="shared" si="273"/>
        <v/>
      </c>
      <c r="KI37" s="1575" t="str">
        <f t="shared" si="274"/>
        <v/>
      </c>
      <c r="KJ37" s="1575" t="str">
        <f t="shared" si="275"/>
        <v/>
      </c>
      <c r="KK37" s="1575" t="str">
        <f t="shared" si="276"/>
        <v/>
      </c>
      <c r="KL37" s="1575" t="str">
        <f t="shared" si="277"/>
        <v/>
      </c>
      <c r="KM37" s="1575" t="str">
        <f t="shared" si="278"/>
        <v/>
      </c>
      <c r="KN37" s="1575" t="str">
        <f t="shared" si="279"/>
        <v/>
      </c>
      <c r="KO37" s="1575" t="str">
        <f t="shared" si="280"/>
        <v/>
      </c>
      <c r="KP37" s="1575" t="str">
        <f t="shared" si="281"/>
        <v/>
      </c>
      <c r="KQ37" s="1575" t="str">
        <f t="shared" si="282"/>
        <v/>
      </c>
      <c r="KR37" s="1575" t="str">
        <f t="shared" si="283"/>
        <v/>
      </c>
      <c r="KS37" s="1575" t="str">
        <f t="shared" si="284"/>
        <v/>
      </c>
      <c r="KT37" s="1575" t="str">
        <f t="shared" si="285"/>
        <v/>
      </c>
      <c r="KU37" s="1575" t="str">
        <f t="shared" si="286"/>
        <v/>
      </c>
      <c r="KV37" s="1575" t="str">
        <f t="shared" si="287"/>
        <v/>
      </c>
      <c r="KW37" s="1575" t="str">
        <f t="shared" si="288"/>
        <v/>
      </c>
      <c r="KX37" s="1575" t="str">
        <f t="shared" si="289"/>
        <v/>
      </c>
      <c r="KY37" s="1575" t="str">
        <f t="shared" si="290"/>
        <v/>
      </c>
      <c r="KZ37" s="1575" t="str">
        <f t="shared" si="291"/>
        <v/>
      </c>
      <c r="LA37" s="1575" t="str">
        <f t="shared" si="292"/>
        <v/>
      </c>
      <c r="LB37" s="1575" t="str">
        <f t="shared" si="293"/>
        <v/>
      </c>
      <c r="LC37" s="1575" t="str">
        <f t="shared" si="294"/>
        <v/>
      </c>
      <c r="LD37" s="1575" t="str">
        <f t="shared" si="295"/>
        <v/>
      </c>
      <c r="LE37" s="1575" t="str">
        <f t="shared" si="296"/>
        <v/>
      </c>
      <c r="LF37" s="1575" t="str">
        <f t="shared" si="297"/>
        <v/>
      </c>
      <c r="LG37" s="1564" t="str">
        <f t="shared" si="298"/>
        <v/>
      </c>
      <c r="LH37" s="1564" t="str">
        <f t="shared" si="299"/>
        <v/>
      </c>
      <c r="LI37" s="1564" t="str">
        <f t="shared" si="300"/>
        <v/>
      </c>
      <c r="LJ37" s="1564" t="str">
        <f t="shared" si="301"/>
        <v/>
      </c>
      <c r="LK37" s="1564"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441">
        <f t="shared" si="323"/>
        <v>0</v>
      </c>
      <c r="MG37" s="1441">
        <f t="shared" si="324"/>
        <v>0</v>
      </c>
      <c r="MH37" s="1441">
        <f t="shared" si="325"/>
        <v>6</v>
      </c>
      <c r="MI37" s="1441">
        <f t="shared" si="326"/>
        <v>0</v>
      </c>
      <c r="MJ37" s="1441">
        <f t="shared" si="327"/>
        <v>0</v>
      </c>
      <c r="MK37" s="1441">
        <f t="shared" si="333"/>
        <v>0</v>
      </c>
      <c r="ML37" s="1441">
        <f t="shared" si="334"/>
        <v>0</v>
      </c>
      <c r="MM37" s="1441">
        <f t="shared" si="335"/>
        <v>0</v>
      </c>
      <c r="MN37" s="1441">
        <f t="shared" si="336"/>
        <v>0</v>
      </c>
      <c r="MO37" s="1441">
        <f t="shared" si="337"/>
        <v>0</v>
      </c>
      <c r="MP37" s="1441">
        <f t="shared" si="328"/>
        <v>0</v>
      </c>
      <c r="MQ37" s="1441">
        <f t="shared" si="329"/>
        <v>0</v>
      </c>
      <c r="MR37" s="1441">
        <f t="shared" si="330"/>
        <v>0</v>
      </c>
      <c r="MS37" s="1441">
        <f t="shared" si="331"/>
        <v>0</v>
      </c>
      <c r="MT37" s="1441">
        <f t="shared" si="332"/>
        <v>0</v>
      </c>
      <c r="NP37" s="1413" t="s">
        <v>1138</v>
      </c>
    </row>
    <row r="38" spans="1:380" ht="13.9" customHeight="1">
      <c r="A38" s="55" t="str">
        <f t="shared" si="0"/>
        <v/>
      </c>
      <c r="B38" s="915">
        <v>60</v>
      </c>
      <c r="C38" s="89">
        <v>2</v>
      </c>
      <c r="D38" s="1443">
        <v>1.5</v>
      </c>
      <c r="E38" s="90">
        <v>2</v>
      </c>
      <c r="F38" s="90">
        <v>1107</v>
      </c>
      <c r="G38" s="90">
        <v>1378</v>
      </c>
      <c r="H38" s="90">
        <v>1378</v>
      </c>
      <c r="I38" s="90">
        <v>0</v>
      </c>
      <c r="J38" s="596">
        <f>IF(C38="",0,HLOOKUP(C38,'Part IV-Utility Allowances'!$I$11:$M$22,12))</f>
        <v>173</v>
      </c>
      <c r="K38" s="509"/>
      <c r="L38" s="351">
        <f t="shared" si="1"/>
        <v>1205</v>
      </c>
      <c r="M38" s="351">
        <f t="shared" si="2"/>
        <v>2410</v>
      </c>
      <c r="N38" s="549" t="s">
        <v>63</v>
      </c>
      <c r="O38" s="1381" t="s">
        <v>7051</v>
      </c>
      <c r="P38" s="549" t="s">
        <v>7052</v>
      </c>
      <c r="Q38" s="91" t="s">
        <v>63</v>
      </c>
      <c r="R38" s="586"/>
      <c r="S38" s="587"/>
      <c r="T38" s="3500"/>
      <c r="U38" s="3501"/>
      <c r="V38" s="3501"/>
      <c r="W38" s="3502"/>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f t="shared" si="15"/>
        <v>2</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f t="shared" si="130"/>
        <v>2214</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f t="shared" si="185"/>
        <v>2</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575" t="str">
        <f t="shared" si="213"/>
        <v/>
      </c>
      <c r="IA38" s="1575" t="str">
        <f t="shared" si="214"/>
        <v/>
      </c>
      <c r="IB38" s="1575" t="str">
        <f t="shared" si="215"/>
        <v/>
      </c>
      <c r="IC38" s="1575" t="str">
        <f t="shared" si="216"/>
        <v/>
      </c>
      <c r="ID38" s="1575" t="str">
        <f t="shared" si="217"/>
        <v/>
      </c>
      <c r="IE38" s="1575" t="str">
        <f t="shared" si="218"/>
        <v/>
      </c>
      <c r="IF38" s="1575" t="str">
        <f t="shared" si="219"/>
        <v/>
      </c>
      <c r="IG38" s="1575" t="str">
        <f t="shared" si="220"/>
        <v/>
      </c>
      <c r="IH38" s="1575" t="str">
        <f t="shared" si="221"/>
        <v/>
      </c>
      <c r="II38" s="1575" t="str">
        <f t="shared" si="222"/>
        <v/>
      </c>
      <c r="IJ38" s="1575" t="str">
        <f t="shared" si="223"/>
        <v/>
      </c>
      <c r="IK38" s="1575" t="str">
        <f t="shared" si="224"/>
        <v/>
      </c>
      <c r="IL38" s="1575" t="str">
        <f t="shared" si="225"/>
        <v/>
      </c>
      <c r="IM38" s="1575" t="str">
        <f t="shared" si="226"/>
        <v/>
      </c>
      <c r="IN38" s="1575" t="str">
        <f t="shared" si="227"/>
        <v/>
      </c>
      <c r="IO38" s="1575" t="str">
        <f t="shared" si="228"/>
        <v/>
      </c>
      <c r="IP38" s="1575" t="str">
        <f t="shared" si="229"/>
        <v/>
      </c>
      <c r="IQ38" s="1575" t="str">
        <f t="shared" si="230"/>
        <v/>
      </c>
      <c r="IR38" s="1575" t="str">
        <f t="shared" si="231"/>
        <v/>
      </c>
      <c r="IS38" s="1575" t="str">
        <f t="shared" si="232"/>
        <v/>
      </c>
      <c r="IT38" s="1575" t="str">
        <f t="shared" si="233"/>
        <v/>
      </c>
      <c r="IU38" s="1575" t="str">
        <f t="shared" si="234"/>
        <v/>
      </c>
      <c r="IV38" s="1575" t="str">
        <f t="shared" si="235"/>
        <v/>
      </c>
      <c r="IW38" s="1575" t="str">
        <f t="shared" si="236"/>
        <v/>
      </c>
      <c r="IX38" s="1575" t="str">
        <f t="shared" si="237"/>
        <v/>
      </c>
      <c r="IY38" s="1575" t="str">
        <f t="shared" si="238"/>
        <v/>
      </c>
      <c r="IZ38" s="1575" t="str">
        <f t="shared" si="239"/>
        <v/>
      </c>
      <c r="JA38" s="1575" t="str">
        <f t="shared" si="240"/>
        <v/>
      </c>
      <c r="JB38" s="1575" t="str">
        <f t="shared" si="241"/>
        <v/>
      </c>
      <c r="JC38" s="1575" t="str">
        <f t="shared" si="242"/>
        <v/>
      </c>
      <c r="JD38" s="1575" t="str">
        <f t="shared" si="243"/>
        <v/>
      </c>
      <c r="JE38" s="1575" t="str">
        <f t="shared" si="244"/>
        <v/>
      </c>
      <c r="JF38" s="1575" t="str">
        <f t="shared" si="245"/>
        <v/>
      </c>
      <c r="JG38" s="1575" t="str">
        <f t="shared" si="246"/>
        <v/>
      </c>
      <c r="JH38" s="1575" t="str">
        <f t="shared" si="247"/>
        <v/>
      </c>
      <c r="JI38" s="1575" t="str">
        <f t="shared" si="248"/>
        <v/>
      </c>
      <c r="JJ38" s="1575" t="str">
        <f t="shared" si="249"/>
        <v/>
      </c>
      <c r="JK38" s="1575">
        <f t="shared" si="250"/>
        <v>2</v>
      </c>
      <c r="JL38" s="1575" t="str">
        <f t="shared" si="251"/>
        <v/>
      </c>
      <c r="JM38" s="1575" t="str">
        <f t="shared" si="252"/>
        <v/>
      </c>
      <c r="JN38" s="1575" t="str">
        <f t="shared" si="253"/>
        <v/>
      </c>
      <c r="JO38" s="1575" t="str">
        <f t="shared" si="254"/>
        <v/>
      </c>
      <c r="JP38" s="1575" t="str">
        <f t="shared" si="255"/>
        <v/>
      </c>
      <c r="JQ38" s="1575" t="str">
        <f t="shared" si="256"/>
        <v/>
      </c>
      <c r="JR38" s="1575" t="str">
        <f t="shared" si="257"/>
        <v/>
      </c>
      <c r="JS38" s="1575" t="str">
        <f t="shared" si="258"/>
        <v/>
      </c>
      <c r="JT38" s="1575" t="str">
        <f t="shared" si="259"/>
        <v/>
      </c>
      <c r="JU38" s="1575" t="str">
        <f t="shared" si="260"/>
        <v/>
      </c>
      <c r="JV38" s="1575" t="str">
        <f t="shared" si="261"/>
        <v/>
      </c>
      <c r="JW38" s="1575" t="str">
        <f t="shared" si="262"/>
        <v/>
      </c>
      <c r="JX38" s="1575" t="str">
        <f t="shared" si="263"/>
        <v/>
      </c>
      <c r="JY38" s="1575" t="str">
        <f t="shared" si="264"/>
        <v/>
      </c>
      <c r="JZ38" s="1575" t="str">
        <f t="shared" si="265"/>
        <v/>
      </c>
      <c r="KA38" s="1575" t="str">
        <f t="shared" si="266"/>
        <v/>
      </c>
      <c r="KB38" s="1575" t="str">
        <f t="shared" si="267"/>
        <v/>
      </c>
      <c r="KC38" s="1575" t="str">
        <f t="shared" si="268"/>
        <v/>
      </c>
      <c r="KD38" s="1575" t="str">
        <f t="shared" si="269"/>
        <v/>
      </c>
      <c r="KE38" s="1575" t="str">
        <f t="shared" si="270"/>
        <v/>
      </c>
      <c r="KF38" s="1575" t="str">
        <f t="shared" si="271"/>
        <v/>
      </c>
      <c r="KG38" s="1575" t="str">
        <f t="shared" si="272"/>
        <v/>
      </c>
      <c r="KH38" s="1575" t="str">
        <f t="shared" si="273"/>
        <v/>
      </c>
      <c r="KI38" s="1575" t="str">
        <f t="shared" si="274"/>
        <v/>
      </c>
      <c r="KJ38" s="1575" t="str">
        <f t="shared" si="275"/>
        <v/>
      </c>
      <c r="KK38" s="1575" t="str">
        <f t="shared" si="276"/>
        <v/>
      </c>
      <c r="KL38" s="1575" t="str">
        <f t="shared" si="277"/>
        <v/>
      </c>
      <c r="KM38" s="1575" t="str">
        <f t="shared" si="278"/>
        <v/>
      </c>
      <c r="KN38" s="1575" t="str">
        <f t="shared" si="279"/>
        <v/>
      </c>
      <c r="KO38" s="1575" t="str">
        <f t="shared" si="280"/>
        <v/>
      </c>
      <c r="KP38" s="1575" t="str">
        <f t="shared" si="281"/>
        <v/>
      </c>
      <c r="KQ38" s="1575" t="str">
        <f t="shared" si="282"/>
        <v/>
      </c>
      <c r="KR38" s="1575" t="str">
        <f t="shared" si="283"/>
        <v/>
      </c>
      <c r="KS38" s="1575" t="str">
        <f t="shared" si="284"/>
        <v/>
      </c>
      <c r="KT38" s="1575" t="str">
        <f t="shared" si="285"/>
        <v/>
      </c>
      <c r="KU38" s="1575" t="str">
        <f t="shared" si="286"/>
        <v/>
      </c>
      <c r="KV38" s="1575" t="str">
        <f t="shared" si="287"/>
        <v/>
      </c>
      <c r="KW38" s="1575" t="str">
        <f t="shared" si="288"/>
        <v/>
      </c>
      <c r="KX38" s="1575" t="str">
        <f t="shared" si="289"/>
        <v/>
      </c>
      <c r="KY38" s="1575" t="str">
        <f t="shared" si="290"/>
        <v/>
      </c>
      <c r="KZ38" s="1575" t="str">
        <f t="shared" si="291"/>
        <v/>
      </c>
      <c r="LA38" s="1575" t="str">
        <f t="shared" si="292"/>
        <v/>
      </c>
      <c r="LB38" s="1575" t="str">
        <f t="shared" si="293"/>
        <v/>
      </c>
      <c r="LC38" s="1575" t="str">
        <f t="shared" si="294"/>
        <v/>
      </c>
      <c r="LD38" s="1575" t="str">
        <f t="shared" si="295"/>
        <v/>
      </c>
      <c r="LE38" s="1575" t="str">
        <f t="shared" si="296"/>
        <v/>
      </c>
      <c r="LF38" s="1575" t="str">
        <f t="shared" si="297"/>
        <v/>
      </c>
      <c r="LG38" s="1564" t="str">
        <f t="shared" si="298"/>
        <v/>
      </c>
      <c r="LH38" s="1564" t="str">
        <f t="shared" si="299"/>
        <v/>
      </c>
      <c r="LI38" s="1564" t="str">
        <f t="shared" si="300"/>
        <v/>
      </c>
      <c r="LJ38" s="1564" t="str">
        <f t="shared" si="301"/>
        <v/>
      </c>
      <c r="LK38" s="1564"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441">
        <f t="shared" si="323"/>
        <v>0</v>
      </c>
      <c r="MG38" s="1441">
        <f t="shared" si="324"/>
        <v>0</v>
      </c>
      <c r="MH38" s="1441">
        <f t="shared" si="325"/>
        <v>2</v>
      </c>
      <c r="MI38" s="1441">
        <f t="shared" si="326"/>
        <v>0</v>
      </c>
      <c r="MJ38" s="1441">
        <f t="shared" si="327"/>
        <v>0</v>
      </c>
      <c r="MK38" s="1441">
        <f t="shared" si="333"/>
        <v>0</v>
      </c>
      <c r="ML38" s="1441">
        <f t="shared" si="334"/>
        <v>0</v>
      </c>
      <c r="MM38" s="1441">
        <f t="shared" si="335"/>
        <v>0</v>
      </c>
      <c r="MN38" s="1441">
        <f t="shared" si="336"/>
        <v>0</v>
      </c>
      <c r="MO38" s="1441">
        <f t="shared" si="337"/>
        <v>0</v>
      </c>
      <c r="MP38" s="1441">
        <f t="shared" si="328"/>
        <v>0</v>
      </c>
      <c r="MQ38" s="1441">
        <f t="shared" si="329"/>
        <v>0</v>
      </c>
      <c r="MR38" s="1441">
        <f t="shared" si="330"/>
        <v>0</v>
      </c>
      <c r="MS38" s="1441">
        <f t="shared" si="331"/>
        <v>0</v>
      </c>
      <c r="MT38" s="1441">
        <f t="shared" si="332"/>
        <v>0</v>
      </c>
      <c r="NP38" s="1413" t="s">
        <v>1139</v>
      </c>
    </row>
    <row r="39" spans="1:380" ht="13.9" customHeight="1">
      <c r="A39" s="55" t="str">
        <f t="shared" si="0"/>
        <v/>
      </c>
      <c r="B39" s="915">
        <v>60</v>
      </c>
      <c r="C39" s="89">
        <v>2</v>
      </c>
      <c r="D39" s="1443">
        <v>1.5</v>
      </c>
      <c r="E39" s="90">
        <v>1</v>
      </c>
      <c r="F39" s="90">
        <v>1146</v>
      </c>
      <c r="G39" s="90">
        <v>1378</v>
      </c>
      <c r="H39" s="90">
        <v>1378</v>
      </c>
      <c r="I39" s="90">
        <v>0</v>
      </c>
      <c r="J39" s="596">
        <f>IF(C39="",0,HLOOKUP(C39,'Part IV-Utility Allowances'!$I$11:$M$22,12))</f>
        <v>173</v>
      </c>
      <c r="K39" s="509"/>
      <c r="L39" s="351">
        <f t="shared" si="1"/>
        <v>1205</v>
      </c>
      <c r="M39" s="351">
        <f t="shared" si="2"/>
        <v>1205</v>
      </c>
      <c r="N39" s="549" t="s">
        <v>63</v>
      </c>
      <c r="O39" s="1381" t="s">
        <v>1205</v>
      </c>
      <c r="P39" s="549" t="s">
        <v>7052</v>
      </c>
      <c r="Q39" s="91" t="s">
        <v>63</v>
      </c>
      <c r="R39" s="586"/>
      <c r="S39" s="587"/>
      <c r="T39" s="3500"/>
      <c r="U39" s="3501"/>
      <c r="V39" s="3501"/>
      <c r="W39" s="3502"/>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f t="shared" si="15"/>
        <v>1</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f t="shared" si="130"/>
        <v>1146</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f t="shared" si="185"/>
        <v>1</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575" t="str">
        <f t="shared" si="213"/>
        <v/>
      </c>
      <c r="IA39" s="1575" t="str">
        <f t="shared" si="214"/>
        <v/>
      </c>
      <c r="IB39" s="1575">
        <f t="shared" si="215"/>
        <v>1</v>
      </c>
      <c r="IC39" s="1575" t="str">
        <f t="shared" si="216"/>
        <v/>
      </c>
      <c r="ID39" s="1575" t="str">
        <f t="shared" si="217"/>
        <v/>
      </c>
      <c r="IE39" s="1575" t="str">
        <f t="shared" si="218"/>
        <v/>
      </c>
      <c r="IF39" s="1575" t="str">
        <f t="shared" si="219"/>
        <v/>
      </c>
      <c r="IG39" s="1575" t="str">
        <f t="shared" si="220"/>
        <v/>
      </c>
      <c r="IH39" s="1575" t="str">
        <f t="shared" si="221"/>
        <v/>
      </c>
      <c r="II39" s="1575" t="str">
        <f t="shared" si="222"/>
        <v/>
      </c>
      <c r="IJ39" s="1575" t="str">
        <f t="shared" si="223"/>
        <v/>
      </c>
      <c r="IK39" s="1575" t="str">
        <f t="shared" si="224"/>
        <v/>
      </c>
      <c r="IL39" s="1575" t="str">
        <f t="shared" si="225"/>
        <v/>
      </c>
      <c r="IM39" s="1575" t="str">
        <f t="shared" si="226"/>
        <v/>
      </c>
      <c r="IN39" s="1575" t="str">
        <f t="shared" si="227"/>
        <v/>
      </c>
      <c r="IO39" s="1575" t="str">
        <f t="shared" si="228"/>
        <v/>
      </c>
      <c r="IP39" s="1575" t="str">
        <f t="shared" si="229"/>
        <v/>
      </c>
      <c r="IQ39" s="1575" t="str">
        <f t="shared" si="230"/>
        <v/>
      </c>
      <c r="IR39" s="1575" t="str">
        <f t="shared" si="231"/>
        <v/>
      </c>
      <c r="IS39" s="1575" t="str">
        <f t="shared" si="232"/>
        <v/>
      </c>
      <c r="IT39" s="1575" t="str">
        <f t="shared" si="233"/>
        <v/>
      </c>
      <c r="IU39" s="1575" t="str">
        <f t="shared" si="234"/>
        <v/>
      </c>
      <c r="IV39" s="1575" t="str">
        <f t="shared" si="235"/>
        <v/>
      </c>
      <c r="IW39" s="1575" t="str">
        <f t="shared" si="236"/>
        <v/>
      </c>
      <c r="IX39" s="1575" t="str">
        <f t="shared" si="237"/>
        <v/>
      </c>
      <c r="IY39" s="1575" t="str">
        <f t="shared" si="238"/>
        <v/>
      </c>
      <c r="IZ39" s="1575" t="str">
        <f t="shared" si="239"/>
        <v/>
      </c>
      <c r="JA39" s="1575" t="str">
        <f t="shared" si="240"/>
        <v/>
      </c>
      <c r="JB39" s="1575" t="str">
        <f t="shared" si="241"/>
        <v/>
      </c>
      <c r="JC39" s="1575" t="str">
        <f t="shared" si="242"/>
        <v/>
      </c>
      <c r="JD39" s="1575" t="str">
        <f t="shared" si="243"/>
        <v/>
      </c>
      <c r="JE39" s="1575" t="str">
        <f t="shared" si="244"/>
        <v/>
      </c>
      <c r="JF39" s="1575" t="str">
        <f t="shared" si="245"/>
        <v/>
      </c>
      <c r="JG39" s="1575" t="str">
        <f t="shared" si="246"/>
        <v/>
      </c>
      <c r="JH39" s="1575" t="str">
        <f t="shared" si="247"/>
        <v/>
      </c>
      <c r="JI39" s="1575" t="str">
        <f t="shared" si="248"/>
        <v/>
      </c>
      <c r="JJ39" s="1575" t="str">
        <f t="shared" si="249"/>
        <v/>
      </c>
      <c r="JK39" s="1575" t="str">
        <f t="shared" si="250"/>
        <v/>
      </c>
      <c r="JL39" s="1575" t="str">
        <f t="shared" si="251"/>
        <v/>
      </c>
      <c r="JM39" s="1575" t="str">
        <f t="shared" si="252"/>
        <v/>
      </c>
      <c r="JN39" s="1575" t="str">
        <f t="shared" si="253"/>
        <v/>
      </c>
      <c r="JO39" s="1575" t="str">
        <f t="shared" si="254"/>
        <v/>
      </c>
      <c r="JP39" s="1575" t="str">
        <f t="shared" si="255"/>
        <v/>
      </c>
      <c r="JQ39" s="1575" t="str">
        <f t="shared" si="256"/>
        <v/>
      </c>
      <c r="JR39" s="1575" t="str">
        <f t="shared" si="257"/>
        <v/>
      </c>
      <c r="JS39" s="1575" t="str">
        <f t="shared" si="258"/>
        <v/>
      </c>
      <c r="JT39" s="1575" t="str">
        <f t="shared" si="259"/>
        <v/>
      </c>
      <c r="JU39" s="1575">
        <f t="shared" si="260"/>
        <v>1</v>
      </c>
      <c r="JV39" s="1575" t="str">
        <f t="shared" si="261"/>
        <v/>
      </c>
      <c r="JW39" s="1575" t="str">
        <f t="shared" si="262"/>
        <v/>
      </c>
      <c r="JX39" s="1575" t="str">
        <f t="shared" si="263"/>
        <v/>
      </c>
      <c r="JY39" s="1575" t="str">
        <f t="shared" si="264"/>
        <v/>
      </c>
      <c r="JZ39" s="1575" t="str">
        <f t="shared" si="265"/>
        <v/>
      </c>
      <c r="KA39" s="1575" t="str">
        <f t="shared" si="266"/>
        <v/>
      </c>
      <c r="KB39" s="1575" t="str">
        <f t="shared" si="267"/>
        <v/>
      </c>
      <c r="KC39" s="1575" t="str">
        <f t="shared" si="268"/>
        <v/>
      </c>
      <c r="KD39" s="1575" t="str">
        <f t="shared" si="269"/>
        <v/>
      </c>
      <c r="KE39" s="1575" t="str">
        <f t="shared" si="270"/>
        <v/>
      </c>
      <c r="KF39" s="1575" t="str">
        <f t="shared" si="271"/>
        <v/>
      </c>
      <c r="KG39" s="1575" t="str">
        <f t="shared" si="272"/>
        <v/>
      </c>
      <c r="KH39" s="1575" t="str">
        <f t="shared" si="273"/>
        <v/>
      </c>
      <c r="KI39" s="1575" t="str">
        <f t="shared" si="274"/>
        <v/>
      </c>
      <c r="KJ39" s="1575" t="str">
        <f t="shared" si="275"/>
        <v/>
      </c>
      <c r="KK39" s="1575" t="str">
        <f t="shared" si="276"/>
        <v/>
      </c>
      <c r="KL39" s="1575" t="str">
        <f t="shared" si="277"/>
        <v/>
      </c>
      <c r="KM39" s="1575" t="str">
        <f t="shared" si="278"/>
        <v/>
      </c>
      <c r="KN39" s="1575" t="str">
        <f t="shared" si="279"/>
        <v/>
      </c>
      <c r="KO39" s="1575" t="str">
        <f t="shared" si="280"/>
        <v/>
      </c>
      <c r="KP39" s="1575" t="str">
        <f t="shared" si="281"/>
        <v/>
      </c>
      <c r="KQ39" s="1575" t="str">
        <f t="shared" si="282"/>
        <v/>
      </c>
      <c r="KR39" s="1575" t="str">
        <f t="shared" si="283"/>
        <v/>
      </c>
      <c r="KS39" s="1575" t="str">
        <f t="shared" si="284"/>
        <v/>
      </c>
      <c r="KT39" s="1575" t="str">
        <f t="shared" si="285"/>
        <v/>
      </c>
      <c r="KU39" s="1575" t="str">
        <f t="shared" si="286"/>
        <v/>
      </c>
      <c r="KV39" s="1575" t="str">
        <f t="shared" si="287"/>
        <v/>
      </c>
      <c r="KW39" s="1575" t="str">
        <f t="shared" si="288"/>
        <v/>
      </c>
      <c r="KX39" s="1575" t="str">
        <f t="shared" si="289"/>
        <v/>
      </c>
      <c r="KY39" s="1575" t="str">
        <f t="shared" si="290"/>
        <v/>
      </c>
      <c r="KZ39" s="1575" t="str">
        <f t="shared" si="291"/>
        <v/>
      </c>
      <c r="LA39" s="1575" t="str">
        <f t="shared" si="292"/>
        <v/>
      </c>
      <c r="LB39" s="1575" t="str">
        <f t="shared" si="293"/>
        <v/>
      </c>
      <c r="LC39" s="1575" t="str">
        <f t="shared" si="294"/>
        <v/>
      </c>
      <c r="LD39" s="1575" t="str">
        <f t="shared" si="295"/>
        <v/>
      </c>
      <c r="LE39" s="1575" t="str">
        <f t="shared" si="296"/>
        <v/>
      </c>
      <c r="LF39" s="1575" t="str">
        <f t="shared" si="297"/>
        <v/>
      </c>
      <c r="LG39" s="1564" t="str">
        <f t="shared" si="298"/>
        <v/>
      </c>
      <c r="LH39" s="1564" t="str">
        <f t="shared" si="299"/>
        <v/>
      </c>
      <c r="LI39" s="1564" t="str">
        <f t="shared" si="300"/>
        <v/>
      </c>
      <c r="LJ39" s="1564" t="str">
        <f t="shared" si="301"/>
        <v/>
      </c>
      <c r="LK39" s="1564"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441">
        <f t="shared" si="323"/>
        <v>0</v>
      </c>
      <c r="MG39" s="1441">
        <f t="shared" si="324"/>
        <v>0</v>
      </c>
      <c r="MH39" s="1441">
        <f t="shared" si="325"/>
        <v>1</v>
      </c>
      <c r="MI39" s="1441">
        <f t="shared" si="326"/>
        <v>0</v>
      </c>
      <c r="MJ39" s="1441">
        <f t="shared" si="327"/>
        <v>0</v>
      </c>
      <c r="MK39" s="1441">
        <f t="shared" si="333"/>
        <v>0</v>
      </c>
      <c r="ML39" s="1441">
        <f t="shared" si="334"/>
        <v>0</v>
      </c>
      <c r="MM39" s="1441">
        <f t="shared" si="335"/>
        <v>0</v>
      </c>
      <c r="MN39" s="1441">
        <f t="shared" si="336"/>
        <v>0</v>
      </c>
      <c r="MO39" s="1441">
        <f t="shared" si="337"/>
        <v>0</v>
      </c>
      <c r="MP39" s="1441">
        <f t="shared" si="328"/>
        <v>0</v>
      </c>
      <c r="MQ39" s="1441">
        <f t="shared" si="329"/>
        <v>0</v>
      </c>
      <c r="MR39" s="1441">
        <f t="shared" si="330"/>
        <v>0</v>
      </c>
      <c r="MS39" s="1441">
        <f t="shared" si="331"/>
        <v>0</v>
      </c>
      <c r="MT39" s="1441">
        <f t="shared" si="332"/>
        <v>0</v>
      </c>
      <c r="NP39" s="1413" t="s">
        <v>1140</v>
      </c>
    </row>
    <row r="40" spans="1:380" ht="13.9" customHeight="1">
      <c r="A40" s="55" t="str">
        <f t="shared" si="0"/>
        <v/>
      </c>
      <c r="B40" s="915">
        <v>60</v>
      </c>
      <c r="C40" s="89">
        <v>2</v>
      </c>
      <c r="D40" s="1443">
        <v>2</v>
      </c>
      <c r="E40" s="90">
        <v>1</v>
      </c>
      <c r="F40" s="90">
        <v>1176</v>
      </c>
      <c r="G40" s="90">
        <v>1378</v>
      </c>
      <c r="H40" s="90">
        <v>1378</v>
      </c>
      <c r="I40" s="90">
        <v>0</v>
      </c>
      <c r="J40" s="596">
        <f>IF(C40="",0,HLOOKUP(C40,'Part IV-Utility Allowances'!$I$11:$M$22,12))</f>
        <v>173</v>
      </c>
      <c r="K40" s="509"/>
      <c r="L40" s="351">
        <f t="shared" si="1"/>
        <v>1205</v>
      </c>
      <c r="M40" s="351">
        <f t="shared" si="2"/>
        <v>1205</v>
      </c>
      <c r="N40" s="549" t="s">
        <v>63</v>
      </c>
      <c r="O40" s="1381" t="s">
        <v>1205</v>
      </c>
      <c r="P40" s="549" t="s">
        <v>7052</v>
      </c>
      <c r="Q40" s="91" t="s">
        <v>63</v>
      </c>
      <c r="R40" s="586"/>
      <c r="S40" s="587"/>
      <c r="T40" s="3500"/>
      <c r="U40" s="3501"/>
      <c r="V40" s="3501"/>
      <c r="W40" s="3502"/>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f t="shared" si="15"/>
        <v>1</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f t="shared" si="130"/>
        <v>1176</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f t="shared" si="185"/>
        <v>1</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575" t="str">
        <f t="shared" si="213"/>
        <v/>
      </c>
      <c r="IA40" s="1575" t="str">
        <f t="shared" si="214"/>
        <v/>
      </c>
      <c r="IB40" s="1575">
        <f t="shared" si="215"/>
        <v>1</v>
      </c>
      <c r="IC40" s="1575" t="str">
        <f t="shared" si="216"/>
        <v/>
      </c>
      <c r="ID40" s="1575" t="str">
        <f t="shared" si="217"/>
        <v/>
      </c>
      <c r="IE40" s="1575" t="str">
        <f t="shared" si="218"/>
        <v/>
      </c>
      <c r="IF40" s="1575" t="str">
        <f t="shared" si="219"/>
        <v/>
      </c>
      <c r="IG40" s="1575" t="str">
        <f t="shared" si="220"/>
        <v/>
      </c>
      <c r="IH40" s="1575" t="str">
        <f t="shared" si="221"/>
        <v/>
      </c>
      <c r="II40" s="1575" t="str">
        <f t="shared" si="222"/>
        <v/>
      </c>
      <c r="IJ40" s="1575" t="str">
        <f t="shared" si="223"/>
        <v/>
      </c>
      <c r="IK40" s="1575" t="str">
        <f t="shared" si="224"/>
        <v/>
      </c>
      <c r="IL40" s="1575" t="str">
        <f t="shared" si="225"/>
        <v/>
      </c>
      <c r="IM40" s="1575" t="str">
        <f t="shared" si="226"/>
        <v/>
      </c>
      <c r="IN40" s="1575" t="str">
        <f t="shared" si="227"/>
        <v/>
      </c>
      <c r="IO40" s="1575" t="str">
        <f t="shared" si="228"/>
        <v/>
      </c>
      <c r="IP40" s="1575" t="str">
        <f t="shared" si="229"/>
        <v/>
      </c>
      <c r="IQ40" s="1575" t="str">
        <f t="shared" si="230"/>
        <v/>
      </c>
      <c r="IR40" s="1575" t="str">
        <f t="shared" si="231"/>
        <v/>
      </c>
      <c r="IS40" s="1575" t="str">
        <f t="shared" si="232"/>
        <v/>
      </c>
      <c r="IT40" s="1575" t="str">
        <f t="shared" si="233"/>
        <v/>
      </c>
      <c r="IU40" s="1575" t="str">
        <f t="shared" si="234"/>
        <v/>
      </c>
      <c r="IV40" s="1575" t="str">
        <f t="shared" si="235"/>
        <v/>
      </c>
      <c r="IW40" s="1575" t="str">
        <f t="shared" si="236"/>
        <v/>
      </c>
      <c r="IX40" s="1575" t="str">
        <f t="shared" si="237"/>
        <v/>
      </c>
      <c r="IY40" s="1575" t="str">
        <f t="shared" si="238"/>
        <v/>
      </c>
      <c r="IZ40" s="1575" t="str">
        <f t="shared" si="239"/>
        <v/>
      </c>
      <c r="JA40" s="1575" t="str">
        <f t="shared" si="240"/>
        <v/>
      </c>
      <c r="JB40" s="1575" t="str">
        <f t="shared" si="241"/>
        <v/>
      </c>
      <c r="JC40" s="1575" t="str">
        <f t="shared" si="242"/>
        <v/>
      </c>
      <c r="JD40" s="1575" t="str">
        <f t="shared" si="243"/>
        <v/>
      </c>
      <c r="JE40" s="1575" t="str">
        <f t="shared" si="244"/>
        <v/>
      </c>
      <c r="JF40" s="1575" t="str">
        <f t="shared" si="245"/>
        <v/>
      </c>
      <c r="JG40" s="1575" t="str">
        <f t="shared" si="246"/>
        <v/>
      </c>
      <c r="JH40" s="1575" t="str">
        <f t="shared" si="247"/>
        <v/>
      </c>
      <c r="JI40" s="1575" t="str">
        <f t="shared" si="248"/>
        <v/>
      </c>
      <c r="JJ40" s="1575" t="str">
        <f t="shared" si="249"/>
        <v/>
      </c>
      <c r="JK40" s="1575" t="str">
        <f t="shared" si="250"/>
        <v/>
      </c>
      <c r="JL40" s="1575" t="str">
        <f t="shared" si="251"/>
        <v/>
      </c>
      <c r="JM40" s="1575" t="str">
        <f t="shared" si="252"/>
        <v/>
      </c>
      <c r="JN40" s="1575" t="str">
        <f t="shared" si="253"/>
        <v/>
      </c>
      <c r="JO40" s="1575" t="str">
        <f t="shared" si="254"/>
        <v/>
      </c>
      <c r="JP40" s="1575" t="str">
        <f t="shared" si="255"/>
        <v/>
      </c>
      <c r="JQ40" s="1575" t="str">
        <f t="shared" si="256"/>
        <v/>
      </c>
      <c r="JR40" s="1575" t="str">
        <f t="shared" si="257"/>
        <v/>
      </c>
      <c r="JS40" s="1575" t="str">
        <f t="shared" si="258"/>
        <v/>
      </c>
      <c r="JT40" s="1575" t="str">
        <f t="shared" si="259"/>
        <v/>
      </c>
      <c r="JU40" s="1575">
        <f t="shared" si="260"/>
        <v>1</v>
      </c>
      <c r="JV40" s="1575" t="str">
        <f t="shared" si="261"/>
        <v/>
      </c>
      <c r="JW40" s="1575" t="str">
        <f t="shared" si="262"/>
        <v/>
      </c>
      <c r="JX40" s="1575" t="str">
        <f t="shared" si="263"/>
        <v/>
      </c>
      <c r="JY40" s="1575" t="str">
        <f t="shared" si="264"/>
        <v/>
      </c>
      <c r="JZ40" s="1575" t="str">
        <f t="shared" si="265"/>
        <v/>
      </c>
      <c r="KA40" s="1575" t="str">
        <f t="shared" si="266"/>
        <v/>
      </c>
      <c r="KB40" s="1575" t="str">
        <f t="shared" si="267"/>
        <v/>
      </c>
      <c r="KC40" s="1575" t="str">
        <f t="shared" si="268"/>
        <v/>
      </c>
      <c r="KD40" s="1575" t="str">
        <f t="shared" si="269"/>
        <v/>
      </c>
      <c r="KE40" s="1575" t="str">
        <f t="shared" si="270"/>
        <v/>
      </c>
      <c r="KF40" s="1575" t="str">
        <f t="shared" si="271"/>
        <v/>
      </c>
      <c r="KG40" s="1575" t="str">
        <f t="shared" si="272"/>
        <v/>
      </c>
      <c r="KH40" s="1575" t="str">
        <f t="shared" si="273"/>
        <v/>
      </c>
      <c r="KI40" s="1575" t="str">
        <f t="shared" si="274"/>
        <v/>
      </c>
      <c r="KJ40" s="1575" t="str">
        <f t="shared" si="275"/>
        <v/>
      </c>
      <c r="KK40" s="1575" t="str">
        <f t="shared" si="276"/>
        <v/>
      </c>
      <c r="KL40" s="1575" t="str">
        <f t="shared" si="277"/>
        <v/>
      </c>
      <c r="KM40" s="1575" t="str">
        <f t="shared" si="278"/>
        <v/>
      </c>
      <c r="KN40" s="1575" t="str">
        <f t="shared" si="279"/>
        <v/>
      </c>
      <c r="KO40" s="1575" t="str">
        <f t="shared" si="280"/>
        <v/>
      </c>
      <c r="KP40" s="1575" t="str">
        <f t="shared" si="281"/>
        <v/>
      </c>
      <c r="KQ40" s="1575" t="str">
        <f t="shared" si="282"/>
        <v/>
      </c>
      <c r="KR40" s="1575" t="str">
        <f t="shared" si="283"/>
        <v/>
      </c>
      <c r="KS40" s="1575" t="str">
        <f t="shared" si="284"/>
        <v/>
      </c>
      <c r="KT40" s="1575" t="str">
        <f t="shared" si="285"/>
        <v/>
      </c>
      <c r="KU40" s="1575" t="str">
        <f t="shared" si="286"/>
        <v/>
      </c>
      <c r="KV40" s="1575" t="str">
        <f t="shared" si="287"/>
        <v/>
      </c>
      <c r="KW40" s="1575" t="str">
        <f t="shared" si="288"/>
        <v/>
      </c>
      <c r="KX40" s="1575" t="str">
        <f t="shared" si="289"/>
        <v/>
      </c>
      <c r="KY40" s="1575" t="str">
        <f t="shared" si="290"/>
        <v/>
      </c>
      <c r="KZ40" s="1575" t="str">
        <f t="shared" si="291"/>
        <v/>
      </c>
      <c r="LA40" s="1575" t="str">
        <f t="shared" si="292"/>
        <v/>
      </c>
      <c r="LB40" s="1575" t="str">
        <f t="shared" si="293"/>
        <v/>
      </c>
      <c r="LC40" s="1575" t="str">
        <f t="shared" si="294"/>
        <v/>
      </c>
      <c r="LD40" s="1575" t="str">
        <f t="shared" si="295"/>
        <v/>
      </c>
      <c r="LE40" s="1575" t="str">
        <f t="shared" si="296"/>
        <v/>
      </c>
      <c r="LF40" s="1575" t="str">
        <f t="shared" si="297"/>
        <v/>
      </c>
      <c r="LG40" s="1564" t="str">
        <f t="shared" si="298"/>
        <v/>
      </c>
      <c r="LH40" s="1564" t="str">
        <f t="shared" si="299"/>
        <v/>
      </c>
      <c r="LI40" s="1564" t="str">
        <f t="shared" si="300"/>
        <v/>
      </c>
      <c r="LJ40" s="1564" t="str">
        <f t="shared" si="301"/>
        <v/>
      </c>
      <c r="LK40" s="1564"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441">
        <f t="shared" si="323"/>
        <v>0</v>
      </c>
      <c r="MG40" s="1441">
        <f t="shared" si="324"/>
        <v>0</v>
      </c>
      <c r="MH40" s="1441">
        <f t="shared" si="325"/>
        <v>1</v>
      </c>
      <c r="MI40" s="1441">
        <f t="shared" si="326"/>
        <v>0</v>
      </c>
      <c r="MJ40" s="1441">
        <f t="shared" si="327"/>
        <v>0</v>
      </c>
      <c r="MK40" s="1441">
        <f t="shared" si="333"/>
        <v>0</v>
      </c>
      <c r="ML40" s="1441">
        <f t="shared" si="334"/>
        <v>0</v>
      </c>
      <c r="MM40" s="1441">
        <f t="shared" si="335"/>
        <v>0</v>
      </c>
      <c r="MN40" s="1441">
        <f t="shared" si="336"/>
        <v>0</v>
      </c>
      <c r="MO40" s="1441">
        <f t="shared" si="337"/>
        <v>0</v>
      </c>
      <c r="MP40" s="1441">
        <f t="shared" si="328"/>
        <v>0</v>
      </c>
      <c r="MQ40" s="1441">
        <f t="shared" si="329"/>
        <v>0</v>
      </c>
      <c r="MR40" s="1441">
        <f t="shared" si="330"/>
        <v>0</v>
      </c>
      <c r="MS40" s="1441">
        <f t="shared" si="331"/>
        <v>0</v>
      </c>
      <c r="MT40" s="1441">
        <f t="shared" si="332"/>
        <v>0</v>
      </c>
      <c r="NP40" s="1413" t="s">
        <v>1141</v>
      </c>
    </row>
    <row r="41" spans="1:380" ht="13.9" customHeight="1">
      <c r="A41" s="55" t="str">
        <f t="shared" si="0"/>
        <v/>
      </c>
      <c r="B41" s="915">
        <v>60</v>
      </c>
      <c r="C41" s="89">
        <v>2</v>
      </c>
      <c r="D41" s="1443">
        <v>2</v>
      </c>
      <c r="E41" s="90">
        <v>4</v>
      </c>
      <c r="F41" s="90">
        <v>1223</v>
      </c>
      <c r="G41" s="90">
        <v>1378</v>
      </c>
      <c r="H41" s="90">
        <v>1378</v>
      </c>
      <c r="I41" s="90">
        <v>0</v>
      </c>
      <c r="J41" s="596">
        <f>IF(C41="",0,HLOOKUP(C41,'Part IV-Utility Allowances'!$I$11:$M$22,12))</f>
        <v>173</v>
      </c>
      <c r="K41" s="509"/>
      <c r="L41" s="351">
        <f t="shared" si="1"/>
        <v>1205</v>
      </c>
      <c r="M41" s="351">
        <f t="shared" si="2"/>
        <v>4820</v>
      </c>
      <c r="N41" s="549" t="s">
        <v>63</v>
      </c>
      <c r="O41" s="1381" t="s">
        <v>1205</v>
      </c>
      <c r="P41" s="549" t="s">
        <v>7052</v>
      </c>
      <c r="Q41" s="91" t="s">
        <v>63</v>
      </c>
      <c r="R41" s="586"/>
      <c r="S41" s="587"/>
      <c r="T41" s="3500"/>
      <c r="U41" s="3501"/>
      <c r="V41" s="3501"/>
      <c r="W41" s="3502"/>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f t="shared" si="15"/>
        <v>4</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f t="shared" si="130"/>
        <v>4892</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f t="shared" si="185"/>
        <v>4</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575" t="str">
        <f t="shared" si="213"/>
        <v/>
      </c>
      <c r="IA41" s="1575" t="str">
        <f t="shared" si="214"/>
        <v/>
      </c>
      <c r="IB41" s="1575">
        <f t="shared" si="215"/>
        <v>4</v>
      </c>
      <c r="IC41" s="1575" t="str">
        <f t="shared" si="216"/>
        <v/>
      </c>
      <c r="ID41" s="1575" t="str">
        <f t="shared" si="217"/>
        <v/>
      </c>
      <c r="IE41" s="1575" t="str">
        <f t="shared" si="218"/>
        <v/>
      </c>
      <c r="IF41" s="1575" t="str">
        <f t="shared" si="219"/>
        <v/>
      </c>
      <c r="IG41" s="1575" t="str">
        <f t="shared" si="220"/>
        <v/>
      </c>
      <c r="IH41" s="1575" t="str">
        <f t="shared" si="221"/>
        <v/>
      </c>
      <c r="II41" s="1575" t="str">
        <f t="shared" si="222"/>
        <v/>
      </c>
      <c r="IJ41" s="1575" t="str">
        <f t="shared" si="223"/>
        <v/>
      </c>
      <c r="IK41" s="1575" t="str">
        <f t="shared" si="224"/>
        <v/>
      </c>
      <c r="IL41" s="1575" t="str">
        <f t="shared" si="225"/>
        <v/>
      </c>
      <c r="IM41" s="1575" t="str">
        <f t="shared" si="226"/>
        <v/>
      </c>
      <c r="IN41" s="1575" t="str">
        <f t="shared" si="227"/>
        <v/>
      </c>
      <c r="IO41" s="1575" t="str">
        <f t="shared" si="228"/>
        <v/>
      </c>
      <c r="IP41" s="1575" t="str">
        <f t="shared" si="229"/>
        <v/>
      </c>
      <c r="IQ41" s="1575" t="str">
        <f t="shared" si="230"/>
        <v/>
      </c>
      <c r="IR41" s="1575" t="str">
        <f t="shared" si="231"/>
        <v/>
      </c>
      <c r="IS41" s="1575" t="str">
        <f t="shared" si="232"/>
        <v/>
      </c>
      <c r="IT41" s="1575" t="str">
        <f t="shared" si="233"/>
        <v/>
      </c>
      <c r="IU41" s="1575" t="str">
        <f t="shared" si="234"/>
        <v/>
      </c>
      <c r="IV41" s="1575" t="str">
        <f t="shared" si="235"/>
        <v/>
      </c>
      <c r="IW41" s="1575" t="str">
        <f t="shared" si="236"/>
        <v/>
      </c>
      <c r="IX41" s="1575" t="str">
        <f t="shared" si="237"/>
        <v/>
      </c>
      <c r="IY41" s="1575" t="str">
        <f t="shared" si="238"/>
        <v/>
      </c>
      <c r="IZ41" s="1575" t="str">
        <f t="shared" si="239"/>
        <v/>
      </c>
      <c r="JA41" s="1575" t="str">
        <f t="shared" si="240"/>
        <v/>
      </c>
      <c r="JB41" s="1575" t="str">
        <f t="shared" si="241"/>
        <v/>
      </c>
      <c r="JC41" s="1575" t="str">
        <f t="shared" si="242"/>
        <v/>
      </c>
      <c r="JD41" s="1575" t="str">
        <f t="shared" si="243"/>
        <v/>
      </c>
      <c r="JE41" s="1575" t="str">
        <f t="shared" si="244"/>
        <v/>
      </c>
      <c r="JF41" s="1575" t="str">
        <f t="shared" si="245"/>
        <v/>
      </c>
      <c r="JG41" s="1575" t="str">
        <f t="shared" si="246"/>
        <v/>
      </c>
      <c r="JH41" s="1575" t="str">
        <f t="shared" si="247"/>
        <v/>
      </c>
      <c r="JI41" s="1575" t="str">
        <f t="shared" si="248"/>
        <v/>
      </c>
      <c r="JJ41" s="1575" t="str">
        <f t="shared" si="249"/>
        <v/>
      </c>
      <c r="JK41" s="1575" t="str">
        <f t="shared" si="250"/>
        <v/>
      </c>
      <c r="JL41" s="1575" t="str">
        <f t="shared" si="251"/>
        <v/>
      </c>
      <c r="JM41" s="1575" t="str">
        <f t="shared" si="252"/>
        <v/>
      </c>
      <c r="JN41" s="1575" t="str">
        <f t="shared" si="253"/>
        <v/>
      </c>
      <c r="JO41" s="1575" t="str">
        <f t="shared" si="254"/>
        <v/>
      </c>
      <c r="JP41" s="1575" t="str">
        <f t="shared" si="255"/>
        <v/>
      </c>
      <c r="JQ41" s="1575" t="str">
        <f t="shared" si="256"/>
        <v/>
      </c>
      <c r="JR41" s="1575" t="str">
        <f t="shared" si="257"/>
        <v/>
      </c>
      <c r="JS41" s="1575" t="str">
        <f t="shared" si="258"/>
        <v/>
      </c>
      <c r="JT41" s="1575" t="str">
        <f t="shared" si="259"/>
        <v/>
      </c>
      <c r="JU41" s="1575">
        <f t="shared" si="260"/>
        <v>4</v>
      </c>
      <c r="JV41" s="1575" t="str">
        <f t="shared" si="261"/>
        <v/>
      </c>
      <c r="JW41" s="1575" t="str">
        <f t="shared" si="262"/>
        <v/>
      </c>
      <c r="JX41" s="1575" t="str">
        <f t="shared" si="263"/>
        <v/>
      </c>
      <c r="JY41" s="1575" t="str">
        <f t="shared" si="264"/>
        <v/>
      </c>
      <c r="JZ41" s="1575" t="str">
        <f t="shared" si="265"/>
        <v/>
      </c>
      <c r="KA41" s="1575" t="str">
        <f t="shared" si="266"/>
        <v/>
      </c>
      <c r="KB41" s="1575" t="str">
        <f t="shared" si="267"/>
        <v/>
      </c>
      <c r="KC41" s="1575" t="str">
        <f t="shared" si="268"/>
        <v/>
      </c>
      <c r="KD41" s="1575" t="str">
        <f t="shared" si="269"/>
        <v/>
      </c>
      <c r="KE41" s="1575" t="str">
        <f t="shared" si="270"/>
        <v/>
      </c>
      <c r="KF41" s="1575" t="str">
        <f t="shared" si="271"/>
        <v/>
      </c>
      <c r="KG41" s="1575" t="str">
        <f t="shared" si="272"/>
        <v/>
      </c>
      <c r="KH41" s="1575" t="str">
        <f t="shared" si="273"/>
        <v/>
      </c>
      <c r="KI41" s="1575" t="str">
        <f t="shared" si="274"/>
        <v/>
      </c>
      <c r="KJ41" s="1575" t="str">
        <f t="shared" si="275"/>
        <v/>
      </c>
      <c r="KK41" s="1575" t="str">
        <f t="shared" si="276"/>
        <v/>
      </c>
      <c r="KL41" s="1575" t="str">
        <f t="shared" si="277"/>
        <v/>
      </c>
      <c r="KM41" s="1575" t="str">
        <f t="shared" si="278"/>
        <v/>
      </c>
      <c r="KN41" s="1575" t="str">
        <f t="shared" si="279"/>
        <v/>
      </c>
      <c r="KO41" s="1575" t="str">
        <f t="shared" si="280"/>
        <v/>
      </c>
      <c r="KP41" s="1575" t="str">
        <f t="shared" si="281"/>
        <v/>
      </c>
      <c r="KQ41" s="1575" t="str">
        <f t="shared" si="282"/>
        <v/>
      </c>
      <c r="KR41" s="1575" t="str">
        <f t="shared" si="283"/>
        <v/>
      </c>
      <c r="KS41" s="1575" t="str">
        <f t="shared" si="284"/>
        <v/>
      </c>
      <c r="KT41" s="1575" t="str">
        <f t="shared" si="285"/>
        <v/>
      </c>
      <c r="KU41" s="1575" t="str">
        <f t="shared" si="286"/>
        <v/>
      </c>
      <c r="KV41" s="1575" t="str">
        <f t="shared" si="287"/>
        <v/>
      </c>
      <c r="KW41" s="1575" t="str">
        <f t="shared" si="288"/>
        <v/>
      </c>
      <c r="KX41" s="1575" t="str">
        <f t="shared" si="289"/>
        <v/>
      </c>
      <c r="KY41" s="1575" t="str">
        <f t="shared" si="290"/>
        <v/>
      </c>
      <c r="KZ41" s="1575" t="str">
        <f t="shared" si="291"/>
        <v/>
      </c>
      <c r="LA41" s="1575" t="str">
        <f t="shared" si="292"/>
        <v/>
      </c>
      <c r="LB41" s="1575" t="str">
        <f t="shared" si="293"/>
        <v/>
      </c>
      <c r="LC41" s="1575" t="str">
        <f t="shared" si="294"/>
        <v/>
      </c>
      <c r="LD41" s="1575" t="str">
        <f t="shared" si="295"/>
        <v/>
      </c>
      <c r="LE41" s="1575" t="str">
        <f t="shared" si="296"/>
        <v/>
      </c>
      <c r="LF41" s="1575" t="str">
        <f t="shared" si="297"/>
        <v/>
      </c>
      <c r="LG41" s="1564" t="str">
        <f t="shared" si="298"/>
        <v/>
      </c>
      <c r="LH41" s="1564" t="str">
        <f t="shared" si="299"/>
        <v/>
      </c>
      <c r="LI41" s="1564" t="str">
        <f t="shared" si="300"/>
        <v/>
      </c>
      <c r="LJ41" s="1564" t="str">
        <f t="shared" si="301"/>
        <v/>
      </c>
      <c r="LK41" s="1564"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441">
        <f t="shared" si="323"/>
        <v>0</v>
      </c>
      <c r="MG41" s="1441">
        <f t="shared" si="324"/>
        <v>0</v>
      </c>
      <c r="MH41" s="1441">
        <f t="shared" si="325"/>
        <v>4</v>
      </c>
      <c r="MI41" s="1441">
        <f t="shared" si="326"/>
        <v>0</v>
      </c>
      <c r="MJ41" s="1441">
        <f t="shared" si="327"/>
        <v>0</v>
      </c>
      <c r="MK41" s="1441">
        <f t="shared" si="333"/>
        <v>0</v>
      </c>
      <c r="ML41" s="1441">
        <f t="shared" si="334"/>
        <v>0</v>
      </c>
      <c r="MM41" s="1441">
        <f t="shared" si="335"/>
        <v>0</v>
      </c>
      <c r="MN41" s="1441">
        <f t="shared" si="336"/>
        <v>0</v>
      </c>
      <c r="MO41" s="1441">
        <f t="shared" si="337"/>
        <v>0</v>
      </c>
      <c r="MP41" s="1441">
        <f t="shared" si="328"/>
        <v>0</v>
      </c>
      <c r="MQ41" s="1441">
        <f t="shared" si="329"/>
        <v>0</v>
      </c>
      <c r="MR41" s="1441">
        <f t="shared" si="330"/>
        <v>0</v>
      </c>
      <c r="MS41" s="1441">
        <f t="shared" si="331"/>
        <v>0</v>
      </c>
      <c r="MT41" s="1441">
        <f t="shared" si="332"/>
        <v>0</v>
      </c>
      <c r="NP41" s="1413" t="s">
        <v>1142</v>
      </c>
    </row>
    <row r="42" spans="1:380" ht="13.9" customHeight="1">
      <c r="A42" s="55" t="str">
        <f t="shared" si="0"/>
        <v/>
      </c>
      <c r="B42" s="915">
        <v>60</v>
      </c>
      <c r="C42" s="89">
        <v>3</v>
      </c>
      <c r="D42" s="1443">
        <v>2.5</v>
      </c>
      <c r="E42" s="90">
        <v>1</v>
      </c>
      <c r="F42" s="90">
        <v>1107</v>
      </c>
      <c r="G42" s="90">
        <v>1593</v>
      </c>
      <c r="H42" s="90">
        <v>1593</v>
      </c>
      <c r="I42" s="90">
        <v>0</v>
      </c>
      <c r="J42" s="596">
        <f>IF(C42="",0,HLOOKUP(C42,'Part IV-Utility Allowances'!$I$11:$M$22,12))</f>
        <v>216</v>
      </c>
      <c r="K42" s="509"/>
      <c r="L42" s="351">
        <f t="shared" si="1"/>
        <v>1377</v>
      </c>
      <c r="M42" s="351">
        <f t="shared" si="2"/>
        <v>1377</v>
      </c>
      <c r="N42" s="549" t="s">
        <v>63</v>
      </c>
      <c r="O42" s="1381" t="s">
        <v>7051</v>
      </c>
      <c r="P42" s="549" t="s">
        <v>7052</v>
      </c>
      <c r="Q42" s="91" t="s">
        <v>63</v>
      </c>
      <c r="R42" s="586"/>
      <c r="S42" s="587"/>
      <c r="T42" s="3500"/>
      <c r="U42" s="3501"/>
      <c r="V42" s="3501"/>
      <c r="W42" s="3502"/>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f t="shared" si="16"/>
        <v>1</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f t="shared" si="131"/>
        <v>1107</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f t="shared" si="186"/>
        <v>1</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575" t="str">
        <f t="shared" si="213"/>
        <v/>
      </c>
      <c r="IA42" s="1575" t="str">
        <f t="shared" si="214"/>
        <v/>
      </c>
      <c r="IB42" s="1575" t="str">
        <f t="shared" si="215"/>
        <v/>
      </c>
      <c r="IC42" s="1575" t="str">
        <f t="shared" si="216"/>
        <v/>
      </c>
      <c r="ID42" s="1575" t="str">
        <f t="shared" si="217"/>
        <v/>
      </c>
      <c r="IE42" s="1575" t="str">
        <f t="shared" si="218"/>
        <v/>
      </c>
      <c r="IF42" s="1575" t="str">
        <f t="shared" si="219"/>
        <v/>
      </c>
      <c r="IG42" s="1575" t="str">
        <f t="shared" si="220"/>
        <v/>
      </c>
      <c r="IH42" s="1575" t="str">
        <f t="shared" si="221"/>
        <v/>
      </c>
      <c r="II42" s="1575" t="str">
        <f t="shared" si="222"/>
        <v/>
      </c>
      <c r="IJ42" s="1575" t="str">
        <f t="shared" si="223"/>
        <v/>
      </c>
      <c r="IK42" s="1575" t="str">
        <f t="shared" si="224"/>
        <v/>
      </c>
      <c r="IL42" s="1575" t="str">
        <f t="shared" si="225"/>
        <v/>
      </c>
      <c r="IM42" s="1575" t="str">
        <f t="shared" si="226"/>
        <v/>
      </c>
      <c r="IN42" s="1575" t="str">
        <f t="shared" si="227"/>
        <v/>
      </c>
      <c r="IO42" s="1575" t="str">
        <f t="shared" si="228"/>
        <v/>
      </c>
      <c r="IP42" s="1575" t="str">
        <f t="shared" si="229"/>
        <v/>
      </c>
      <c r="IQ42" s="1575" t="str">
        <f t="shared" si="230"/>
        <v/>
      </c>
      <c r="IR42" s="1575" t="str">
        <f t="shared" si="231"/>
        <v/>
      </c>
      <c r="IS42" s="1575" t="str">
        <f t="shared" si="232"/>
        <v/>
      </c>
      <c r="IT42" s="1575" t="str">
        <f t="shared" si="233"/>
        <v/>
      </c>
      <c r="IU42" s="1575" t="str">
        <f t="shared" si="234"/>
        <v/>
      </c>
      <c r="IV42" s="1575" t="str">
        <f t="shared" si="235"/>
        <v/>
      </c>
      <c r="IW42" s="1575" t="str">
        <f t="shared" si="236"/>
        <v/>
      </c>
      <c r="IX42" s="1575" t="str">
        <f t="shared" si="237"/>
        <v/>
      </c>
      <c r="IY42" s="1575" t="str">
        <f t="shared" si="238"/>
        <v/>
      </c>
      <c r="IZ42" s="1575" t="str">
        <f t="shared" si="239"/>
        <v/>
      </c>
      <c r="JA42" s="1575" t="str">
        <f t="shared" si="240"/>
        <v/>
      </c>
      <c r="JB42" s="1575" t="str">
        <f t="shared" si="241"/>
        <v/>
      </c>
      <c r="JC42" s="1575" t="str">
        <f t="shared" si="242"/>
        <v/>
      </c>
      <c r="JD42" s="1575" t="str">
        <f t="shared" si="243"/>
        <v/>
      </c>
      <c r="JE42" s="1575" t="str">
        <f t="shared" si="244"/>
        <v/>
      </c>
      <c r="JF42" s="1575" t="str">
        <f t="shared" si="245"/>
        <v/>
      </c>
      <c r="JG42" s="1575" t="str">
        <f t="shared" si="246"/>
        <v/>
      </c>
      <c r="JH42" s="1575" t="str">
        <f t="shared" si="247"/>
        <v/>
      </c>
      <c r="JI42" s="1575" t="str">
        <f t="shared" si="248"/>
        <v/>
      </c>
      <c r="JJ42" s="1575" t="str">
        <f t="shared" si="249"/>
        <v/>
      </c>
      <c r="JK42" s="1575" t="str">
        <f t="shared" si="250"/>
        <v/>
      </c>
      <c r="JL42" s="1575">
        <f t="shared" si="251"/>
        <v>1</v>
      </c>
      <c r="JM42" s="1575" t="str">
        <f t="shared" si="252"/>
        <v/>
      </c>
      <c r="JN42" s="1575" t="str">
        <f t="shared" si="253"/>
        <v/>
      </c>
      <c r="JO42" s="1575" t="str">
        <f t="shared" si="254"/>
        <v/>
      </c>
      <c r="JP42" s="1575" t="str">
        <f t="shared" si="255"/>
        <v/>
      </c>
      <c r="JQ42" s="1575" t="str">
        <f t="shared" si="256"/>
        <v/>
      </c>
      <c r="JR42" s="1575" t="str">
        <f t="shared" si="257"/>
        <v/>
      </c>
      <c r="JS42" s="1575" t="str">
        <f t="shared" si="258"/>
        <v/>
      </c>
      <c r="JT42" s="1575" t="str">
        <f t="shared" si="259"/>
        <v/>
      </c>
      <c r="JU42" s="1575" t="str">
        <f t="shared" si="260"/>
        <v/>
      </c>
      <c r="JV42" s="1575" t="str">
        <f t="shared" si="261"/>
        <v/>
      </c>
      <c r="JW42" s="1575" t="str">
        <f t="shared" si="262"/>
        <v/>
      </c>
      <c r="JX42" s="1575" t="str">
        <f t="shared" si="263"/>
        <v/>
      </c>
      <c r="JY42" s="1575" t="str">
        <f t="shared" si="264"/>
        <v/>
      </c>
      <c r="JZ42" s="1575" t="str">
        <f t="shared" si="265"/>
        <v/>
      </c>
      <c r="KA42" s="1575" t="str">
        <f t="shared" si="266"/>
        <v/>
      </c>
      <c r="KB42" s="1575" t="str">
        <f t="shared" si="267"/>
        <v/>
      </c>
      <c r="KC42" s="1575" t="str">
        <f t="shared" si="268"/>
        <v/>
      </c>
      <c r="KD42" s="1575" t="str">
        <f t="shared" si="269"/>
        <v/>
      </c>
      <c r="KE42" s="1575" t="str">
        <f t="shared" si="270"/>
        <v/>
      </c>
      <c r="KF42" s="1575" t="str">
        <f t="shared" si="271"/>
        <v/>
      </c>
      <c r="KG42" s="1575" t="str">
        <f t="shared" si="272"/>
        <v/>
      </c>
      <c r="KH42" s="1575" t="str">
        <f t="shared" si="273"/>
        <v/>
      </c>
      <c r="KI42" s="1575" t="str">
        <f t="shared" si="274"/>
        <v/>
      </c>
      <c r="KJ42" s="1575" t="str">
        <f t="shared" si="275"/>
        <v/>
      </c>
      <c r="KK42" s="1575" t="str">
        <f t="shared" si="276"/>
        <v/>
      </c>
      <c r="KL42" s="1575" t="str">
        <f t="shared" si="277"/>
        <v/>
      </c>
      <c r="KM42" s="1575" t="str">
        <f t="shared" si="278"/>
        <v/>
      </c>
      <c r="KN42" s="1575" t="str">
        <f t="shared" si="279"/>
        <v/>
      </c>
      <c r="KO42" s="1575" t="str">
        <f t="shared" si="280"/>
        <v/>
      </c>
      <c r="KP42" s="1575" t="str">
        <f t="shared" si="281"/>
        <v/>
      </c>
      <c r="KQ42" s="1575" t="str">
        <f t="shared" si="282"/>
        <v/>
      </c>
      <c r="KR42" s="1575" t="str">
        <f t="shared" si="283"/>
        <v/>
      </c>
      <c r="KS42" s="1575" t="str">
        <f t="shared" si="284"/>
        <v/>
      </c>
      <c r="KT42" s="1575" t="str">
        <f t="shared" si="285"/>
        <v/>
      </c>
      <c r="KU42" s="1575" t="str">
        <f t="shared" si="286"/>
        <v/>
      </c>
      <c r="KV42" s="1575" t="str">
        <f t="shared" si="287"/>
        <v/>
      </c>
      <c r="KW42" s="1575" t="str">
        <f t="shared" si="288"/>
        <v/>
      </c>
      <c r="KX42" s="1575" t="str">
        <f t="shared" si="289"/>
        <v/>
      </c>
      <c r="KY42" s="1575" t="str">
        <f t="shared" si="290"/>
        <v/>
      </c>
      <c r="KZ42" s="1575" t="str">
        <f t="shared" si="291"/>
        <v/>
      </c>
      <c r="LA42" s="1575" t="str">
        <f t="shared" si="292"/>
        <v/>
      </c>
      <c r="LB42" s="1575" t="str">
        <f t="shared" si="293"/>
        <v/>
      </c>
      <c r="LC42" s="1575" t="str">
        <f t="shared" si="294"/>
        <v/>
      </c>
      <c r="LD42" s="1575" t="str">
        <f t="shared" si="295"/>
        <v/>
      </c>
      <c r="LE42" s="1575" t="str">
        <f t="shared" si="296"/>
        <v/>
      </c>
      <c r="LF42" s="1575" t="str">
        <f t="shared" si="297"/>
        <v/>
      </c>
      <c r="LG42" s="1564" t="str">
        <f t="shared" si="298"/>
        <v/>
      </c>
      <c r="LH42" s="1564" t="str">
        <f t="shared" si="299"/>
        <v/>
      </c>
      <c r="LI42" s="1564" t="str">
        <f t="shared" si="300"/>
        <v/>
      </c>
      <c r="LJ42" s="1564" t="str">
        <f t="shared" si="301"/>
        <v/>
      </c>
      <c r="LK42" s="1564"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441">
        <f t="shared" si="323"/>
        <v>0</v>
      </c>
      <c r="MG42" s="1441">
        <f t="shared" si="324"/>
        <v>0</v>
      </c>
      <c r="MH42" s="1441">
        <f t="shared" si="325"/>
        <v>0</v>
      </c>
      <c r="MI42" s="1441">
        <f t="shared" si="326"/>
        <v>1</v>
      </c>
      <c r="MJ42" s="1441">
        <f t="shared" si="327"/>
        <v>0</v>
      </c>
      <c r="MK42" s="1441">
        <f t="shared" si="333"/>
        <v>0</v>
      </c>
      <c r="ML42" s="1441">
        <f t="shared" si="334"/>
        <v>0</v>
      </c>
      <c r="MM42" s="1441">
        <f t="shared" si="335"/>
        <v>0</v>
      </c>
      <c r="MN42" s="1441">
        <f t="shared" si="336"/>
        <v>0</v>
      </c>
      <c r="MO42" s="1441">
        <f t="shared" si="337"/>
        <v>0</v>
      </c>
      <c r="MP42" s="1441">
        <f t="shared" si="328"/>
        <v>0</v>
      </c>
      <c r="MQ42" s="1441">
        <f t="shared" si="329"/>
        <v>0</v>
      </c>
      <c r="MR42" s="1441">
        <f t="shared" si="330"/>
        <v>0</v>
      </c>
      <c r="MS42" s="1441">
        <f t="shared" si="331"/>
        <v>0</v>
      </c>
      <c r="MT42" s="1441">
        <f t="shared" si="332"/>
        <v>0</v>
      </c>
      <c r="NP42" s="1413" t="s">
        <v>1143</v>
      </c>
    </row>
    <row r="43" spans="1:380" ht="13.9" customHeight="1">
      <c r="A43" s="55" t="str">
        <f t="shared" si="0"/>
        <v/>
      </c>
      <c r="B43" s="915">
        <v>60</v>
      </c>
      <c r="C43" s="89">
        <v>3</v>
      </c>
      <c r="D43" s="1443">
        <v>2</v>
      </c>
      <c r="E43" s="90">
        <v>2</v>
      </c>
      <c r="F43" s="90">
        <v>1278</v>
      </c>
      <c r="G43" s="90">
        <v>1593</v>
      </c>
      <c r="H43" s="90">
        <v>1593</v>
      </c>
      <c r="I43" s="90">
        <v>0</v>
      </c>
      <c r="J43" s="596">
        <f>IF(C43="",0,HLOOKUP(C43,'Part IV-Utility Allowances'!$I$11:$M$22,12))</f>
        <v>216</v>
      </c>
      <c r="K43" s="509"/>
      <c r="L43" s="351">
        <f t="shared" si="1"/>
        <v>1377</v>
      </c>
      <c r="M43" s="351">
        <f t="shared" si="2"/>
        <v>2754</v>
      </c>
      <c r="N43" s="549" t="s">
        <v>63</v>
      </c>
      <c r="O43" s="1381" t="s">
        <v>1205</v>
      </c>
      <c r="P43" s="549" t="s">
        <v>7052</v>
      </c>
      <c r="Q43" s="91" t="s">
        <v>63</v>
      </c>
      <c r="R43" s="586"/>
      <c r="S43" s="587"/>
      <c r="T43" s="3500"/>
      <c r="U43" s="3501"/>
      <c r="V43" s="3501"/>
      <c r="W43" s="3502"/>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f t="shared" si="16"/>
        <v>2</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f t="shared" si="131"/>
        <v>2556</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f t="shared" si="186"/>
        <v>2</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575" t="str">
        <f t="shared" si="213"/>
        <v/>
      </c>
      <c r="IA43" s="1575" t="str">
        <f t="shared" si="214"/>
        <v/>
      </c>
      <c r="IB43" s="1575" t="str">
        <f t="shared" si="215"/>
        <v/>
      </c>
      <c r="IC43" s="1575">
        <f t="shared" si="216"/>
        <v>2</v>
      </c>
      <c r="ID43" s="1575" t="str">
        <f t="shared" si="217"/>
        <v/>
      </c>
      <c r="IE43" s="1575" t="str">
        <f t="shared" si="218"/>
        <v/>
      </c>
      <c r="IF43" s="1575" t="str">
        <f t="shared" si="219"/>
        <v/>
      </c>
      <c r="IG43" s="1575" t="str">
        <f t="shared" si="220"/>
        <v/>
      </c>
      <c r="IH43" s="1575" t="str">
        <f t="shared" si="221"/>
        <v/>
      </c>
      <c r="II43" s="1575" t="str">
        <f t="shared" si="222"/>
        <v/>
      </c>
      <c r="IJ43" s="1575" t="str">
        <f t="shared" si="223"/>
        <v/>
      </c>
      <c r="IK43" s="1575" t="str">
        <f t="shared" si="224"/>
        <v/>
      </c>
      <c r="IL43" s="1575" t="str">
        <f t="shared" si="225"/>
        <v/>
      </c>
      <c r="IM43" s="1575" t="str">
        <f t="shared" si="226"/>
        <v/>
      </c>
      <c r="IN43" s="1575" t="str">
        <f t="shared" si="227"/>
        <v/>
      </c>
      <c r="IO43" s="1575" t="str">
        <f t="shared" si="228"/>
        <v/>
      </c>
      <c r="IP43" s="1575" t="str">
        <f t="shared" si="229"/>
        <v/>
      </c>
      <c r="IQ43" s="1575" t="str">
        <f t="shared" si="230"/>
        <v/>
      </c>
      <c r="IR43" s="1575" t="str">
        <f t="shared" si="231"/>
        <v/>
      </c>
      <c r="IS43" s="1575" t="str">
        <f t="shared" si="232"/>
        <v/>
      </c>
      <c r="IT43" s="1575" t="str">
        <f t="shared" si="233"/>
        <v/>
      </c>
      <c r="IU43" s="1575" t="str">
        <f t="shared" si="234"/>
        <v/>
      </c>
      <c r="IV43" s="1575" t="str">
        <f t="shared" si="235"/>
        <v/>
      </c>
      <c r="IW43" s="1575" t="str">
        <f t="shared" si="236"/>
        <v/>
      </c>
      <c r="IX43" s="1575" t="str">
        <f t="shared" si="237"/>
        <v/>
      </c>
      <c r="IY43" s="1575" t="str">
        <f t="shared" si="238"/>
        <v/>
      </c>
      <c r="IZ43" s="1575" t="str">
        <f t="shared" si="239"/>
        <v/>
      </c>
      <c r="JA43" s="1575" t="str">
        <f t="shared" si="240"/>
        <v/>
      </c>
      <c r="JB43" s="1575" t="str">
        <f t="shared" si="241"/>
        <v/>
      </c>
      <c r="JC43" s="1575" t="str">
        <f t="shared" si="242"/>
        <v/>
      </c>
      <c r="JD43" s="1575" t="str">
        <f t="shared" si="243"/>
        <v/>
      </c>
      <c r="JE43" s="1575" t="str">
        <f t="shared" si="244"/>
        <v/>
      </c>
      <c r="JF43" s="1575" t="str">
        <f t="shared" si="245"/>
        <v/>
      </c>
      <c r="JG43" s="1575" t="str">
        <f t="shared" si="246"/>
        <v/>
      </c>
      <c r="JH43" s="1575" t="str">
        <f t="shared" si="247"/>
        <v/>
      </c>
      <c r="JI43" s="1575" t="str">
        <f t="shared" si="248"/>
        <v/>
      </c>
      <c r="JJ43" s="1575" t="str">
        <f t="shared" si="249"/>
        <v/>
      </c>
      <c r="JK43" s="1575" t="str">
        <f t="shared" si="250"/>
        <v/>
      </c>
      <c r="JL43" s="1575" t="str">
        <f t="shared" si="251"/>
        <v/>
      </c>
      <c r="JM43" s="1575" t="str">
        <f t="shared" si="252"/>
        <v/>
      </c>
      <c r="JN43" s="1575" t="str">
        <f t="shared" si="253"/>
        <v/>
      </c>
      <c r="JO43" s="1575" t="str">
        <f t="shared" si="254"/>
        <v/>
      </c>
      <c r="JP43" s="1575" t="str">
        <f t="shared" si="255"/>
        <v/>
      </c>
      <c r="JQ43" s="1575" t="str">
        <f t="shared" si="256"/>
        <v/>
      </c>
      <c r="JR43" s="1575" t="str">
        <f t="shared" si="257"/>
        <v/>
      </c>
      <c r="JS43" s="1575" t="str">
        <f t="shared" si="258"/>
        <v/>
      </c>
      <c r="JT43" s="1575" t="str">
        <f t="shared" si="259"/>
        <v/>
      </c>
      <c r="JU43" s="1575" t="str">
        <f t="shared" si="260"/>
        <v/>
      </c>
      <c r="JV43" s="1575">
        <f t="shared" si="261"/>
        <v>2</v>
      </c>
      <c r="JW43" s="1575" t="str">
        <f t="shared" si="262"/>
        <v/>
      </c>
      <c r="JX43" s="1575" t="str">
        <f t="shared" si="263"/>
        <v/>
      </c>
      <c r="JY43" s="1575" t="str">
        <f t="shared" si="264"/>
        <v/>
      </c>
      <c r="JZ43" s="1575" t="str">
        <f t="shared" si="265"/>
        <v/>
      </c>
      <c r="KA43" s="1575" t="str">
        <f t="shared" si="266"/>
        <v/>
      </c>
      <c r="KB43" s="1575" t="str">
        <f t="shared" si="267"/>
        <v/>
      </c>
      <c r="KC43" s="1575" t="str">
        <f t="shared" si="268"/>
        <v/>
      </c>
      <c r="KD43" s="1575" t="str">
        <f t="shared" si="269"/>
        <v/>
      </c>
      <c r="KE43" s="1575" t="str">
        <f t="shared" si="270"/>
        <v/>
      </c>
      <c r="KF43" s="1575" t="str">
        <f t="shared" si="271"/>
        <v/>
      </c>
      <c r="KG43" s="1575" t="str">
        <f t="shared" si="272"/>
        <v/>
      </c>
      <c r="KH43" s="1575" t="str">
        <f t="shared" si="273"/>
        <v/>
      </c>
      <c r="KI43" s="1575" t="str">
        <f t="shared" si="274"/>
        <v/>
      </c>
      <c r="KJ43" s="1575" t="str">
        <f t="shared" si="275"/>
        <v/>
      </c>
      <c r="KK43" s="1575" t="str">
        <f t="shared" si="276"/>
        <v/>
      </c>
      <c r="KL43" s="1575" t="str">
        <f t="shared" si="277"/>
        <v/>
      </c>
      <c r="KM43" s="1575" t="str">
        <f t="shared" si="278"/>
        <v/>
      </c>
      <c r="KN43" s="1575" t="str">
        <f t="shared" si="279"/>
        <v/>
      </c>
      <c r="KO43" s="1575" t="str">
        <f t="shared" si="280"/>
        <v/>
      </c>
      <c r="KP43" s="1575" t="str">
        <f t="shared" si="281"/>
        <v/>
      </c>
      <c r="KQ43" s="1575" t="str">
        <f t="shared" si="282"/>
        <v/>
      </c>
      <c r="KR43" s="1575" t="str">
        <f t="shared" si="283"/>
        <v/>
      </c>
      <c r="KS43" s="1575" t="str">
        <f t="shared" si="284"/>
        <v/>
      </c>
      <c r="KT43" s="1575" t="str">
        <f t="shared" si="285"/>
        <v/>
      </c>
      <c r="KU43" s="1575" t="str">
        <f t="shared" si="286"/>
        <v/>
      </c>
      <c r="KV43" s="1575" t="str">
        <f t="shared" si="287"/>
        <v/>
      </c>
      <c r="KW43" s="1575" t="str">
        <f t="shared" si="288"/>
        <v/>
      </c>
      <c r="KX43" s="1575" t="str">
        <f t="shared" si="289"/>
        <v/>
      </c>
      <c r="KY43" s="1575" t="str">
        <f t="shared" si="290"/>
        <v/>
      </c>
      <c r="KZ43" s="1575" t="str">
        <f t="shared" si="291"/>
        <v/>
      </c>
      <c r="LA43" s="1575" t="str">
        <f t="shared" si="292"/>
        <v/>
      </c>
      <c r="LB43" s="1575" t="str">
        <f t="shared" si="293"/>
        <v/>
      </c>
      <c r="LC43" s="1575" t="str">
        <f t="shared" si="294"/>
        <v/>
      </c>
      <c r="LD43" s="1575" t="str">
        <f t="shared" si="295"/>
        <v/>
      </c>
      <c r="LE43" s="1575" t="str">
        <f t="shared" si="296"/>
        <v/>
      </c>
      <c r="LF43" s="1575" t="str">
        <f t="shared" si="297"/>
        <v/>
      </c>
      <c r="LG43" s="1564" t="str">
        <f t="shared" si="298"/>
        <v/>
      </c>
      <c r="LH43" s="1564" t="str">
        <f t="shared" si="299"/>
        <v/>
      </c>
      <c r="LI43" s="1564" t="str">
        <f t="shared" si="300"/>
        <v/>
      </c>
      <c r="LJ43" s="1564" t="str">
        <f t="shared" si="301"/>
        <v/>
      </c>
      <c r="LK43" s="1564"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441">
        <f t="shared" si="323"/>
        <v>0</v>
      </c>
      <c r="MG43" s="1441">
        <f t="shared" si="324"/>
        <v>0</v>
      </c>
      <c r="MH43" s="1441">
        <f t="shared" si="325"/>
        <v>0</v>
      </c>
      <c r="MI43" s="1441">
        <f t="shared" si="326"/>
        <v>2</v>
      </c>
      <c r="MJ43" s="1441">
        <f t="shared" si="327"/>
        <v>0</v>
      </c>
      <c r="MK43" s="1441">
        <f t="shared" si="333"/>
        <v>0</v>
      </c>
      <c r="ML43" s="1441">
        <f t="shared" si="334"/>
        <v>0</v>
      </c>
      <c r="MM43" s="1441">
        <f t="shared" si="335"/>
        <v>0</v>
      </c>
      <c r="MN43" s="1441">
        <f t="shared" si="336"/>
        <v>0</v>
      </c>
      <c r="MO43" s="1441">
        <f t="shared" si="337"/>
        <v>0</v>
      </c>
      <c r="MP43" s="1441">
        <f t="shared" si="328"/>
        <v>0</v>
      </c>
      <c r="MQ43" s="1441">
        <f t="shared" si="329"/>
        <v>0</v>
      </c>
      <c r="MR43" s="1441">
        <f t="shared" si="330"/>
        <v>0</v>
      </c>
      <c r="MS43" s="1441">
        <f t="shared" si="331"/>
        <v>0</v>
      </c>
      <c r="MT43" s="1441">
        <f t="shared" si="332"/>
        <v>0</v>
      </c>
      <c r="NP43" s="1413" t="s">
        <v>1144</v>
      </c>
    </row>
    <row r="44" spans="1:380" ht="13.9" customHeight="1">
      <c r="A44" s="55" t="str">
        <f t="shared" si="0"/>
        <v/>
      </c>
      <c r="B44" s="915">
        <v>60</v>
      </c>
      <c r="C44" s="89">
        <v>3</v>
      </c>
      <c r="D44" s="1443">
        <v>2.5</v>
      </c>
      <c r="E44" s="90">
        <v>1</v>
      </c>
      <c r="F44" s="90">
        <v>1392</v>
      </c>
      <c r="G44" s="90">
        <v>1593</v>
      </c>
      <c r="H44" s="90">
        <v>1593</v>
      </c>
      <c r="I44" s="90">
        <v>0</v>
      </c>
      <c r="J44" s="596">
        <f>IF(C44="",0,HLOOKUP(C44,'Part IV-Utility Allowances'!$I$11:$M$22,12))</f>
        <v>216</v>
      </c>
      <c r="K44" s="509"/>
      <c r="L44" s="351">
        <f t="shared" si="1"/>
        <v>1377</v>
      </c>
      <c r="M44" s="351">
        <f t="shared" si="2"/>
        <v>1377</v>
      </c>
      <c r="N44" s="549" t="s">
        <v>63</v>
      </c>
      <c r="O44" s="1381" t="s">
        <v>7051</v>
      </c>
      <c r="P44" s="549" t="s">
        <v>7052</v>
      </c>
      <c r="Q44" s="91" t="s">
        <v>63</v>
      </c>
      <c r="R44" s="586"/>
      <c r="S44" s="587"/>
      <c r="T44" s="3500"/>
      <c r="U44" s="3501"/>
      <c r="V44" s="3501"/>
      <c r="W44" s="3502"/>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f t="shared" si="16"/>
        <v>1</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f t="shared" si="131"/>
        <v>1392</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f t="shared" si="186"/>
        <v>1</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575" t="str">
        <f t="shared" si="213"/>
        <v/>
      </c>
      <c r="IA44" s="1575" t="str">
        <f t="shared" si="214"/>
        <v/>
      </c>
      <c r="IB44" s="1575" t="str">
        <f t="shared" si="215"/>
        <v/>
      </c>
      <c r="IC44" s="1575" t="str">
        <f t="shared" si="216"/>
        <v/>
      </c>
      <c r="ID44" s="1575" t="str">
        <f t="shared" si="217"/>
        <v/>
      </c>
      <c r="IE44" s="1575" t="str">
        <f t="shared" si="218"/>
        <v/>
      </c>
      <c r="IF44" s="1575" t="str">
        <f t="shared" si="219"/>
        <v/>
      </c>
      <c r="IG44" s="1575" t="str">
        <f t="shared" si="220"/>
        <v/>
      </c>
      <c r="IH44" s="1575" t="str">
        <f t="shared" si="221"/>
        <v/>
      </c>
      <c r="II44" s="1575" t="str">
        <f t="shared" si="222"/>
        <v/>
      </c>
      <c r="IJ44" s="1575" t="str">
        <f t="shared" si="223"/>
        <v/>
      </c>
      <c r="IK44" s="1575" t="str">
        <f t="shared" si="224"/>
        <v/>
      </c>
      <c r="IL44" s="1575" t="str">
        <f t="shared" si="225"/>
        <v/>
      </c>
      <c r="IM44" s="1575" t="str">
        <f t="shared" si="226"/>
        <v/>
      </c>
      <c r="IN44" s="1575" t="str">
        <f t="shared" si="227"/>
        <v/>
      </c>
      <c r="IO44" s="1575" t="str">
        <f t="shared" si="228"/>
        <v/>
      </c>
      <c r="IP44" s="1575" t="str">
        <f t="shared" si="229"/>
        <v/>
      </c>
      <c r="IQ44" s="1575" t="str">
        <f t="shared" si="230"/>
        <v/>
      </c>
      <c r="IR44" s="1575" t="str">
        <f t="shared" si="231"/>
        <v/>
      </c>
      <c r="IS44" s="1575" t="str">
        <f t="shared" si="232"/>
        <v/>
      </c>
      <c r="IT44" s="1575" t="str">
        <f t="shared" si="233"/>
        <v/>
      </c>
      <c r="IU44" s="1575" t="str">
        <f t="shared" si="234"/>
        <v/>
      </c>
      <c r="IV44" s="1575" t="str">
        <f t="shared" si="235"/>
        <v/>
      </c>
      <c r="IW44" s="1575" t="str">
        <f t="shared" si="236"/>
        <v/>
      </c>
      <c r="IX44" s="1575" t="str">
        <f t="shared" si="237"/>
        <v/>
      </c>
      <c r="IY44" s="1575" t="str">
        <f t="shared" si="238"/>
        <v/>
      </c>
      <c r="IZ44" s="1575" t="str">
        <f t="shared" si="239"/>
        <v/>
      </c>
      <c r="JA44" s="1575" t="str">
        <f t="shared" si="240"/>
        <v/>
      </c>
      <c r="JB44" s="1575" t="str">
        <f t="shared" si="241"/>
        <v/>
      </c>
      <c r="JC44" s="1575" t="str">
        <f t="shared" si="242"/>
        <v/>
      </c>
      <c r="JD44" s="1575" t="str">
        <f t="shared" si="243"/>
        <v/>
      </c>
      <c r="JE44" s="1575" t="str">
        <f t="shared" si="244"/>
        <v/>
      </c>
      <c r="JF44" s="1575" t="str">
        <f t="shared" si="245"/>
        <v/>
      </c>
      <c r="JG44" s="1575" t="str">
        <f t="shared" si="246"/>
        <v/>
      </c>
      <c r="JH44" s="1575" t="str">
        <f t="shared" si="247"/>
        <v/>
      </c>
      <c r="JI44" s="1575" t="str">
        <f t="shared" si="248"/>
        <v/>
      </c>
      <c r="JJ44" s="1575" t="str">
        <f t="shared" si="249"/>
        <v/>
      </c>
      <c r="JK44" s="1575" t="str">
        <f t="shared" si="250"/>
        <v/>
      </c>
      <c r="JL44" s="1575">
        <f t="shared" si="251"/>
        <v>1</v>
      </c>
      <c r="JM44" s="1575" t="str">
        <f t="shared" si="252"/>
        <v/>
      </c>
      <c r="JN44" s="1575" t="str">
        <f t="shared" si="253"/>
        <v/>
      </c>
      <c r="JO44" s="1575" t="str">
        <f t="shared" si="254"/>
        <v/>
      </c>
      <c r="JP44" s="1575" t="str">
        <f t="shared" si="255"/>
        <v/>
      </c>
      <c r="JQ44" s="1575" t="str">
        <f t="shared" si="256"/>
        <v/>
      </c>
      <c r="JR44" s="1575" t="str">
        <f t="shared" si="257"/>
        <v/>
      </c>
      <c r="JS44" s="1575" t="str">
        <f t="shared" si="258"/>
        <v/>
      </c>
      <c r="JT44" s="1575" t="str">
        <f t="shared" si="259"/>
        <v/>
      </c>
      <c r="JU44" s="1575" t="str">
        <f t="shared" si="260"/>
        <v/>
      </c>
      <c r="JV44" s="1575" t="str">
        <f t="shared" si="261"/>
        <v/>
      </c>
      <c r="JW44" s="1575" t="str">
        <f t="shared" si="262"/>
        <v/>
      </c>
      <c r="JX44" s="1575" t="str">
        <f t="shared" si="263"/>
        <v/>
      </c>
      <c r="JY44" s="1575" t="str">
        <f t="shared" si="264"/>
        <v/>
      </c>
      <c r="JZ44" s="1575" t="str">
        <f t="shared" si="265"/>
        <v/>
      </c>
      <c r="KA44" s="1575" t="str">
        <f t="shared" si="266"/>
        <v/>
      </c>
      <c r="KB44" s="1575" t="str">
        <f t="shared" si="267"/>
        <v/>
      </c>
      <c r="KC44" s="1575" t="str">
        <f t="shared" si="268"/>
        <v/>
      </c>
      <c r="KD44" s="1575" t="str">
        <f t="shared" si="269"/>
        <v/>
      </c>
      <c r="KE44" s="1575" t="str">
        <f t="shared" si="270"/>
        <v/>
      </c>
      <c r="KF44" s="1575" t="str">
        <f t="shared" si="271"/>
        <v/>
      </c>
      <c r="KG44" s="1575" t="str">
        <f t="shared" si="272"/>
        <v/>
      </c>
      <c r="KH44" s="1575" t="str">
        <f t="shared" si="273"/>
        <v/>
      </c>
      <c r="KI44" s="1575" t="str">
        <f t="shared" si="274"/>
        <v/>
      </c>
      <c r="KJ44" s="1575" t="str">
        <f t="shared" si="275"/>
        <v/>
      </c>
      <c r="KK44" s="1575" t="str">
        <f t="shared" si="276"/>
        <v/>
      </c>
      <c r="KL44" s="1575" t="str">
        <f t="shared" si="277"/>
        <v/>
      </c>
      <c r="KM44" s="1575" t="str">
        <f t="shared" si="278"/>
        <v/>
      </c>
      <c r="KN44" s="1575" t="str">
        <f t="shared" si="279"/>
        <v/>
      </c>
      <c r="KO44" s="1575" t="str">
        <f t="shared" si="280"/>
        <v/>
      </c>
      <c r="KP44" s="1575" t="str">
        <f t="shared" si="281"/>
        <v/>
      </c>
      <c r="KQ44" s="1575" t="str">
        <f t="shared" si="282"/>
        <v/>
      </c>
      <c r="KR44" s="1575" t="str">
        <f t="shared" si="283"/>
        <v/>
      </c>
      <c r="KS44" s="1575" t="str">
        <f t="shared" si="284"/>
        <v/>
      </c>
      <c r="KT44" s="1575" t="str">
        <f t="shared" si="285"/>
        <v/>
      </c>
      <c r="KU44" s="1575" t="str">
        <f t="shared" si="286"/>
        <v/>
      </c>
      <c r="KV44" s="1575" t="str">
        <f t="shared" si="287"/>
        <v/>
      </c>
      <c r="KW44" s="1575" t="str">
        <f t="shared" si="288"/>
        <v/>
      </c>
      <c r="KX44" s="1575" t="str">
        <f t="shared" si="289"/>
        <v/>
      </c>
      <c r="KY44" s="1575" t="str">
        <f t="shared" si="290"/>
        <v/>
      </c>
      <c r="KZ44" s="1575" t="str">
        <f t="shared" si="291"/>
        <v/>
      </c>
      <c r="LA44" s="1575" t="str">
        <f t="shared" si="292"/>
        <v/>
      </c>
      <c r="LB44" s="1575" t="str">
        <f t="shared" si="293"/>
        <v/>
      </c>
      <c r="LC44" s="1575" t="str">
        <f t="shared" si="294"/>
        <v/>
      </c>
      <c r="LD44" s="1575" t="str">
        <f t="shared" si="295"/>
        <v/>
      </c>
      <c r="LE44" s="1575" t="str">
        <f t="shared" si="296"/>
        <v/>
      </c>
      <c r="LF44" s="1575" t="str">
        <f t="shared" si="297"/>
        <v/>
      </c>
      <c r="LG44" s="1564" t="str">
        <f t="shared" si="298"/>
        <v/>
      </c>
      <c r="LH44" s="1564" t="str">
        <f t="shared" si="299"/>
        <v/>
      </c>
      <c r="LI44" s="1564" t="str">
        <f t="shared" si="300"/>
        <v/>
      </c>
      <c r="LJ44" s="1564" t="str">
        <f t="shared" si="301"/>
        <v/>
      </c>
      <c r="LK44" s="1564"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441">
        <f t="shared" si="323"/>
        <v>0</v>
      </c>
      <c r="MG44" s="1441">
        <f t="shared" si="324"/>
        <v>0</v>
      </c>
      <c r="MH44" s="1441">
        <f t="shared" si="325"/>
        <v>0</v>
      </c>
      <c r="MI44" s="1441">
        <f t="shared" si="326"/>
        <v>1</v>
      </c>
      <c r="MJ44" s="1441">
        <f t="shared" si="327"/>
        <v>0</v>
      </c>
      <c r="MK44" s="1441">
        <f t="shared" si="333"/>
        <v>0</v>
      </c>
      <c r="ML44" s="1441">
        <f t="shared" si="334"/>
        <v>0</v>
      </c>
      <c r="MM44" s="1441">
        <f t="shared" si="335"/>
        <v>0</v>
      </c>
      <c r="MN44" s="1441">
        <f t="shared" si="336"/>
        <v>0</v>
      </c>
      <c r="MO44" s="1441">
        <f t="shared" si="337"/>
        <v>0</v>
      </c>
      <c r="MP44" s="1441">
        <f t="shared" si="328"/>
        <v>0</v>
      </c>
      <c r="MQ44" s="1441">
        <f t="shared" si="329"/>
        <v>0</v>
      </c>
      <c r="MR44" s="1441">
        <f t="shared" si="330"/>
        <v>0</v>
      </c>
      <c r="MS44" s="1441">
        <f t="shared" si="331"/>
        <v>0</v>
      </c>
      <c r="MT44" s="1441">
        <f t="shared" si="332"/>
        <v>0</v>
      </c>
      <c r="NP44" s="1413" t="s">
        <v>1145</v>
      </c>
    </row>
    <row r="45" spans="1:380" ht="13.9" customHeight="1">
      <c r="A45" s="55" t="str">
        <f t="shared" si="0"/>
        <v/>
      </c>
      <c r="B45" s="915"/>
      <c r="C45" s="89"/>
      <c r="D45" s="1443"/>
      <c r="E45" s="90"/>
      <c r="F45" s="90"/>
      <c r="G45" s="90"/>
      <c r="H45" s="90"/>
      <c r="I45" s="90"/>
      <c r="J45" s="596">
        <f>IF(C45="",0,HLOOKUP(C45,'Part IV-Utility Allowances'!$I$11:$M$22,12))</f>
        <v>0</v>
      </c>
      <c r="K45" s="509"/>
      <c r="L45" s="351">
        <f t="shared" si="1"/>
        <v>0</v>
      </c>
      <c r="M45" s="351">
        <f t="shared" si="2"/>
        <v>0</v>
      </c>
      <c r="N45" s="549"/>
      <c r="O45" s="1381"/>
      <c r="P45" s="549"/>
      <c r="Q45" s="91"/>
      <c r="R45" s="586"/>
      <c r="S45" s="587"/>
      <c r="T45" s="3500"/>
      <c r="U45" s="3501"/>
      <c r="V45" s="3501"/>
      <c r="W45" s="3502"/>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575" t="str">
        <f t="shared" si="213"/>
        <v/>
      </c>
      <c r="IA45" s="1575" t="str">
        <f t="shared" si="214"/>
        <v/>
      </c>
      <c r="IB45" s="1575" t="str">
        <f t="shared" si="215"/>
        <v/>
      </c>
      <c r="IC45" s="1575" t="str">
        <f t="shared" si="216"/>
        <v/>
      </c>
      <c r="ID45" s="1575" t="str">
        <f t="shared" si="217"/>
        <v/>
      </c>
      <c r="IE45" s="1575" t="str">
        <f t="shared" si="218"/>
        <v/>
      </c>
      <c r="IF45" s="1575" t="str">
        <f t="shared" si="219"/>
        <v/>
      </c>
      <c r="IG45" s="1575" t="str">
        <f t="shared" si="220"/>
        <v/>
      </c>
      <c r="IH45" s="1575" t="str">
        <f t="shared" si="221"/>
        <v/>
      </c>
      <c r="II45" s="1575" t="str">
        <f t="shared" si="222"/>
        <v/>
      </c>
      <c r="IJ45" s="1575" t="str">
        <f t="shared" si="223"/>
        <v/>
      </c>
      <c r="IK45" s="1575" t="str">
        <f t="shared" si="224"/>
        <v/>
      </c>
      <c r="IL45" s="1575" t="str">
        <f t="shared" si="225"/>
        <v/>
      </c>
      <c r="IM45" s="1575" t="str">
        <f t="shared" si="226"/>
        <v/>
      </c>
      <c r="IN45" s="1575" t="str">
        <f t="shared" si="227"/>
        <v/>
      </c>
      <c r="IO45" s="1575" t="str">
        <f t="shared" si="228"/>
        <v/>
      </c>
      <c r="IP45" s="1575" t="str">
        <f t="shared" si="229"/>
        <v/>
      </c>
      <c r="IQ45" s="1575" t="str">
        <f t="shared" si="230"/>
        <v/>
      </c>
      <c r="IR45" s="1575" t="str">
        <f t="shared" si="231"/>
        <v/>
      </c>
      <c r="IS45" s="1575" t="str">
        <f t="shared" si="232"/>
        <v/>
      </c>
      <c r="IT45" s="1575" t="str">
        <f t="shared" si="233"/>
        <v/>
      </c>
      <c r="IU45" s="1575" t="str">
        <f t="shared" si="234"/>
        <v/>
      </c>
      <c r="IV45" s="1575" t="str">
        <f t="shared" si="235"/>
        <v/>
      </c>
      <c r="IW45" s="1575" t="str">
        <f t="shared" si="236"/>
        <v/>
      </c>
      <c r="IX45" s="1575" t="str">
        <f t="shared" si="237"/>
        <v/>
      </c>
      <c r="IY45" s="1575" t="str">
        <f t="shared" si="238"/>
        <v/>
      </c>
      <c r="IZ45" s="1575" t="str">
        <f t="shared" si="239"/>
        <v/>
      </c>
      <c r="JA45" s="1575" t="str">
        <f t="shared" si="240"/>
        <v/>
      </c>
      <c r="JB45" s="1575" t="str">
        <f t="shared" si="241"/>
        <v/>
      </c>
      <c r="JC45" s="1575" t="str">
        <f t="shared" si="242"/>
        <v/>
      </c>
      <c r="JD45" s="1575" t="str">
        <f t="shared" si="243"/>
        <v/>
      </c>
      <c r="JE45" s="1575" t="str">
        <f t="shared" si="244"/>
        <v/>
      </c>
      <c r="JF45" s="1575" t="str">
        <f t="shared" si="245"/>
        <v/>
      </c>
      <c r="JG45" s="1575" t="str">
        <f t="shared" si="246"/>
        <v/>
      </c>
      <c r="JH45" s="1575" t="str">
        <f t="shared" si="247"/>
        <v/>
      </c>
      <c r="JI45" s="1575" t="str">
        <f t="shared" si="248"/>
        <v/>
      </c>
      <c r="JJ45" s="1575" t="str">
        <f t="shared" si="249"/>
        <v/>
      </c>
      <c r="JK45" s="1575" t="str">
        <f t="shared" si="250"/>
        <v/>
      </c>
      <c r="JL45" s="1575" t="str">
        <f t="shared" si="251"/>
        <v/>
      </c>
      <c r="JM45" s="1575" t="str">
        <f t="shared" si="252"/>
        <v/>
      </c>
      <c r="JN45" s="1575" t="str">
        <f t="shared" si="253"/>
        <v/>
      </c>
      <c r="JO45" s="1575" t="str">
        <f t="shared" si="254"/>
        <v/>
      </c>
      <c r="JP45" s="1575" t="str">
        <f t="shared" si="255"/>
        <v/>
      </c>
      <c r="JQ45" s="1575" t="str">
        <f t="shared" si="256"/>
        <v/>
      </c>
      <c r="JR45" s="1575" t="str">
        <f t="shared" si="257"/>
        <v/>
      </c>
      <c r="JS45" s="1575" t="str">
        <f t="shared" si="258"/>
        <v/>
      </c>
      <c r="JT45" s="1575" t="str">
        <f t="shared" si="259"/>
        <v/>
      </c>
      <c r="JU45" s="1575" t="str">
        <f t="shared" si="260"/>
        <v/>
      </c>
      <c r="JV45" s="1575" t="str">
        <f t="shared" si="261"/>
        <v/>
      </c>
      <c r="JW45" s="1575" t="str">
        <f t="shared" si="262"/>
        <v/>
      </c>
      <c r="JX45" s="1575" t="str">
        <f t="shared" si="263"/>
        <v/>
      </c>
      <c r="JY45" s="1575" t="str">
        <f t="shared" si="264"/>
        <v/>
      </c>
      <c r="JZ45" s="1575" t="str">
        <f t="shared" si="265"/>
        <v/>
      </c>
      <c r="KA45" s="1575" t="str">
        <f t="shared" si="266"/>
        <v/>
      </c>
      <c r="KB45" s="1575" t="str">
        <f t="shared" si="267"/>
        <v/>
      </c>
      <c r="KC45" s="1575" t="str">
        <f t="shared" si="268"/>
        <v/>
      </c>
      <c r="KD45" s="1575" t="str">
        <f t="shared" si="269"/>
        <v/>
      </c>
      <c r="KE45" s="1575" t="str">
        <f t="shared" si="270"/>
        <v/>
      </c>
      <c r="KF45" s="1575" t="str">
        <f t="shared" si="271"/>
        <v/>
      </c>
      <c r="KG45" s="1575" t="str">
        <f t="shared" si="272"/>
        <v/>
      </c>
      <c r="KH45" s="1575" t="str">
        <f t="shared" si="273"/>
        <v/>
      </c>
      <c r="KI45" s="1575" t="str">
        <f t="shared" si="274"/>
        <v/>
      </c>
      <c r="KJ45" s="1575" t="str">
        <f t="shared" si="275"/>
        <v/>
      </c>
      <c r="KK45" s="1575" t="str">
        <f t="shared" si="276"/>
        <v/>
      </c>
      <c r="KL45" s="1575" t="str">
        <f t="shared" si="277"/>
        <v/>
      </c>
      <c r="KM45" s="1575" t="str">
        <f t="shared" si="278"/>
        <v/>
      </c>
      <c r="KN45" s="1575" t="str">
        <f t="shared" si="279"/>
        <v/>
      </c>
      <c r="KO45" s="1575" t="str">
        <f t="shared" si="280"/>
        <v/>
      </c>
      <c r="KP45" s="1575" t="str">
        <f t="shared" si="281"/>
        <v/>
      </c>
      <c r="KQ45" s="1575" t="str">
        <f t="shared" si="282"/>
        <v/>
      </c>
      <c r="KR45" s="1575" t="str">
        <f t="shared" si="283"/>
        <v/>
      </c>
      <c r="KS45" s="1575" t="str">
        <f t="shared" si="284"/>
        <v/>
      </c>
      <c r="KT45" s="1575" t="str">
        <f t="shared" si="285"/>
        <v/>
      </c>
      <c r="KU45" s="1575" t="str">
        <f t="shared" si="286"/>
        <v/>
      </c>
      <c r="KV45" s="1575" t="str">
        <f t="shared" si="287"/>
        <v/>
      </c>
      <c r="KW45" s="1575" t="str">
        <f t="shared" si="288"/>
        <v/>
      </c>
      <c r="KX45" s="1575" t="str">
        <f t="shared" si="289"/>
        <v/>
      </c>
      <c r="KY45" s="1575" t="str">
        <f t="shared" si="290"/>
        <v/>
      </c>
      <c r="KZ45" s="1575" t="str">
        <f t="shared" si="291"/>
        <v/>
      </c>
      <c r="LA45" s="1575" t="str">
        <f t="shared" si="292"/>
        <v/>
      </c>
      <c r="LB45" s="1575" t="str">
        <f t="shared" si="293"/>
        <v/>
      </c>
      <c r="LC45" s="1575" t="str">
        <f t="shared" si="294"/>
        <v/>
      </c>
      <c r="LD45" s="1575" t="str">
        <f t="shared" si="295"/>
        <v/>
      </c>
      <c r="LE45" s="1575" t="str">
        <f t="shared" si="296"/>
        <v/>
      </c>
      <c r="LF45" s="1575" t="str">
        <f t="shared" si="297"/>
        <v/>
      </c>
      <c r="LG45" s="1564" t="str">
        <f t="shared" si="298"/>
        <v/>
      </c>
      <c r="LH45" s="1564" t="str">
        <f t="shared" si="299"/>
        <v/>
      </c>
      <c r="LI45" s="1564" t="str">
        <f t="shared" si="300"/>
        <v/>
      </c>
      <c r="LJ45" s="1564" t="str">
        <f t="shared" si="301"/>
        <v/>
      </c>
      <c r="LK45" s="1564"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441">
        <f t="shared" si="323"/>
        <v>0</v>
      </c>
      <c r="MG45" s="1441">
        <f t="shared" si="324"/>
        <v>0</v>
      </c>
      <c r="MH45" s="1441">
        <f t="shared" si="325"/>
        <v>0</v>
      </c>
      <c r="MI45" s="1441">
        <f t="shared" si="326"/>
        <v>0</v>
      </c>
      <c r="MJ45" s="1441">
        <f t="shared" si="327"/>
        <v>0</v>
      </c>
      <c r="MK45" s="1441">
        <f t="shared" si="333"/>
        <v>0</v>
      </c>
      <c r="ML45" s="1441">
        <f t="shared" si="334"/>
        <v>0</v>
      </c>
      <c r="MM45" s="1441">
        <f t="shared" si="335"/>
        <v>0</v>
      </c>
      <c r="MN45" s="1441">
        <f t="shared" si="336"/>
        <v>0</v>
      </c>
      <c r="MO45" s="1441">
        <f t="shared" si="337"/>
        <v>0</v>
      </c>
      <c r="MP45" s="1441">
        <f t="shared" si="328"/>
        <v>0</v>
      </c>
      <c r="MQ45" s="1441">
        <f t="shared" si="329"/>
        <v>0</v>
      </c>
      <c r="MR45" s="1441">
        <f t="shared" si="330"/>
        <v>0</v>
      </c>
      <c r="MS45" s="1441">
        <f t="shared" si="331"/>
        <v>0</v>
      </c>
      <c r="MT45" s="1441">
        <f t="shared" si="332"/>
        <v>0</v>
      </c>
      <c r="NP45" s="1413" t="s">
        <v>1146</v>
      </c>
    </row>
    <row r="46" spans="1:380" ht="13.9" customHeight="1">
      <c r="A46" s="55" t="str">
        <f t="shared" si="0"/>
        <v/>
      </c>
      <c r="B46" s="915"/>
      <c r="C46" s="89"/>
      <c r="D46" s="1443"/>
      <c r="E46" s="90"/>
      <c r="F46" s="90"/>
      <c r="G46" s="90"/>
      <c r="H46" s="90"/>
      <c r="I46" s="90"/>
      <c r="J46" s="596">
        <f>IF(C46="",0,HLOOKUP(C46,'Part IV-Utility Allowances'!$I$11:$M$22,12))</f>
        <v>0</v>
      </c>
      <c r="K46" s="509"/>
      <c r="L46" s="351">
        <f t="shared" si="1"/>
        <v>0</v>
      </c>
      <c r="M46" s="351">
        <f t="shared" si="2"/>
        <v>0</v>
      </c>
      <c r="N46" s="549"/>
      <c r="O46" s="1381"/>
      <c r="P46" s="549"/>
      <c r="Q46" s="91"/>
      <c r="R46" s="586"/>
      <c r="S46" s="587"/>
      <c r="T46" s="3500"/>
      <c r="U46" s="3501"/>
      <c r="V46" s="3501"/>
      <c r="W46" s="3502"/>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575" t="str">
        <f t="shared" si="213"/>
        <v/>
      </c>
      <c r="IA46" s="1575" t="str">
        <f t="shared" si="214"/>
        <v/>
      </c>
      <c r="IB46" s="1575" t="str">
        <f t="shared" si="215"/>
        <v/>
      </c>
      <c r="IC46" s="1575" t="str">
        <f t="shared" si="216"/>
        <v/>
      </c>
      <c r="ID46" s="1575" t="str">
        <f t="shared" si="217"/>
        <v/>
      </c>
      <c r="IE46" s="1575" t="str">
        <f t="shared" si="218"/>
        <v/>
      </c>
      <c r="IF46" s="1575" t="str">
        <f t="shared" si="219"/>
        <v/>
      </c>
      <c r="IG46" s="1575" t="str">
        <f t="shared" si="220"/>
        <v/>
      </c>
      <c r="IH46" s="1575" t="str">
        <f t="shared" si="221"/>
        <v/>
      </c>
      <c r="II46" s="1575" t="str">
        <f t="shared" si="222"/>
        <v/>
      </c>
      <c r="IJ46" s="1575" t="str">
        <f t="shared" si="223"/>
        <v/>
      </c>
      <c r="IK46" s="1575" t="str">
        <f t="shared" si="224"/>
        <v/>
      </c>
      <c r="IL46" s="1575" t="str">
        <f t="shared" si="225"/>
        <v/>
      </c>
      <c r="IM46" s="1575" t="str">
        <f t="shared" si="226"/>
        <v/>
      </c>
      <c r="IN46" s="1575" t="str">
        <f t="shared" si="227"/>
        <v/>
      </c>
      <c r="IO46" s="1575" t="str">
        <f t="shared" si="228"/>
        <v/>
      </c>
      <c r="IP46" s="1575" t="str">
        <f t="shared" si="229"/>
        <v/>
      </c>
      <c r="IQ46" s="1575" t="str">
        <f t="shared" si="230"/>
        <v/>
      </c>
      <c r="IR46" s="1575" t="str">
        <f t="shared" si="231"/>
        <v/>
      </c>
      <c r="IS46" s="1575" t="str">
        <f t="shared" si="232"/>
        <v/>
      </c>
      <c r="IT46" s="1575" t="str">
        <f t="shared" si="233"/>
        <v/>
      </c>
      <c r="IU46" s="1575" t="str">
        <f t="shared" si="234"/>
        <v/>
      </c>
      <c r="IV46" s="1575" t="str">
        <f t="shared" si="235"/>
        <v/>
      </c>
      <c r="IW46" s="1575" t="str">
        <f t="shared" si="236"/>
        <v/>
      </c>
      <c r="IX46" s="1575" t="str">
        <f t="shared" si="237"/>
        <v/>
      </c>
      <c r="IY46" s="1575" t="str">
        <f t="shared" si="238"/>
        <v/>
      </c>
      <c r="IZ46" s="1575" t="str">
        <f t="shared" si="239"/>
        <v/>
      </c>
      <c r="JA46" s="1575" t="str">
        <f t="shared" si="240"/>
        <v/>
      </c>
      <c r="JB46" s="1575" t="str">
        <f t="shared" si="241"/>
        <v/>
      </c>
      <c r="JC46" s="1575" t="str">
        <f t="shared" si="242"/>
        <v/>
      </c>
      <c r="JD46" s="1575" t="str">
        <f t="shared" si="243"/>
        <v/>
      </c>
      <c r="JE46" s="1575" t="str">
        <f t="shared" si="244"/>
        <v/>
      </c>
      <c r="JF46" s="1575" t="str">
        <f t="shared" si="245"/>
        <v/>
      </c>
      <c r="JG46" s="1575" t="str">
        <f t="shared" si="246"/>
        <v/>
      </c>
      <c r="JH46" s="1575" t="str">
        <f t="shared" si="247"/>
        <v/>
      </c>
      <c r="JI46" s="1575" t="str">
        <f t="shared" si="248"/>
        <v/>
      </c>
      <c r="JJ46" s="1575" t="str">
        <f t="shared" si="249"/>
        <v/>
      </c>
      <c r="JK46" s="1575" t="str">
        <f t="shared" si="250"/>
        <v/>
      </c>
      <c r="JL46" s="1575" t="str">
        <f t="shared" si="251"/>
        <v/>
      </c>
      <c r="JM46" s="1575" t="str">
        <f t="shared" si="252"/>
        <v/>
      </c>
      <c r="JN46" s="1575" t="str">
        <f t="shared" si="253"/>
        <v/>
      </c>
      <c r="JO46" s="1575" t="str">
        <f t="shared" si="254"/>
        <v/>
      </c>
      <c r="JP46" s="1575" t="str">
        <f t="shared" si="255"/>
        <v/>
      </c>
      <c r="JQ46" s="1575" t="str">
        <f t="shared" si="256"/>
        <v/>
      </c>
      <c r="JR46" s="1575" t="str">
        <f t="shared" si="257"/>
        <v/>
      </c>
      <c r="JS46" s="1575" t="str">
        <f t="shared" si="258"/>
        <v/>
      </c>
      <c r="JT46" s="1575" t="str">
        <f t="shared" si="259"/>
        <v/>
      </c>
      <c r="JU46" s="1575" t="str">
        <f t="shared" si="260"/>
        <v/>
      </c>
      <c r="JV46" s="1575" t="str">
        <f t="shared" si="261"/>
        <v/>
      </c>
      <c r="JW46" s="1575" t="str">
        <f t="shared" si="262"/>
        <v/>
      </c>
      <c r="JX46" s="1575" t="str">
        <f t="shared" si="263"/>
        <v/>
      </c>
      <c r="JY46" s="1575" t="str">
        <f t="shared" si="264"/>
        <v/>
      </c>
      <c r="JZ46" s="1575" t="str">
        <f t="shared" si="265"/>
        <v/>
      </c>
      <c r="KA46" s="1575" t="str">
        <f t="shared" si="266"/>
        <v/>
      </c>
      <c r="KB46" s="1575" t="str">
        <f t="shared" si="267"/>
        <v/>
      </c>
      <c r="KC46" s="1575" t="str">
        <f t="shared" si="268"/>
        <v/>
      </c>
      <c r="KD46" s="1575" t="str">
        <f t="shared" si="269"/>
        <v/>
      </c>
      <c r="KE46" s="1575" t="str">
        <f t="shared" si="270"/>
        <v/>
      </c>
      <c r="KF46" s="1575" t="str">
        <f t="shared" si="271"/>
        <v/>
      </c>
      <c r="KG46" s="1575" t="str">
        <f t="shared" si="272"/>
        <v/>
      </c>
      <c r="KH46" s="1575" t="str">
        <f t="shared" si="273"/>
        <v/>
      </c>
      <c r="KI46" s="1575" t="str">
        <f t="shared" si="274"/>
        <v/>
      </c>
      <c r="KJ46" s="1575" t="str">
        <f t="shared" si="275"/>
        <v/>
      </c>
      <c r="KK46" s="1575" t="str">
        <f t="shared" si="276"/>
        <v/>
      </c>
      <c r="KL46" s="1575" t="str">
        <f t="shared" si="277"/>
        <v/>
      </c>
      <c r="KM46" s="1575" t="str">
        <f t="shared" si="278"/>
        <v/>
      </c>
      <c r="KN46" s="1575" t="str">
        <f t="shared" si="279"/>
        <v/>
      </c>
      <c r="KO46" s="1575" t="str">
        <f t="shared" si="280"/>
        <v/>
      </c>
      <c r="KP46" s="1575" t="str">
        <f t="shared" si="281"/>
        <v/>
      </c>
      <c r="KQ46" s="1575" t="str">
        <f t="shared" si="282"/>
        <v/>
      </c>
      <c r="KR46" s="1575" t="str">
        <f t="shared" si="283"/>
        <v/>
      </c>
      <c r="KS46" s="1575" t="str">
        <f t="shared" si="284"/>
        <v/>
      </c>
      <c r="KT46" s="1575" t="str">
        <f t="shared" si="285"/>
        <v/>
      </c>
      <c r="KU46" s="1575" t="str">
        <f t="shared" si="286"/>
        <v/>
      </c>
      <c r="KV46" s="1575" t="str">
        <f t="shared" si="287"/>
        <v/>
      </c>
      <c r="KW46" s="1575" t="str">
        <f t="shared" si="288"/>
        <v/>
      </c>
      <c r="KX46" s="1575" t="str">
        <f t="shared" si="289"/>
        <v/>
      </c>
      <c r="KY46" s="1575" t="str">
        <f t="shared" si="290"/>
        <v/>
      </c>
      <c r="KZ46" s="1575" t="str">
        <f t="shared" si="291"/>
        <v/>
      </c>
      <c r="LA46" s="1575" t="str">
        <f t="shared" si="292"/>
        <v/>
      </c>
      <c r="LB46" s="1575" t="str">
        <f t="shared" si="293"/>
        <v/>
      </c>
      <c r="LC46" s="1575" t="str">
        <f t="shared" si="294"/>
        <v/>
      </c>
      <c r="LD46" s="1575" t="str">
        <f t="shared" si="295"/>
        <v/>
      </c>
      <c r="LE46" s="1575" t="str">
        <f t="shared" si="296"/>
        <v/>
      </c>
      <c r="LF46" s="1575" t="str">
        <f t="shared" si="297"/>
        <v/>
      </c>
      <c r="LG46" s="1564" t="str">
        <f t="shared" si="298"/>
        <v/>
      </c>
      <c r="LH46" s="1564" t="str">
        <f t="shared" si="299"/>
        <v/>
      </c>
      <c r="LI46" s="1564" t="str">
        <f t="shared" si="300"/>
        <v/>
      </c>
      <c r="LJ46" s="1564" t="str">
        <f t="shared" si="301"/>
        <v/>
      </c>
      <c r="LK46" s="1564"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441">
        <f t="shared" si="323"/>
        <v>0</v>
      </c>
      <c r="MG46" s="1441">
        <f t="shared" si="324"/>
        <v>0</v>
      </c>
      <c r="MH46" s="1441">
        <f t="shared" si="325"/>
        <v>0</v>
      </c>
      <c r="MI46" s="1441">
        <f t="shared" si="326"/>
        <v>0</v>
      </c>
      <c r="MJ46" s="1441">
        <f t="shared" si="327"/>
        <v>0</v>
      </c>
      <c r="MK46" s="1441">
        <f t="shared" si="333"/>
        <v>0</v>
      </c>
      <c r="ML46" s="1441">
        <f t="shared" si="334"/>
        <v>0</v>
      </c>
      <c r="MM46" s="1441">
        <f t="shared" si="335"/>
        <v>0</v>
      </c>
      <c r="MN46" s="1441">
        <f t="shared" si="336"/>
        <v>0</v>
      </c>
      <c r="MO46" s="1441">
        <f t="shared" si="337"/>
        <v>0</v>
      </c>
      <c r="MP46" s="1441">
        <f t="shared" si="328"/>
        <v>0</v>
      </c>
      <c r="MQ46" s="1441">
        <f t="shared" si="329"/>
        <v>0</v>
      </c>
      <c r="MR46" s="1441">
        <f t="shared" si="330"/>
        <v>0</v>
      </c>
      <c r="MS46" s="1441">
        <f t="shared" si="331"/>
        <v>0</v>
      </c>
      <c r="MT46" s="1441">
        <f t="shared" si="332"/>
        <v>0</v>
      </c>
      <c r="NP46" s="1413" t="s">
        <v>1147</v>
      </c>
    </row>
    <row r="47" spans="1:380" ht="13.9" customHeight="1">
      <c r="A47" s="55" t="str">
        <f t="shared" si="0"/>
        <v/>
      </c>
      <c r="B47" s="915"/>
      <c r="C47" s="89"/>
      <c r="D47" s="1443"/>
      <c r="E47" s="90"/>
      <c r="F47" s="90"/>
      <c r="G47" s="90"/>
      <c r="H47" s="90"/>
      <c r="I47" s="90"/>
      <c r="J47" s="596">
        <f>IF(C47="",0,HLOOKUP(C47,'Part IV-Utility Allowances'!$I$11:$M$22,12))</f>
        <v>0</v>
      </c>
      <c r="K47" s="509"/>
      <c r="L47" s="351">
        <f t="shared" si="1"/>
        <v>0</v>
      </c>
      <c r="M47" s="351">
        <f t="shared" si="2"/>
        <v>0</v>
      </c>
      <c r="N47" s="549"/>
      <c r="O47" s="1381"/>
      <c r="P47" s="549"/>
      <c r="Q47" s="91"/>
      <c r="R47" s="586"/>
      <c r="S47" s="587"/>
      <c r="T47" s="3500"/>
      <c r="U47" s="3501"/>
      <c r="V47" s="3501"/>
      <c r="W47" s="3502"/>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575" t="str">
        <f t="shared" si="213"/>
        <v/>
      </c>
      <c r="IA47" s="1575" t="str">
        <f t="shared" si="214"/>
        <v/>
      </c>
      <c r="IB47" s="1575" t="str">
        <f t="shared" si="215"/>
        <v/>
      </c>
      <c r="IC47" s="1575" t="str">
        <f t="shared" si="216"/>
        <v/>
      </c>
      <c r="ID47" s="1575" t="str">
        <f t="shared" si="217"/>
        <v/>
      </c>
      <c r="IE47" s="1575" t="str">
        <f t="shared" si="218"/>
        <v/>
      </c>
      <c r="IF47" s="1575" t="str">
        <f t="shared" si="219"/>
        <v/>
      </c>
      <c r="IG47" s="1575" t="str">
        <f t="shared" si="220"/>
        <v/>
      </c>
      <c r="IH47" s="1575" t="str">
        <f t="shared" si="221"/>
        <v/>
      </c>
      <c r="II47" s="1575" t="str">
        <f t="shared" si="222"/>
        <v/>
      </c>
      <c r="IJ47" s="1575" t="str">
        <f t="shared" si="223"/>
        <v/>
      </c>
      <c r="IK47" s="1575" t="str">
        <f t="shared" si="224"/>
        <v/>
      </c>
      <c r="IL47" s="1575" t="str">
        <f t="shared" si="225"/>
        <v/>
      </c>
      <c r="IM47" s="1575" t="str">
        <f t="shared" si="226"/>
        <v/>
      </c>
      <c r="IN47" s="1575" t="str">
        <f t="shared" si="227"/>
        <v/>
      </c>
      <c r="IO47" s="1575" t="str">
        <f t="shared" si="228"/>
        <v/>
      </c>
      <c r="IP47" s="1575" t="str">
        <f t="shared" si="229"/>
        <v/>
      </c>
      <c r="IQ47" s="1575" t="str">
        <f t="shared" si="230"/>
        <v/>
      </c>
      <c r="IR47" s="1575" t="str">
        <f t="shared" si="231"/>
        <v/>
      </c>
      <c r="IS47" s="1575" t="str">
        <f t="shared" si="232"/>
        <v/>
      </c>
      <c r="IT47" s="1575" t="str">
        <f t="shared" si="233"/>
        <v/>
      </c>
      <c r="IU47" s="1575" t="str">
        <f t="shared" si="234"/>
        <v/>
      </c>
      <c r="IV47" s="1575" t="str">
        <f t="shared" si="235"/>
        <v/>
      </c>
      <c r="IW47" s="1575" t="str">
        <f t="shared" si="236"/>
        <v/>
      </c>
      <c r="IX47" s="1575" t="str">
        <f t="shared" si="237"/>
        <v/>
      </c>
      <c r="IY47" s="1575" t="str">
        <f t="shared" si="238"/>
        <v/>
      </c>
      <c r="IZ47" s="1575" t="str">
        <f t="shared" si="239"/>
        <v/>
      </c>
      <c r="JA47" s="1575" t="str">
        <f t="shared" si="240"/>
        <v/>
      </c>
      <c r="JB47" s="1575" t="str">
        <f t="shared" si="241"/>
        <v/>
      </c>
      <c r="JC47" s="1575" t="str">
        <f t="shared" si="242"/>
        <v/>
      </c>
      <c r="JD47" s="1575" t="str">
        <f t="shared" si="243"/>
        <v/>
      </c>
      <c r="JE47" s="1575" t="str">
        <f t="shared" si="244"/>
        <v/>
      </c>
      <c r="JF47" s="1575" t="str">
        <f t="shared" si="245"/>
        <v/>
      </c>
      <c r="JG47" s="1575" t="str">
        <f t="shared" si="246"/>
        <v/>
      </c>
      <c r="JH47" s="1575" t="str">
        <f t="shared" si="247"/>
        <v/>
      </c>
      <c r="JI47" s="1575" t="str">
        <f t="shared" si="248"/>
        <v/>
      </c>
      <c r="JJ47" s="1575" t="str">
        <f t="shared" si="249"/>
        <v/>
      </c>
      <c r="JK47" s="1575" t="str">
        <f t="shared" si="250"/>
        <v/>
      </c>
      <c r="JL47" s="1575" t="str">
        <f t="shared" si="251"/>
        <v/>
      </c>
      <c r="JM47" s="1575" t="str">
        <f t="shared" si="252"/>
        <v/>
      </c>
      <c r="JN47" s="1575" t="str">
        <f t="shared" si="253"/>
        <v/>
      </c>
      <c r="JO47" s="1575" t="str">
        <f t="shared" si="254"/>
        <v/>
      </c>
      <c r="JP47" s="1575" t="str">
        <f t="shared" si="255"/>
        <v/>
      </c>
      <c r="JQ47" s="1575" t="str">
        <f t="shared" si="256"/>
        <v/>
      </c>
      <c r="JR47" s="1575" t="str">
        <f t="shared" si="257"/>
        <v/>
      </c>
      <c r="JS47" s="1575" t="str">
        <f t="shared" si="258"/>
        <v/>
      </c>
      <c r="JT47" s="1575" t="str">
        <f t="shared" si="259"/>
        <v/>
      </c>
      <c r="JU47" s="1575" t="str">
        <f t="shared" si="260"/>
        <v/>
      </c>
      <c r="JV47" s="1575" t="str">
        <f t="shared" si="261"/>
        <v/>
      </c>
      <c r="JW47" s="1575" t="str">
        <f t="shared" si="262"/>
        <v/>
      </c>
      <c r="JX47" s="1575" t="str">
        <f t="shared" si="263"/>
        <v/>
      </c>
      <c r="JY47" s="1575" t="str">
        <f t="shared" si="264"/>
        <v/>
      </c>
      <c r="JZ47" s="1575" t="str">
        <f t="shared" si="265"/>
        <v/>
      </c>
      <c r="KA47" s="1575" t="str">
        <f t="shared" si="266"/>
        <v/>
      </c>
      <c r="KB47" s="1575" t="str">
        <f t="shared" si="267"/>
        <v/>
      </c>
      <c r="KC47" s="1575" t="str">
        <f t="shared" si="268"/>
        <v/>
      </c>
      <c r="KD47" s="1575" t="str">
        <f t="shared" si="269"/>
        <v/>
      </c>
      <c r="KE47" s="1575" t="str">
        <f t="shared" si="270"/>
        <v/>
      </c>
      <c r="KF47" s="1575" t="str">
        <f t="shared" si="271"/>
        <v/>
      </c>
      <c r="KG47" s="1575" t="str">
        <f t="shared" si="272"/>
        <v/>
      </c>
      <c r="KH47" s="1575" t="str">
        <f t="shared" si="273"/>
        <v/>
      </c>
      <c r="KI47" s="1575" t="str">
        <f t="shared" si="274"/>
        <v/>
      </c>
      <c r="KJ47" s="1575" t="str">
        <f t="shared" si="275"/>
        <v/>
      </c>
      <c r="KK47" s="1575" t="str">
        <f t="shared" si="276"/>
        <v/>
      </c>
      <c r="KL47" s="1575" t="str">
        <f t="shared" si="277"/>
        <v/>
      </c>
      <c r="KM47" s="1575" t="str">
        <f t="shared" si="278"/>
        <v/>
      </c>
      <c r="KN47" s="1575" t="str">
        <f t="shared" si="279"/>
        <v/>
      </c>
      <c r="KO47" s="1575" t="str">
        <f t="shared" si="280"/>
        <v/>
      </c>
      <c r="KP47" s="1575" t="str">
        <f t="shared" si="281"/>
        <v/>
      </c>
      <c r="KQ47" s="1575" t="str">
        <f t="shared" si="282"/>
        <v/>
      </c>
      <c r="KR47" s="1575" t="str">
        <f t="shared" si="283"/>
        <v/>
      </c>
      <c r="KS47" s="1575" t="str">
        <f t="shared" si="284"/>
        <v/>
      </c>
      <c r="KT47" s="1575" t="str">
        <f t="shared" si="285"/>
        <v/>
      </c>
      <c r="KU47" s="1575" t="str">
        <f t="shared" si="286"/>
        <v/>
      </c>
      <c r="KV47" s="1575" t="str">
        <f t="shared" si="287"/>
        <v/>
      </c>
      <c r="KW47" s="1575" t="str">
        <f t="shared" si="288"/>
        <v/>
      </c>
      <c r="KX47" s="1575" t="str">
        <f t="shared" si="289"/>
        <v/>
      </c>
      <c r="KY47" s="1575" t="str">
        <f t="shared" si="290"/>
        <v/>
      </c>
      <c r="KZ47" s="1575" t="str">
        <f t="shared" si="291"/>
        <v/>
      </c>
      <c r="LA47" s="1575" t="str">
        <f t="shared" si="292"/>
        <v/>
      </c>
      <c r="LB47" s="1575" t="str">
        <f t="shared" si="293"/>
        <v/>
      </c>
      <c r="LC47" s="1575" t="str">
        <f t="shared" si="294"/>
        <v/>
      </c>
      <c r="LD47" s="1575" t="str">
        <f t="shared" si="295"/>
        <v/>
      </c>
      <c r="LE47" s="1575" t="str">
        <f t="shared" si="296"/>
        <v/>
      </c>
      <c r="LF47" s="1575" t="str">
        <f t="shared" si="297"/>
        <v/>
      </c>
      <c r="LG47" s="1564" t="str">
        <f t="shared" si="298"/>
        <v/>
      </c>
      <c r="LH47" s="1564" t="str">
        <f t="shared" si="299"/>
        <v/>
      </c>
      <c r="LI47" s="1564" t="str">
        <f t="shared" si="300"/>
        <v/>
      </c>
      <c r="LJ47" s="1564" t="str">
        <f t="shared" si="301"/>
        <v/>
      </c>
      <c r="LK47" s="1564"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441">
        <f t="shared" si="323"/>
        <v>0</v>
      </c>
      <c r="MG47" s="1441">
        <f t="shared" si="324"/>
        <v>0</v>
      </c>
      <c r="MH47" s="1441">
        <f t="shared" si="325"/>
        <v>0</v>
      </c>
      <c r="MI47" s="1441">
        <f t="shared" si="326"/>
        <v>0</v>
      </c>
      <c r="MJ47" s="1441">
        <f t="shared" si="327"/>
        <v>0</v>
      </c>
      <c r="MK47" s="1441">
        <f t="shared" si="333"/>
        <v>0</v>
      </c>
      <c r="ML47" s="1441">
        <f t="shared" si="334"/>
        <v>0</v>
      </c>
      <c r="MM47" s="1441">
        <f t="shared" si="335"/>
        <v>0</v>
      </c>
      <c r="MN47" s="1441">
        <f t="shared" si="336"/>
        <v>0</v>
      </c>
      <c r="MO47" s="1441">
        <f t="shared" si="337"/>
        <v>0</v>
      </c>
      <c r="MP47" s="1441">
        <f t="shared" si="328"/>
        <v>0</v>
      </c>
      <c r="MQ47" s="1441">
        <f t="shared" si="329"/>
        <v>0</v>
      </c>
      <c r="MR47" s="1441">
        <f t="shared" si="330"/>
        <v>0</v>
      </c>
      <c r="MS47" s="1441">
        <f t="shared" si="331"/>
        <v>0</v>
      </c>
      <c r="MT47" s="1441">
        <f t="shared" si="332"/>
        <v>0</v>
      </c>
      <c r="NP47" s="1413" t="s">
        <v>1148</v>
      </c>
    </row>
    <row r="48" spans="1:380" ht="13.9" customHeight="1">
      <c r="A48" s="55" t="str">
        <f t="shared" si="0"/>
        <v/>
      </c>
      <c r="B48" s="916"/>
      <c r="C48" s="92"/>
      <c r="D48" s="1446"/>
      <c r="E48" s="93"/>
      <c r="F48" s="93"/>
      <c r="G48" s="93"/>
      <c r="H48" s="93"/>
      <c r="I48" s="93"/>
      <c r="J48" s="597">
        <f>IF(C48="",0,HLOOKUP(C48,'Part IV-Utility Allowances'!$I$11:$M$22,12))</f>
        <v>0</v>
      </c>
      <c r="K48" s="510"/>
      <c r="L48" s="352">
        <f t="shared" si="1"/>
        <v>0</v>
      </c>
      <c r="M48" s="352">
        <f t="shared" si="2"/>
        <v>0</v>
      </c>
      <c r="N48" s="550"/>
      <c r="O48" s="1311"/>
      <c r="P48" s="550"/>
      <c r="Q48" s="94"/>
      <c r="R48" s="588"/>
      <c r="S48" s="589"/>
      <c r="T48" s="3513"/>
      <c r="U48" s="3514"/>
      <c r="V48" s="3514"/>
      <c r="W48" s="3515"/>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575" t="str">
        <f t="shared" si="213"/>
        <v/>
      </c>
      <c r="IA48" s="1575" t="str">
        <f t="shared" si="214"/>
        <v/>
      </c>
      <c r="IB48" s="1575" t="str">
        <f t="shared" si="215"/>
        <v/>
      </c>
      <c r="IC48" s="1575" t="str">
        <f t="shared" si="216"/>
        <v/>
      </c>
      <c r="ID48" s="1575" t="str">
        <f t="shared" si="217"/>
        <v/>
      </c>
      <c r="IE48" s="1575" t="str">
        <f t="shared" si="218"/>
        <v/>
      </c>
      <c r="IF48" s="1575" t="str">
        <f t="shared" si="219"/>
        <v/>
      </c>
      <c r="IG48" s="1575" t="str">
        <f t="shared" si="220"/>
        <v/>
      </c>
      <c r="IH48" s="1575" t="str">
        <f t="shared" si="221"/>
        <v/>
      </c>
      <c r="II48" s="1575" t="str">
        <f t="shared" si="222"/>
        <v/>
      </c>
      <c r="IJ48" s="1575" t="str">
        <f t="shared" si="223"/>
        <v/>
      </c>
      <c r="IK48" s="1575" t="str">
        <f t="shared" si="224"/>
        <v/>
      </c>
      <c r="IL48" s="1575" t="str">
        <f t="shared" si="225"/>
        <v/>
      </c>
      <c r="IM48" s="1575" t="str">
        <f t="shared" si="226"/>
        <v/>
      </c>
      <c r="IN48" s="1575" t="str">
        <f t="shared" si="227"/>
        <v/>
      </c>
      <c r="IO48" s="1575" t="str">
        <f t="shared" si="228"/>
        <v/>
      </c>
      <c r="IP48" s="1575" t="str">
        <f t="shared" si="229"/>
        <v/>
      </c>
      <c r="IQ48" s="1575" t="str">
        <f t="shared" si="230"/>
        <v/>
      </c>
      <c r="IR48" s="1575" t="str">
        <f t="shared" si="231"/>
        <v/>
      </c>
      <c r="IS48" s="1575" t="str">
        <f t="shared" si="232"/>
        <v/>
      </c>
      <c r="IT48" s="1575" t="str">
        <f t="shared" si="233"/>
        <v/>
      </c>
      <c r="IU48" s="1575" t="str">
        <f t="shared" si="234"/>
        <v/>
      </c>
      <c r="IV48" s="1575" t="str">
        <f t="shared" si="235"/>
        <v/>
      </c>
      <c r="IW48" s="1575" t="str">
        <f t="shared" si="236"/>
        <v/>
      </c>
      <c r="IX48" s="1575" t="str">
        <f t="shared" si="237"/>
        <v/>
      </c>
      <c r="IY48" s="1575" t="str">
        <f t="shared" si="238"/>
        <v/>
      </c>
      <c r="IZ48" s="1575" t="str">
        <f t="shared" si="239"/>
        <v/>
      </c>
      <c r="JA48" s="1575" t="str">
        <f t="shared" si="240"/>
        <v/>
      </c>
      <c r="JB48" s="1575" t="str">
        <f t="shared" si="241"/>
        <v/>
      </c>
      <c r="JC48" s="1575" t="str">
        <f t="shared" si="242"/>
        <v/>
      </c>
      <c r="JD48" s="1575" t="str">
        <f t="shared" si="243"/>
        <v/>
      </c>
      <c r="JE48" s="1575" t="str">
        <f t="shared" si="244"/>
        <v/>
      </c>
      <c r="JF48" s="1575" t="str">
        <f t="shared" si="245"/>
        <v/>
      </c>
      <c r="JG48" s="1575" t="str">
        <f t="shared" si="246"/>
        <v/>
      </c>
      <c r="JH48" s="1575" t="str">
        <f t="shared" si="247"/>
        <v/>
      </c>
      <c r="JI48" s="1575" t="str">
        <f t="shared" si="248"/>
        <v/>
      </c>
      <c r="JJ48" s="1575" t="str">
        <f t="shared" si="249"/>
        <v/>
      </c>
      <c r="JK48" s="1575" t="str">
        <f t="shared" si="250"/>
        <v/>
      </c>
      <c r="JL48" s="1575" t="str">
        <f t="shared" si="251"/>
        <v/>
      </c>
      <c r="JM48" s="1575" t="str">
        <f t="shared" si="252"/>
        <v/>
      </c>
      <c r="JN48" s="1575" t="str">
        <f t="shared" si="253"/>
        <v/>
      </c>
      <c r="JO48" s="1575" t="str">
        <f t="shared" si="254"/>
        <v/>
      </c>
      <c r="JP48" s="1575" t="str">
        <f t="shared" si="255"/>
        <v/>
      </c>
      <c r="JQ48" s="1575" t="str">
        <f t="shared" si="256"/>
        <v/>
      </c>
      <c r="JR48" s="1575" t="str">
        <f t="shared" si="257"/>
        <v/>
      </c>
      <c r="JS48" s="1575" t="str">
        <f t="shared" si="258"/>
        <v/>
      </c>
      <c r="JT48" s="1575" t="str">
        <f t="shared" si="259"/>
        <v/>
      </c>
      <c r="JU48" s="1575" t="str">
        <f t="shared" si="260"/>
        <v/>
      </c>
      <c r="JV48" s="1575" t="str">
        <f t="shared" si="261"/>
        <v/>
      </c>
      <c r="JW48" s="1575" t="str">
        <f t="shared" si="262"/>
        <v/>
      </c>
      <c r="JX48" s="1575" t="str">
        <f t="shared" si="263"/>
        <v/>
      </c>
      <c r="JY48" s="1575" t="str">
        <f t="shared" si="264"/>
        <v/>
      </c>
      <c r="JZ48" s="1575" t="str">
        <f t="shared" si="265"/>
        <v/>
      </c>
      <c r="KA48" s="1575" t="str">
        <f t="shared" si="266"/>
        <v/>
      </c>
      <c r="KB48" s="1575" t="str">
        <f t="shared" si="267"/>
        <v/>
      </c>
      <c r="KC48" s="1575" t="str">
        <f t="shared" si="268"/>
        <v/>
      </c>
      <c r="KD48" s="1575" t="str">
        <f t="shared" si="269"/>
        <v/>
      </c>
      <c r="KE48" s="1575" t="str">
        <f t="shared" si="270"/>
        <v/>
      </c>
      <c r="KF48" s="1575" t="str">
        <f t="shared" si="271"/>
        <v/>
      </c>
      <c r="KG48" s="1575" t="str">
        <f t="shared" si="272"/>
        <v/>
      </c>
      <c r="KH48" s="1575" t="str">
        <f t="shared" si="273"/>
        <v/>
      </c>
      <c r="KI48" s="1575" t="str">
        <f t="shared" si="274"/>
        <v/>
      </c>
      <c r="KJ48" s="1575" t="str">
        <f t="shared" si="275"/>
        <v/>
      </c>
      <c r="KK48" s="1575" t="str">
        <f t="shared" si="276"/>
        <v/>
      </c>
      <c r="KL48" s="1575" t="str">
        <f t="shared" si="277"/>
        <v/>
      </c>
      <c r="KM48" s="1575" t="str">
        <f t="shared" si="278"/>
        <v/>
      </c>
      <c r="KN48" s="1575" t="str">
        <f t="shared" si="279"/>
        <v/>
      </c>
      <c r="KO48" s="1575" t="str">
        <f t="shared" si="280"/>
        <v/>
      </c>
      <c r="KP48" s="1575" t="str">
        <f t="shared" si="281"/>
        <v/>
      </c>
      <c r="KQ48" s="1575" t="str">
        <f t="shared" si="282"/>
        <v/>
      </c>
      <c r="KR48" s="1575" t="str">
        <f t="shared" si="283"/>
        <v/>
      </c>
      <c r="KS48" s="1575" t="str">
        <f t="shared" si="284"/>
        <v/>
      </c>
      <c r="KT48" s="1575" t="str">
        <f t="shared" si="285"/>
        <v/>
      </c>
      <c r="KU48" s="1575" t="str">
        <f t="shared" si="286"/>
        <v/>
      </c>
      <c r="KV48" s="1575" t="str">
        <f t="shared" si="287"/>
        <v/>
      </c>
      <c r="KW48" s="1575" t="str">
        <f t="shared" si="288"/>
        <v/>
      </c>
      <c r="KX48" s="1575" t="str">
        <f t="shared" si="289"/>
        <v/>
      </c>
      <c r="KY48" s="1575" t="str">
        <f t="shared" si="290"/>
        <v/>
      </c>
      <c r="KZ48" s="1575" t="str">
        <f t="shared" si="291"/>
        <v/>
      </c>
      <c r="LA48" s="1575" t="str">
        <f t="shared" si="292"/>
        <v/>
      </c>
      <c r="LB48" s="1575" t="str">
        <f t="shared" si="293"/>
        <v/>
      </c>
      <c r="LC48" s="1575" t="str">
        <f t="shared" si="294"/>
        <v/>
      </c>
      <c r="LD48" s="1575" t="str">
        <f t="shared" si="295"/>
        <v/>
      </c>
      <c r="LE48" s="1575" t="str">
        <f t="shared" si="296"/>
        <v/>
      </c>
      <c r="LF48" s="1575" t="str">
        <f t="shared" si="297"/>
        <v/>
      </c>
      <c r="LG48" s="1564" t="str">
        <f t="shared" si="298"/>
        <v/>
      </c>
      <c r="LH48" s="1564" t="str">
        <f t="shared" si="299"/>
        <v/>
      </c>
      <c r="LI48" s="1564" t="str">
        <f t="shared" si="300"/>
        <v/>
      </c>
      <c r="LJ48" s="1564" t="str">
        <f t="shared" si="301"/>
        <v/>
      </c>
      <c r="LK48" s="1564"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441">
        <f t="shared" si="323"/>
        <v>0</v>
      </c>
      <c r="MG48" s="1441">
        <f t="shared" si="324"/>
        <v>0</v>
      </c>
      <c r="MH48" s="1441">
        <f t="shared" si="325"/>
        <v>0</v>
      </c>
      <c r="MI48" s="1441">
        <f t="shared" si="326"/>
        <v>0</v>
      </c>
      <c r="MJ48" s="1441">
        <f t="shared" si="327"/>
        <v>0</v>
      </c>
      <c r="MK48" s="1441">
        <f t="shared" si="333"/>
        <v>0</v>
      </c>
      <c r="ML48" s="1441">
        <f t="shared" si="334"/>
        <v>0</v>
      </c>
      <c r="MM48" s="1441">
        <f t="shared" si="335"/>
        <v>0</v>
      </c>
      <c r="MN48" s="1441">
        <f t="shared" si="336"/>
        <v>0</v>
      </c>
      <c r="MO48" s="1441">
        <f t="shared" si="337"/>
        <v>0</v>
      </c>
      <c r="MP48" s="1441">
        <f t="shared" si="328"/>
        <v>0</v>
      </c>
      <c r="MQ48" s="1441">
        <f t="shared" si="329"/>
        <v>0</v>
      </c>
      <c r="MR48" s="1441">
        <f t="shared" si="330"/>
        <v>0</v>
      </c>
      <c r="MS48" s="1441">
        <f t="shared" si="331"/>
        <v>0</v>
      </c>
      <c r="MT48" s="1441">
        <f t="shared" si="332"/>
        <v>0</v>
      </c>
      <c r="NP48" s="1413" t="s">
        <v>1149</v>
      </c>
    </row>
    <row r="49" spans="1:381" s="79" customFormat="1" ht="13.9" customHeight="1">
      <c r="A49" s="1156">
        <f>COUNT(A11,A12,A13,A14,A15,A16,A17,A18,A19,A20,A21,A22,A23,A24,A25,A26,A27,A28,A29,A30,A31,A32,A33,A34,A35,A36,A37,A38,A39,A40)</f>
        <v>0</v>
      </c>
      <c r="B49" s="3547" t="s">
        <v>1150</v>
      </c>
      <c r="C49" s="3548"/>
      <c r="D49" s="74" t="s">
        <v>1151</v>
      </c>
      <c r="E49" s="911">
        <f>SUM(E11:E48)</f>
        <v>199</v>
      </c>
      <c r="F49" s="909">
        <f>(E11*F11+E12*F12+E13*F13+E14*F14+E15*F15+E16*F16+E17*F17+E18*F18+E19*F19+E20*F20+E21*F21+E22*F22+E23*F23+E24*F24+E25*F25+E26*F26+E27*F27+E28*F28+E29*F29+E30*F30+E31*F31+E32*F32+E33*F33+E34*F34+E35*F35+E36*F36+E37*F37+E38*F38+E39*F39+E40*F40+E41*F41+E42*F42+E43*F43+E44*F44+E45*F45+E46*F46+E47*F47+E48*F48)</f>
        <v>206509</v>
      </c>
      <c r="H49" s="3521" t="s">
        <v>1152</v>
      </c>
      <c r="I49" s="2745" t="s">
        <v>1153</v>
      </c>
      <c r="J49" s="2746" t="str">
        <f>IF(P67=0,"",IF(SUM(P58:P62)/P67&gt;=0.4,"Pass","Fail"))</f>
        <v>Pass</v>
      </c>
      <c r="K49" s="339"/>
      <c r="L49" s="553" t="s">
        <v>1154</v>
      </c>
      <c r="M49" s="2747">
        <f>SUM(M11:M48)</f>
        <v>256710</v>
      </c>
      <c r="N49" s="45"/>
      <c r="O49" s="45"/>
      <c r="P49" s="45"/>
      <c r="Q49" s="45"/>
      <c r="R49" s="45"/>
      <c r="S49" s="45"/>
      <c r="T49" s="45"/>
      <c r="U49" s="45"/>
      <c r="V49" s="542"/>
      <c r="W49" s="340"/>
      <c r="X49" s="1442">
        <f t="shared" ref="X49:FA49" si="338">SUM(X11:X48)</f>
        <v>0</v>
      </c>
      <c r="Y49" s="1442">
        <f t="shared" si="338"/>
        <v>0</v>
      </c>
      <c r="Z49" s="1442">
        <f t="shared" si="338"/>
        <v>0</v>
      </c>
      <c r="AA49" s="1442">
        <f t="shared" si="338"/>
        <v>0</v>
      </c>
      <c r="AB49" s="1442">
        <f t="shared" si="338"/>
        <v>0</v>
      </c>
      <c r="AC49" s="1442">
        <f t="shared" ref="AC49:AL49" si="339">SUM(AC11:AC48)</f>
        <v>0</v>
      </c>
      <c r="AD49" s="1442">
        <f t="shared" si="339"/>
        <v>0</v>
      </c>
      <c r="AE49" s="1442">
        <f t="shared" si="339"/>
        <v>0</v>
      </c>
      <c r="AF49" s="1442">
        <f t="shared" si="339"/>
        <v>0</v>
      </c>
      <c r="AG49" s="1442">
        <f t="shared" si="339"/>
        <v>0</v>
      </c>
      <c r="AH49" s="1442">
        <f t="shared" si="339"/>
        <v>0</v>
      </c>
      <c r="AI49" s="1442">
        <f t="shared" si="339"/>
        <v>38</v>
      </c>
      <c r="AJ49" s="1442">
        <f t="shared" si="339"/>
        <v>60</v>
      </c>
      <c r="AK49" s="1442">
        <f t="shared" si="339"/>
        <v>20</v>
      </c>
      <c r="AL49" s="1442">
        <f t="shared" si="339"/>
        <v>0</v>
      </c>
      <c r="AM49" s="1442">
        <f>SUM(AM11:AM48)</f>
        <v>0</v>
      </c>
      <c r="AN49" s="1442">
        <f>SUM(AN11:AN48)</f>
        <v>0</v>
      </c>
      <c r="AO49" s="1442">
        <f>SUM(AO11:AO48)</f>
        <v>0</v>
      </c>
      <c r="AP49" s="1442">
        <f>SUM(AP11:AP48)</f>
        <v>0</v>
      </c>
      <c r="AQ49" s="1442">
        <f>SUM(AQ11:AQ48)</f>
        <v>0</v>
      </c>
      <c r="AR49" s="1442">
        <f t="shared" si="338"/>
        <v>0</v>
      </c>
      <c r="AS49" s="1442">
        <f t="shared" si="338"/>
        <v>0</v>
      </c>
      <c r="AT49" s="1442">
        <f t="shared" si="338"/>
        <v>0</v>
      </c>
      <c r="AU49" s="1442">
        <f t="shared" si="338"/>
        <v>0</v>
      </c>
      <c r="AV49" s="1442">
        <f t="shared" si="338"/>
        <v>0</v>
      </c>
      <c r="AW49" s="1442">
        <f t="shared" si="338"/>
        <v>0</v>
      </c>
      <c r="AX49" s="1442">
        <f t="shared" si="338"/>
        <v>0</v>
      </c>
      <c r="AY49" s="1442">
        <f t="shared" si="338"/>
        <v>0</v>
      </c>
      <c r="AZ49" s="1442">
        <f t="shared" si="338"/>
        <v>0</v>
      </c>
      <c r="BA49" s="1442">
        <f t="shared" si="338"/>
        <v>0</v>
      </c>
      <c r="BB49" s="1442">
        <f>SUM(BB11:BB48)</f>
        <v>0</v>
      </c>
      <c r="BC49" s="1442">
        <f>SUM(BC11:BC48)</f>
        <v>0</v>
      </c>
      <c r="BD49" s="1442">
        <f>SUM(BD11:BD48)</f>
        <v>0</v>
      </c>
      <c r="BE49" s="1442">
        <f>SUM(BE11:BE48)</f>
        <v>0</v>
      </c>
      <c r="BF49" s="1442">
        <f>SUM(BF11:BF48)</f>
        <v>0</v>
      </c>
      <c r="BG49" s="1442">
        <f t="shared" si="338"/>
        <v>0</v>
      </c>
      <c r="BH49" s="1442">
        <f t="shared" si="338"/>
        <v>24</v>
      </c>
      <c r="BI49" s="1442">
        <f t="shared" si="338"/>
        <v>42</v>
      </c>
      <c r="BJ49" s="1442">
        <f t="shared" si="338"/>
        <v>15</v>
      </c>
      <c r="BK49" s="1442">
        <f t="shared" si="338"/>
        <v>0</v>
      </c>
      <c r="BL49" s="1442">
        <f>SUM(BL11:BL48)</f>
        <v>0</v>
      </c>
      <c r="BM49" s="1442">
        <f>SUM(BM11:BM48)</f>
        <v>0</v>
      </c>
      <c r="BN49" s="1442">
        <f>SUM(BN11:BN48)</f>
        <v>0</v>
      </c>
      <c r="BO49" s="1442">
        <f>SUM(BO11:BO48)</f>
        <v>0</v>
      </c>
      <c r="BP49" s="1442">
        <f>SUM(BP11:BP48)</f>
        <v>0</v>
      </c>
      <c r="BQ49" s="1442">
        <f t="shared" si="338"/>
        <v>0</v>
      </c>
      <c r="BR49" s="1442">
        <f t="shared" si="338"/>
        <v>0</v>
      </c>
      <c r="BS49" s="1442">
        <f t="shared" si="338"/>
        <v>0</v>
      </c>
      <c r="BT49" s="1442">
        <f t="shared" si="338"/>
        <v>0</v>
      </c>
      <c r="BU49" s="1442">
        <f t="shared" si="338"/>
        <v>0</v>
      </c>
      <c r="BV49" s="1442">
        <f>SUM(BV11:BV48)</f>
        <v>0</v>
      </c>
      <c r="BW49" s="1442">
        <f>SUM(BW11:BW48)</f>
        <v>0</v>
      </c>
      <c r="BX49" s="1442">
        <f>SUM(BX11:BX48)</f>
        <v>0</v>
      </c>
      <c r="BY49" s="1442">
        <f>SUM(BY11:BY48)</f>
        <v>0</v>
      </c>
      <c r="BZ49" s="1442">
        <f>SUM(BZ11:BZ48)</f>
        <v>0</v>
      </c>
      <c r="CA49" s="1442">
        <f t="shared" si="338"/>
        <v>0</v>
      </c>
      <c r="CB49" s="1442">
        <f t="shared" si="338"/>
        <v>0</v>
      </c>
      <c r="CC49" s="1442">
        <f t="shared" si="338"/>
        <v>0</v>
      </c>
      <c r="CD49" s="1442">
        <f t="shared" si="338"/>
        <v>0</v>
      </c>
      <c r="CE49" s="1442">
        <f t="shared" si="338"/>
        <v>0</v>
      </c>
      <c r="CF49" s="1442">
        <f t="shared" si="338"/>
        <v>0</v>
      </c>
      <c r="CG49" s="1442">
        <f t="shared" si="338"/>
        <v>16</v>
      </c>
      <c r="CH49" s="1442">
        <f t="shared" si="338"/>
        <v>46</v>
      </c>
      <c r="CI49" s="1442">
        <f t="shared" si="338"/>
        <v>16</v>
      </c>
      <c r="CJ49" s="1442">
        <f t="shared" si="338"/>
        <v>0</v>
      </c>
      <c r="CK49" s="1442">
        <f>SUM(CK11:CK48)</f>
        <v>0</v>
      </c>
      <c r="CL49" s="1442">
        <f>SUM(CL11:CL48)</f>
        <v>0</v>
      </c>
      <c r="CM49" s="1442">
        <f>SUM(CM11:CM48)</f>
        <v>0</v>
      </c>
      <c r="CN49" s="1442">
        <f>SUM(CN11:CN48)</f>
        <v>0</v>
      </c>
      <c r="CO49" s="1442">
        <f>SUM(CO11:CO48)</f>
        <v>0</v>
      </c>
      <c r="CP49" s="1442">
        <f t="shared" ref="CP49:CY49" si="340">SUM(CP11:CP48)</f>
        <v>0</v>
      </c>
      <c r="CQ49" s="1442">
        <f t="shared" si="340"/>
        <v>0</v>
      </c>
      <c r="CR49" s="1442">
        <f t="shared" si="340"/>
        <v>0</v>
      </c>
      <c r="CS49" s="1442">
        <f t="shared" si="340"/>
        <v>0</v>
      </c>
      <c r="CT49" s="1442">
        <f t="shared" si="340"/>
        <v>0</v>
      </c>
      <c r="CU49" s="1442">
        <f t="shared" si="340"/>
        <v>0</v>
      </c>
      <c r="CV49" s="1442">
        <f t="shared" si="340"/>
        <v>0</v>
      </c>
      <c r="CW49" s="1442">
        <f t="shared" si="340"/>
        <v>0</v>
      </c>
      <c r="CX49" s="1442">
        <f t="shared" si="340"/>
        <v>0</v>
      </c>
      <c r="CY49" s="1442">
        <f t="shared" si="340"/>
        <v>0</v>
      </c>
      <c r="CZ49" s="1442">
        <f t="shared" si="338"/>
        <v>0</v>
      </c>
      <c r="DA49" s="1442">
        <f t="shared" si="338"/>
        <v>0</v>
      </c>
      <c r="DB49" s="1442">
        <f t="shared" si="338"/>
        <v>0</v>
      </c>
      <c r="DC49" s="1442">
        <f t="shared" si="338"/>
        <v>0</v>
      </c>
      <c r="DD49" s="1442">
        <f t="shared" si="338"/>
        <v>0</v>
      </c>
      <c r="DE49" s="1442">
        <f t="shared" si="338"/>
        <v>0</v>
      </c>
      <c r="DF49" s="1442">
        <f t="shared" si="338"/>
        <v>0</v>
      </c>
      <c r="DG49" s="1442">
        <f t="shared" si="338"/>
        <v>0</v>
      </c>
      <c r="DH49" s="1442">
        <f t="shared" si="338"/>
        <v>0</v>
      </c>
      <c r="DI49" s="1442">
        <f t="shared" si="338"/>
        <v>0</v>
      </c>
      <c r="DJ49" s="1442">
        <f t="shared" si="338"/>
        <v>0</v>
      </c>
      <c r="DK49" s="1442">
        <f t="shared" si="338"/>
        <v>0</v>
      </c>
      <c r="DL49" s="1442">
        <f t="shared" si="338"/>
        <v>0</v>
      </c>
      <c r="DM49" s="1442">
        <f t="shared" si="338"/>
        <v>0</v>
      </c>
      <c r="DN49" s="1442">
        <f t="shared" si="338"/>
        <v>0</v>
      </c>
      <c r="DO49" s="1442">
        <f t="shared" si="338"/>
        <v>0</v>
      </c>
      <c r="DP49" s="1442">
        <f t="shared" si="338"/>
        <v>0</v>
      </c>
      <c r="DQ49" s="1442">
        <f t="shared" si="338"/>
        <v>0</v>
      </c>
      <c r="DR49" s="1442">
        <f t="shared" si="338"/>
        <v>0</v>
      </c>
      <c r="DS49" s="1442">
        <f t="shared" si="338"/>
        <v>0</v>
      </c>
      <c r="DT49" s="1442">
        <f t="shared" ref="DT49:EC49" si="341">SUM(DT11:DT48)</f>
        <v>0</v>
      </c>
      <c r="DU49" s="1442">
        <f t="shared" si="341"/>
        <v>0</v>
      </c>
      <c r="DV49" s="1442">
        <f t="shared" si="341"/>
        <v>0</v>
      </c>
      <c r="DW49" s="1442">
        <f t="shared" si="341"/>
        <v>0</v>
      </c>
      <c r="DX49" s="1442">
        <f t="shared" si="341"/>
        <v>0</v>
      </c>
      <c r="DY49" s="1442">
        <f t="shared" si="341"/>
        <v>0</v>
      </c>
      <c r="DZ49" s="1442">
        <f t="shared" si="341"/>
        <v>0</v>
      </c>
      <c r="EA49" s="1442">
        <f t="shared" si="341"/>
        <v>0</v>
      </c>
      <c r="EB49" s="1442">
        <f t="shared" si="341"/>
        <v>0</v>
      </c>
      <c r="EC49" s="1442">
        <f t="shared" si="341"/>
        <v>0</v>
      </c>
      <c r="ED49" s="1442">
        <f t="shared" si="338"/>
        <v>0</v>
      </c>
      <c r="EE49" s="1442">
        <f t="shared" si="338"/>
        <v>0</v>
      </c>
      <c r="EF49" s="1442">
        <f t="shared" si="338"/>
        <v>0</v>
      </c>
      <c r="EG49" s="1442">
        <f t="shared" si="338"/>
        <v>0</v>
      </c>
      <c r="EH49" s="1442">
        <f t="shared" si="338"/>
        <v>0</v>
      </c>
      <c r="EI49" s="1442">
        <f t="shared" si="338"/>
        <v>0</v>
      </c>
      <c r="EJ49" s="1442">
        <f t="shared" si="338"/>
        <v>0</v>
      </c>
      <c r="EK49" s="1442">
        <f t="shared" si="338"/>
        <v>0</v>
      </c>
      <c r="EL49" s="1442">
        <f t="shared" si="338"/>
        <v>0</v>
      </c>
      <c r="EM49" s="1442">
        <f t="shared" si="338"/>
        <v>0</v>
      </c>
      <c r="EN49" s="1442">
        <f t="shared" ref="EN49:EW49" si="342">SUM(EN11:EN48)</f>
        <v>0</v>
      </c>
      <c r="EO49" s="1442">
        <f t="shared" si="342"/>
        <v>0</v>
      </c>
      <c r="EP49" s="1442">
        <f t="shared" si="342"/>
        <v>0</v>
      </c>
      <c r="EQ49" s="1442">
        <f t="shared" si="342"/>
        <v>0</v>
      </c>
      <c r="ER49" s="1442">
        <f t="shared" si="342"/>
        <v>0</v>
      </c>
      <c r="ES49" s="1442">
        <f t="shared" si="342"/>
        <v>0</v>
      </c>
      <c r="ET49" s="1442">
        <f t="shared" si="342"/>
        <v>30591</v>
      </c>
      <c r="EU49" s="1442">
        <f t="shared" si="342"/>
        <v>65373</v>
      </c>
      <c r="EV49" s="1442">
        <f t="shared" si="342"/>
        <v>26286</v>
      </c>
      <c r="EW49" s="1442">
        <f t="shared" si="342"/>
        <v>0</v>
      </c>
      <c r="EX49" s="1442">
        <f t="shared" si="338"/>
        <v>0</v>
      </c>
      <c r="EY49" s="1442">
        <f t="shared" si="338"/>
        <v>0</v>
      </c>
      <c r="EZ49" s="1442">
        <f t="shared" si="338"/>
        <v>0</v>
      </c>
      <c r="FA49" s="1442">
        <f t="shared" si="338"/>
        <v>0</v>
      </c>
      <c r="FB49" s="1442">
        <f t="shared" ref="FB49:HW49" si="343">SUM(FB11:FB48)</f>
        <v>0</v>
      </c>
      <c r="FC49" s="1442">
        <f>SUM(FC11:FC48)</f>
        <v>0</v>
      </c>
      <c r="FD49" s="1442">
        <f>SUM(FD11:FD48)</f>
        <v>0</v>
      </c>
      <c r="FE49" s="1442">
        <f>SUM(FE11:FE48)</f>
        <v>0</v>
      </c>
      <c r="FF49" s="1442">
        <f>SUM(FF11:FF48)</f>
        <v>0</v>
      </c>
      <c r="FG49" s="1442">
        <f>SUM(FG11:FG48)</f>
        <v>0</v>
      </c>
      <c r="FH49" s="1442">
        <f t="shared" si="343"/>
        <v>0</v>
      </c>
      <c r="FI49" s="1442">
        <f t="shared" si="343"/>
        <v>0</v>
      </c>
      <c r="FJ49" s="1442">
        <f t="shared" si="343"/>
        <v>0</v>
      </c>
      <c r="FK49" s="1442">
        <f t="shared" si="343"/>
        <v>0</v>
      </c>
      <c r="FL49" s="1442">
        <f t="shared" si="343"/>
        <v>0</v>
      </c>
      <c r="FM49" s="1442">
        <f>SUM(FM11:FM48)</f>
        <v>0</v>
      </c>
      <c r="FN49" s="1442">
        <f>SUM(FN11:FN48)</f>
        <v>0</v>
      </c>
      <c r="FO49" s="1442">
        <f>SUM(FO11:FO48)</f>
        <v>0</v>
      </c>
      <c r="FP49" s="1442">
        <f>SUM(FP11:FP48)</f>
        <v>0</v>
      </c>
      <c r="FQ49" s="1442">
        <f>SUM(FQ11:FQ48)</f>
        <v>0</v>
      </c>
      <c r="FR49" s="1442">
        <f t="shared" si="343"/>
        <v>0</v>
      </c>
      <c r="FS49" s="1442">
        <f t="shared" si="343"/>
        <v>19248</v>
      </c>
      <c r="FT49" s="1442">
        <f t="shared" si="343"/>
        <v>44582</v>
      </c>
      <c r="FU49" s="1442">
        <f t="shared" si="343"/>
        <v>20429</v>
      </c>
      <c r="FV49" s="1442">
        <f t="shared" si="343"/>
        <v>0</v>
      </c>
      <c r="FW49" s="1442">
        <f t="shared" si="343"/>
        <v>0</v>
      </c>
      <c r="FX49" s="1442">
        <f t="shared" si="343"/>
        <v>13019</v>
      </c>
      <c r="FY49" s="1442">
        <f t="shared" si="343"/>
        <v>50011</v>
      </c>
      <c r="FZ49" s="1442">
        <f t="shared" si="343"/>
        <v>21231</v>
      </c>
      <c r="GA49" s="1442">
        <f t="shared" si="343"/>
        <v>0</v>
      </c>
      <c r="GB49" s="1442">
        <f t="shared" si="343"/>
        <v>0</v>
      </c>
      <c r="GC49" s="1442">
        <f t="shared" si="343"/>
        <v>0</v>
      </c>
      <c r="GD49" s="1442">
        <f t="shared" si="343"/>
        <v>0</v>
      </c>
      <c r="GE49" s="1442">
        <f t="shared" si="343"/>
        <v>0</v>
      </c>
      <c r="GF49" s="1442">
        <f t="shared" si="343"/>
        <v>0</v>
      </c>
      <c r="GG49" s="1442">
        <f t="shared" si="343"/>
        <v>0</v>
      </c>
      <c r="GH49" s="1442">
        <f t="shared" si="343"/>
        <v>0</v>
      </c>
      <c r="GI49" s="1442">
        <f t="shared" si="343"/>
        <v>0</v>
      </c>
      <c r="GJ49" s="1442">
        <f t="shared" si="343"/>
        <v>0</v>
      </c>
      <c r="GK49" s="1442">
        <f t="shared" si="343"/>
        <v>0</v>
      </c>
      <c r="GL49" s="1442">
        <f t="shared" si="343"/>
        <v>0</v>
      </c>
      <c r="GM49" s="1442">
        <f t="shared" si="343"/>
        <v>0</v>
      </c>
      <c r="GN49" s="1442">
        <f t="shared" si="343"/>
        <v>0</v>
      </c>
      <c r="GO49" s="1442">
        <f t="shared" si="343"/>
        <v>0</v>
      </c>
      <c r="GP49" s="1442">
        <f t="shared" si="343"/>
        <v>0</v>
      </c>
      <c r="GQ49" s="1442">
        <f t="shared" si="343"/>
        <v>0</v>
      </c>
      <c r="GR49" s="1442">
        <f t="shared" si="343"/>
        <v>0</v>
      </c>
      <c r="GS49" s="1442">
        <f t="shared" si="343"/>
        <v>0</v>
      </c>
      <c r="GT49" s="1442">
        <f t="shared" si="343"/>
        <v>0</v>
      </c>
      <c r="GU49" s="1442">
        <f t="shared" si="343"/>
        <v>0</v>
      </c>
      <c r="GV49" s="1442">
        <f t="shared" si="343"/>
        <v>0</v>
      </c>
      <c r="GW49" s="1442">
        <f t="shared" si="343"/>
        <v>38</v>
      </c>
      <c r="GX49" s="1442">
        <f t="shared" si="343"/>
        <v>60</v>
      </c>
      <c r="GY49" s="1442">
        <f t="shared" si="343"/>
        <v>20</v>
      </c>
      <c r="GZ49" s="1442">
        <f t="shared" si="343"/>
        <v>0</v>
      </c>
      <c r="HA49" s="1442">
        <f t="shared" si="343"/>
        <v>0</v>
      </c>
      <c r="HB49" s="1442">
        <f t="shared" si="343"/>
        <v>24</v>
      </c>
      <c r="HC49" s="1442">
        <f t="shared" si="343"/>
        <v>42</v>
      </c>
      <c r="HD49" s="1442">
        <f t="shared" si="343"/>
        <v>15</v>
      </c>
      <c r="HE49" s="1442">
        <f t="shared" si="343"/>
        <v>0</v>
      </c>
      <c r="HF49" s="1442">
        <f t="shared" si="343"/>
        <v>0</v>
      </c>
      <c r="HG49" s="1442">
        <f t="shared" si="343"/>
        <v>0</v>
      </c>
      <c r="HH49" s="1442">
        <f t="shared" si="343"/>
        <v>0</v>
      </c>
      <c r="HI49" s="1442">
        <f t="shared" si="343"/>
        <v>0</v>
      </c>
      <c r="HJ49" s="1442">
        <f t="shared" si="343"/>
        <v>0</v>
      </c>
      <c r="HK49" s="1442">
        <f t="shared" si="343"/>
        <v>0</v>
      </c>
      <c r="HL49" s="1442">
        <f t="shared" si="343"/>
        <v>0</v>
      </c>
      <c r="HM49" s="1442">
        <f t="shared" si="343"/>
        <v>0</v>
      </c>
      <c r="HN49" s="1442">
        <f t="shared" si="343"/>
        <v>0</v>
      </c>
      <c r="HO49" s="1442">
        <f t="shared" si="343"/>
        <v>0</v>
      </c>
      <c r="HP49" s="1442">
        <f t="shared" si="343"/>
        <v>0</v>
      </c>
      <c r="HQ49" s="1442">
        <f t="shared" si="343"/>
        <v>0</v>
      </c>
      <c r="HR49" s="1442">
        <f t="shared" si="343"/>
        <v>0</v>
      </c>
      <c r="HS49" s="1442">
        <f t="shared" si="343"/>
        <v>0</v>
      </c>
      <c r="HT49" s="1442">
        <f t="shared" si="343"/>
        <v>0</v>
      </c>
      <c r="HU49" s="1442">
        <f t="shared" si="343"/>
        <v>0</v>
      </c>
      <c r="HV49" s="1442">
        <f t="shared" si="343"/>
        <v>0</v>
      </c>
      <c r="HW49" s="1442">
        <f t="shared" si="343"/>
        <v>0</v>
      </c>
      <c r="HX49" s="1442">
        <f t="shared" ref="HX49:KG49" si="344">SUM(HX11:HX48)</f>
        <v>0</v>
      </c>
      <c r="HY49" s="1442">
        <f t="shared" si="344"/>
        <v>0</v>
      </c>
      <c r="HZ49" s="1442">
        <f t="shared" si="344"/>
        <v>0</v>
      </c>
      <c r="IA49" s="1442">
        <f t="shared" si="344"/>
        <v>62</v>
      </c>
      <c r="IB49" s="1442">
        <f t="shared" si="344"/>
        <v>64</v>
      </c>
      <c r="IC49" s="1442">
        <f t="shared" si="344"/>
        <v>31</v>
      </c>
      <c r="ID49" s="1442">
        <f t="shared" si="344"/>
        <v>0</v>
      </c>
      <c r="IE49" s="1442">
        <f t="shared" si="344"/>
        <v>0</v>
      </c>
      <c r="IF49" s="1442">
        <f t="shared" si="344"/>
        <v>0</v>
      </c>
      <c r="IG49" s="1442">
        <f t="shared" si="344"/>
        <v>0</v>
      </c>
      <c r="IH49" s="1442">
        <f t="shared" si="344"/>
        <v>0</v>
      </c>
      <c r="II49" s="1442">
        <f t="shared" si="344"/>
        <v>0</v>
      </c>
      <c r="IJ49" s="1442">
        <f t="shared" si="344"/>
        <v>0</v>
      </c>
      <c r="IK49" s="1442">
        <f t="shared" si="344"/>
        <v>0</v>
      </c>
      <c r="IL49" s="1442">
        <f t="shared" si="344"/>
        <v>0</v>
      </c>
      <c r="IM49" s="1442">
        <f t="shared" si="344"/>
        <v>0</v>
      </c>
      <c r="IN49" s="1442">
        <f t="shared" si="344"/>
        <v>0</v>
      </c>
      <c r="IO49" s="1442">
        <f t="shared" si="344"/>
        <v>0</v>
      </c>
      <c r="IP49" s="1442">
        <f t="shared" si="344"/>
        <v>0</v>
      </c>
      <c r="IQ49" s="1442">
        <f t="shared" si="344"/>
        <v>0</v>
      </c>
      <c r="IR49" s="1442">
        <f t="shared" si="344"/>
        <v>0</v>
      </c>
      <c r="IS49" s="1442">
        <f t="shared" si="344"/>
        <v>0</v>
      </c>
      <c r="IT49" s="1442">
        <f t="shared" si="344"/>
        <v>0</v>
      </c>
      <c r="IU49" s="1442">
        <f t="shared" si="344"/>
        <v>0</v>
      </c>
      <c r="IV49" s="1442">
        <f t="shared" si="344"/>
        <v>0</v>
      </c>
      <c r="IW49" s="1442">
        <f t="shared" si="344"/>
        <v>0</v>
      </c>
      <c r="IX49" s="1442">
        <f t="shared" si="344"/>
        <v>0</v>
      </c>
      <c r="IY49" s="1442">
        <f t="shared" si="344"/>
        <v>0</v>
      </c>
      <c r="IZ49" s="1442">
        <f t="shared" si="344"/>
        <v>0</v>
      </c>
      <c r="JA49" s="1442">
        <f t="shared" si="344"/>
        <v>0</v>
      </c>
      <c r="JB49" s="1442">
        <f t="shared" si="344"/>
        <v>0</v>
      </c>
      <c r="JC49" s="1442">
        <f t="shared" si="344"/>
        <v>0</v>
      </c>
      <c r="JD49" s="1442">
        <f t="shared" si="344"/>
        <v>0</v>
      </c>
      <c r="JE49" s="1442">
        <f t="shared" si="344"/>
        <v>0</v>
      </c>
      <c r="JF49" s="1442">
        <f t="shared" si="344"/>
        <v>0</v>
      </c>
      <c r="JG49" s="1442">
        <f t="shared" si="344"/>
        <v>0</v>
      </c>
      <c r="JH49" s="1442">
        <f t="shared" si="344"/>
        <v>0</v>
      </c>
      <c r="JI49" s="1442">
        <f t="shared" si="344"/>
        <v>0</v>
      </c>
      <c r="JJ49" s="1442">
        <f t="shared" si="344"/>
        <v>0</v>
      </c>
      <c r="JK49" s="1442">
        <f t="shared" si="344"/>
        <v>38</v>
      </c>
      <c r="JL49" s="1442">
        <f t="shared" si="344"/>
        <v>4</v>
      </c>
      <c r="JM49" s="1442">
        <f t="shared" si="344"/>
        <v>0</v>
      </c>
      <c r="JN49" s="1442">
        <f t="shared" si="344"/>
        <v>0</v>
      </c>
      <c r="JO49" s="1442">
        <f t="shared" si="344"/>
        <v>0</v>
      </c>
      <c r="JP49" s="1442">
        <f t="shared" si="344"/>
        <v>0</v>
      </c>
      <c r="JQ49" s="1442">
        <f t="shared" si="344"/>
        <v>0</v>
      </c>
      <c r="JR49" s="1442">
        <f t="shared" si="344"/>
        <v>0</v>
      </c>
      <c r="JS49" s="1442">
        <f t="shared" si="344"/>
        <v>0</v>
      </c>
      <c r="JT49" s="1442">
        <f t="shared" si="344"/>
        <v>62</v>
      </c>
      <c r="JU49" s="1442">
        <f t="shared" si="344"/>
        <v>64</v>
      </c>
      <c r="JV49" s="1442">
        <f t="shared" si="344"/>
        <v>31</v>
      </c>
      <c r="JW49" s="1442">
        <f t="shared" si="344"/>
        <v>0</v>
      </c>
      <c r="JX49" s="1442">
        <f>SUM(JX11:JX48)</f>
        <v>0</v>
      </c>
      <c r="JY49" s="1442">
        <f>SUM(JY11:JY48)</f>
        <v>0</v>
      </c>
      <c r="JZ49" s="1442">
        <f>SUM(JZ11:JZ48)</f>
        <v>0</v>
      </c>
      <c r="KA49" s="1442">
        <f>SUM(KA11:KA48)</f>
        <v>0</v>
      </c>
      <c r="KB49" s="1442">
        <f>SUM(KB11:KB48)</f>
        <v>0</v>
      </c>
      <c r="KC49" s="1442">
        <f t="shared" si="344"/>
        <v>0</v>
      </c>
      <c r="KD49" s="1442">
        <f t="shared" si="344"/>
        <v>0</v>
      </c>
      <c r="KE49" s="1442">
        <f t="shared" si="344"/>
        <v>0</v>
      </c>
      <c r="KF49" s="1442">
        <f t="shared" si="344"/>
        <v>0</v>
      </c>
      <c r="KG49" s="1442">
        <f t="shared" si="344"/>
        <v>0</v>
      </c>
      <c r="KH49" s="1442">
        <f>SUM(KH11:KH48)</f>
        <v>0</v>
      </c>
      <c r="KI49" s="1442">
        <f>SUM(KI11:KI48)</f>
        <v>0</v>
      </c>
      <c r="KJ49" s="1442">
        <f>SUM(KJ11:KJ48)</f>
        <v>0</v>
      </c>
      <c r="KK49" s="1442">
        <f>SUM(KK11:KK48)</f>
        <v>0</v>
      </c>
      <c r="KL49" s="1442">
        <f>SUM(KL11:KL48)</f>
        <v>0</v>
      </c>
      <c r="KM49" s="1442">
        <f t="shared" ref="KM49:LA49" si="345">SUM(KM11:KM48)</f>
        <v>0</v>
      </c>
      <c r="KN49" s="1442">
        <f t="shared" si="345"/>
        <v>0</v>
      </c>
      <c r="KO49" s="1442">
        <f t="shared" si="345"/>
        <v>0</v>
      </c>
      <c r="KP49" s="1442">
        <f t="shared" si="345"/>
        <v>0</v>
      </c>
      <c r="KQ49" s="1442">
        <f t="shared" si="345"/>
        <v>0</v>
      </c>
      <c r="KR49" s="1442">
        <f>SUM(KR11:KR48)</f>
        <v>0</v>
      </c>
      <c r="KS49" s="1442">
        <f>SUM(KS11:KS48)</f>
        <v>0</v>
      </c>
      <c r="KT49" s="1442">
        <f>SUM(KT11:KT48)</f>
        <v>0</v>
      </c>
      <c r="KU49" s="1442">
        <f>SUM(KU11:KU48)</f>
        <v>0</v>
      </c>
      <c r="KV49" s="1442">
        <f>SUM(KV11:KV48)</f>
        <v>0</v>
      </c>
      <c r="KW49" s="1442">
        <f t="shared" si="345"/>
        <v>0</v>
      </c>
      <c r="KX49" s="1442">
        <f t="shared" si="345"/>
        <v>0</v>
      </c>
      <c r="KY49" s="1442">
        <f t="shared" si="345"/>
        <v>0</v>
      </c>
      <c r="KZ49" s="1442">
        <f t="shared" si="345"/>
        <v>0</v>
      </c>
      <c r="LA49" s="1442">
        <f t="shared" si="345"/>
        <v>0</v>
      </c>
      <c r="LB49" s="1442">
        <f>SUM(LB11:LB48)</f>
        <v>0</v>
      </c>
      <c r="LC49" s="1442">
        <f>SUM(LC11:LC48)</f>
        <v>0</v>
      </c>
      <c r="LD49" s="1442">
        <f>SUM(LD11:LD48)</f>
        <v>0</v>
      </c>
      <c r="LE49" s="1442">
        <f>SUM(LE11:LE48)</f>
        <v>0</v>
      </c>
      <c r="LF49" s="1442">
        <f>SUM(LF11:LF48)</f>
        <v>0</v>
      </c>
      <c r="LG49" s="1442">
        <f t="shared" ref="LG49:MU49" si="346">SUM(LG11:LG48)</f>
        <v>0</v>
      </c>
      <c r="LH49" s="1442">
        <f t="shared" si="346"/>
        <v>0</v>
      </c>
      <c r="LI49" s="1442">
        <f t="shared" si="346"/>
        <v>0</v>
      </c>
      <c r="LJ49" s="1442">
        <f t="shared" si="346"/>
        <v>0</v>
      </c>
      <c r="LK49" s="1442">
        <f t="shared" si="346"/>
        <v>0</v>
      </c>
      <c r="LL49" s="1442">
        <f t="shared" si="346"/>
        <v>0</v>
      </c>
      <c r="LM49" s="1442">
        <f t="shared" si="346"/>
        <v>0</v>
      </c>
      <c r="LN49" s="1442">
        <f t="shared" si="346"/>
        <v>0</v>
      </c>
      <c r="LO49" s="1442">
        <f t="shared" si="346"/>
        <v>0</v>
      </c>
      <c r="LP49" s="1442">
        <f t="shared" si="346"/>
        <v>0</v>
      </c>
      <c r="LQ49" s="1442">
        <f t="shared" si="346"/>
        <v>0</v>
      </c>
      <c r="LR49" s="1442">
        <f t="shared" si="346"/>
        <v>0</v>
      </c>
      <c r="LS49" s="1442">
        <f t="shared" si="346"/>
        <v>0</v>
      </c>
      <c r="LT49" s="1442">
        <f t="shared" si="346"/>
        <v>0</v>
      </c>
      <c r="LU49" s="1442">
        <f t="shared" si="346"/>
        <v>0</v>
      </c>
      <c r="LV49" s="1442">
        <f t="shared" si="346"/>
        <v>0</v>
      </c>
      <c r="LW49" s="1442">
        <f t="shared" si="346"/>
        <v>0</v>
      </c>
      <c r="LX49" s="1442">
        <f t="shared" si="346"/>
        <v>0</v>
      </c>
      <c r="LY49" s="1442">
        <f t="shared" si="346"/>
        <v>0</v>
      </c>
      <c r="LZ49" s="1442">
        <f t="shared" si="346"/>
        <v>0</v>
      </c>
      <c r="MA49" s="1442">
        <f t="shared" si="346"/>
        <v>0</v>
      </c>
      <c r="MB49" s="1442">
        <f t="shared" si="346"/>
        <v>0</v>
      </c>
      <c r="MC49" s="1442">
        <f t="shared" si="346"/>
        <v>0</v>
      </c>
      <c r="MD49" s="1442">
        <f t="shared" si="346"/>
        <v>0</v>
      </c>
      <c r="ME49" s="1442">
        <f t="shared" si="346"/>
        <v>0</v>
      </c>
      <c r="MF49" s="1442">
        <f t="shared" si="346"/>
        <v>0</v>
      </c>
      <c r="MG49" s="1442">
        <f t="shared" si="346"/>
        <v>62</v>
      </c>
      <c r="MH49" s="1442">
        <f t="shared" si="346"/>
        <v>102</v>
      </c>
      <c r="MI49" s="1442">
        <f t="shared" si="346"/>
        <v>35</v>
      </c>
      <c r="MJ49" s="1442">
        <f t="shared" si="346"/>
        <v>0</v>
      </c>
      <c r="MK49" s="1442">
        <f t="shared" si="346"/>
        <v>0</v>
      </c>
      <c r="ML49" s="1442">
        <f t="shared" si="346"/>
        <v>0</v>
      </c>
      <c r="MM49" s="1442">
        <f t="shared" si="346"/>
        <v>0</v>
      </c>
      <c r="MN49" s="1442">
        <f t="shared" si="346"/>
        <v>0</v>
      </c>
      <c r="MO49" s="1442">
        <f t="shared" si="346"/>
        <v>0</v>
      </c>
      <c r="MP49" s="1442">
        <f t="shared" si="346"/>
        <v>0</v>
      </c>
      <c r="MQ49" s="1442">
        <f t="shared" si="346"/>
        <v>0</v>
      </c>
      <c r="MR49" s="1442">
        <f t="shared" si="346"/>
        <v>0</v>
      </c>
      <c r="MS49" s="1442">
        <f t="shared" si="346"/>
        <v>0</v>
      </c>
      <c r="MT49" s="1442">
        <f t="shared" si="346"/>
        <v>0</v>
      </c>
      <c r="MU49" s="340">
        <f t="shared" si="346"/>
        <v>0</v>
      </c>
      <c r="NO49" s="261"/>
      <c r="NP49" s="1413" t="s">
        <v>1155</v>
      </c>
      <c r="NQ49" s="261"/>
    </row>
    <row r="50" spans="1:381" s="79" customFormat="1" ht="13.9" customHeight="1">
      <c r="B50" s="3519">
        <f>IF(SUM(E18:E48)=0,"",(B18*E18+B19*E19+B20*E20+B21*E21+B22*E22+B23*E23+B24*E24+B25*E25+B26*E26+B27*E27+B28*E28+B29*E29+B30*E30+B31*E31+B32*E32+B33*E33+B34*E34+B35*E35+B36*E36+B37*E37+B38*E38+B39*E39+B40*E40+B41*E41+B42*E42+B43*E43+B44*E44+B45*E45+B46*E46+B47*E47+B48*E48)/SUM(E18:E48))</f>
        <v>60</v>
      </c>
      <c r="C50" s="3520"/>
      <c r="D50" s="82" t="s">
        <v>1156</v>
      </c>
      <c r="E50" s="908">
        <f>SUM(E18:E48)</f>
        <v>118</v>
      </c>
      <c r="F50" s="910">
        <f>(E18*F18+E19*F19+E20*F20+E21*F21+E22*F22+E23*F23+E24*F24+E25*F25+E26*F26+E27*F27+E28*F28+E29*F29+E30*F30+E31*F31+E32*F32+E33*F33+E34*F34+E35*F35+E36*F36+E37*F37+E38*F38+E39*F39+E40*F40+E41*F41+E42*F42+E43*F43+E44*F44+E45*F45+E46*F46+E47*F47+E48*F48)</f>
        <v>122250</v>
      </c>
      <c r="H50" s="3522"/>
      <c r="I50" s="912" t="s">
        <v>1157</v>
      </c>
      <c r="J50" s="913" t="str">
        <f>IF(P67=0,"",IF(SUM(P59:P62)/P67&gt;=0.2,"Pass","Fail"))</f>
        <v>Fail</v>
      </c>
      <c r="K50" s="339"/>
      <c r="L50" s="74" t="s">
        <v>1158</v>
      </c>
      <c r="M50" s="2747">
        <f>M49*12</f>
        <v>3080520</v>
      </c>
      <c r="N50" s="45"/>
      <c r="O50" s="45"/>
      <c r="P50" s="45"/>
      <c r="Q50" s="45"/>
      <c r="R50" s="45"/>
      <c r="S50" s="45"/>
      <c r="T50" s="45"/>
      <c r="U50" s="45"/>
      <c r="V50" s="45"/>
      <c r="W50" s="340"/>
      <c r="X50" s="1442"/>
      <c r="Y50" s="1442"/>
      <c r="Z50" s="1442"/>
      <c r="AA50" s="1442"/>
      <c r="AB50" s="1442"/>
      <c r="AC50" s="1442"/>
      <c r="AD50" s="1442"/>
      <c r="AE50" s="1442"/>
      <c r="AF50" s="1442"/>
      <c r="AG50" s="1442"/>
      <c r="AH50" s="1442"/>
      <c r="AI50" s="1442"/>
      <c r="AJ50" s="1442"/>
      <c r="AK50" s="1442"/>
      <c r="AL50" s="1442"/>
      <c r="AM50" s="1442"/>
      <c r="AN50" s="1442"/>
      <c r="AO50" s="1442"/>
      <c r="AP50" s="1442"/>
      <c r="AQ50" s="1442"/>
      <c r="AR50" s="1442"/>
      <c r="AS50" s="1442"/>
      <c r="AT50" s="1442"/>
      <c r="AU50" s="1442"/>
      <c r="AV50" s="1442"/>
      <c r="AW50" s="1442"/>
      <c r="AX50" s="1442"/>
      <c r="AY50" s="1442"/>
      <c r="AZ50" s="1442"/>
      <c r="BA50" s="1442"/>
      <c r="BB50" s="1442"/>
      <c r="BC50" s="1442"/>
      <c r="BD50" s="1442"/>
      <c r="BE50" s="1442"/>
      <c r="BF50" s="1442"/>
      <c r="BG50" s="1442"/>
      <c r="BH50" s="1442"/>
      <c r="BI50" s="1442"/>
      <c r="BJ50" s="1442"/>
      <c r="BK50" s="1442"/>
      <c r="BL50" s="1442"/>
      <c r="BM50" s="1442"/>
      <c r="BN50" s="1442"/>
      <c r="BO50" s="1442"/>
      <c r="BP50" s="1442"/>
      <c r="BQ50" s="1442"/>
      <c r="BR50" s="1442"/>
      <c r="BS50" s="1442"/>
      <c r="BT50" s="1442"/>
      <c r="BU50" s="1442"/>
      <c r="BV50" s="1442"/>
      <c r="BW50" s="1442"/>
      <c r="BX50" s="1442"/>
      <c r="BY50" s="1442"/>
      <c r="BZ50" s="1442"/>
      <c r="CA50" s="1442"/>
      <c r="CB50" s="1442"/>
      <c r="CC50" s="1442"/>
      <c r="CD50" s="1442"/>
      <c r="CE50" s="1442"/>
      <c r="CF50" s="1442"/>
      <c r="CG50" s="1442"/>
      <c r="CH50" s="1442"/>
      <c r="CI50" s="1442"/>
      <c r="CJ50" s="1442"/>
      <c r="CK50" s="1442"/>
      <c r="CL50" s="1442"/>
      <c r="CM50" s="1442"/>
      <c r="CN50" s="1442"/>
      <c r="CO50" s="1442"/>
      <c r="CP50" s="1442"/>
      <c r="CQ50" s="1442"/>
      <c r="CR50" s="1442"/>
      <c r="CS50" s="1442"/>
      <c r="CT50" s="1442"/>
      <c r="CU50" s="1442"/>
      <c r="CV50" s="1442"/>
      <c r="CW50" s="1442"/>
      <c r="CX50" s="1442"/>
      <c r="CY50" s="1442"/>
      <c r="CZ50" s="1442"/>
      <c r="DA50" s="1442"/>
      <c r="DB50" s="1442"/>
      <c r="DC50" s="1442"/>
      <c r="DD50" s="1442"/>
      <c r="DE50" s="1442"/>
      <c r="DF50" s="1442"/>
      <c r="DG50" s="1442"/>
      <c r="DH50" s="1442"/>
      <c r="DI50" s="1442"/>
      <c r="DJ50" s="1442"/>
      <c r="DK50" s="1442"/>
      <c r="DL50" s="1442"/>
      <c r="DM50" s="1442"/>
      <c r="DN50" s="1442"/>
      <c r="DO50" s="1442"/>
      <c r="DP50" s="1442"/>
      <c r="DQ50" s="1442"/>
      <c r="DR50" s="1442"/>
      <c r="DS50" s="1442"/>
      <c r="DT50" s="1442"/>
      <c r="DU50" s="1442"/>
      <c r="DV50" s="1442"/>
      <c r="DW50" s="1442"/>
      <c r="DX50" s="1442"/>
      <c r="DY50" s="1442"/>
      <c r="DZ50" s="1442"/>
      <c r="EA50" s="1442"/>
      <c r="EB50" s="1442"/>
      <c r="EC50" s="1442"/>
      <c r="ED50" s="1442"/>
      <c r="EE50" s="1442"/>
      <c r="EF50" s="1442"/>
      <c r="EG50" s="1442"/>
      <c r="EH50" s="1442"/>
      <c r="EI50" s="1442"/>
      <c r="EJ50" s="1442"/>
      <c r="EK50" s="1442"/>
      <c r="EL50" s="1442"/>
      <c r="EM50" s="1442"/>
      <c r="EN50" s="1442"/>
      <c r="EO50" s="1442"/>
      <c r="EP50" s="1442"/>
      <c r="EQ50" s="1442"/>
      <c r="ER50" s="1442"/>
      <c r="ES50" s="1442"/>
      <c r="ET50" s="1442"/>
      <c r="EU50" s="1442"/>
      <c r="EV50" s="1442"/>
      <c r="EW50" s="1442"/>
      <c r="EX50" s="1442"/>
      <c r="EY50" s="1442"/>
      <c r="EZ50" s="1442"/>
      <c r="FA50" s="1442"/>
      <c r="FB50" s="1442"/>
      <c r="FC50" s="1442"/>
      <c r="FD50" s="1442"/>
      <c r="FE50" s="1442"/>
      <c r="FF50" s="1442"/>
      <c r="FG50" s="1442"/>
      <c r="FH50" s="1442"/>
      <c r="FI50" s="1442"/>
      <c r="FJ50" s="1442"/>
      <c r="FK50" s="1442"/>
      <c r="FL50" s="1442"/>
      <c r="FM50" s="1442"/>
      <c r="FN50" s="1442"/>
      <c r="FO50" s="1442"/>
      <c r="FP50" s="1442"/>
      <c r="FQ50" s="1442"/>
      <c r="FR50" s="1442"/>
      <c r="FS50" s="1442"/>
      <c r="FT50" s="1442"/>
      <c r="FU50" s="1442"/>
      <c r="FV50" s="1442"/>
      <c r="FW50" s="1442"/>
      <c r="FX50" s="1442"/>
      <c r="FY50" s="1442"/>
      <c r="FZ50" s="1442"/>
      <c r="GA50" s="1442"/>
      <c r="GB50" s="1442"/>
      <c r="GC50" s="1442"/>
      <c r="GD50" s="1442"/>
      <c r="GE50" s="1442"/>
      <c r="GF50" s="1442"/>
      <c r="GG50" s="1442"/>
      <c r="GH50" s="1442"/>
      <c r="GI50" s="1442"/>
      <c r="GJ50" s="1442"/>
      <c r="GK50" s="1442"/>
      <c r="GL50" s="1442"/>
      <c r="GM50" s="1442"/>
      <c r="GN50" s="1442"/>
      <c r="GO50" s="1442"/>
      <c r="GP50" s="1442"/>
      <c r="GQ50" s="1442"/>
      <c r="GR50" s="1442"/>
      <c r="GS50" s="1442"/>
      <c r="GT50" s="1442"/>
      <c r="GU50" s="1442"/>
      <c r="GV50" s="1442"/>
      <c r="GW50" s="1442"/>
      <c r="GX50" s="1442"/>
      <c r="GY50" s="1442"/>
      <c r="GZ50" s="1442"/>
      <c r="HA50" s="1442"/>
      <c r="HB50" s="1442"/>
      <c r="HC50" s="1442"/>
      <c r="HD50" s="1442"/>
      <c r="HE50" s="1442"/>
      <c r="HF50" s="1442"/>
      <c r="HG50" s="1442"/>
      <c r="HH50" s="1442"/>
      <c r="HI50" s="1442"/>
      <c r="HJ50" s="1442"/>
      <c r="HK50" s="1442"/>
      <c r="HL50" s="1442"/>
      <c r="HM50" s="1442"/>
      <c r="HN50" s="1442"/>
      <c r="HO50" s="1442"/>
      <c r="HP50" s="1442"/>
      <c r="HQ50" s="1442"/>
      <c r="HR50" s="1442"/>
      <c r="HS50" s="1442"/>
      <c r="HT50" s="1442"/>
      <c r="HU50" s="1442"/>
      <c r="HV50" s="1442"/>
      <c r="HW50" s="1442"/>
      <c r="HX50" s="1442"/>
      <c r="HY50" s="1442"/>
      <c r="HZ50" s="1442"/>
      <c r="IA50" s="1442"/>
      <c r="IB50" s="1442"/>
      <c r="IC50" s="1442"/>
      <c r="ID50" s="1442"/>
      <c r="IE50" s="1442"/>
      <c r="IF50" s="1442"/>
      <c r="IG50" s="1442"/>
      <c r="IH50" s="1442"/>
      <c r="II50" s="1442"/>
      <c r="IJ50" s="1442"/>
      <c r="IK50" s="1442"/>
      <c r="IL50" s="1442"/>
      <c r="IM50" s="1442"/>
      <c r="IN50" s="1442"/>
      <c r="IO50" s="1442"/>
      <c r="IP50" s="1442"/>
      <c r="IQ50" s="1442"/>
      <c r="IR50" s="1442"/>
      <c r="IS50" s="1442"/>
      <c r="IT50" s="1442"/>
      <c r="IU50" s="1442"/>
      <c r="IV50" s="1442"/>
      <c r="IW50" s="1442"/>
      <c r="IX50" s="1442"/>
      <c r="IY50" s="1442"/>
      <c r="IZ50" s="1442"/>
      <c r="JA50" s="1442"/>
      <c r="JB50" s="1442"/>
      <c r="JC50" s="1442"/>
      <c r="JD50" s="1442"/>
      <c r="JE50" s="1442"/>
      <c r="JF50" s="1442"/>
      <c r="JG50" s="1442"/>
      <c r="JH50" s="1442"/>
      <c r="JI50" s="1442"/>
      <c r="JJ50" s="1442"/>
      <c r="JK50" s="1442"/>
      <c r="JL50" s="1442"/>
      <c r="JM50" s="1442"/>
      <c r="JN50" s="1442"/>
      <c r="JO50" s="1442"/>
      <c r="JP50" s="1442"/>
      <c r="JQ50" s="1442"/>
      <c r="JR50" s="1442"/>
      <c r="JS50" s="1442"/>
      <c r="JT50" s="1442"/>
      <c r="JU50" s="1442"/>
      <c r="JV50" s="1442"/>
      <c r="JW50" s="1442"/>
      <c r="JX50" s="1442"/>
      <c r="JY50" s="1442"/>
      <c r="JZ50" s="1442"/>
      <c r="KA50" s="1442"/>
      <c r="KB50" s="1442"/>
      <c r="KC50" s="1442"/>
      <c r="KD50" s="1442"/>
      <c r="KE50" s="1442"/>
      <c r="KF50" s="1442"/>
      <c r="KG50" s="1442"/>
      <c r="KH50" s="1442"/>
      <c r="KI50" s="1442"/>
      <c r="KJ50" s="1442"/>
      <c r="KK50" s="1442"/>
      <c r="KL50" s="1442"/>
      <c r="KM50" s="1442"/>
      <c r="KN50" s="1442"/>
      <c r="KO50" s="1442"/>
      <c r="KP50" s="1442"/>
      <c r="KQ50" s="1442"/>
      <c r="KR50" s="1442"/>
      <c r="KS50" s="1442"/>
      <c r="KT50" s="1442"/>
      <c r="KU50" s="1442"/>
      <c r="KV50" s="1442"/>
      <c r="KW50" s="1442"/>
      <c r="KX50" s="1442"/>
      <c r="KY50" s="1442"/>
      <c r="KZ50" s="1442"/>
      <c r="LA50" s="1442"/>
      <c r="LB50" s="1442"/>
      <c r="LC50" s="1442"/>
      <c r="LD50" s="1442"/>
      <c r="LE50" s="1442"/>
      <c r="LF50" s="1442"/>
      <c r="LG50" s="1442"/>
      <c r="LH50" s="1442"/>
      <c r="LI50" s="1442"/>
      <c r="LJ50" s="1442"/>
      <c r="LK50" s="1442"/>
      <c r="LL50" s="1442"/>
      <c r="LM50" s="1442"/>
      <c r="LN50" s="1442"/>
      <c r="LO50" s="1442"/>
      <c r="LP50" s="1442"/>
      <c r="LQ50" s="1442"/>
      <c r="LR50" s="1442"/>
      <c r="LS50" s="1442"/>
      <c r="LT50" s="1442"/>
      <c r="LU50" s="1442"/>
      <c r="LV50" s="1442"/>
      <c r="LW50" s="1442"/>
      <c r="LX50" s="1442"/>
      <c r="LY50" s="1442"/>
      <c r="LZ50" s="1442"/>
      <c r="MA50" s="1442"/>
      <c r="MB50" s="1442"/>
      <c r="MC50" s="1442"/>
      <c r="MD50" s="1442"/>
      <c r="ME50" s="1442"/>
      <c r="MF50" s="261"/>
      <c r="MG50" s="261"/>
      <c r="MH50" s="261"/>
      <c r="MI50" s="261"/>
      <c r="MJ50" s="261"/>
      <c r="MK50" s="261"/>
      <c r="ML50" s="261"/>
      <c r="MM50" s="261"/>
      <c r="MN50" s="261"/>
      <c r="MO50" s="261"/>
      <c r="MP50" s="261"/>
      <c r="MQ50" s="261"/>
      <c r="MR50" s="261"/>
      <c r="MS50" s="261"/>
      <c r="MT50" s="261"/>
      <c r="NO50" s="261"/>
      <c r="NP50" s="1413" t="s">
        <v>1159</v>
      </c>
      <c r="NQ50" s="261"/>
    </row>
    <row r="51" spans="1:381" ht="12" customHeight="1">
      <c r="A51" s="3518" t="s">
        <v>1160</v>
      </c>
      <c r="B51" s="3517"/>
      <c r="C51" s="3517"/>
      <c r="D51" s="3517"/>
      <c r="E51" s="3517"/>
      <c r="F51" s="3517"/>
      <c r="G51" s="3517"/>
      <c r="H51" s="3517"/>
      <c r="I51" s="3517"/>
      <c r="J51" s="3517"/>
      <c r="K51" s="3517"/>
      <c r="L51" s="3517"/>
      <c r="M51" s="3517"/>
      <c r="N51" s="3517"/>
      <c r="O51" s="3517"/>
      <c r="P51" s="3517"/>
      <c r="Q51" s="3517"/>
      <c r="R51" s="661"/>
      <c r="S51" s="43"/>
      <c r="T51" s="43"/>
      <c r="U51" s="43"/>
      <c r="V51" s="43"/>
      <c r="W51" s="156"/>
      <c r="X51" s="1442"/>
      <c r="Y51" s="1442"/>
      <c r="Z51" s="1442"/>
      <c r="AA51" s="1442"/>
      <c r="AB51" s="1442"/>
      <c r="AC51" s="1442"/>
      <c r="AD51" s="1442"/>
      <c r="AE51" s="1442"/>
      <c r="AF51" s="1442"/>
      <c r="AG51" s="1442"/>
      <c r="AH51" s="1442"/>
      <c r="AI51" s="1442"/>
      <c r="AJ51" s="1442"/>
      <c r="AK51" s="1442"/>
      <c r="AL51" s="1442"/>
      <c r="AM51" s="1442"/>
      <c r="AN51" s="1442"/>
      <c r="AO51" s="1442"/>
      <c r="AP51" s="1442"/>
      <c r="AQ51" s="1442"/>
      <c r="AR51" s="1442"/>
      <c r="AS51" s="1442"/>
      <c r="AT51" s="1442"/>
      <c r="AU51" s="1442"/>
      <c r="AV51" s="1442"/>
      <c r="AW51" s="1442"/>
      <c r="AX51" s="1442"/>
      <c r="AY51" s="1442"/>
      <c r="AZ51" s="1442"/>
      <c r="BA51" s="1442"/>
      <c r="BB51" s="1442"/>
      <c r="BC51" s="1442"/>
      <c r="BD51" s="1442"/>
      <c r="BE51" s="1442"/>
      <c r="BF51" s="1442"/>
      <c r="BG51" s="1442"/>
      <c r="BH51" s="1442"/>
      <c r="BI51" s="1442"/>
      <c r="BJ51" s="1442"/>
      <c r="BK51" s="1442"/>
      <c r="BL51" s="1442"/>
      <c r="BM51" s="1442"/>
      <c r="BN51" s="1442"/>
      <c r="BO51" s="1442"/>
      <c r="BP51" s="1442"/>
      <c r="BQ51" s="1442"/>
      <c r="BR51" s="1442"/>
      <c r="BS51" s="1442"/>
      <c r="BT51" s="1442"/>
      <c r="BU51" s="1442"/>
      <c r="BV51" s="1442"/>
      <c r="BW51" s="1442"/>
      <c r="BX51" s="1442"/>
      <c r="BY51" s="1442"/>
      <c r="BZ51" s="1442"/>
      <c r="CA51" s="1442"/>
      <c r="CB51" s="1442"/>
      <c r="CC51" s="1442"/>
      <c r="CD51" s="1442"/>
      <c r="CE51" s="1442"/>
      <c r="CF51" s="1442"/>
      <c r="CG51" s="1442"/>
      <c r="CH51" s="1442"/>
      <c r="CI51" s="1442"/>
      <c r="CJ51" s="1442"/>
      <c r="CK51" s="1442"/>
      <c r="CL51" s="1442"/>
      <c r="CM51" s="1442"/>
      <c r="CN51" s="1442"/>
      <c r="CO51" s="1442"/>
      <c r="CP51" s="1442"/>
      <c r="CQ51" s="1442"/>
      <c r="CR51" s="1442"/>
      <c r="CS51" s="1442"/>
      <c r="CT51" s="1442"/>
      <c r="CU51" s="1442"/>
      <c r="CV51" s="1442"/>
      <c r="CW51" s="1442"/>
      <c r="CX51" s="1442"/>
      <c r="CY51" s="1442"/>
      <c r="CZ51" s="1442"/>
      <c r="DA51" s="1442"/>
      <c r="DB51" s="1442"/>
      <c r="DC51" s="1442"/>
      <c r="DD51" s="1442"/>
      <c r="DE51" s="1442"/>
      <c r="DF51" s="1442"/>
      <c r="DG51" s="1442"/>
      <c r="DH51" s="1442"/>
      <c r="DI51" s="1442"/>
      <c r="DJ51" s="1442"/>
      <c r="DK51" s="1442"/>
      <c r="DL51" s="1442"/>
      <c r="DM51" s="1442"/>
      <c r="DN51" s="1442"/>
      <c r="DO51" s="1442"/>
      <c r="DP51" s="1442"/>
      <c r="DQ51" s="1442"/>
      <c r="DR51" s="1442"/>
      <c r="DS51" s="1442"/>
      <c r="DT51" s="1442"/>
      <c r="DU51" s="1442"/>
      <c r="DV51" s="1442"/>
      <c r="DW51" s="1442"/>
      <c r="DX51" s="1442"/>
      <c r="DY51" s="1442"/>
      <c r="DZ51" s="1442"/>
      <c r="EA51" s="1442"/>
      <c r="EB51" s="1442"/>
      <c r="EC51" s="1442"/>
      <c r="ED51" s="1442"/>
      <c r="EE51" s="1442"/>
      <c r="EF51" s="1442"/>
      <c r="EG51" s="1442"/>
      <c r="EH51" s="1442"/>
      <c r="EI51" s="1442"/>
      <c r="EJ51" s="1442"/>
      <c r="EK51" s="1442"/>
      <c r="EL51" s="1442"/>
      <c r="EM51" s="1442"/>
      <c r="EN51" s="1442"/>
      <c r="EO51" s="1442"/>
      <c r="EP51" s="1442"/>
      <c r="EQ51" s="1442"/>
      <c r="ER51" s="1442"/>
      <c r="ES51" s="1442"/>
      <c r="ET51" s="1442"/>
      <c r="EU51" s="1442"/>
      <c r="EV51" s="1442"/>
      <c r="EW51" s="1442"/>
      <c r="EX51" s="1442"/>
      <c r="EY51" s="1442"/>
      <c r="EZ51" s="1442"/>
      <c r="FA51" s="1442"/>
      <c r="FB51" s="1442"/>
      <c r="FC51" s="1442"/>
      <c r="FD51" s="1442"/>
      <c r="FE51" s="1442"/>
      <c r="FF51" s="1442"/>
      <c r="FG51" s="1442"/>
      <c r="FH51" s="1442"/>
      <c r="FI51" s="1442"/>
      <c r="FJ51" s="1442"/>
      <c r="FK51" s="1442"/>
      <c r="FL51" s="1442"/>
      <c r="FM51" s="1442"/>
      <c r="FN51" s="1442"/>
      <c r="FO51" s="1442"/>
      <c r="FP51" s="1442"/>
      <c r="FQ51" s="1442"/>
      <c r="FR51" s="1442"/>
      <c r="FS51" s="1442"/>
      <c r="FT51" s="1442"/>
      <c r="FU51" s="1442"/>
      <c r="FV51" s="1442"/>
      <c r="FW51" s="1442"/>
      <c r="FX51" s="1442"/>
      <c r="FY51" s="1442"/>
      <c r="FZ51" s="1442"/>
      <c r="GA51" s="1442"/>
      <c r="GB51" s="1442"/>
      <c r="GC51" s="1442"/>
      <c r="GD51" s="1442"/>
      <c r="GE51" s="1442"/>
      <c r="GF51" s="1442"/>
      <c r="GG51" s="1442"/>
      <c r="GH51" s="1442"/>
      <c r="GI51" s="1442"/>
      <c r="GJ51" s="1442"/>
      <c r="GK51" s="1442"/>
      <c r="GL51" s="1442"/>
      <c r="GM51" s="1442"/>
      <c r="GN51" s="1442"/>
      <c r="GO51" s="1442"/>
      <c r="GP51" s="1442"/>
      <c r="GQ51" s="1442"/>
      <c r="GR51" s="1442"/>
      <c r="GS51" s="1442"/>
      <c r="GT51" s="1442"/>
      <c r="GU51" s="1442"/>
      <c r="GV51" s="1442"/>
      <c r="GW51" s="1442"/>
      <c r="GX51" s="1442"/>
      <c r="GY51" s="1442"/>
      <c r="GZ51" s="1442"/>
      <c r="HA51" s="1442"/>
      <c r="HB51" s="1442"/>
      <c r="HC51" s="1442"/>
      <c r="HD51" s="1442"/>
      <c r="HE51" s="1442"/>
      <c r="HF51" s="1442"/>
      <c r="HG51" s="1442"/>
      <c r="HH51" s="1442"/>
      <c r="HI51" s="1442"/>
      <c r="HJ51" s="1442"/>
      <c r="HK51" s="1442"/>
      <c r="HL51" s="1442"/>
      <c r="HM51" s="1442"/>
      <c r="HN51" s="1442"/>
      <c r="HO51" s="1442"/>
      <c r="HP51" s="1442"/>
      <c r="HQ51" s="1442"/>
      <c r="HR51" s="1442"/>
      <c r="HS51" s="1442"/>
      <c r="HT51" s="1442"/>
      <c r="HU51" s="1442"/>
      <c r="HV51" s="1442"/>
      <c r="HW51" s="1442"/>
      <c r="HX51" s="1442"/>
      <c r="HY51" s="1442"/>
      <c r="HZ51" s="1442"/>
      <c r="IA51" s="1442"/>
      <c r="IB51" s="1442"/>
      <c r="IC51" s="1442"/>
      <c r="ID51" s="1442"/>
      <c r="IE51" s="1442"/>
      <c r="IF51" s="1442"/>
      <c r="IG51" s="1442"/>
      <c r="IH51" s="1442"/>
      <c r="II51" s="1442"/>
      <c r="IJ51" s="1442"/>
      <c r="IK51" s="1442"/>
      <c r="IL51" s="1442"/>
      <c r="IM51" s="1442"/>
      <c r="IN51" s="1442"/>
      <c r="IO51" s="1442"/>
      <c r="IP51" s="1442"/>
      <c r="IQ51" s="1442"/>
      <c r="IR51" s="1442"/>
      <c r="IS51" s="1442"/>
      <c r="IT51" s="1442"/>
      <c r="IU51" s="1442"/>
      <c r="IV51" s="1442"/>
      <c r="IW51" s="1442"/>
      <c r="IX51" s="1442"/>
      <c r="IY51" s="1442"/>
      <c r="IZ51" s="1442"/>
      <c r="JA51" s="1442"/>
      <c r="JB51" s="1442"/>
      <c r="JC51" s="1442"/>
      <c r="JD51" s="1442"/>
      <c r="JE51" s="1442"/>
      <c r="JF51" s="1442"/>
      <c r="JG51" s="1442"/>
      <c r="JH51" s="1442"/>
      <c r="JI51" s="1442"/>
      <c r="JJ51" s="1442"/>
      <c r="JK51" s="1442"/>
      <c r="JL51" s="1442"/>
      <c r="JM51" s="1442"/>
      <c r="JN51" s="1442"/>
      <c r="JO51" s="1442"/>
      <c r="JP51" s="1442"/>
      <c r="JQ51" s="1442"/>
      <c r="JR51" s="1442"/>
      <c r="JS51" s="1442"/>
      <c r="JT51" s="1442"/>
      <c r="JU51" s="1442"/>
      <c r="JV51" s="1442"/>
      <c r="JW51" s="1442"/>
      <c r="JX51" s="1442"/>
      <c r="JY51" s="1442"/>
      <c r="JZ51" s="1442"/>
      <c r="KA51" s="1442"/>
      <c r="KB51" s="1442"/>
      <c r="KC51" s="1442"/>
      <c r="KD51" s="1442"/>
      <c r="KE51" s="1442"/>
      <c r="KF51" s="1442"/>
      <c r="KG51" s="1442"/>
      <c r="KH51" s="1442"/>
      <c r="KI51" s="1442"/>
      <c r="KJ51" s="1442"/>
      <c r="KK51" s="1442"/>
      <c r="KL51" s="1442"/>
      <c r="KM51" s="1442"/>
      <c r="KN51" s="1442"/>
      <c r="KO51" s="1442"/>
      <c r="KP51" s="1442"/>
      <c r="KQ51" s="1442"/>
      <c r="KR51" s="1442"/>
      <c r="KS51" s="1442"/>
      <c r="KT51" s="1442"/>
      <c r="KU51" s="1442"/>
      <c r="KV51" s="1442"/>
      <c r="KW51" s="1442"/>
      <c r="KX51" s="1442"/>
      <c r="KY51" s="1442"/>
      <c r="KZ51" s="1442"/>
      <c r="LA51" s="1442"/>
      <c r="LB51" s="1442"/>
      <c r="LC51" s="1442"/>
      <c r="LD51" s="1442"/>
      <c r="LE51" s="1442"/>
      <c r="LF51" s="1442"/>
      <c r="LG51" s="1442"/>
      <c r="LH51" s="1442"/>
      <c r="LI51" s="1442"/>
      <c r="LJ51" s="1442"/>
      <c r="LK51" s="1442"/>
      <c r="LL51" s="1442"/>
      <c r="LM51" s="1442"/>
      <c r="LN51" s="1442"/>
      <c r="LO51" s="1442"/>
      <c r="LP51" s="1442"/>
      <c r="LQ51" s="1442"/>
      <c r="LR51" s="1442"/>
      <c r="LS51" s="1442"/>
      <c r="LT51" s="1442"/>
      <c r="LU51" s="1442"/>
      <c r="LV51" s="1442"/>
      <c r="LW51" s="1442"/>
      <c r="LX51" s="1442"/>
      <c r="LY51" s="1442"/>
      <c r="LZ51" s="1442"/>
      <c r="MA51" s="1442"/>
      <c r="MB51" s="1442"/>
      <c r="MC51" s="1442"/>
      <c r="MD51" s="1442"/>
      <c r="ME51" s="1442"/>
    </row>
    <row r="52" spans="1:381" ht="12" customHeight="1">
      <c r="A52" s="3517"/>
      <c r="B52" s="3517"/>
      <c r="C52" s="3517"/>
      <c r="D52" s="3517"/>
      <c r="E52" s="3517"/>
      <c r="F52" s="3517"/>
      <c r="G52" s="3517"/>
      <c r="H52" s="3517"/>
      <c r="I52" s="3517"/>
      <c r="J52" s="3517"/>
      <c r="K52" s="3517"/>
      <c r="L52" s="3517"/>
      <c r="M52" s="3517"/>
      <c r="N52" s="3517"/>
      <c r="O52" s="3517"/>
      <c r="P52" s="3517"/>
      <c r="Q52" s="3517"/>
      <c r="R52" s="661"/>
      <c r="S52" s="43"/>
      <c r="T52" s="43"/>
      <c r="U52" s="43"/>
      <c r="V52" s="43"/>
      <c r="W52" s="156"/>
      <c r="X52" s="1442"/>
      <c r="Y52" s="1442"/>
      <c r="Z52" s="1442"/>
      <c r="AA52" s="1442"/>
      <c r="AB52" s="1442"/>
      <c r="AC52" s="1442"/>
      <c r="AD52" s="1442"/>
      <c r="AE52" s="1442"/>
      <c r="AF52" s="1442"/>
      <c r="AG52" s="1442"/>
      <c r="AH52" s="1442"/>
      <c r="AI52" s="1442"/>
      <c r="AJ52" s="1442"/>
      <c r="AK52" s="1442"/>
      <c r="AL52" s="1442"/>
      <c r="AM52" s="1442"/>
      <c r="AN52" s="1442"/>
      <c r="AO52" s="1442"/>
      <c r="AP52" s="1442"/>
      <c r="AQ52" s="1442"/>
      <c r="AR52" s="1442"/>
      <c r="AS52" s="1442"/>
      <c r="AT52" s="1442"/>
      <c r="AU52" s="1442"/>
      <c r="AV52" s="1442"/>
      <c r="AW52" s="1442"/>
      <c r="AX52" s="1442"/>
      <c r="AY52" s="1442"/>
      <c r="AZ52" s="1442"/>
      <c r="BA52" s="1442"/>
      <c r="BB52" s="1442"/>
      <c r="BC52" s="1442"/>
      <c r="BD52" s="1442"/>
      <c r="BE52" s="1442"/>
      <c r="BF52" s="1442"/>
      <c r="BG52" s="1442"/>
      <c r="BH52" s="1442"/>
      <c r="BI52" s="1442"/>
      <c r="BJ52" s="1442"/>
      <c r="BK52" s="1442"/>
      <c r="BL52" s="1442"/>
      <c r="BM52" s="1442"/>
      <c r="BN52" s="1442"/>
      <c r="BO52" s="1442"/>
      <c r="BP52" s="1442"/>
      <c r="BQ52" s="1442"/>
      <c r="BR52" s="1442"/>
      <c r="BS52" s="1442"/>
      <c r="BT52" s="1442"/>
      <c r="BU52" s="1442"/>
      <c r="BV52" s="1442"/>
      <c r="BW52" s="1442"/>
      <c r="BX52" s="1442"/>
      <c r="BY52" s="1442"/>
      <c r="BZ52" s="1442"/>
      <c r="CA52" s="1442"/>
      <c r="CB52" s="1442"/>
      <c r="CC52" s="1442"/>
      <c r="CD52" s="1442"/>
      <c r="CE52" s="1442"/>
      <c r="CF52" s="1442"/>
      <c r="CG52" s="1442"/>
      <c r="CH52" s="1442"/>
      <c r="CI52" s="1442"/>
      <c r="CJ52" s="1442"/>
      <c r="CK52" s="1442"/>
      <c r="CL52" s="1442"/>
      <c r="CM52" s="1442"/>
      <c r="CN52" s="1442"/>
      <c r="CO52" s="1442"/>
      <c r="CP52" s="1442"/>
      <c r="CQ52" s="1442"/>
      <c r="CR52" s="1442"/>
      <c r="CS52" s="1442"/>
      <c r="CT52" s="1442"/>
      <c r="CU52" s="1442"/>
      <c r="CV52" s="1442"/>
      <c r="CW52" s="1442"/>
      <c r="CX52" s="1442"/>
      <c r="CY52" s="1442"/>
      <c r="CZ52" s="1442"/>
      <c r="DA52" s="1442"/>
      <c r="DB52" s="1442"/>
      <c r="DC52" s="1442"/>
      <c r="DD52" s="1442"/>
      <c r="DE52" s="1442"/>
      <c r="DF52" s="1442"/>
      <c r="DG52" s="1442"/>
      <c r="DH52" s="1442"/>
      <c r="DI52" s="1442"/>
      <c r="DJ52" s="1442"/>
      <c r="DK52" s="1442"/>
      <c r="DL52" s="1442"/>
      <c r="DM52" s="1442"/>
      <c r="DN52" s="1442"/>
      <c r="DO52" s="1442"/>
      <c r="DP52" s="1442"/>
      <c r="DQ52" s="1442"/>
      <c r="DR52" s="1442"/>
      <c r="DS52" s="1442"/>
      <c r="DT52" s="1442"/>
      <c r="DU52" s="1442"/>
      <c r="DV52" s="1442"/>
      <c r="DW52" s="1442"/>
      <c r="DX52" s="1442"/>
      <c r="DY52" s="1442"/>
      <c r="DZ52" s="1442"/>
      <c r="EA52" s="1442"/>
      <c r="EB52" s="1442"/>
      <c r="EC52" s="1442"/>
      <c r="ED52" s="1442"/>
      <c r="EE52" s="1442"/>
      <c r="EF52" s="1442"/>
      <c r="EG52" s="1442"/>
      <c r="EH52" s="1442"/>
      <c r="EI52" s="1442"/>
      <c r="EJ52" s="1442"/>
      <c r="EK52" s="1442"/>
      <c r="EL52" s="1442"/>
      <c r="EM52" s="1442"/>
      <c r="EN52" s="1442"/>
      <c r="EO52" s="1442"/>
      <c r="EP52" s="1442"/>
      <c r="EQ52" s="1442"/>
      <c r="ER52" s="1442"/>
      <c r="ES52" s="1442"/>
      <c r="ET52" s="1442"/>
      <c r="EU52" s="1442"/>
      <c r="EV52" s="1442"/>
      <c r="EW52" s="1442"/>
      <c r="EX52" s="1442"/>
      <c r="EY52" s="1442"/>
      <c r="EZ52" s="1442"/>
      <c r="FA52" s="1442"/>
      <c r="FB52" s="1442"/>
      <c r="FC52" s="1442"/>
      <c r="FD52" s="1442"/>
      <c r="FE52" s="1442"/>
      <c r="FF52" s="1442"/>
      <c r="FG52" s="1442"/>
      <c r="FH52" s="1442"/>
      <c r="FI52" s="1442"/>
      <c r="FJ52" s="1442"/>
      <c r="FK52" s="1442"/>
      <c r="FL52" s="1442"/>
      <c r="FM52" s="1442"/>
      <c r="FN52" s="1442"/>
      <c r="FO52" s="1442"/>
      <c r="FP52" s="1442"/>
      <c r="FQ52" s="1442"/>
      <c r="FR52" s="1442"/>
      <c r="FS52" s="1442"/>
      <c r="FT52" s="1442"/>
      <c r="FU52" s="1442"/>
      <c r="FV52" s="1442"/>
      <c r="FW52" s="1442"/>
      <c r="FX52" s="1442"/>
      <c r="FY52" s="1442"/>
      <c r="FZ52" s="1442"/>
      <c r="GA52" s="1442"/>
      <c r="GB52" s="1442"/>
      <c r="GC52" s="1442"/>
      <c r="GD52" s="1442"/>
      <c r="GE52" s="1442"/>
      <c r="GF52" s="1442"/>
      <c r="GG52" s="1442"/>
      <c r="GH52" s="1442"/>
      <c r="GI52" s="1442"/>
      <c r="GJ52" s="1442"/>
      <c r="GK52" s="1442"/>
      <c r="GL52" s="1442"/>
      <c r="GM52" s="1442"/>
      <c r="GN52" s="1442"/>
      <c r="GO52" s="1442"/>
      <c r="GP52" s="1442"/>
      <c r="GQ52" s="1442"/>
      <c r="GR52" s="1442"/>
      <c r="GS52" s="1442"/>
      <c r="GT52" s="1442"/>
      <c r="GU52" s="1442"/>
      <c r="GV52" s="1442"/>
      <c r="GW52" s="1442"/>
      <c r="GX52" s="1442"/>
      <c r="GY52" s="1442"/>
      <c r="GZ52" s="1442"/>
      <c r="HA52" s="1442"/>
      <c r="HB52" s="1442"/>
      <c r="HC52" s="1442"/>
      <c r="HD52" s="1442"/>
      <c r="HE52" s="1442"/>
      <c r="HF52" s="1442"/>
      <c r="HG52" s="1442"/>
      <c r="HH52" s="1442"/>
      <c r="HI52" s="1442"/>
      <c r="HJ52" s="1442"/>
      <c r="HK52" s="1442"/>
      <c r="HL52" s="1442"/>
      <c r="HM52" s="1442"/>
      <c r="HN52" s="1442"/>
      <c r="HO52" s="1442"/>
      <c r="HP52" s="1442"/>
      <c r="HQ52" s="1442"/>
      <c r="HR52" s="1442"/>
      <c r="HS52" s="1442"/>
      <c r="HT52" s="1442"/>
      <c r="HU52" s="1442"/>
      <c r="HV52" s="1442"/>
      <c r="HW52" s="1442"/>
      <c r="HX52" s="1442"/>
      <c r="HY52" s="1442"/>
      <c r="HZ52" s="1442"/>
      <c r="IA52" s="1442"/>
      <c r="IB52" s="1442"/>
      <c r="IC52" s="1442"/>
      <c r="ID52" s="1442"/>
      <c r="IE52" s="1442"/>
      <c r="IF52" s="1442"/>
      <c r="IG52" s="1442"/>
      <c r="IH52" s="1442"/>
      <c r="II52" s="1442"/>
      <c r="IJ52" s="1442"/>
      <c r="IK52" s="1442"/>
      <c r="IL52" s="1442"/>
      <c r="IM52" s="1442"/>
      <c r="IN52" s="1442"/>
      <c r="IO52" s="1442"/>
      <c r="IP52" s="1442"/>
      <c r="IQ52" s="1442"/>
      <c r="IR52" s="1442"/>
      <c r="IS52" s="1442"/>
      <c r="IT52" s="1442"/>
      <c r="IU52" s="1442"/>
      <c r="IV52" s="1442"/>
      <c r="IW52" s="1442"/>
      <c r="IX52" s="1442"/>
      <c r="IY52" s="1442"/>
      <c r="IZ52" s="1442"/>
      <c r="JA52" s="1442"/>
      <c r="JB52" s="1442"/>
      <c r="JC52" s="1442"/>
      <c r="JD52" s="1442"/>
      <c r="JE52" s="1442"/>
      <c r="JF52" s="1442"/>
      <c r="JG52" s="1442"/>
      <c r="JH52" s="1442"/>
      <c r="JI52" s="1442"/>
      <c r="JJ52" s="1442"/>
      <c r="JK52" s="1442"/>
      <c r="JL52" s="1442"/>
      <c r="JM52" s="1442"/>
      <c r="JN52" s="1442"/>
      <c r="JO52" s="1442"/>
      <c r="JP52" s="1442"/>
      <c r="JQ52" s="1442"/>
      <c r="JR52" s="1442"/>
      <c r="JS52" s="1442"/>
      <c r="JT52" s="1442"/>
      <c r="JU52" s="1442"/>
      <c r="JV52" s="1442"/>
      <c r="JW52" s="1442"/>
      <c r="JX52" s="1442"/>
      <c r="JY52" s="1442"/>
      <c r="JZ52" s="1442"/>
      <c r="KA52" s="1442"/>
      <c r="KB52" s="1442"/>
      <c r="KC52" s="1442"/>
      <c r="KD52" s="1442"/>
      <c r="KE52" s="1442"/>
      <c r="KF52" s="1442"/>
      <c r="KG52" s="1442"/>
      <c r="KH52" s="1442"/>
      <c r="KI52" s="1442"/>
      <c r="KJ52" s="1442"/>
      <c r="KK52" s="1442"/>
      <c r="KL52" s="1442"/>
      <c r="KM52" s="1442"/>
      <c r="KN52" s="1442"/>
      <c r="KO52" s="1442"/>
      <c r="KP52" s="1442"/>
      <c r="KQ52" s="1442"/>
      <c r="KR52" s="1442"/>
      <c r="KS52" s="1442"/>
      <c r="KT52" s="1442"/>
      <c r="KU52" s="1442"/>
      <c r="KV52" s="1442"/>
      <c r="KW52" s="1442"/>
      <c r="KX52" s="1442"/>
      <c r="KY52" s="1442"/>
      <c r="KZ52" s="1442"/>
      <c r="LA52" s="1442"/>
      <c r="LB52" s="1442"/>
      <c r="LC52" s="1442"/>
      <c r="LD52" s="1442"/>
      <c r="LE52" s="1442"/>
      <c r="LF52" s="1442"/>
      <c r="LG52" s="1442"/>
      <c r="LH52" s="1442"/>
      <c r="LI52" s="1442"/>
      <c r="LJ52" s="1442"/>
      <c r="LK52" s="1442"/>
      <c r="LL52" s="1442"/>
      <c r="LM52" s="1442"/>
      <c r="LN52" s="1442"/>
      <c r="LO52" s="1442"/>
      <c r="LP52" s="1442"/>
      <c r="LQ52" s="1442"/>
      <c r="LR52" s="1442"/>
      <c r="LS52" s="1442"/>
      <c r="LT52" s="1442"/>
      <c r="LU52" s="1442"/>
      <c r="LV52" s="1442"/>
      <c r="LW52" s="1442"/>
      <c r="LX52" s="1442"/>
      <c r="LY52" s="1442"/>
      <c r="LZ52" s="1442"/>
      <c r="MA52" s="1442"/>
      <c r="MB52" s="1442"/>
      <c r="MC52" s="1442"/>
      <c r="MD52" s="1442"/>
      <c r="ME52" s="1442"/>
    </row>
    <row r="53" spans="1:381" ht="14.65" customHeight="1">
      <c r="A53" s="7" t="s">
        <v>25</v>
      </c>
      <c r="B53" s="7" t="s">
        <v>1161</v>
      </c>
      <c r="C53" s="79"/>
      <c r="D53" s="79"/>
      <c r="E53" s="79"/>
      <c r="F53" s="79"/>
      <c r="G53" s="79"/>
      <c r="H53" s="79"/>
      <c r="I53" s="79"/>
      <c r="J53" s="79"/>
      <c r="K53" s="1570" t="s">
        <v>1162</v>
      </c>
      <c r="L53" s="79"/>
      <c r="M53" s="79"/>
      <c r="N53" s="79"/>
      <c r="O53" s="3508" t="s">
        <v>7055</v>
      </c>
      <c r="P53" s="3509"/>
      <c r="S53" s="3536" t="str">
        <f>B53</f>
        <v>UNIT SUMMARY</v>
      </c>
      <c r="T53" s="3536"/>
      <c r="U53" s="3536"/>
      <c r="V53" s="3536"/>
      <c r="AY53" s="263"/>
      <c r="BD53" s="263"/>
      <c r="LO53" s="265"/>
      <c r="MD53" s="261"/>
    </row>
    <row r="54" spans="1:381" ht="14.25" customHeight="1">
      <c r="A54" s="7"/>
      <c r="B54" s="7"/>
      <c r="C54" s="79"/>
      <c r="D54" s="79"/>
      <c r="E54" s="79"/>
      <c r="F54" s="79"/>
      <c r="G54" s="79"/>
      <c r="H54" s="79"/>
      <c r="I54" s="79"/>
      <c r="J54" s="79"/>
      <c r="K54" s="99" t="s">
        <v>1163</v>
      </c>
      <c r="L54" s="79"/>
      <c r="M54" s="79"/>
      <c r="N54" s="79"/>
      <c r="O54" s="3506" t="s">
        <v>713</v>
      </c>
      <c r="P54" s="3507"/>
      <c r="S54" s="62"/>
      <c r="T54" s="62"/>
      <c r="U54" s="271"/>
      <c r="AY54" s="263"/>
      <c r="BD54" s="263"/>
      <c r="LO54" s="265"/>
      <c r="MD54" s="261"/>
    </row>
    <row r="55" spans="1:381" ht="14.65" customHeight="1">
      <c r="A55" s="7"/>
      <c r="B55" s="7" t="s">
        <v>1164</v>
      </c>
      <c r="C55" s="79"/>
      <c r="D55" s="79"/>
      <c r="E55" s="79"/>
      <c r="F55" s="79"/>
      <c r="G55" s="79"/>
      <c r="H55" s="37" t="s">
        <v>1165</v>
      </c>
      <c r="I55" s="37"/>
      <c r="J55" s="37"/>
      <c r="K55" s="1569" t="s">
        <v>763</v>
      </c>
      <c r="L55" s="59" t="s">
        <v>1166</v>
      </c>
      <c r="M55" s="59" t="s">
        <v>1167</v>
      </c>
      <c r="N55" s="59" t="s">
        <v>1168</v>
      </c>
      <c r="O55" s="59" t="s">
        <v>1169</v>
      </c>
      <c r="P55" s="59" t="s">
        <v>296</v>
      </c>
      <c r="S55" s="7" t="s">
        <v>781</v>
      </c>
      <c r="T55" s="7"/>
      <c r="U55" s="271"/>
      <c r="AR55" s="1576"/>
      <c r="AS55" s="1576"/>
      <c r="AT55" s="1576"/>
      <c r="AU55" s="1576"/>
      <c r="AV55" s="1576"/>
      <c r="AW55" s="1576"/>
      <c r="AY55" s="263"/>
      <c r="BB55" s="1576"/>
      <c r="BD55" s="263"/>
      <c r="LO55" s="265"/>
      <c r="MD55" s="261"/>
    </row>
    <row r="56" spans="1:381" ht="15" customHeight="1">
      <c r="A56" s="3596" t="s">
        <v>1170</v>
      </c>
      <c r="B56" s="3596"/>
      <c r="C56" s="45" t="s">
        <v>1171</v>
      </c>
      <c r="D56" s="45"/>
      <c r="E56" s="45"/>
      <c r="F56" s="45"/>
      <c r="G56" s="37"/>
      <c r="H56" s="50" t="s">
        <v>1172</v>
      </c>
      <c r="I56" s="15"/>
      <c r="J56" s="37"/>
      <c r="K56" s="2899">
        <f>X49</f>
        <v>0</v>
      </c>
      <c r="L56" s="2900">
        <f>Y49</f>
        <v>0</v>
      </c>
      <c r="M56" s="2900">
        <f>Z49</f>
        <v>0</v>
      </c>
      <c r="N56" s="2900">
        <f>AA49</f>
        <v>0</v>
      </c>
      <c r="O56" s="2901">
        <f>AB49</f>
        <v>0</v>
      </c>
      <c r="P56" s="2902">
        <f t="shared" ref="P56:P67" si="347">SUM(K56:O56)</f>
        <v>0</v>
      </c>
      <c r="Q56" s="3516" t="s">
        <v>1173</v>
      </c>
      <c r="R56" s="712"/>
      <c r="S56" s="3503"/>
      <c r="T56" s="3504"/>
      <c r="U56" s="3504"/>
      <c r="V56" s="3504"/>
      <c r="W56" s="3505"/>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596"/>
      <c r="B57" s="3596"/>
      <c r="C57" s="45"/>
      <c r="D57" s="45"/>
      <c r="E57" s="45"/>
      <c r="F57" s="45"/>
      <c r="G57" s="37"/>
      <c r="H57" s="50" t="s">
        <v>1174</v>
      </c>
      <c r="I57" s="15"/>
      <c r="J57" s="37"/>
      <c r="K57" s="920">
        <f>AC49</f>
        <v>0</v>
      </c>
      <c r="L57" s="921">
        <f>AD49</f>
        <v>0</v>
      </c>
      <c r="M57" s="921">
        <f>AE49</f>
        <v>0</v>
      </c>
      <c r="N57" s="921">
        <f>AF49</f>
        <v>0</v>
      </c>
      <c r="O57" s="922">
        <f>AG49</f>
        <v>0</v>
      </c>
      <c r="P57" s="894">
        <f t="shared" si="347"/>
        <v>0</v>
      </c>
      <c r="Q57" s="3516"/>
      <c r="R57" s="712"/>
      <c r="S57" s="3500"/>
      <c r="T57" s="3501"/>
      <c r="U57" s="3501"/>
      <c r="V57" s="3501"/>
      <c r="W57" s="3502"/>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596"/>
      <c r="B58" s="3596"/>
      <c r="C58" s="45"/>
      <c r="D58" s="45"/>
      <c r="E58" s="45"/>
      <c r="F58" s="45"/>
      <c r="G58" s="37"/>
      <c r="H58" s="50" t="s">
        <v>1175</v>
      </c>
      <c r="I58" s="15"/>
      <c r="J58" s="37"/>
      <c r="K58" s="920">
        <f>AH49</f>
        <v>0</v>
      </c>
      <c r="L58" s="921">
        <f>AI49</f>
        <v>38</v>
      </c>
      <c r="M58" s="921">
        <f>AJ49</f>
        <v>60</v>
      </c>
      <c r="N58" s="921">
        <f>AK49</f>
        <v>20</v>
      </c>
      <c r="O58" s="922">
        <f>AL49</f>
        <v>0</v>
      </c>
      <c r="P58" s="894">
        <f t="shared" si="347"/>
        <v>118</v>
      </c>
      <c r="Q58" s="3516"/>
      <c r="R58" s="712"/>
      <c r="S58" s="3500"/>
      <c r="T58" s="3501"/>
      <c r="U58" s="3501"/>
      <c r="V58" s="3501"/>
      <c r="W58" s="3502"/>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596"/>
      <c r="B59" s="3596"/>
      <c r="C59" s="45"/>
      <c r="D59" s="45"/>
      <c r="E59" s="45"/>
      <c r="F59" s="45"/>
      <c r="G59" s="37"/>
      <c r="H59" s="50" t="s">
        <v>1176</v>
      </c>
      <c r="I59" s="15"/>
      <c r="J59" s="731"/>
      <c r="K59" s="929">
        <f>AM49</f>
        <v>0</v>
      </c>
      <c r="L59" s="930">
        <f>AN49</f>
        <v>0</v>
      </c>
      <c r="M59" s="930">
        <f>AO49</f>
        <v>0</v>
      </c>
      <c r="N59" s="930">
        <f>AP49</f>
        <v>0</v>
      </c>
      <c r="O59" s="931">
        <f>AQ49</f>
        <v>0</v>
      </c>
      <c r="P59" s="353">
        <f t="shared" si="347"/>
        <v>0</v>
      </c>
      <c r="Q59" s="3516"/>
      <c r="R59" s="712"/>
      <c r="S59" s="3500"/>
      <c r="T59" s="3501"/>
      <c r="U59" s="3501"/>
      <c r="V59" s="3501"/>
      <c r="W59" s="3502"/>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596"/>
      <c r="B60" s="3596"/>
      <c r="C60" s="45"/>
      <c r="D60" s="45"/>
      <c r="E60" s="45"/>
      <c r="F60" s="45"/>
      <c r="G60" s="37"/>
      <c r="H60" s="50" t="s">
        <v>1177</v>
      </c>
      <c r="I60" s="15"/>
      <c r="J60" s="731"/>
      <c r="K60" s="920">
        <f>AR49</f>
        <v>0</v>
      </c>
      <c r="L60" s="921">
        <f>AS49</f>
        <v>0</v>
      </c>
      <c r="M60" s="921">
        <f>AT49</f>
        <v>0</v>
      </c>
      <c r="N60" s="921">
        <f>AU49</f>
        <v>0</v>
      </c>
      <c r="O60" s="922">
        <f>AV49</f>
        <v>0</v>
      </c>
      <c r="P60" s="894">
        <f t="shared" si="347"/>
        <v>0</v>
      </c>
      <c r="Q60" s="3516"/>
      <c r="R60" s="712"/>
      <c r="S60" s="3500"/>
      <c r="T60" s="3501"/>
      <c r="U60" s="3501"/>
      <c r="V60" s="3501"/>
      <c r="W60" s="3502"/>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596"/>
      <c r="B61" s="3596"/>
      <c r="C61" s="45"/>
      <c r="D61" s="45"/>
      <c r="E61" s="45"/>
      <c r="F61" s="45"/>
      <c r="G61" s="37"/>
      <c r="H61" s="50" t="s">
        <v>1178</v>
      </c>
      <c r="I61" s="15"/>
      <c r="J61" s="37"/>
      <c r="K61" s="920">
        <f>AW49</f>
        <v>0</v>
      </c>
      <c r="L61" s="921">
        <f>AX49</f>
        <v>0</v>
      </c>
      <c r="M61" s="921">
        <f>AY49</f>
        <v>0</v>
      </c>
      <c r="N61" s="921">
        <f>AZ49</f>
        <v>0</v>
      </c>
      <c r="O61" s="922">
        <f>BA49</f>
        <v>0</v>
      </c>
      <c r="P61" s="894">
        <f t="shared" si="347"/>
        <v>0</v>
      </c>
      <c r="Q61" s="3516"/>
      <c r="R61" s="712"/>
      <c r="S61" s="3500"/>
      <c r="T61" s="3501"/>
      <c r="U61" s="3501"/>
      <c r="V61" s="3501"/>
      <c r="W61" s="3502"/>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596"/>
      <c r="B62" s="3596"/>
      <c r="C62" s="4"/>
      <c r="D62" s="45"/>
      <c r="E62" s="45"/>
      <c r="F62" s="45"/>
      <c r="G62" s="37"/>
      <c r="H62" s="50" t="s">
        <v>1179</v>
      </c>
      <c r="I62" s="15"/>
      <c r="J62" s="37"/>
      <c r="K62" s="2748">
        <f>BB49</f>
        <v>0</v>
      </c>
      <c r="L62" s="2749">
        <f>BC49</f>
        <v>0</v>
      </c>
      <c r="M62" s="2749">
        <f>BD49</f>
        <v>0</v>
      </c>
      <c r="N62" s="2749">
        <f>BE49</f>
        <v>0</v>
      </c>
      <c r="O62" s="2750">
        <f>BF49</f>
        <v>0</v>
      </c>
      <c r="P62" s="353">
        <f t="shared" si="347"/>
        <v>0</v>
      </c>
      <c r="Q62" s="3516"/>
      <c r="R62" s="712"/>
      <c r="S62" s="3500"/>
      <c r="T62" s="3501"/>
      <c r="U62" s="3501"/>
      <c r="V62" s="3501"/>
      <c r="W62" s="3502"/>
      <c r="X62" s="1440"/>
      <c r="AA62" s="263"/>
      <c r="AB62" s="266"/>
      <c r="AC62" s="1440"/>
      <c r="AF62" s="263"/>
      <c r="AG62" s="266"/>
      <c r="AH62" s="1440"/>
      <c r="AK62" s="263"/>
      <c r="AL62" s="266"/>
      <c r="AM62" s="1440"/>
      <c r="AP62" s="263"/>
      <c r="AQ62" s="266"/>
      <c r="AR62" s="267"/>
      <c r="AS62" s="267"/>
      <c r="AT62" s="267"/>
      <c r="AU62" s="267"/>
      <c r="AV62" s="267"/>
      <c r="AW62" s="267"/>
      <c r="AX62" s="266"/>
      <c r="AY62" s="263"/>
      <c r="BB62" s="267"/>
      <c r="BC62" s="266"/>
      <c r="BD62" s="263"/>
      <c r="LO62" s="265"/>
      <c r="MD62" s="261"/>
    </row>
    <row r="63" spans="1:381" ht="15" customHeight="1">
      <c r="A63" s="3596"/>
      <c r="B63" s="3596"/>
      <c r="C63" s="50" t="s">
        <v>1180</v>
      </c>
      <c r="D63" s="45"/>
      <c r="E63" s="45"/>
      <c r="F63" s="45"/>
      <c r="G63" s="37"/>
      <c r="H63" s="42"/>
      <c r="I63" s="27"/>
      <c r="J63" s="37"/>
      <c r="K63" s="2903">
        <f>SUM(K56:K62)</f>
        <v>0</v>
      </c>
      <c r="L63" s="2903">
        <f>SUM(L56:L62)</f>
        <v>38</v>
      </c>
      <c r="M63" s="2903">
        <f>SUM(M56:M62)</f>
        <v>60</v>
      </c>
      <c r="N63" s="2903">
        <f>SUM(N56:N62)</f>
        <v>20</v>
      </c>
      <c r="O63" s="2903">
        <f>SUM(O56:O62)</f>
        <v>0</v>
      </c>
      <c r="P63" s="2903">
        <f t="shared" si="347"/>
        <v>118</v>
      </c>
      <c r="Q63" s="3517"/>
      <c r="S63" s="3500"/>
      <c r="T63" s="3501"/>
      <c r="U63" s="3501"/>
      <c r="V63" s="3501"/>
      <c r="W63" s="3502"/>
      <c r="X63" s="1440"/>
      <c r="AA63" s="263"/>
      <c r="AB63" s="266"/>
      <c r="AC63" s="1440"/>
      <c r="AF63" s="263"/>
      <c r="AG63" s="266"/>
      <c r="AH63" s="1440"/>
      <c r="AK63" s="263"/>
      <c r="AL63" s="266"/>
      <c r="AM63" s="1440"/>
      <c r="AP63" s="263"/>
      <c r="AQ63" s="266"/>
      <c r="AR63" s="267"/>
      <c r="AS63" s="267"/>
      <c r="AT63" s="267"/>
      <c r="AU63" s="267"/>
      <c r="AV63" s="267"/>
      <c r="AW63" s="267"/>
      <c r="AX63" s="266"/>
      <c r="AY63" s="263"/>
      <c r="BB63" s="267"/>
      <c r="BC63" s="266"/>
      <c r="BD63" s="263"/>
      <c r="LO63" s="265"/>
      <c r="MD63" s="261"/>
    </row>
    <row r="64" spans="1:381" ht="15" customHeight="1">
      <c r="A64" s="3596"/>
      <c r="B64" s="3596"/>
      <c r="C64" s="79"/>
      <c r="D64" s="45"/>
      <c r="E64" s="45"/>
      <c r="F64" s="45"/>
      <c r="G64" s="37"/>
      <c r="H64" s="50" t="s">
        <v>1113</v>
      </c>
      <c r="I64" s="15"/>
      <c r="J64" s="37"/>
      <c r="K64" s="592">
        <f>BG49</f>
        <v>0</v>
      </c>
      <c r="L64" s="592">
        <f>BH49</f>
        <v>24</v>
      </c>
      <c r="M64" s="592">
        <f>BI49</f>
        <v>42</v>
      </c>
      <c r="N64" s="592">
        <f>BJ49</f>
        <v>15</v>
      </c>
      <c r="O64" s="592">
        <f>BK49</f>
        <v>0</v>
      </c>
      <c r="P64" s="592">
        <f t="shared" si="347"/>
        <v>81</v>
      </c>
      <c r="S64" s="3500"/>
      <c r="T64" s="3501"/>
      <c r="U64" s="3501"/>
      <c r="V64" s="3501"/>
      <c r="W64" s="3502"/>
      <c r="X64" s="263"/>
      <c r="AA64" s="263"/>
      <c r="AB64" s="266"/>
      <c r="AC64" s="263"/>
      <c r="AF64" s="263"/>
      <c r="AG64" s="266"/>
      <c r="AH64" s="263"/>
      <c r="AK64" s="263"/>
      <c r="AL64" s="266"/>
      <c r="AM64" s="263"/>
      <c r="AP64" s="263"/>
      <c r="AQ64" s="266"/>
      <c r="AR64" s="267"/>
      <c r="AS64" s="267"/>
      <c r="AT64" s="267"/>
      <c r="AU64" s="267"/>
      <c r="AV64" s="267"/>
      <c r="AW64" s="267"/>
      <c r="AX64" s="639"/>
      <c r="AY64" s="263"/>
      <c r="BB64" s="267"/>
      <c r="BC64" s="639"/>
      <c r="BD64" s="263"/>
      <c r="LO64" s="265"/>
      <c r="MD64" s="261"/>
    </row>
    <row r="65" spans="1:485" ht="15" customHeight="1">
      <c r="A65" s="3596"/>
      <c r="B65" s="3596"/>
      <c r="C65" s="896" t="s">
        <v>1181</v>
      </c>
      <c r="D65" s="896"/>
      <c r="E65" s="896"/>
      <c r="F65" s="896"/>
      <c r="G65" s="897"/>
      <c r="H65" s="1160"/>
      <c r="I65" s="25"/>
      <c r="J65" s="897"/>
      <c r="K65" s="2904">
        <f>SUM(K63:K64)</f>
        <v>0</v>
      </c>
      <c r="L65" s="2904">
        <f>SUM(L63:L64)</f>
        <v>62</v>
      </c>
      <c r="M65" s="2904">
        <f>SUM(M63:M64)</f>
        <v>102</v>
      </c>
      <c r="N65" s="2904">
        <f>SUM(N63:N64)</f>
        <v>35</v>
      </c>
      <c r="O65" s="2904">
        <f>SUM(O63:O64)</f>
        <v>0</v>
      </c>
      <c r="P65" s="2904">
        <f t="shared" si="347"/>
        <v>199</v>
      </c>
      <c r="S65" s="3500"/>
      <c r="T65" s="3501"/>
      <c r="U65" s="3501"/>
      <c r="V65" s="3501"/>
      <c r="W65" s="3502"/>
      <c r="X65" s="263"/>
      <c r="AA65" s="263"/>
      <c r="AB65" s="266"/>
      <c r="AC65" s="263"/>
      <c r="AF65" s="263"/>
      <c r="AG65" s="266"/>
      <c r="AH65" s="263"/>
      <c r="AK65" s="263"/>
      <c r="AL65" s="266"/>
      <c r="AM65" s="263"/>
      <c r="AP65" s="263"/>
      <c r="AQ65" s="266"/>
      <c r="AR65" s="267"/>
      <c r="AS65" s="267"/>
      <c r="AT65" s="267"/>
      <c r="AU65" s="267"/>
      <c r="AV65" s="267"/>
      <c r="AW65" s="267"/>
      <c r="AX65" s="639"/>
      <c r="AY65" s="263"/>
      <c r="BB65" s="267"/>
      <c r="BC65" s="639"/>
      <c r="BD65" s="263"/>
      <c r="LO65" s="265"/>
      <c r="MD65" s="261"/>
    </row>
    <row r="66" spans="1:485" ht="15" customHeight="1">
      <c r="A66" s="3596"/>
      <c r="B66" s="3596"/>
      <c r="C66" s="79"/>
      <c r="D66" s="45"/>
      <c r="E66" s="45"/>
      <c r="F66" s="45"/>
      <c r="G66" s="37"/>
      <c r="H66" s="50" t="s">
        <v>1182</v>
      </c>
      <c r="I66" s="15"/>
      <c r="J66" s="37"/>
      <c r="K66" s="592">
        <f>ED49</f>
        <v>0</v>
      </c>
      <c r="L66" s="592">
        <f>EE49</f>
        <v>0</v>
      </c>
      <c r="M66" s="592">
        <f>EF49</f>
        <v>0</v>
      </c>
      <c r="N66" s="592">
        <f>EG49</f>
        <v>0</v>
      </c>
      <c r="O66" s="592">
        <f>EH49</f>
        <v>0</v>
      </c>
      <c r="P66" s="592">
        <f t="shared" si="347"/>
        <v>0</v>
      </c>
      <c r="Q66" s="102" t="s">
        <v>1183</v>
      </c>
      <c r="S66" s="3500"/>
      <c r="T66" s="3501"/>
      <c r="U66" s="3501"/>
      <c r="V66" s="3501"/>
      <c r="W66" s="3502"/>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596"/>
      <c r="B67" s="3596"/>
      <c r="C67" s="4" t="s">
        <v>1184</v>
      </c>
      <c r="D67" s="45"/>
      <c r="E67" s="45"/>
      <c r="F67" s="45"/>
      <c r="G67" s="37"/>
      <c r="H67" s="50"/>
      <c r="I67" s="15"/>
      <c r="J67" s="37"/>
      <c r="K67" s="2751">
        <f>SUM(K65:K66)</f>
        <v>0</v>
      </c>
      <c r="L67" s="2751">
        <f>SUM(L65:L66)</f>
        <v>62</v>
      </c>
      <c r="M67" s="2751">
        <f>SUM(M65:M66)</f>
        <v>102</v>
      </c>
      <c r="N67" s="2751">
        <f>SUM(N65:N66)</f>
        <v>35</v>
      </c>
      <c r="O67" s="2751">
        <f>SUM(O65:O66)</f>
        <v>0</v>
      </c>
      <c r="P67" s="2751">
        <f t="shared" si="347"/>
        <v>199</v>
      </c>
      <c r="S67" s="3513"/>
      <c r="T67" s="3514"/>
      <c r="U67" s="3514"/>
      <c r="V67" s="3514"/>
      <c r="W67" s="3515"/>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149999999999999" customHeight="1">
      <c r="A68" s="3596"/>
      <c r="B68" s="3596"/>
      <c r="C68" s="1006"/>
      <c r="D68" s="1006"/>
      <c r="E68" s="1006"/>
      <c r="F68" s="1006"/>
      <c r="G68" s="1006"/>
      <c r="H68" s="1161"/>
      <c r="I68" s="1006"/>
      <c r="J68" s="1006"/>
      <c r="K68" s="1006"/>
      <c r="L68" s="1006"/>
      <c r="M68" s="1006"/>
      <c r="N68" s="1006"/>
      <c r="O68" s="1006"/>
      <c r="P68" s="1006"/>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596"/>
      <c r="B69" s="3596"/>
      <c r="C69" s="3546" t="s">
        <v>1185</v>
      </c>
      <c r="D69" s="3546"/>
      <c r="E69" s="3546"/>
      <c r="F69" s="3546"/>
      <c r="G69" s="1006"/>
      <c r="H69" s="1161"/>
      <c r="I69" s="1006"/>
      <c r="J69" s="1006"/>
      <c r="K69" s="1166"/>
      <c r="L69" s="1166"/>
      <c r="M69" s="1166"/>
      <c r="N69" s="1166"/>
      <c r="O69" s="1166"/>
      <c r="P69" s="1166"/>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15" customHeight="1">
      <c r="A70" s="3596"/>
      <c r="B70" s="3596"/>
      <c r="C70" s="3546"/>
      <c r="D70" s="3546"/>
      <c r="E70" s="3546"/>
      <c r="F70" s="3546"/>
      <c r="G70" s="79"/>
      <c r="H70" s="50" t="s">
        <v>1172</v>
      </c>
      <c r="I70" s="15"/>
      <c r="J70" s="1135"/>
      <c r="K70" s="2905" t="str">
        <f t="shared" ref="K70:P70" si="348">IF(OR(K56=0,K67=0),"",K56/K67)</f>
        <v/>
      </c>
      <c r="L70" s="2906" t="str">
        <f t="shared" si="348"/>
        <v/>
      </c>
      <c r="M70" s="2906" t="str">
        <f t="shared" si="348"/>
        <v/>
      </c>
      <c r="N70" s="2906" t="str">
        <f t="shared" si="348"/>
        <v/>
      </c>
      <c r="O70" s="2906" t="str">
        <f t="shared" si="348"/>
        <v/>
      </c>
      <c r="P70" s="2907" t="str">
        <f t="shared" si="348"/>
        <v/>
      </c>
      <c r="Q70" s="18" t="s">
        <v>1186</v>
      </c>
      <c r="S70" s="3503"/>
      <c r="T70" s="3504"/>
      <c r="U70" s="3504"/>
      <c r="V70" s="3504"/>
      <c r="W70" s="3505"/>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413"/>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596"/>
      <c r="B71" s="3596"/>
      <c r="C71" s="529"/>
      <c r="D71" s="79"/>
      <c r="E71" s="79"/>
      <c r="F71" s="79"/>
      <c r="G71" s="79"/>
      <c r="H71" s="50" t="s">
        <v>1187</v>
      </c>
      <c r="I71" s="15"/>
      <c r="J71" s="45"/>
      <c r="K71" s="1228" t="str">
        <f>IF(OR(K56=0,P70="",K67=0),"",P70*K67)</f>
        <v/>
      </c>
      <c r="L71" s="1228" t="str">
        <f>IF(OR(L56=0,P70="",L67=0),"",P70*L67)</f>
        <v/>
      </c>
      <c r="M71" s="1228" t="str">
        <f>IF(OR(M56=0,P70="",M67=0),"",P70*M67)</f>
        <v/>
      </c>
      <c r="N71" s="1228" t="str">
        <f>IF(OR(N56=0,P70="",N67=0),"",P70*N67)</f>
        <v/>
      </c>
      <c r="O71" s="1228" t="str">
        <f>IF(OR(O56=0,P70="",O67=0),"",P70*O67)</f>
        <v/>
      </c>
      <c r="P71" s="1229" t="str">
        <f>IF(OR(P70="",P67=0),"",P70*P67)</f>
        <v/>
      </c>
      <c r="S71" s="3500"/>
      <c r="T71" s="3501"/>
      <c r="U71" s="3501"/>
      <c r="V71" s="3501"/>
      <c r="W71" s="3502"/>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413"/>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596"/>
      <c r="B72" s="3596"/>
      <c r="C72" s="529"/>
      <c r="D72" s="79"/>
      <c r="E72" s="79"/>
      <c r="F72" s="79"/>
      <c r="G72" s="1223"/>
      <c r="H72" s="1162" t="s">
        <v>1188</v>
      </c>
      <c r="I72" s="1136"/>
      <c r="J72" s="45"/>
      <c r="K72" s="1230" t="str">
        <f t="shared" ref="K72:P72" si="349">IF(OR(K71="",K56=0),"", K56-K71)</f>
        <v/>
      </c>
      <c r="L72" s="1231" t="str">
        <f t="shared" si="349"/>
        <v/>
      </c>
      <c r="M72" s="1231" t="str">
        <f t="shared" si="349"/>
        <v/>
      </c>
      <c r="N72" s="1231" t="str">
        <f t="shared" si="349"/>
        <v/>
      </c>
      <c r="O72" s="1231" t="str">
        <f t="shared" si="349"/>
        <v/>
      </c>
      <c r="P72" s="1232" t="str">
        <f t="shared" si="349"/>
        <v/>
      </c>
      <c r="S72" s="3500"/>
      <c r="T72" s="3501"/>
      <c r="U72" s="3501"/>
      <c r="V72" s="3501"/>
      <c r="W72" s="3502"/>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413"/>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596"/>
      <c r="B73" s="3596"/>
      <c r="C73" s="529"/>
      <c r="D73" s="3496" t="s">
        <v>1189</v>
      </c>
      <c r="E73" s="3496"/>
      <c r="F73" s="3496"/>
      <c r="G73" s="79"/>
      <c r="H73" s="50" t="s">
        <v>1174</v>
      </c>
      <c r="I73" s="15"/>
      <c r="J73" s="45"/>
      <c r="K73" s="1157" t="str">
        <f t="shared" ref="K73:P73" si="350">IF(OR(K57=0,K67=0),"",K57/K67)</f>
        <v/>
      </c>
      <c r="L73" s="1158" t="str">
        <f t="shared" si="350"/>
        <v/>
      </c>
      <c r="M73" s="1158" t="str">
        <f t="shared" si="350"/>
        <v/>
      </c>
      <c r="N73" s="1158" t="str">
        <f t="shared" si="350"/>
        <v/>
      </c>
      <c r="O73" s="1158" t="str">
        <f t="shared" si="350"/>
        <v/>
      </c>
      <c r="P73" s="1159" t="str">
        <f t="shared" si="350"/>
        <v/>
      </c>
      <c r="S73" s="3500"/>
      <c r="T73" s="3501"/>
      <c r="U73" s="3501"/>
      <c r="V73" s="3501"/>
      <c r="W73" s="3502"/>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413"/>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9"/>
      <c r="D74" s="3496"/>
      <c r="E74" s="3496"/>
      <c r="F74" s="3496"/>
      <c r="G74" s="79"/>
      <c r="H74" s="50" t="s">
        <v>1187</v>
      </c>
      <c r="I74" s="15"/>
      <c r="J74" s="45"/>
      <c r="K74" s="1228" t="str">
        <f>IF(OR(K57=0,P73="",K67=0),"",P73*K67)</f>
        <v/>
      </c>
      <c r="L74" s="1228" t="str">
        <f>IF(OR(L57=0,P73="",L67=0),"",P73*L67)</f>
        <v/>
      </c>
      <c r="M74" s="1228" t="str">
        <f>IF(OR(M57=0,P73="",M67=0),"",P73*M67)</f>
        <v/>
      </c>
      <c r="N74" s="1228" t="str">
        <f>IF(OR(N57=0,P73="",N67=0),"",P73*N67)</f>
        <v/>
      </c>
      <c r="O74" s="1228" t="str">
        <f>IF(OR(O57=0,P73="",O67=0),"",P73*O67)</f>
        <v/>
      </c>
      <c r="P74" s="1229" t="str">
        <f>IF(OR(P73="",P67=0),"",P73*P67)</f>
        <v/>
      </c>
      <c r="S74" s="3500"/>
      <c r="T74" s="3501"/>
      <c r="U74" s="3501"/>
      <c r="V74" s="3501"/>
      <c r="W74" s="3502"/>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413"/>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9"/>
      <c r="D75" s="3496"/>
      <c r="E75" s="3496"/>
      <c r="F75" s="3496"/>
      <c r="G75" s="1223"/>
      <c r="H75" s="1162" t="s">
        <v>1188</v>
      </c>
      <c r="I75" s="1136"/>
      <c r="J75" s="45"/>
      <c r="K75" s="1230" t="str">
        <f t="shared" ref="K75:P75" si="351">IF(OR(K74="",K57=0),"", K57-K74)</f>
        <v/>
      </c>
      <c r="L75" s="1230" t="str">
        <f t="shared" si="351"/>
        <v/>
      </c>
      <c r="M75" s="1230" t="str">
        <f t="shared" si="351"/>
        <v/>
      </c>
      <c r="N75" s="1230" t="str">
        <f t="shared" si="351"/>
        <v/>
      </c>
      <c r="O75" s="1230" t="str">
        <f t="shared" si="351"/>
        <v/>
      </c>
      <c r="P75" s="1230" t="str">
        <f t="shared" si="351"/>
        <v/>
      </c>
      <c r="S75" s="3500"/>
      <c r="T75" s="3501"/>
      <c r="U75" s="3501"/>
      <c r="V75" s="3501"/>
      <c r="W75" s="3502"/>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413"/>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1190</v>
      </c>
      <c r="D76" s="3496"/>
      <c r="E76" s="3496"/>
      <c r="F76" s="3496"/>
      <c r="G76" s="79"/>
      <c r="H76" s="50" t="s">
        <v>1175</v>
      </c>
      <c r="I76" s="15"/>
      <c r="J76" s="45"/>
      <c r="K76" s="1157" t="str">
        <f t="shared" ref="K76:P76" si="352">IF(OR(K58=0,K67=0),"",K58/K67)</f>
        <v/>
      </c>
      <c r="L76" s="1158">
        <f t="shared" si="352"/>
        <v>0.61290322580645162</v>
      </c>
      <c r="M76" s="1158">
        <f t="shared" si="352"/>
        <v>0.58823529411764708</v>
      </c>
      <c r="N76" s="1158">
        <f t="shared" si="352"/>
        <v>0.5714285714285714</v>
      </c>
      <c r="O76" s="1158" t="str">
        <f t="shared" si="352"/>
        <v/>
      </c>
      <c r="P76" s="1159">
        <f t="shared" si="352"/>
        <v>0.59296482412060303</v>
      </c>
      <c r="S76" s="3500"/>
      <c r="T76" s="3501"/>
      <c r="U76" s="3501"/>
      <c r="V76" s="3501"/>
      <c r="W76" s="3502"/>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413"/>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496"/>
      <c r="E77" s="3496"/>
      <c r="F77" s="3496"/>
      <c r="G77" s="79"/>
      <c r="H77" s="50" t="s">
        <v>1187</v>
      </c>
      <c r="I77" s="15"/>
      <c r="J77" s="45"/>
      <c r="K77" s="1228" t="str">
        <f>IF(OR(K58=0,P76="",K67=0),"",P76*K67)</f>
        <v/>
      </c>
      <c r="L77" s="1228">
        <f>IF(OR(L58=0,P76="",L67=0),"",P76*L67)</f>
        <v>36.763819095477388</v>
      </c>
      <c r="M77" s="1228">
        <f>IF(OR(M58=0,P76="",M67=0),"",P76*M67)</f>
        <v>60.482412060301506</v>
      </c>
      <c r="N77" s="1228">
        <f>IF(OR(N58=0,P76="",N67=0),"",P76*N67)</f>
        <v>20.753768844221106</v>
      </c>
      <c r="O77" s="1228" t="str">
        <f>IF(OR(O58=0,P76="",O67=0),"",P76*O67)</f>
        <v/>
      </c>
      <c r="P77" s="1229">
        <f>IF(OR(P76="",P67=0),"",P76*P67)</f>
        <v>118</v>
      </c>
      <c r="S77" s="3513"/>
      <c r="T77" s="3514"/>
      <c r="U77" s="3514"/>
      <c r="V77" s="3514"/>
      <c r="W77" s="3515"/>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413"/>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496"/>
      <c r="E78" s="3496"/>
      <c r="F78" s="3496"/>
      <c r="G78" s="1223"/>
      <c r="H78" s="1162" t="s">
        <v>1188</v>
      </c>
      <c r="I78" s="1136"/>
      <c r="J78" s="45"/>
      <c r="K78" s="1230" t="str">
        <f t="shared" ref="K78:P78" si="353">IF(OR(K77="",K58=0),"", K58-K77)</f>
        <v/>
      </c>
      <c r="L78" s="1230">
        <f t="shared" si="353"/>
        <v>1.2361809045226124</v>
      </c>
      <c r="M78" s="1230">
        <f t="shared" si="353"/>
        <v>-0.48241206030150607</v>
      </c>
      <c r="N78" s="1230">
        <f t="shared" si="353"/>
        <v>-0.75376884422110635</v>
      </c>
      <c r="O78" s="1230" t="str">
        <f t="shared" si="353"/>
        <v/>
      </c>
      <c r="P78" s="1230">
        <f t="shared" si="353"/>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413"/>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1190</v>
      </c>
      <c r="D79" s="1134"/>
      <c r="E79" s="1134"/>
      <c r="F79" s="79"/>
      <c r="G79" s="79"/>
      <c r="H79" s="50" t="s">
        <v>1176</v>
      </c>
      <c r="I79" s="15"/>
      <c r="J79" s="45"/>
      <c r="K79" s="1157" t="str">
        <f t="shared" ref="K79:P79" si="354">IF(OR(K59=0,K67=0),"",K59/K67)</f>
        <v/>
      </c>
      <c r="L79" s="1158" t="str">
        <f t="shared" si="354"/>
        <v/>
      </c>
      <c r="M79" s="1158" t="str">
        <f t="shared" si="354"/>
        <v/>
      </c>
      <c r="N79" s="1158" t="str">
        <f t="shared" si="354"/>
        <v/>
      </c>
      <c r="O79" s="1158" t="str">
        <f t="shared" si="354"/>
        <v/>
      </c>
      <c r="P79" s="1159" t="str">
        <f t="shared" si="354"/>
        <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413"/>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134"/>
      <c r="E80" s="1134"/>
      <c r="F80" s="79"/>
      <c r="G80" s="79"/>
      <c r="H80" s="50" t="s">
        <v>1187</v>
      </c>
      <c r="I80" s="15"/>
      <c r="J80" s="45"/>
      <c r="K80" s="1228" t="str">
        <f>IF(OR(K59=0,P79="",K67=0),"",P79*K67)</f>
        <v/>
      </c>
      <c r="L80" s="1228" t="str">
        <f>IF(OR(L59=0,P79="",L67=0),"",P79*L67)</f>
        <v/>
      </c>
      <c r="M80" s="1228" t="str">
        <f>IF(OR(M59=0,P79="",M67=0),"",P79*M67)</f>
        <v/>
      </c>
      <c r="N80" s="1228" t="str">
        <f>IF(OR(N59=0,P79="",N67=0),"",P79*N67)</f>
        <v/>
      </c>
      <c r="O80" s="1228" t="str">
        <f>IF(OR(O59=0,P79="",O67=0),"",P79*O67)</f>
        <v/>
      </c>
      <c r="P80" s="1229" t="str">
        <f>IF(OR(P79="",P67=0),"",P79*P67)</f>
        <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413"/>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134"/>
      <c r="E81" s="1134"/>
      <c r="F81" s="79"/>
      <c r="G81" s="1223"/>
      <c r="H81" s="1162" t="s">
        <v>1188</v>
      </c>
      <c r="I81" s="1136"/>
      <c r="J81" s="45"/>
      <c r="K81" s="1230" t="str">
        <f t="shared" ref="K81:P81" si="355">IF(OR(K80="",K59=0),"", K59-K80)</f>
        <v/>
      </c>
      <c r="L81" s="1230" t="str">
        <f t="shared" si="355"/>
        <v/>
      </c>
      <c r="M81" s="1230" t="str">
        <f t="shared" si="355"/>
        <v/>
      </c>
      <c r="N81" s="1230" t="str">
        <f t="shared" si="355"/>
        <v/>
      </c>
      <c r="O81" s="1230" t="str">
        <f t="shared" si="355"/>
        <v/>
      </c>
      <c r="P81" s="1230" t="str">
        <f t="shared" si="355"/>
        <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413"/>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1190</v>
      </c>
      <c r="D82" s="1134"/>
      <c r="E82" s="1134"/>
      <c r="F82" s="79"/>
      <c r="G82" s="79"/>
      <c r="H82" s="50" t="s">
        <v>1177</v>
      </c>
      <c r="I82" s="15"/>
      <c r="J82" s="45"/>
      <c r="K82" s="1157" t="str">
        <f t="shared" ref="K82:P82" si="356">IF(OR(K60=0,K67=0),"",K60/K67)</f>
        <v/>
      </c>
      <c r="L82" s="1158" t="str">
        <f t="shared" si="356"/>
        <v/>
      </c>
      <c r="M82" s="1158" t="str">
        <f t="shared" si="356"/>
        <v/>
      </c>
      <c r="N82" s="1158" t="str">
        <f t="shared" si="356"/>
        <v/>
      </c>
      <c r="O82" s="1158" t="str">
        <f t="shared" si="356"/>
        <v/>
      </c>
      <c r="P82" s="1159"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413"/>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1187</v>
      </c>
      <c r="I83" s="15"/>
      <c r="J83" s="45"/>
      <c r="K83" s="1228" t="str">
        <f>IF(OR(K60=0,P82="",K67=0),"",P82*K67)</f>
        <v/>
      </c>
      <c r="L83" s="1228" t="str">
        <f>IF(OR(L60=0,P82="",L67=0),"",P82*L67)</f>
        <v/>
      </c>
      <c r="M83" s="1228" t="str">
        <f>IF(OR(M60=0,P82="",M67=0),"",P82*M67)</f>
        <v/>
      </c>
      <c r="N83" s="1228" t="str">
        <f>IF(OR(N60=0,P82="",N67=0),"",P82*N67)</f>
        <v/>
      </c>
      <c r="O83" s="1228" t="str">
        <f>IF(OR(O60=0,P82="",O67=0),"",P82*O67)</f>
        <v/>
      </c>
      <c r="P83" s="1229"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413"/>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223"/>
      <c r="H84" s="1162" t="s">
        <v>1188</v>
      </c>
      <c r="I84" s="1136"/>
      <c r="J84" s="45"/>
      <c r="K84" s="1230" t="str">
        <f t="shared" ref="K84:P84" si="357">IF(OR(K83="",K60=0),"", K60-K83)</f>
        <v/>
      </c>
      <c r="L84" s="1230" t="str">
        <f t="shared" si="357"/>
        <v/>
      </c>
      <c r="M84" s="1230" t="str">
        <f t="shared" si="357"/>
        <v/>
      </c>
      <c r="N84" s="1230" t="str">
        <f t="shared" si="357"/>
        <v/>
      </c>
      <c r="O84" s="1230" t="str">
        <f t="shared" si="357"/>
        <v/>
      </c>
      <c r="P84" s="1230"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413"/>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1190</v>
      </c>
      <c r="D85" s="79"/>
      <c r="E85" s="79"/>
      <c r="F85" s="79"/>
      <c r="G85" s="79"/>
      <c r="H85" s="50" t="s">
        <v>1178</v>
      </c>
      <c r="I85" s="15"/>
      <c r="J85" s="45"/>
      <c r="K85" s="1157" t="str">
        <f t="shared" ref="K85:P85" si="358">IF(OR(K61=0,K67=0),"",K61/K67)</f>
        <v/>
      </c>
      <c r="L85" s="1158" t="str">
        <f t="shared" si="358"/>
        <v/>
      </c>
      <c r="M85" s="1158" t="str">
        <f t="shared" si="358"/>
        <v/>
      </c>
      <c r="N85" s="1158" t="str">
        <f t="shared" si="358"/>
        <v/>
      </c>
      <c r="O85" s="1158" t="str">
        <f t="shared" si="358"/>
        <v/>
      </c>
      <c r="P85" s="1159" t="str">
        <f t="shared" si="358"/>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413"/>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1187</v>
      </c>
      <c r="I86" s="15"/>
      <c r="J86" s="45"/>
      <c r="K86" s="1228" t="str">
        <f>IF(OR(K61=0,P85="",K67=0),"",P85*K67)</f>
        <v/>
      </c>
      <c r="L86" s="1228" t="str">
        <f>IF(OR(L61=0,P85="",L67=0),"",P85*L67)</f>
        <v/>
      </c>
      <c r="M86" s="1228" t="str">
        <f>IF(OR(M61=0,P85="",M67=0),"",P85*M67)</f>
        <v/>
      </c>
      <c r="N86" s="1228" t="str">
        <f>IF(OR(N61=0,P85="",N67=0),"",P85*N67)</f>
        <v/>
      </c>
      <c r="O86" s="1228" t="str">
        <f>IF(OR(O61=0,P85="",O67=0),"",P85*O67)</f>
        <v/>
      </c>
      <c r="P86" s="1229"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413"/>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223"/>
      <c r="H87" s="1162" t="s">
        <v>1188</v>
      </c>
      <c r="I87" s="1136"/>
      <c r="J87" s="45"/>
      <c r="K87" s="1230" t="str">
        <f t="shared" ref="K87:P87" si="359">IF(OR(K86="",K61=0),"", K61-K86)</f>
        <v/>
      </c>
      <c r="L87" s="1230" t="str">
        <f t="shared" si="359"/>
        <v/>
      </c>
      <c r="M87" s="1230" t="str">
        <f t="shared" si="359"/>
        <v/>
      </c>
      <c r="N87" s="1230" t="str">
        <f t="shared" si="359"/>
        <v/>
      </c>
      <c r="O87" s="1230" t="str">
        <f t="shared" si="359"/>
        <v/>
      </c>
      <c r="P87" s="1230" t="str">
        <f t="shared" si="359"/>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413"/>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1190</v>
      </c>
      <c r="D88" s="79"/>
      <c r="E88" s="79"/>
      <c r="F88" s="79"/>
      <c r="G88" s="79"/>
      <c r="H88" s="50" t="s">
        <v>1179</v>
      </c>
      <c r="I88" s="15"/>
      <c r="J88" s="45"/>
      <c r="K88" s="1157" t="str">
        <f t="shared" ref="K88:P88" si="360">IF(OR(K62=0,K67=0),"",K62/K67)</f>
        <v/>
      </c>
      <c r="L88" s="1158" t="str">
        <f t="shared" si="360"/>
        <v/>
      </c>
      <c r="M88" s="1158" t="str">
        <f t="shared" si="360"/>
        <v/>
      </c>
      <c r="N88" s="1158" t="str">
        <f t="shared" si="360"/>
        <v/>
      </c>
      <c r="O88" s="1158" t="str">
        <f t="shared" si="360"/>
        <v/>
      </c>
      <c r="P88" s="1159"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413"/>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134"/>
      <c r="E89" s="1134"/>
      <c r="F89" s="79"/>
      <c r="G89" s="79"/>
      <c r="H89" s="50" t="s">
        <v>1187</v>
      </c>
      <c r="I89" s="15"/>
      <c r="J89" s="45"/>
      <c r="K89" s="1228" t="str">
        <f>IF(OR(K62=0,P88="",K67=0),"",P88*K67)</f>
        <v/>
      </c>
      <c r="L89" s="1228" t="str">
        <f>IF(OR(L62=0,P88="",L67=0),"",P88*L67)</f>
        <v/>
      </c>
      <c r="M89" s="1228" t="str">
        <f>IF(OR(M62=0,P88="",M67=0),"",P88*M67)</f>
        <v/>
      </c>
      <c r="N89" s="1228" t="str">
        <f>IF(OR(N62=0,P88="",N67=0),"",P88*N67)</f>
        <v/>
      </c>
      <c r="O89" s="1228" t="str">
        <f>IF(OR(O62=0,P88="",O67=0),"",P88*O67)</f>
        <v/>
      </c>
      <c r="P89" s="1229"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413"/>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134"/>
      <c r="E90" s="1134"/>
      <c r="F90" s="79"/>
      <c r="G90" s="1223"/>
      <c r="H90" s="1162" t="s">
        <v>1188</v>
      </c>
      <c r="I90" s="1136"/>
      <c r="J90" s="45"/>
      <c r="K90" s="1233" t="str">
        <f t="shared" ref="K90:P90" si="361">IF(OR(K89="",K62=0),"", K62-K89)</f>
        <v/>
      </c>
      <c r="L90" s="1233" t="str">
        <f t="shared" si="361"/>
        <v/>
      </c>
      <c r="M90" s="1233" t="str">
        <f t="shared" si="361"/>
        <v/>
      </c>
      <c r="N90" s="1233" t="str">
        <f t="shared" si="361"/>
        <v/>
      </c>
      <c r="O90" s="1233" t="str">
        <f t="shared" si="361"/>
        <v/>
      </c>
      <c r="P90" s="1233"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413"/>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919"/>
      <c r="B91" s="919"/>
      <c r="C91" s="45"/>
      <c r="D91" s="45"/>
      <c r="E91" s="45"/>
      <c r="F91" s="45"/>
      <c r="G91" s="37"/>
      <c r="H91" s="50"/>
      <c r="I91" s="15"/>
      <c r="J91" s="37"/>
      <c r="K91" s="2752"/>
      <c r="L91" s="2752"/>
      <c r="M91" s="2752"/>
      <c r="N91" s="2752"/>
      <c r="O91" s="2752"/>
      <c r="P91" s="2752"/>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919"/>
      <c r="B92" s="919"/>
      <c r="C92" s="45"/>
      <c r="D92" s="45"/>
      <c r="E92" s="45"/>
      <c r="F92" s="45"/>
      <c r="G92" s="37"/>
      <c r="H92" s="50"/>
      <c r="I92" s="15"/>
      <c r="J92" s="37"/>
      <c r="K92" s="2752"/>
      <c r="L92" s="2752"/>
      <c r="M92" s="2752"/>
      <c r="N92" s="2752"/>
      <c r="O92" s="2752"/>
      <c r="P92" s="2752"/>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919"/>
      <c r="B93" s="919"/>
      <c r="C93" s="45" t="s">
        <v>1191</v>
      </c>
      <c r="D93" s="45"/>
      <c r="E93" s="50"/>
      <c r="F93" s="45"/>
      <c r="G93" s="37"/>
      <c r="H93" s="50" t="s">
        <v>1172</v>
      </c>
      <c r="I93" s="15"/>
      <c r="J93" s="37"/>
      <c r="K93" s="2908">
        <f>CP49</f>
        <v>0</v>
      </c>
      <c r="L93" s="2909">
        <f>CQ49</f>
        <v>0</v>
      </c>
      <c r="M93" s="2909">
        <f>CR49</f>
        <v>0</v>
      </c>
      <c r="N93" s="2909">
        <f>CS49</f>
        <v>0</v>
      </c>
      <c r="O93" s="2910">
        <f>CT49</f>
        <v>0</v>
      </c>
      <c r="P93" s="2902">
        <f t="shared" ref="P93:P100" si="362">SUM(K93:O93)</f>
        <v>0</v>
      </c>
      <c r="S93" s="3503"/>
      <c r="T93" s="3504"/>
      <c r="U93" s="3504"/>
      <c r="V93" s="3504"/>
      <c r="W93" s="3505"/>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919"/>
      <c r="B94" s="919"/>
      <c r="C94" s="15" t="s">
        <v>1192</v>
      </c>
      <c r="D94" s="45"/>
      <c r="E94" s="50"/>
      <c r="F94" s="45"/>
      <c r="G94" s="37"/>
      <c r="H94" s="50" t="s">
        <v>1174</v>
      </c>
      <c r="I94" s="15"/>
      <c r="J94" s="37"/>
      <c r="K94" s="920">
        <f>CK49</f>
        <v>0</v>
      </c>
      <c r="L94" s="921">
        <f>CL49</f>
        <v>0</v>
      </c>
      <c r="M94" s="921">
        <f>CM49</f>
        <v>0</v>
      </c>
      <c r="N94" s="921">
        <f>CN49</f>
        <v>0</v>
      </c>
      <c r="O94" s="922">
        <f>CO49</f>
        <v>0</v>
      </c>
      <c r="P94" s="894">
        <f t="shared" si="362"/>
        <v>0</v>
      </c>
      <c r="S94" s="3500"/>
      <c r="T94" s="3501"/>
      <c r="U94" s="3501"/>
      <c r="V94" s="3501"/>
      <c r="W94" s="3502"/>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919"/>
      <c r="B95" s="919"/>
      <c r="C95" s="45"/>
      <c r="D95" s="45"/>
      <c r="E95" s="50"/>
      <c r="F95" s="45"/>
      <c r="G95" s="37"/>
      <c r="H95" s="50" t="s">
        <v>1175</v>
      </c>
      <c r="I95" s="15"/>
      <c r="J95" s="37"/>
      <c r="K95" s="920">
        <f>CF49</f>
        <v>0</v>
      </c>
      <c r="L95" s="921">
        <f>CG49</f>
        <v>16</v>
      </c>
      <c r="M95" s="921">
        <f>CH49</f>
        <v>46</v>
      </c>
      <c r="N95" s="921">
        <f>CI49</f>
        <v>16</v>
      </c>
      <c r="O95" s="922">
        <f>CJ49</f>
        <v>0</v>
      </c>
      <c r="P95" s="894">
        <f t="shared" si="362"/>
        <v>78</v>
      </c>
      <c r="S95" s="3500"/>
      <c r="T95" s="3501"/>
      <c r="U95" s="3501"/>
      <c r="V95" s="3501"/>
      <c r="W95" s="3502"/>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919"/>
      <c r="B96" s="919"/>
      <c r="C96" s="45"/>
      <c r="D96" s="45"/>
      <c r="E96" s="50"/>
      <c r="F96" s="45"/>
      <c r="G96" s="37"/>
      <c r="H96" s="50" t="s">
        <v>1176</v>
      </c>
      <c r="I96" s="15"/>
      <c r="J96" s="731"/>
      <c r="K96" s="929">
        <f>CA49</f>
        <v>0</v>
      </c>
      <c r="L96" s="930">
        <f>CB49</f>
        <v>0</v>
      </c>
      <c r="M96" s="930">
        <f>CC49</f>
        <v>0</v>
      </c>
      <c r="N96" s="930">
        <f>CD49</f>
        <v>0</v>
      </c>
      <c r="O96" s="931">
        <f>CE49</f>
        <v>0</v>
      </c>
      <c r="P96" s="353">
        <f t="shared" si="362"/>
        <v>0</v>
      </c>
      <c r="S96" s="3500"/>
      <c r="T96" s="3501"/>
      <c r="U96" s="3501"/>
      <c r="V96" s="3501"/>
      <c r="W96" s="3502"/>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919"/>
      <c r="B97" s="919"/>
      <c r="C97" s="45"/>
      <c r="D97" s="45"/>
      <c r="E97" s="50"/>
      <c r="F97" s="45"/>
      <c r="G97" s="37"/>
      <c r="H97" s="50" t="s">
        <v>1177</v>
      </c>
      <c r="I97" s="15"/>
      <c r="J97" s="731"/>
      <c r="K97" s="920">
        <f>BV49</f>
        <v>0</v>
      </c>
      <c r="L97" s="921">
        <f>BW49</f>
        <v>0</v>
      </c>
      <c r="M97" s="921">
        <f>BX49</f>
        <v>0</v>
      </c>
      <c r="N97" s="921">
        <f>BY49</f>
        <v>0</v>
      </c>
      <c r="O97" s="922">
        <f>BZ49</f>
        <v>0</v>
      </c>
      <c r="P97" s="894">
        <f t="shared" si="362"/>
        <v>0</v>
      </c>
      <c r="S97" s="3500"/>
      <c r="T97" s="3501"/>
      <c r="U97" s="3501"/>
      <c r="V97" s="3501"/>
      <c r="W97" s="3502"/>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918"/>
      <c r="B98" s="918"/>
      <c r="C98" s="45"/>
      <c r="D98" s="45"/>
      <c r="E98" s="50"/>
      <c r="F98" s="45"/>
      <c r="G98" s="37"/>
      <c r="H98" s="50" t="s">
        <v>1178</v>
      </c>
      <c r="I98" s="15"/>
      <c r="J98" s="37"/>
      <c r="K98" s="920">
        <f>BQ49</f>
        <v>0</v>
      </c>
      <c r="L98" s="921">
        <f>BR49</f>
        <v>0</v>
      </c>
      <c r="M98" s="921">
        <f>BS49</f>
        <v>0</v>
      </c>
      <c r="N98" s="921">
        <f>BT49</f>
        <v>0</v>
      </c>
      <c r="O98" s="922">
        <f>BU49</f>
        <v>0</v>
      </c>
      <c r="P98" s="894">
        <f t="shared" si="362"/>
        <v>0</v>
      </c>
      <c r="S98" s="3500"/>
      <c r="T98" s="3501"/>
      <c r="U98" s="3501"/>
      <c r="V98" s="3501"/>
      <c r="W98" s="3502"/>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918"/>
      <c r="B99" s="918"/>
      <c r="C99" s="79"/>
      <c r="D99" s="45"/>
      <c r="E99" s="50"/>
      <c r="F99" s="45"/>
      <c r="G99" s="37"/>
      <c r="H99" s="50" t="s">
        <v>1179</v>
      </c>
      <c r="I99" s="15"/>
      <c r="J99" s="37"/>
      <c r="K99" s="923">
        <f>BL49</f>
        <v>0</v>
      </c>
      <c r="L99" s="924">
        <f>BM49</f>
        <v>0</v>
      </c>
      <c r="M99" s="924">
        <f>BN49</f>
        <v>0</v>
      </c>
      <c r="N99" s="924">
        <f>BO49</f>
        <v>0</v>
      </c>
      <c r="O99" s="925">
        <f>BP49</f>
        <v>0</v>
      </c>
      <c r="P99" s="592">
        <f t="shared" si="362"/>
        <v>0</v>
      </c>
      <c r="S99" s="3500"/>
      <c r="T99" s="3501"/>
      <c r="U99" s="3501"/>
      <c r="V99" s="3501"/>
      <c r="W99" s="3502"/>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918"/>
      <c r="B100" s="918"/>
      <c r="C100" s="4"/>
      <c r="D100" s="45"/>
      <c r="E100" s="50"/>
      <c r="F100" s="45"/>
      <c r="G100" s="37"/>
      <c r="H100" s="96" t="s">
        <v>296</v>
      </c>
      <c r="I100" s="40"/>
      <c r="J100" s="37"/>
      <c r="K100" s="2751">
        <f>SUM(K93:K99)</f>
        <v>0</v>
      </c>
      <c r="L100" s="2751">
        <f>SUM(L93:L99)</f>
        <v>16</v>
      </c>
      <c r="M100" s="2751">
        <f>SUM(M93:M99)</f>
        <v>46</v>
      </c>
      <c r="N100" s="2751">
        <f>SUM(N93:N99)</f>
        <v>16</v>
      </c>
      <c r="O100" s="2751">
        <f>SUM(O93:O99)</f>
        <v>0</v>
      </c>
      <c r="P100" s="2751">
        <f t="shared" si="362"/>
        <v>78</v>
      </c>
      <c r="S100" s="3513"/>
      <c r="T100" s="3514"/>
      <c r="U100" s="3514"/>
      <c r="V100" s="3514"/>
      <c r="W100" s="3515"/>
      <c r="X100" s="1440"/>
      <c r="AA100" s="263"/>
      <c r="AB100" s="266"/>
      <c r="AC100" s="1440"/>
      <c r="AF100" s="263"/>
      <c r="AG100" s="266"/>
      <c r="AH100" s="1440"/>
      <c r="AK100" s="263"/>
      <c r="AL100" s="266"/>
      <c r="AM100" s="1440"/>
      <c r="AP100" s="263"/>
      <c r="AQ100" s="266"/>
      <c r="AR100" s="267"/>
      <c r="AS100" s="267"/>
      <c r="AT100" s="267"/>
      <c r="AU100" s="267"/>
      <c r="AV100" s="267"/>
      <c r="AW100" s="267"/>
      <c r="AX100" s="266"/>
      <c r="AY100" s="263"/>
      <c r="BB100" s="267"/>
      <c r="BC100" s="266"/>
      <c r="BD100" s="263"/>
      <c r="LO100" s="265"/>
      <c r="MD100" s="261"/>
    </row>
    <row r="101" spans="1:342" ht="9" customHeight="1" thickBot="1">
      <c r="A101" s="918"/>
      <c r="B101" s="918"/>
      <c r="C101" s="45"/>
      <c r="D101" s="45"/>
      <c r="E101" s="45"/>
      <c r="F101" s="45"/>
      <c r="G101" s="37"/>
      <c r="H101" s="50"/>
      <c r="I101" s="15"/>
      <c r="J101" s="37"/>
      <c r="K101" s="2752"/>
      <c r="L101" s="2752"/>
      <c r="M101" s="2752"/>
      <c r="N101" s="2752"/>
      <c r="O101" s="2752"/>
      <c r="P101" s="2752"/>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65" customHeight="1" thickBot="1">
      <c r="A102" s="7" t="s">
        <v>25</v>
      </c>
      <c r="B102" s="7" t="s">
        <v>1193</v>
      </c>
      <c r="C102" s="79"/>
      <c r="D102" s="79"/>
      <c r="E102" s="79"/>
      <c r="F102" s="79"/>
      <c r="G102" s="79"/>
      <c r="H102" s="42"/>
      <c r="I102" s="79"/>
      <c r="J102" s="79"/>
      <c r="K102" s="79"/>
      <c r="L102" s="3537" t="str">
        <f>$O$53</f>
        <v>40% of Units at 60% of AMI</v>
      </c>
      <c r="M102" s="3538"/>
      <c r="N102" s="3538"/>
      <c r="O102" s="3539"/>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918"/>
      <c r="B104" s="918"/>
      <c r="C104" s="239" t="s">
        <v>1194</v>
      </c>
      <c r="D104" s="239"/>
      <c r="E104" s="239"/>
      <c r="F104" s="45"/>
      <c r="G104" s="37"/>
      <c r="H104" s="50" t="s">
        <v>1172</v>
      </c>
      <c r="I104" s="15"/>
      <c r="J104" s="37"/>
      <c r="K104" s="2908">
        <f>DY49</f>
        <v>0</v>
      </c>
      <c r="L104" s="2909">
        <f>DZ49</f>
        <v>0</v>
      </c>
      <c r="M104" s="2909">
        <f>EA49</f>
        <v>0</v>
      </c>
      <c r="N104" s="2909">
        <f>EB49</f>
        <v>0</v>
      </c>
      <c r="O104" s="2910">
        <f>EC49</f>
        <v>0</v>
      </c>
      <c r="P104" s="2902">
        <f t="shared" ref="P104:P111" si="363">SUM(K104:O104)</f>
        <v>0</v>
      </c>
      <c r="S104" s="3503"/>
      <c r="T104" s="3504"/>
      <c r="U104" s="3504"/>
      <c r="V104" s="3504"/>
      <c r="W104" s="3505"/>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918"/>
      <c r="B105" s="918"/>
      <c r="C105" s="15" t="s">
        <v>1192</v>
      </c>
      <c r="D105" s="239"/>
      <c r="E105" s="239"/>
      <c r="F105" s="45"/>
      <c r="G105" s="37"/>
      <c r="H105" s="50" t="s">
        <v>1174</v>
      </c>
      <c r="I105" s="15"/>
      <c r="J105" s="37"/>
      <c r="K105" s="920">
        <f>DT49</f>
        <v>0</v>
      </c>
      <c r="L105" s="921">
        <f>DU49</f>
        <v>0</v>
      </c>
      <c r="M105" s="921">
        <f>DV49</f>
        <v>0</v>
      </c>
      <c r="N105" s="921">
        <f>DW49</f>
        <v>0</v>
      </c>
      <c r="O105" s="922">
        <f>DX49</f>
        <v>0</v>
      </c>
      <c r="P105" s="894">
        <f t="shared" si="363"/>
        <v>0</v>
      </c>
      <c r="S105" s="3500"/>
      <c r="T105" s="3501"/>
      <c r="U105" s="3501"/>
      <c r="V105" s="3501"/>
      <c r="W105" s="3502"/>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918"/>
      <c r="B106" s="918"/>
      <c r="C106" s="239"/>
      <c r="D106" s="239"/>
      <c r="E106" s="239"/>
      <c r="F106" s="45"/>
      <c r="G106" s="37"/>
      <c r="H106" s="50" t="s">
        <v>1175</v>
      </c>
      <c r="I106" s="15"/>
      <c r="J106" s="37"/>
      <c r="K106" s="920">
        <f>DO49</f>
        <v>0</v>
      </c>
      <c r="L106" s="921">
        <f>DP49</f>
        <v>0</v>
      </c>
      <c r="M106" s="921">
        <f>DQ49</f>
        <v>0</v>
      </c>
      <c r="N106" s="921">
        <f>DR49</f>
        <v>0</v>
      </c>
      <c r="O106" s="922">
        <f>DS49</f>
        <v>0</v>
      </c>
      <c r="P106" s="894">
        <f t="shared" si="363"/>
        <v>0</v>
      </c>
      <c r="S106" s="3500"/>
      <c r="T106" s="3501"/>
      <c r="U106" s="3501"/>
      <c r="V106" s="3501"/>
      <c r="W106" s="3502"/>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918"/>
      <c r="B107" s="918"/>
      <c r="C107" s="239"/>
      <c r="D107" s="239"/>
      <c r="E107" s="239"/>
      <c r="F107" s="45"/>
      <c r="G107" s="37"/>
      <c r="H107" s="50" t="s">
        <v>1176</v>
      </c>
      <c r="I107" s="15"/>
      <c r="J107" s="731"/>
      <c r="K107" s="929">
        <f>DJ49</f>
        <v>0</v>
      </c>
      <c r="L107" s="930">
        <f>DK49</f>
        <v>0</v>
      </c>
      <c r="M107" s="930">
        <f>DL49</f>
        <v>0</v>
      </c>
      <c r="N107" s="930">
        <f>DM49</f>
        <v>0</v>
      </c>
      <c r="O107" s="931">
        <f>DN49</f>
        <v>0</v>
      </c>
      <c r="P107" s="353">
        <f t="shared" si="363"/>
        <v>0</v>
      </c>
      <c r="S107" s="3500"/>
      <c r="T107" s="3501"/>
      <c r="U107" s="3501"/>
      <c r="V107" s="3501"/>
      <c r="W107" s="3502"/>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918"/>
      <c r="B108" s="918"/>
      <c r="C108" s="239"/>
      <c r="D108" s="239"/>
      <c r="E108" s="239"/>
      <c r="F108" s="45"/>
      <c r="G108" s="37"/>
      <c r="H108" s="50" t="s">
        <v>1177</v>
      </c>
      <c r="I108" s="15"/>
      <c r="J108" s="731"/>
      <c r="K108" s="920">
        <f>DE49</f>
        <v>0</v>
      </c>
      <c r="L108" s="921">
        <f>DF49</f>
        <v>0</v>
      </c>
      <c r="M108" s="921">
        <f>DG49</f>
        <v>0</v>
      </c>
      <c r="N108" s="921">
        <f>DH49</f>
        <v>0</v>
      </c>
      <c r="O108" s="922">
        <f>DI49</f>
        <v>0</v>
      </c>
      <c r="P108" s="894">
        <f t="shared" si="363"/>
        <v>0</v>
      </c>
      <c r="S108" s="3500"/>
      <c r="T108" s="3501"/>
      <c r="U108" s="3501"/>
      <c r="V108" s="3501"/>
      <c r="W108" s="3502"/>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918"/>
      <c r="B109" s="918"/>
      <c r="C109" s="239"/>
      <c r="D109" s="239"/>
      <c r="E109" s="239"/>
      <c r="F109" s="45"/>
      <c r="G109" s="37"/>
      <c r="H109" s="50" t="s">
        <v>1178</v>
      </c>
      <c r="I109" s="15"/>
      <c r="J109" s="37"/>
      <c r="K109" s="920">
        <f>CZ49</f>
        <v>0</v>
      </c>
      <c r="L109" s="921">
        <f>DA49</f>
        <v>0</v>
      </c>
      <c r="M109" s="921">
        <f>DB49</f>
        <v>0</v>
      </c>
      <c r="N109" s="921">
        <f>DC49</f>
        <v>0</v>
      </c>
      <c r="O109" s="922">
        <f>DD49</f>
        <v>0</v>
      </c>
      <c r="P109" s="894">
        <f t="shared" si="363"/>
        <v>0</v>
      </c>
      <c r="S109" s="3500"/>
      <c r="T109" s="3501"/>
      <c r="U109" s="3501"/>
      <c r="V109" s="3501"/>
      <c r="W109" s="3502"/>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918"/>
      <c r="B110" s="918"/>
      <c r="C110" s="239"/>
      <c r="D110" s="239"/>
      <c r="E110" s="239"/>
      <c r="F110" s="45"/>
      <c r="G110" s="37"/>
      <c r="H110" s="50" t="s">
        <v>1179</v>
      </c>
      <c r="I110" s="15"/>
      <c r="J110" s="37"/>
      <c r="K110" s="923">
        <f>CU49</f>
        <v>0</v>
      </c>
      <c r="L110" s="924">
        <f>CV49</f>
        <v>0</v>
      </c>
      <c r="M110" s="924">
        <f>CW49</f>
        <v>0</v>
      </c>
      <c r="N110" s="924">
        <f>CX49</f>
        <v>0</v>
      </c>
      <c r="O110" s="925">
        <f>CY49</f>
        <v>0</v>
      </c>
      <c r="P110" s="592">
        <f t="shared" si="363"/>
        <v>0</v>
      </c>
      <c r="S110" s="3500"/>
      <c r="T110" s="3501"/>
      <c r="U110" s="3501"/>
      <c r="V110" s="3501"/>
      <c r="W110" s="3502"/>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918"/>
      <c r="B111" s="918"/>
      <c r="C111" s="37"/>
      <c r="D111" s="45"/>
      <c r="E111" s="50"/>
      <c r="F111" s="45"/>
      <c r="G111" s="37"/>
      <c r="H111" s="96" t="s">
        <v>296</v>
      </c>
      <c r="I111" s="40"/>
      <c r="J111" s="37"/>
      <c r="K111" s="2751">
        <f>SUM(K104:K110)</f>
        <v>0</v>
      </c>
      <c r="L111" s="2751">
        <f>SUM(L104:L110)</f>
        <v>0</v>
      </c>
      <c r="M111" s="2751">
        <f>SUM(M104:M110)</f>
        <v>0</v>
      </c>
      <c r="N111" s="2751">
        <f>SUM(N104:N110)</f>
        <v>0</v>
      </c>
      <c r="O111" s="2751">
        <f>SUM(O104:O110)</f>
        <v>0</v>
      </c>
      <c r="P111" s="2751">
        <f t="shared" si="363"/>
        <v>0</v>
      </c>
      <c r="S111" s="3513"/>
      <c r="T111" s="3514"/>
      <c r="U111" s="3514"/>
      <c r="V111" s="3514"/>
      <c r="W111" s="3515"/>
      <c r="X111" s="1440"/>
      <c r="AA111" s="263"/>
      <c r="AB111" s="266"/>
      <c r="AC111" s="1440"/>
      <c r="AF111" s="263"/>
      <c r="AG111" s="266"/>
      <c r="AH111" s="1440"/>
      <c r="AK111" s="263"/>
      <c r="AL111" s="266"/>
      <c r="AM111" s="1440"/>
      <c r="AP111" s="263"/>
      <c r="AQ111" s="266"/>
      <c r="AR111" s="267"/>
      <c r="AS111" s="267"/>
      <c r="AT111" s="267"/>
      <c r="AU111" s="267"/>
      <c r="AV111" s="267"/>
      <c r="AW111" s="267"/>
      <c r="AX111" s="266"/>
      <c r="AY111" s="263"/>
      <c r="BB111" s="267"/>
      <c r="BC111" s="266"/>
      <c r="BD111" s="263"/>
      <c r="LO111" s="265"/>
      <c r="MD111" s="261"/>
    </row>
    <row r="112" spans="1:342" ht="9" customHeight="1">
      <c r="A112" s="918"/>
      <c r="B112" s="918"/>
      <c r="C112" s="79"/>
      <c r="D112" s="529"/>
      <c r="E112" s="50"/>
      <c r="F112" s="45"/>
      <c r="G112" s="37"/>
      <c r="H112" s="50"/>
      <c r="I112" s="15"/>
      <c r="J112" s="37"/>
      <c r="K112" s="2752"/>
      <c r="L112" s="2752"/>
      <c r="M112" s="2752"/>
      <c r="N112" s="2752"/>
      <c r="O112" s="2752"/>
      <c r="P112" s="2752"/>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918"/>
      <c r="B113" s="918"/>
      <c r="C113" s="3499" t="s">
        <v>1195</v>
      </c>
      <c r="D113" s="3499"/>
      <c r="E113" s="50" t="s">
        <v>1196</v>
      </c>
      <c r="F113" s="45"/>
      <c r="G113" s="37"/>
      <c r="H113" s="50" t="s">
        <v>1197</v>
      </c>
      <c r="I113" s="15"/>
      <c r="J113" s="37"/>
      <c r="K113" s="2899">
        <f>GG49</f>
        <v>0</v>
      </c>
      <c r="L113" s="2900">
        <f>GH49</f>
        <v>0</v>
      </c>
      <c r="M113" s="2900">
        <f>GI49</f>
        <v>0</v>
      </c>
      <c r="N113" s="2900">
        <f>GJ49</f>
        <v>0</v>
      </c>
      <c r="O113" s="2901">
        <f>GK49</f>
        <v>0</v>
      </c>
      <c r="P113" s="2902">
        <f t="shared" ref="P113:P123" si="364">SUM(K113:O113)</f>
        <v>0</v>
      </c>
      <c r="S113" s="3503"/>
      <c r="T113" s="3504"/>
      <c r="U113" s="3504"/>
      <c r="V113" s="3504"/>
      <c r="W113" s="3505"/>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918"/>
      <c r="B114" s="918"/>
      <c r="C114" s="3499"/>
      <c r="D114" s="3499"/>
      <c r="E114" s="50"/>
      <c r="F114" s="45"/>
      <c r="G114" s="37"/>
      <c r="H114" s="50" t="s">
        <v>1113</v>
      </c>
      <c r="I114" s="15"/>
      <c r="J114" s="37"/>
      <c r="K114" s="2748">
        <f>GL49</f>
        <v>0</v>
      </c>
      <c r="L114" s="2749">
        <f>GM49</f>
        <v>0</v>
      </c>
      <c r="M114" s="2749">
        <f>GN49</f>
        <v>0</v>
      </c>
      <c r="N114" s="2749">
        <f>GO49</f>
        <v>0</v>
      </c>
      <c r="O114" s="2750">
        <f>GP49</f>
        <v>0</v>
      </c>
      <c r="P114" s="592">
        <f t="shared" si="364"/>
        <v>0</v>
      </c>
      <c r="S114" s="3500"/>
      <c r="T114" s="3501"/>
      <c r="U114" s="3501"/>
      <c r="V114" s="3501"/>
      <c r="W114" s="3502"/>
      <c r="X114" s="263"/>
      <c r="AA114" s="263"/>
      <c r="AB114" s="266"/>
      <c r="AC114" s="263"/>
      <c r="AF114" s="263"/>
      <c r="AG114" s="266"/>
      <c r="AH114" s="263"/>
      <c r="AK114" s="263"/>
      <c r="AL114" s="266"/>
      <c r="AM114" s="263"/>
      <c r="AP114" s="263"/>
      <c r="AQ114" s="266"/>
      <c r="AR114" s="267"/>
      <c r="AS114" s="267"/>
      <c r="AT114" s="267"/>
      <c r="AU114" s="267"/>
      <c r="AV114" s="267"/>
      <c r="AW114" s="267"/>
      <c r="AX114" s="639"/>
      <c r="AY114" s="263"/>
      <c r="BB114" s="267"/>
      <c r="BC114" s="639"/>
      <c r="BD114" s="263"/>
      <c r="LO114" s="265"/>
      <c r="MD114" s="261"/>
    </row>
    <row r="115" spans="1:342" ht="14.25" customHeight="1">
      <c r="A115" s="918"/>
      <c r="B115" s="918"/>
      <c r="C115" s="3499"/>
      <c r="D115" s="3499"/>
      <c r="E115" s="50"/>
      <c r="F115" s="45"/>
      <c r="G115" s="37"/>
      <c r="H115" s="96" t="s">
        <v>1198</v>
      </c>
      <c r="I115" s="40"/>
      <c r="J115" s="37"/>
      <c r="K115" s="2911">
        <f>SUM(K113:K114)+GQ49</f>
        <v>0</v>
      </c>
      <c r="L115" s="2911">
        <f>SUM(L113:L114)+GR49</f>
        <v>0</v>
      </c>
      <c r="M115" s="2911">
        <f>SUM(M113:M114)+GS49</f>
        <v>0</v>
      </c>
      <c r="N115" s="2911">
        <f>SUM(N113:N114)+GT49</f>
        <v>0</v>
      </c>
      <c r="O115" s="2911">
        <f>SUM(O113:O114)+GU49</f>
        <v>0</v>
      </c>
      <c r="P115" s="2911">
        <f t="shared" si="364"/>
        <v>0</v>
      </c>
      <c r="S115" s="3500"/>
      <c r="T115" s="3501"/>
      <c r="U115" s="3501"/>
      <c r="V115" s="3501"/>
      <c r="W115" s="3502"/>
      <c r="X115" s="1440"/>
      <c r="AA115" s="263"/>
      <c r="AB115" s="266"/>
      <c r="AC115" s="1440"/>
      <c r="AF115" s="263"/>
      <c r="AG115" s="266"/>
      <c r="AH115" s="1440"/>
      <c r="AK115" s="263"/>
      <c r="AL115" s="266"/>
      <c r="AM115" s="1440"/>
      <c r="AP115" s="263"/>
      <c r="AQ115" s="266"/>
      <c r="AR115" s="267"/>
      <c r="AS115" s="267"/>
      <c r="AT115" s="267"/>
      <c r="AU115" s="267"/>
      <c r="AV115" s="267"/>
      <c r="AW115" s="267"/>
      <c r="AX115" s="266"/>
      <c r="AY115" s="263"/>
      <c r="BB115" s="267"/>
      <c r="BC115" s="266"/>
      <c r="BD115" s="263"/>
      <c r="LO115" s="265"/>
      <c r="MD115" s="261"/>
    </row>
    <row r="116" spans="1:342" ht="14.25" customHeight="1">
      <c r="A116" s="918"/>
      <c r="B116" s="918"/>
      <c r="C116" s="3499"/>
      <c r="D116" s="3499"/>
      <c r="E116" s="50" t="s">
        <v>1199</v>
      </c>
      <c r="F116" s="45"/>
      <c r="G116" s="37"/>
      <c r="H116" s="50" t="s">
        <v>1197</v>
      </c>
      <c r="I116" s="15"/>
      <c r="J116" s="37"/>
      <c r="K116" s="2899">
        <f>GV49</f>
        <v>0</v>
      </c>
      <c r="L116" s="2900">
        <f>GW49</f>
        <v>38</v>
      </c>
      <c r="M116" s="2900">
        <f>GX49</f>
        <v>60</v>
      </c>
      <c r="N116" s="2900">
        <f>GY49</f>
        <v>20</v>
      </c>
      <c r="O116" s="2901">
        <f>GZ49</f>
        <v>0</v>
      </c>
      <c r="P116" s="2902">
        <f t="shared" si="364"/>
        <v>118</v>
      </c>
      <c r="S116" s="3500"/>
      <c r="T116" s="3501"/>
      <c r="U116" s="3501"/>
      <c r="V116" s="3501"/>
      <c r="W116" s="3502"/>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918"/>
      <c r="B117" s="918"/>
      <c r="C117" s="3499"/>
      <c r="D117" s="3499"/>
      <c r="E117" s="50"/>
      <c r="F117" s="45"/>
      <c r="G117" s="37"/>
      <c r="H117" s="50" t="s">
        <v>1113</v>
      </c>
      <c r="I117" s="15"/>
      <c r="J117" s="37"/>
      <c r="K117" s="2748">
        <f>HA49</f>
        <v>0</v>
      </c>
      <c r="L117" s="2749">
        <f>HB49</f>
        <v>24</v>
      </c>
      <c r="M117" s="2749">
        <f>HC49</f>
        <v>42</v>
      </c>
      <c r="N117" s="2749">
        <f>HD49</f>
        <v>15</v>
      </c>
      <c r="O117" s="2750">
        <f>HE49</f>
        <v>0</v>
      </c>
      <c r="P117" s="592">
        <f t="shared" si="364"/>
        <v>81</v>
      </c>
      <c r="S117" s="3500"/>
      <c r="T117" s="3501"/>
      <c r="U117" s="3501"/>
      <c r="V117" s="3501"/>
      <c r="W117" s="3502"/>
      <c r="X117" s="263"/>
      <c r="AA117" s="263"/>
      <c r="AB117" s="266"/>
      <c r="AC117" s="263"/>
      <c r="AF117" s="263"/>
      <c r="AG117" s="266"/>
      <c r="AH117" s="263"/>
      <c r="AK117" s="263"/>
      <c r="AL117" s="266"/>
      <c r="AM117" s="263"/>
      <c r="AP117" s="263"/>
      <c r="AQ117" s="266"/>
      <c r="AR117" s="267"/>
      <c r="AS117" s="267"/>
      <c r="AT117" s="267"/>
      <c r="AU117" s="267"/>
      <c r="AV117" s="267"/>
      <c r="AW117" s="267"/>
      <c r="AX117" s="639"/>
      <c r="AY117" s="263"/>
      <c r="BB117" s="267"/>
      <c r="BC117" s="639"/>
      <c r="BD117" s="263"/>
      <c r="LO117" s="265"/>
      <c r="MD117" s="261"/>
    </row>
    <row r="118" spans="1:342" ht="14.25" customHeight="1">
      <c r="A118" s="918"/>
      <c r="B118" s="918"/>
      <c r="C118" s="3499"/>
      <c r="D118" s="3499"/>
      <c r="E118" s="50"/>
      <c r="F118" s="45"/>
      <c r="G118" s="37"/>
      <c r="H118" s="96" t="s">
        <v>1198</v>
      </c>
      <c r="I118" s="40"/>
      <c r="J118" s="37"/>
      <c r="K118" s="2911">
        <f>SUM(K116:K117)+HF49</f>
        <v>0</v>
      </c>
      <c r="L118" s="2911">
        <f>SUM(L116:L117)+HG49</f>
        <v>62</v>
      </c>
      <c r="M118" s="2911">
        <f>SUM(M116:M117)+HH49</f>
        <v>102</v>
      </c>
      <c r="N118" s="2911">
        <f>SUM(N116:N117)+HI49</f>
        <v>35</v>
      </c>
      <c r="O118" s="2911">
        <f>SUM(O116:O117)+HJ49</f>
        <v>0</v>
      </c>
      <c r="P118" s="2911">
        <f t="shared" si="364"/>
        <v>199</v>
      </c>
      <c r="S118" s="3500"/>
      <c r="T118" s="3501"/>
      <c r="U118" s="3501"/>
      <c r="V118" s="3501"/>
      <c r="W118" s="3502"/>
      <c r="X118" s="1440"/>
      <c r="AA118" s="263"/>
      <c r="AB118" s="266"/>
      <c r="AC118" s="1440"/>
      <c r="AF118" s="263"/>
      <c r="AG118" s="266"/>
      <c r="AH118" s="1440"/>
      <c r="AK118" s="263"/>
      <c r="AL118" s="266"/>
      <c r="AM118" s="1440"/>
      <c r="AP118" s="263"/>
      <c r="AQ118" s="266"/>
      <c r="AR118" s="267"/>
      <c r="AS118" s="267"/>
      <c r="AT118" s="267"/>
      <c r="AU118" s="267"/>
      <c r="AV118" s="267"/>
      <c r="AW118" s="267"/>
      <c r="AX118" s="266"/>
      <c r="AY118" s="263"/>
      <c r="BB118" s="267"/>
      <c r="BC118" s="266"/>
      <c r="BD118" s="263"/>
      <c r="LO118" s="265"/>
      <c r="MD118" s="261"/>
    </row>
    <row r="119" spans="1:342" ht="14.25" customHeight="1">
      <c r="A119" s="918"/>
      <c r="B119" s="918"/>
      <c r="C119" s="551"/>
      <c r="D119" s="45"/>
      <c r="E119" s="3542" t="s">
        <v>1200</v>
      </c>
      <c r="F119" s="3542"/>
      <c r="G119" s="37"/>
      <c r="H119" s="50" t="s">
        <v>1197</v>
      </c>
      <c r="I119" s="15"/>
      <c r="J119" s="37"/>
      <c r="K119" s="2899">
        <f>HK49</f>
        <v>0</v>
      </c>
      <c r="L119" s="2900">
        <f>HL49</f>
        <v>0</v>
      </c>
      <c r="M119" s="2900">
        <f>HM49</f>
        <v>0</v>
      </c>
      <c r="N119" s="2900">
        <f>HN49</f>
        <v>0</v>
      </c>
      <c r="O119" s="2901">
        <f>HO49</f>
        <v>0</v>
      </c>
      <c r="P119" s="2902">
        <f t="shared" si="364"/>
        <v>0</v>
      </c>
      <c r="S119" s="3500"/>
      <c r="T119" s="3501"/>
      <c r="U119" s="3501"/>
      <c r="V119" s="3501"/>
      <c r="W119" s="3502"/>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918"/>
      <c r="B120" s="918"/>
      <c r="C120" s="551"/>
      <c r="D120" s="45"/>
      <c r="E120" s="3542"/>
      <c r="F120" s="3542"/>
      <c r="G120" s="37"/>
      <c r="H120" s="50" t="s">
        <v>1113</v>
      </c>
      <c r="I120" s="15"/>
      <c r="J120" s="37"/>
      <c r="K120" s="2748">
        <f>HP49</f>
        <v>0</v>
      </c>
      <c r="L120" s="2749">
        <f>HQ49</f>
        <v>0</v>
      </c>
      <c r="M120" s="2749">
        <f>HR49</f>
        <v>0</v>
      </c>
      <c r="N120" s="2749">
        <f>HS49</f>
        <v>0</v>
      </c>
      <c r="O120" s="2750">
        <f>HT49</f>
        <v>0</v>
      </c>
      <c r="P120" s="592">
        <f t="shared" si="364"/>
        <v>0</v>
      </c>
      <c r="S120" s="3500"/>
      <c r="T120" s="3501"/>
      <c r="U120" s="3501"/>
      <c r="V120" s="3501"/>
      <c r="W120" s="3502"/>
      <c r="X120" s="263"/>
      <c r="AA120" s="263"/>
      <c r="AB120" s="266"/>
      <c r="AC120" s="263"/>
      <c r="AF120" s="263"/>
      <c r="AG120" s="266"/>
      <c r="AH120" s="263"/>
      <c r="AK120" s="263"/>
      <c r="AL120" s="266"/>
      <c r="AM120" s="263"/>
      <c r="AP120" s="263"/>
      <c r="AQ120" s="266"/>
      <c r="AR120" s="267"/>
      <c r="AS120" s="267"/>
      <c r="AT120" s="267"/>
      <c r="AU120" s="267"/>
      <c r="AV120" s="267"/>
      <c r="AW120" s="267"/>
      <c r="AX120" s="639"/>
      <c r="AY120" s="263"/>
      <c r="BB120" s="267"/>
      <c r="BC120" s="639"/>
      <c r="BD120" s="263"/>
      <c r="LO120" s="265"/>
      <c r="MD120" s="261"/>
    </row>
    <row r="121" spans="1:342" ht="14.25" customHeight="1">
      <c r="A121" s="918"/>
      <c r="B121" s="918"/>
      <c r="C121" s="551"/>
      <c r="D121" s="45"/>
      <c r="E121" s="50"/>
      <c r="F121" s="45"/>
      <c r="G121" s="37"/>
      <c r="H121" s="96" t="s">
        <v>1198</v>
      </c>
      <c r="I121" s="40"/>
      <c r="J121" s="37"/>
      <c r="K121" s="2911">
        <f>SUM(K119:K120)+HU49</f>
        <v>0</v>
      </c>
      <c r="L121" s="2911">
        <f>SUM(L119:L120)+HV49</f>
        <v>0</v>
      </c>
      <c r="M121" s="2911">
        <f>SUM(M119:M120)+HW49</f>
        <v>0</v>
      </c>
      <c r="N121" s="2911">
        <f>SUM(N119:N120)+HX49</f>
        <v>0</v>
      </c>
      <c r="O121" s="2911">
        <f>SUM(O119:O120)+HY49</f>
        <v>0</v>
      </c>
      <c r="P121" s="2911">
        <f t="shared" si="364"/>
        <v>0</v>
      </c>
      <c r="S121" s="3500"/>
      <c r="T121" s="3501"/>
      <c r="U121" s="3501"/>
      <c r="V121" s="3501"/>
      <c r="W121" s="3502"/>
      <c r="X121" s="1440"/>
      <c r="AA121" s="263"/>
      <c r="AB121" s="266"/>
      <c r="AC121" s="1440"/>
      <c r="AF121" s="263"/>
      <c r="AG121" s="266"/>
      <c r="AH121" s="1440"/>
      <c r="AK121" s="263"/>
      <c r="AL121" s="266"/>
      <c r="AM121" s="1440"/>
      <c r="AP121" s="263"/>
      <c r="AQ121" s="266"/>
      <c r="AR121" s="267"/>
      <c r="AS121" s="267"/>
      <c r="AT121" s="267"/>
      <c r="AU121" s="267"/>
      <c r="AV121" s="267"/>
      <c r="AW121" s="267"/>
      <c r="AX121" s="266"/>
      <c r="AY121" s="263"/>
      <c r="BB121" s="267"/>
      <c r="BC121" s="266"/>
      <c r="BD121" s="263"/>
      <c r="LO121" s="265"/>
      <c r="MD121" s="261"/>
    </row>
    <row r="122" spans="1:342" ht="14.25" customHeight="1">
      <c r="A122" s="918"/>
      <c r="B122" s="918"/>
      <c r="C122" s="551"/>
      <c r="D122" s="45"/>
      <c r="E122" s="50" t="s">
        <v>1201</v>
      </c>
      <c r="F122" s="45"/>
      <c r="G122" s="102"/>
      <c r="H122" s="56"/>
      <c r="I122" s="37"/>
      <c r="J122" s="37"/>
      <c r="K122" s="2753"/>
      <c r="L122" s="2753"/>
      <c r="M122" s="2753"/>
      <c r="N122" s="2753"/>
      <c r="O122" s="2753"/>
      <c r="P122" s="2754">
        <f t="shared" si="364"/>
        <v>0</v>
      </c>
      <c r="S122" s="3500"/>
      <c r="T122" s="3501"/>
      <c r="U122" s="3501"/>
      <c r="V122" s="3501"/>
      <c r="W122" s="3502"/>
      <c r="X122" s="263"/>
      <c r="AA122" s="263"/>
      <c r="AB122" s="266"/>
      <c r="AC122" s="263"/>
      <c r="AF122" s="263"/>
      <c r="AG122" s="266"/>
      <c r="AH122" s="263"/>
      <c r="AK122" s="263"/>
      <c r="AL122" s="266"/>
      <c r="AM122" s="263"/>
      <c r="AP122" s="263"/>
      <c r="AQ122" s="266"/>
      <c r="AR122" s="267"/>
      <c r="AS122" s="267"/>
      <c r="AT122" s="267"/>
      <c r="AU122" s="267"/>
      <c r="AV122" s="267"/>
      <c r="AW122" s="267"/>
      <c r="AX122" s="639"/>
      <c r="AY122" s="263"/>
      <c r="BB122" s="267"/>
      <c r="BC122" s="639"/>
      <c r="BD122" s="263"/>
      <c r="LO122" s="265"/>
      <c r="MD122" s="261"/>
    </row>
    <row r="123" spans="1:342" ht="14.25" customHeight="1">
      <c r="A123" s="3600" t="str">
        <f>IF(AND('Part III-A-Uses of Funds'!$T$179="Yes",'Part VIII Scoring Criteria'!$O$312&gt;0,P123&lt;1),"SHOW HISTORIC UNITS HERE &gt;&gt;&gt;&gt;","")</f>
        <v/>
      </c>
      <c r="B123" s="3600"/>
      <c r="C123" s="3600"/>
      <c r="D123" s="3600"/>
      <c r="E123" s="285" t="s">
        <v>1202</v>
      </c>
      <c r="F123" s="45"/>
      <c r="G123" s="102"/>
      <c r="H123" s="56"/>
      <c r="I123" s="37"/>
      <c r="J123" s="37"/>
      <c r="K123" s="2755"/>
      <c r="L123" s="2755"/>
      <c r="M123" s="2755"/>
      <c r="N123" s="2755"/>
      <c r="O123" s="2755"/>
      <c r="P123" s="2756">
        <f t="shared" si="364"/>
        <v>0</v>
      </c>
      <c r="S123" s="3500"/>
      <c r="T123" s="3501"/>
      <c r="U123" s="3501"/>
      <c r="V123" s="3501"/>
      <c r="W123" s="3502"/>
      <c r="X123" s="263"/>
      <c r="AA123" s="263"/>
      <c r="AB123" s="266"/>
      <c r="AC123" s="263"/>
      <c r="AF123" s="263"/>
      <c r="AG123" s="266"/>
      <c r="AH123" s="263"/>
      <c r="AK123" s="263"/>
      <c r="AL123" s="266"/>
      <c r="AM123" s="263"/>
      <c r="AP123" s="263"/>
      <c r="AQ123" s="266"/>
      <c r="AR123" s="267"/>
      <c r="AS123" s="267"/>
      <c r="AT123" s="267"/>
      <c r="AU123" s="267"/>
      <c r="AV123" s="267"/>
      <c r="AW123" s="267"/>
      <c r="AX123" s="639"/>
      <c r="AY123" s="263"/>
      <c r="BB123" s="267"/>
      <c r="BC123" s="639"/>
      <c r="BD123" s="263"/>
      <c r="LO123" s="265"/>
      <c r="MD123" s="261"/>
    </row>
    <row r="124" spans="1:342" ht="9" customHeight="1">
      <c r="A124" s="662"/>
      <c r="B124" s="662"/>
      <c r="C124" s="662"/>
      <c r="D124" s="662"/>
      <c r="E124" s="285"/>
      <c r="F124" s="45"/>
      <c r="G124" s="102"/>
      <c r="H124" s="56"/>
      <c r="I124" s="37"/>
      <c r="J124" s="37"/>
      <c r="K124" s="15"/>
      <c r="L124" s="15"/>
      <c r="M124" s="15"/>
      <c r="N124" s="15"/>
      <c r="O124" s="15"/>
      <c r="P124" s="15"/>
      <c r="S124" s="3500"/>
      <c r="T124" s="3501"/>
      <c r="U124" s="3501"/>
      <c r="V124" s="3501"/>
      <c r="W124" s="3502"/>
      <c r="X124" s="263"/>
      <c r="AA124" s="263"/>
      <c r="AB124" s="266"/>
      <c r="AC124" s="263"/>
      <c r="AF124" s="263"/>
      <c r="AG124" s="266"/>
      <c r="AH124" s="263"/>
      <c r="AK124" s="263"/>
      <c r="AL124" s="266"/>
      <c r="AM124" s="263"/>
      <c r="AP124" s="263"/>
      <c r="AQ124" s="266"/>
      <c r="AR124" s="267"/>
      <c r="AS124" s="267"/>
      <c r="AT124" s="267"/>
      <c r="AU124" s="267"/>
      <c r="AV124" s="267"/>
      <c r="AW124" s="267"/>
      <c r="AX124" s="639"/>
      <c r="AY124" s="263"/>
      <c r="BB124" s="267"/>
      <c r="BC124" s="639"/>
      <c r="BD124" s="263"/>
      <c r="LO124" s="265"/>
      <c r="MD124" s="261"/>
    </row>
    <row r="125" spans="1:342" ht="14.25" customHeight="1">
      <c r="A125" s="662"/>
      <c r="B125" s="662"/>
      <c r="C125" s="662"/>
      <c r="D125" s="662"/>
      <c r="E125" s="50" t="s">
        <v>1203</v>
      </c>
      <c r="F125" s="45"/>
      <c r="G125" s="102"/>
      <c r="H125" s="56"/>
      <c r="I125" s="37"/>
      <c r="J125" s="37"/>
      <c r="K125" s="2757">
        <f>K129+K133+K137+K139+K141+K143</f>
        <v>0</v>
      </c>
      <c r="L125" s="2758">
        <f>L129+L133+L137+L139+L141+L143</f>
        <v>0</v>
      </c>
      <c r="M125" s="2758">
        <f>M129+M133+M137+M139+M141+M143</f>
        <v>0</v>
      </c>
      <c r="N125" s="2758">
        <f>N129+N133+N137+N139+N141+N143</f>
        <v>0</v>
      </c>
      <c r="O125" s="2759">
        <f>O129+O133+O137+O139+O141+O143</f>
        <v>0</v>
      </c>
      <c r="P125" s="2760">
        <f>SUM(K125:O125)</f>
        <v>0</v>
      </c>
      <c r="S125" s="3513"/>
      <c r="T125" s="3514"/>
      <c r="U125" s="3514"/>
      <c r="V125" s="3514"/>
      <c r="W125" s="3515"/>
      <c r="X125" s="263"/>
      <c r="AA125" s="263"/>
      <c r="AB125" s="266"/>
      <c r="AC125" s="263"/>
      <c r="AF125" s="263"/>
      <c r="AG125" s="266"/>
      <c r="AH125" s="263"/>
      <c r="AK125" s="263"/>
      <c r="AL125" s="266"/>
      <c r="AM125" s="263"/>
      <c r="AP125" s="263"/>
      <c r="AQ125" s="266"/>
      <c r="AR125" s="267"/>
      <c r="AS125" s="267"/>
      <c r="AT125" s="267"/>
      <c r="AU125" s="267"/>
      <c r="AV125" s="267"/>
      <c r="AW125" s="267"/>
      <c r="AX125" s="639"/>
      <c r="AY125" s="263"/>
      <c r="BB125" s="267"/>
      <c r="BC125" s="639"/>
      <c r="BD125" s="263"/>
      <c r="LO125" s="265"/>
      <c r="MD125" s="261"/>
    </row>
    <row r="126" spans="1:342" ht="21" customHeight="1">
      <c r="A126" s="79"/>
      <c r="B126" s="79"/>
      <c r="C126" s="79"/>
      <c r="D126" s="45"/>
      <c r="E126" s="50"/>
      <c r="F126" s="45"/>
      <c r="G126" s="102"/>
      <c r="H126" s="56"/>
      <c r="I126" s="37"/>
      <c r="J126" s="37"/>
      <c r="K126" s="2752"/>
      <c r="L126" s="2752"/>
      <c r="M126" s="2752"/>
      <c r="N126" s="2752"/>
      <c r="O126" s="2752"/>
      <c r="P126" s="2752"/>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498" t="s">
        <v>1204</v>
      </c>
      <c r="D127" s="3498"/>
      <c r="E127" s="727" t="s">
        <v>652</v>
      </c>
      <c r="F127" s="2761"/>
      <c r="G127" s="728"/>
      <c r="H127" s="1163"/>
      <c r="I127" s="729"/>
      <c r="J127" s="730"/>
      <c r="K127" s="926">
        <f t="shared" ref="K127:P127" si="365">SUM(K128:K135)</f>
        <v>0</v>
      </c>
      <c r="L127" s="927">
        <f t="shared" si="365"/>
        <v>62</v>
      </c>
      <c r="M127" s="927">
        <f t="shared" si="365"/>
        <v>64</v>
      </c>
      <c r="N127" s="927">
        <f t="shared" si="365"/>
        <v>31</v>
      </c>
      <c r="O127" s="928">
        <f t="shared" si="365"/>
        <v>0</v>
      </c>
      <c r="P127" s="895">
        <f t="shared" si="365"/>
        <v>157</v>
      </c>
      <c r="S127" s="3503"/>
      <c r="T127" s="3504"/>
      <c r="U127" s="3504"/>
      <c r="V127" s="3504"/>
      <c r="W127" s="3505"/>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499"/>
      <c r="D128" s="3499"/>
      <c r="E128" s="50"/>
      <c r="F128" s="45"/>
      <c r="G128" s="37"/>
      <c r="H128" s="1133" t="s">
        <v>1205</v>
      </c>
      <c r="I128" s="18"/>
      <c r="J128" s="731"/>
      <c r="K128" s="920">
        <f>JS49</f>
        <v>0</v>
      </c>
      <c r="L128" s="921">
        <f>JT49</f>
        <v>62</v>
      </c>
      <c r="M128" s="921">
        <f>JU49</f>
        <v>64</v>
      </c>
      <c r="N128" s="921">
        <f>JV49</f>
        <v>31</v>
      </c>
      <c r="O128" s="922">
        <f>JW49</f>
        <v>0</v>
      </c>
      <c r="P128" s="894">
        <f t="shared" ref="P128:P143" si="366">SUM(K128:O128)</f>
        <v>157</v>
      </c>
      <c r="S128" s="3500"/>
      <c r="T128" s="3501"/>
      <c r="U128" s="3501"/>
      <c r="V128" s="3501"/>
      <c r="W128" s="3502"/>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499"/>
      <c r="D129" s="3499"/>
      <c r="E129" s="50"/>
      <c r="F129" s="45"/>
      <c r="G129" s="37"/>
      <c r="H129" s="1164" t="s">
        <v>1203</v>
      </c>
      <c r="I129" s="46"/>
      <c r="J129" s="731"/>
      <c r="K129" s="1386">
        <f>KC49</f>
        <v>0</v>
      </c>
      <c r="L129" s="1387">
        <f>KD49</f>
        <v>0</v>
      </c>
      <c r="M129" s="1387">
        <f>KE49</f>
        <v>0</v>
      </c>
      <c r="N129" s="1387">
        <f>KF49</f>
        <v>0</v>
      </c>
      <c r="O129" s="1388">
        <f>KG49</f>
        <v>0</v>
      </c>
      <c r="P129" s="1398">
        <f t="shared" si="366"/>
        <v>0</v>
      </c>
      <c r="S129" s="3500"/>
      <c r="T129" s="3501"/>
      <c r="U129" s="3501"/>
      <c r="V129" s="3501"/>
      <c r="W129" s="3502"/>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499"/>
      <c r="D130" s="3499"/>
      <c r="E130" s="50"/>
      <c r="F130" s="45"/>
      <c r="G130" s="37"/>
      <c r="H130" s="1133" t="s">
        <v>1206</v>
      </c>
      <c r="I130" s="18"/>
      <c r="J130" s="731"/>
      <c r="K130" s="920">
        <f>JX49</f>
        <v>0</v>
      </c>
      <c r="L130" s="921">
        <f>JY49</f>
        <v>0</v>
      </c>
      <c r="M130" s="921">
        <f>JZ49</f>
        <v>0</v>
      </c>
      <c r="N130" s="921">
        <f>KA49</f>
        <v>0</v>
      </c>
      <c r="O130" s="922">
        <f>KB49</f>
        <v>0</v>
      </c>
      <c r="P130" s="894">
        <f t="shared" ref="P130:P135" si="367">SUM(K130:O130)</f>
        <v>0</v>
      </c>
      <c r="S130" s="3500"/>
      <c r="T130" s="3501"/>
      <c r="U130" s="3501"/>
      <c r="V130" s="3501"/>
      <c r="W130" s="3502"/>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499"/>
      <c r="D131" s="3499"/>
      <c r="E131" s="50"/>
      <c r="F131" s="45"/>
      <c r="G131" s="37"/>
      <c r="H131" s="1164" t="s">
        <v>1203</v>
      </c>
      <c r="I131" s="46"/>
      <c r="J131" s="731"/>
      <c r="K131" s="1386">
        <f>KH49</f>
        <v>0</v>
      </c>
      <c r="L131" s="1387">
        <f>KI49</f>
        <v>0</v>
      </c>
      <c r="M131" s="1387">
        <f>KJ49</f>
        <v>0</v>
      </c>
      <c r="N131" s="1387">
        <f>KK49</f>
        <v>0</v>
      </c>
      <c r="O131" s="1388">
        <f>KL49</f>
        <v>0</v>
      </c>
      <c r="P131" s="1398">
        <f t="shared" si="367"/>
        <v>0</v>
      </c>
      <c r="S131" s="3500"/>
      <c r="T131" s="3501"/>
      <c r="U131" s="3501"/>
      <c r="V131" s="3501"/>
      <c r="W131" s="3502"/>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499"/>
      <c r="D132" s="3499"/>
      <c r="E132" s="50"/>
      <c r="F132" s="45"/>
      <c r="G132" s="37"/>
      <c r="H132" s="1133" t="s">
        <v>1207</v>
      </c>
      <c r="I132" s="18"/>
      <c r="J132" s="37"/>
      <c r="K132" s="932">
        <f>KM49</f>
        <v>0</v>
      </c>
      <c r="L132" s="933">
        <f>KN49</f>
        <v>0</v>
      </c>
      <c r="M132" s="933">
        <f>KO49</f>
        <v>0</v>
      </c>
      <c r="N132" s="933">
        <f>KP49</f>
        <v>0</v>
      </c>
      <c r="O132" s="934">
        <f>KQ49</f>
        <v>0</v>
      </c>
      <c r="P132" s="2762">
        <f t="shared" si="367"/>
        <v>0</v>
      </c>
      <c r="S132" s="3500"/>
      <c r="T132" s="3501"/>
      <c r="U132" s="3501"/>
      <c r="V132" s="3501"/>
      <c r="W132" s="3502"/>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499"/>
      <c r="D133" s="3499"/>
      <c r="E133" s="50"/>
      <c r="F133" s="45"/>
      <c r="G133" s="37"/>
      <c r="H133" s="1164" t="s">
        <v>1203</v>
      </c>
      <c r="I133" s="46"/>
      <c r="J133" s="37"/>
      <c r="K133" s="1394">
        <f>KW49</f>
        <v>0</v>
      </c>
      <c r="L133" s="1395">
        <f>KX49</f>
        <v>0</v>
      </c>
      <c r="M133" s="1395">
        <f>KY49</f>
        <v>0</v>
      </c>
      <c r="N133" s="1395">
        <f>KZ49</f>
        <v>0</v>
      </c>
      <c r="O133" s="1396">
        <f>LA49</f>
        <v>0</v>
      </c>
      <c r="P133" s="1397">
        <f t="shared" si="367"/>
        <v>0</v>
      </c>
      <c r="S133" s="3500"/>
      <c r="T133" s="3501"/>
      <c r="U133" s="3501"/>
      <c r="V133" s="3501"/>
      <c r="W133" s="3502"/>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499"/>
      <c r="D134" s="3499"/>
      <c r="E134" s="50"/>
      <c r="F134" s="45"/>
      <c r="G134" s="37"/>
      <c r="H134" s="1133" t="s">
        <v>1208</v>
      </c>
      <c r="I134" s="18"/>
      <c r="J134" s="37"/>
      <c r="K134" s="932">
        <f>KR49</f>
        <v>0</v>
      </c>
      <c r="L134" s="933">
        <f>KS49</f>
        <v>0</v>
      </c>
      <c r="M134" s="933">
        <f>KT49</f>
        <v>0</v>
      </c>
      <c r="N134" s="933">
        <f>KU49</f>
        <v>0</v>
      </c>
      <c r="O134" s="934">
        <f>KV49</f>
        <v>0</v>
      </c>
      <c r="P134" s="2762">
        <f t="shared" si="367"/>
        <v>0</v>
      </c>
      <c r="S134" s="3500"/>
      <c r="T134" s="3501"/>
      <c r="U134" s="3501"/>
      <c r="V134" s="3501"/>
      <c r="W134" s="3502"/>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499"/>
      <c r="D135" s="3499"/>
      <c r="E135" s="50"/>
      <c r="F135" s="45"/>
      <c r="G135" s="37"/>
      <c r="H135" s="1164" t="s">
        <v>1203</v>
      </c>
      <c r="I135" s="46"/>
      <c r="J135" s="37"/>
      <c r="K135" s="1394">
        <f>LB49</f>
        <v>0</v>
      </c>
      <c r="L135" s="1395">
        <f>LC49</f>
        <v>0</v>
      </c>
      <c r="M135" s="1395">
        <f>LD49</f>
        <v>0</v>
      </c>
      <c r="N135" s="1395">
        <f>LE49</f>
        <v>0</v>
      </c>
      <c r="O135" s="1396">
        <f>LF49</f>
        <v>0</v>
      </c>
      <c r="P135" s="1397">
        <f t="shared" si="367"/>
        <v>0</v>
      </c>
      <c r="S135" s="3500"/>
      <c r="T135" s="3501"/>
      <c r="U135" s="3501"/>
      <c r="V135" s="3501"/>
      <c r="W135" s="3502"/>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499"/>
      <c r="D136" s="3499"/>
      <c r="E136" s="50" t="s">
        <v>1209</v>
      </c>
      <c r="F136" s="45"/>
      <c r="G136" s="37"/>
      <c r="H136" s="1133"/>
      <c r="I136" s="18"/>
      <c r="J136" s="37"/>
      <c r="K136" s="2899">
        <f>IE49</f>
        <v>0</v>
      </c>
      <c r="L136" s="2900">
        <f>IF49</f>
        <v>0</v>
      </c>
      <c r="M136" s="2900">
        <f>IG49</f>
        <v>0</v>
      </c>
      <c r="N136" s="2900">
        <f>IH49</f>
        <v>0</v>
      </c>
      <c r="O136" s="2901">
        <f>II49</f>
        <v>0</v>
      </c>
      <c r="P136" s="2912">
        <f t="shared" si="366"/>
        <v>0</v>
      </c>
      <c r="S136" s="3500"/>
      <c r="T136" s="3501"/>
      <c r="U136" s="3501"/>
      <c r="V136" s="3501"/>
      <c r="W136" s="3502"/>
      <c r="X136" s="263"/>
      <c r="AA136" s="263"/>
      <c r="AB136" s="266"/>
      <c r="AC136" s="263"/>
      <c r="AF136" s="263"/>
      <c r="AG136" s="266"/>
      <c r="AH136" s="263"/>
      <c r="AK136" s="263"/>
      <c r="AL136" s="266"/>
      <c r="AM136" s="263"/>
      <c r="AP136" s="263"/>
      <c r="AQ136" s="266"/>
      <c r="AR136" s="267"/>
      <c r="AS136" s="267"/>
      <c r="AT136" s="267"/>
      <c r="AU136" s="267"/>
      <c r="AV136" s="267"/>
      <c r="AW136" s="267"/>
      <c r="AX136" s="639"/>
      <c r="AY136" s="263"/>
      <c r="BB136" s="267"/>
      <c r="BC136" s="639"/>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499"/>
      <c r="D137" s="3499"/>
      <c r="E137" s="50"/>
      <c r="F137" s="45"/>
      <c r="G137" s="37"/>
      <c r="H137" s="1164" t="s">
        <v>1203</v>
      </c>
      <c r="I137" s="46"/>
      <c r="J137" s="37"/>
      <c r="K137" s="1386">
        <f>IJ49</f>
        <v>0</v>
      </c>
      <c r="L137" s="1387">
        <f>IK49</f>
        <v>0</v>
      </c>
      <c r="M137" s="1387">
        <f>IL49</f>
        <v>0</v>
      </c>
      <c r="N137" s="1387">
        <f>IM49</f>
        <v>0</v>
      </c>
      <c r="O137" s="1388">
        <f>IN49</f>
        <v>0</v>
      </c>
      <c r="P137" s="1389">
        <f t="shared" si="366"/>
        <v>0</v>
      </c>
      <c r="S137" s="3500"/>
      <c r="T137" s="3501"/>
      <c r="U137" s="3501"/>
      <c r="V137" s="3501"/>
      <c r="W137" s="3502"/>
      <c r="X137" s="263"/>
      <c r="AA137" s="263"/>
      <c r="AB137" s="266"/>
      <c r="AC137" s="263"/>
      <c r="AF137" s="263"/>
      <c r="AG137" s="266"/>
      <c r="AH137" s="263"/>
      <c r="AK137" s="263"/>
      <c r="AL137" s="266"/>
      <c r="AM137" s="263"/>
      <c r="AP137" s="263"/>
      <c r="AQ137" s="266"/>
      <c r="AR137" s="267"/>
      <c r="AS137" s="267"/>
      <c r="AT137" s="267"/>
      <c r="AU137" s="267"/>
      <c r="AV137" s="267"/>
      <c r="AW137" s="267"/>
      <c r="AX137" s="639"/>
      <c r="AY137" s="263"/>
      <c r="BB137" s="267"/>
      <c r="BC137" s="639"/>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499"/>
      <c r="D138" s="3499"/>
      <c r="E138" s="50" t="s">
        <v>654</v>
      </c>
      <c r="F138" s="45"/>
      <c r="G138" s="37"/>
      <c r="H138" s="1133"/>
      <c r="I138" s="18"/>
      <c r="J138" s="37"/>
      <c r="K138" s="932">
        <f>JI49</f>
        <v>0</v>
      </c>
      <c r="L138" s="933">
        <f>JJ49</f>
        <v>0</v>
      </c>
      <c r="M138" s="933">
        <f>JK49</f>
        <v>38</v>
      </c>
      <c r="N138" s="933">
        <f>JL49</f>
        <v>4</v>
      </c>
      <c r="O138" s="934">
        <f>JM49</f>
        <v>0</v>
      </c>
      <c r="P138" s="1385">
        <f t="shared" si="366"/>
        <v>42</v>
      </c>
      <c r="S138" s="3500"/>
      <c r="T138" s="3501"/>
      <c r="U138" s="3501"/>
      <c r="V138" s="3501"/>
      <c r="W138" s="3502"/>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499"/>
      <c r="D139" s="3499"/>
      <c r="E139" s="50"/>
      <c r="F139" s="45"/>
      <c r="G139" s="37"/>
      <c r="H139" s="1164" t="s">
        <v>1203</v>
      </c>
      <c r="I139" s="46"/>
      <c r="J139" s="37"/>
      <c r="K139" s="1386">
        <f>JN49</f>
        <v>0</v>
      </c>
      <c r="L139" s="1387">
        <f>JO49</f>
        <v>0</v>
      </c>
      <c r="M139" s="1387">
        <f>JP49</f>
        <v>0</v>
      </c>
      <c r="N139" s="1387">
        <f>JQ49</f>
        <v>0</v>
      </c>
      <c r="O139" s="1388">
        <f>JR49</f>
        <v>0</v>
      </c>
      <c r="P139" s="1389">
        <f t="shared" si="366"/>
        <v>0</v>
      </c>
      <c r="S139" s="3500"/>
      <c r="T139" s="3501"/>
      <c r="U139" s="3501"/>
      <c r="V139" s="3501"/>
      <c r="W139" s="3502"/>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499"/>
      <c r="D140" s="3499"/>
      <c r="E140" s="50" t="s">
        <v>645</v>
      </c>
      <c r="F140" s="45"/>
      <c r="G140" s="37"/>
      <c r="H140" s="1133"/>
      <c r="I140" s="18"/>
      <c r="J140" s="37"/>
      <c r="K140" s="932">
        <f>IY49</f>
        <v>0</v>
      </c>
      <c r="L140" s="933">
        <f>IZ49</f>
        <v>0</v>
      </c>
      <c r="M140" s="933">
        <f>JA49</f>
        <v>0</v>
      </c>
      <c r="N140" s="933">
        <f>JB49</f>
        <v>0</v>
      </c>
      <c r="O140" s="934">
        <f>JC49</f>
        <v>0</v>
      </c>
      <c r="P140" s="1385">
        <f t="shared" si="366"/>
        <v>0</v>
      </c>
      <c r="S140" s="3500"/>
      <c r="T140" s="3501"/>
      <c r="U140" s="3501"/>
      <c r="V140" s="3501"/>
      <c r="W140" s="3502"/>
      <c r="X140" s="263"/>
      <c r="AA140" s="263"/>
      <c r="AB140" s="266"/>
      <c r="AC140" s="263"/>
      <c r="AF140" s="263"/>
      <c r="AG140" s="266"/>
      <c r="AH140" s="263"/>
      <c r="AK140" s="263"/>
      <c r="AL140" s="266"/>
      <c r="AM140" s="263"/>
      <c r="AP140" s="263"/>
      <c r="AQ140" s="266"/>
      <c r="AR140" s="267"/>
      <c r="AS140" s="267"/>
      <c r="AT140" s="267"/>
      <c r="AU140" s="267"/>
      <c r="AV140" s="267"/>
      <c r="AW140" s="267"/>
      <c r="AX140" s="639"/>
      <c r="AY140" s="263"/>
      <c r="BB140" s="267"/>
      <c r="BC140" s="639"/>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499"/>
      <c r="D141" s="3499"/>
      <c r="E141" s="50"/>
      <c r="F141" s="45"/>
      <c r="G141" s="37"/>
      <c r="H141" s="1164" t="s">
        <v>1203</v>
      </c>
      <c r="I141" s="46"/>
      <c r="J141" s="37"/>
      <c r="K141" s="1394">
        <f>JD49</f>
        <v>0</v>
      </c>
      <c r="L141" s="1395">
        <f>JE49</f>
        <v>0</v>
      </c>
      <c r="M141" s="1395">
        <f>JF49</f>
        <v>0</v>
      </c>
      <c r="N141" s="1395">
        <f>JG49</f>
        <v>0</v>
      </c>
      <c r="O141" s="1396">
        <f>JH49</f>
        <v>0</v>
      </c>
      <c r="P141" s="1389">
        <f t="shared" si="366"/>
        <v>0</v>
      </c>
      <c r="S141" s="3500"/>
      <c r="T141" s="3501"/>
      <c r="U141" s="3501"/>
      <c r="V141" s="3501"/>
      <c r="W141" s="3502"/>
      <c r="X141" s="263"/>
      <c r="AA141" s="263"/>
      <c r="AB141" s="266"/>
      <c r="AC141" s="263"/>
      <c r="AF141" s="263"/>
      <c r="AG141" s="266"/>
      <c r="AH141" s="263"/>
      <c r="AK141" s="263"/>
      <c r="AL141" s="266"/>
      <c r="AM141" s="263"/>
      <c r="AP141" s="263"/>
      <c r="AQ141" s="266"/>
      <c r="AR141" s="267"/>
      <c r="AS141" s="267"/>
      <c r="AT141" s="267"/>
      <c r="AU141" s="267"/>
      <c r="AV141" s="267"/>
      <c r="AW141" s="267"/>
      <c r="AX141" s="639"/>
      <c r="AY141" s="263"/>
      <c r="BB141" s="267"/>
      <c r="BC141" s="639"/>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499"/>
      <c r="D142" s="3499"/>
      <c r="E142" s="42" t="s">
        <v>1210</v>
      </c>
      <c r="F142" s="45"/>
      <c r="G142" s="37"/>
      <c r="H142" s="1133"/>
      <c r="I142" s="18"/>
      <c r="J142" s="37"/>
      <c r="K142" s="932">
        <f>IO49</f>
        <v>0</v>
      </c>
      <c r="L142" s="933">
        <f>IP49</f>
        <v>0</v>
      </c>
      <c r="M142" s="933">
        <f>IQ49</f>
        <v>0</v>
      </c>
      <c r="N142" s="933">
        <f>IR49</f>
        <v>0</v>
      </c>
      <c r="O142" s="934">
        <f>IS49</f>
        <v>0</v>
      </c>
      <c r="P142" s="1385">
        <f t="shared" si="366"/>
        <v>0</v>
      </c>
      <c r="S142" s="3500"/>
      <c r="T142" s="3501"/>
      <c r="U142" s="3501"/>
      <c r="V142" s="3501"/>
      <c r="W142" s="3502"/>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84"/>
      <c r="D143" s="1384"/>
      <c r="E143" s="42"/>
      <c r="F143" s="45"/>
      <c r="G143" s="37"/>
      <c r="H143" s="1164" t="s">
        <v>1203</v>
      </c>
      <c r="I143" s="46"/>
      <c r="J143" s="37"/>
      <c r="K143" s="1390">
        <f>IT49</f>
        <v>0</v>
      </c>
      <c r="L143" s="1391">
        <f>IU49</f>
        <v>0</v>
      </c>
      <c r="M143" s="1391">
        <f>IV49</f>
        <v>0</v>
      </c>
      <c r="N143" s="1391">
        <f>IW49</f>
        <v>0</v>
      </c>
      <c r="O143" s="1392">
        <f>IX49</f>
        <v>0</v>
      </c>
      <c r="P143" s="1393">
        <f t="shared" si="366"/>
        <v>0</v>
      </c>
      <c r="S143" s="3513"/>
      <c r="T143" s="3514"/>
      <c r="U143" s="3514"/>
      <c r="V143" s="3514"/>
      <c r="W143" s="3515"/>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3"/>
      <c r="I144" s="552"/>
      <c r="J144" s="37"/>
      <c r="K144" s="2763"/>
      <c r="L144" s="2763"/>
      <c r="M144" s="2763"/>
      <c r="N144" s="2763"/>
      <c r="O144" s="2763"/>
      <c r="P144" s="2763"/>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65" customHeight="1" thickBot="1">
      <c r="A145" s="7" t="s">
        <v>25</v>
      </c>
      <c r="B145" s="7" t="s">
        <v>1193</v>
      </c>
      <c r="C145" s="79"/>
      <c r="D145" s="79"/>
      <c r="E145" s="79"/>
      <c r="F145" s="79"/>
      <c r="G145" s="79"/>
      <c r="H145" s="42"/>
      <c r="I145" s="79"/>
      <c r="J145" s="79"/>
      <c r="K145" s="79"/>
      <c r="L145" s="3537" t="str">
        <f>$O$53</f>
        <v>40% of Units at 60% of AMI</v>
      </c>
      <c r="M145" s="3538"/>
      <c r="N145" s="3538"/>
      <c r="O145" s="3539"/>
      <c r="P145" s="37"/>
      <c r="S145" s="3536" t="str">
        <f>B145</f>
        <v>UNIT SUMMARY (Continued)</v>
      </c>
      <c r="T145" s="3536"/>
      <c r="U145" s="3536"/>
      <c r="V145" s="3536"/>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9"/>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498" t="s">
        <v>1211</v>
      </c>
      <c r="D147" s="3498"/>
      <c r="E147" s="727" t="s">
        <v>1212</v>
      </c>
      <c r="F147" s="728"/>
      <c r="G147" s="729"/>
      <c r="H147" s="1165"/>
      <c r="I147" s="732"/>
      <c r="J147" s="730"/>
      <c r="K147" s="2899">
        <f t="shared" ref="K147:O148" si="368">K136+K140+K142</f>
        <v>0</v>
      </c>
      <c r="L147" s="2900">
        <f>L136+L140+L142</f>
        <v>0</v>
      </c>
      <c r="M147" s="2900">
        <f t="shared" si="368"/>
        <v>0</v>
      </c>
      <c r="N147" s="2900">
        <f t="shared" si="368"/>
        <v>0</v>
      </c>
      <c r="O147" s="2901">
        <f t="shared" si="368"/>
        <v>0</v>
      </c>
      <c r="P147" s="2912">
        <f t="shared" ref="P147:P154" si="369">SUM(K147:O147)</f>
        <v>0</v>
      </c>
      <c r="S147" s="3503"/>
      <c r="T147" s="3504"/>
      <c r="U147" s="3504"/>
      <c r="V147" s="3504"/>
      <c r="W147" s="3505"/>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499"/>
      <c r="D148" s="3499"/>
      <c r="E148" s="50"/>
      <c r="F148" s="102"/>
      <c r="G148" s="37"/>
      <c r="H148" s="1164" t="s">
        <v>1203</v>
      </c>
      <c r="I148" s="46"/>
      <c r="J148" s="731"/>
      <c r="K148" s="1386">
        <f t="shared" si="368"/>
        <v>0</v>
      </c>
      <c r="L148" s="1387">
        <f t="shared" si="368"/>
        <v>0</v>
      </c>
      <c r="M148" s="1387">
        <f t="shared" si="368"/>
        <v>0</v>
      </c>
      <c r="N148" s="1387">
        <f t="shared" si="368"/>
        <v>0</v>
      </c>
      <c r="O148" s="1388">
        <f t="shared" si="368"/>
        <v>0</v>
      </c>
      <c r="P148" s="1389">
        <f t="shared" si="369"/>
        <v>0</v>
      </c>
      <c r="S148" s="3500"/>
      <c r="T148" s="3501"/>
      <c r="U148" s="3501"/>
      <c r="V148" s="3501"/>
      <c r="W148" s="3502"/>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499"/>
      <c r="D149" s="3499"/>
      <c r="E149" s="50" t="s">
        <v>1213</v>
      </c>
      <c r="F149" s="102"/>
      <c r="G149" s="37"/>
      <c r="H149" s="141"/>
      <c r="I149" s="102"/>
      <c r="J149" s="731"/>
      <c r="K149" s="932">
        <f t="shared" ref="K149:O150" si="370">K138</f>
        <v>0</v>
      </c>
      <c r="L149" s="933">
        <f t="shared" si="370"/>
        <v>0</v>
      </c>
      <c r="M149" s="933">
        <f t="shared" si="370"/>
        <v>38</v>
      </c>
      <c r="N149" s="933">
        <f t="shared" si="370"/>
        <v>4</v>
      </c>
      <c r="O149" s="934">
        <f t="shared" si="370"/>
        <v>0</v>
      </c>
      <c r="P149" s="1385">
        <f t="shared" si="369"/>
        <v>42</v>
      </c>
      <c r="S149" s="3500"/>
      <c r="T149" s="3501"/>
      <c r="U149" s="3501"/>
      <c r="V149" s="3501"/>
      <c r="W149" s="3502"/>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499"/>
      <c r="D150" s="3499"/>
      <c r="E150" s="50"/>
      <c r="F150" s="102"/>
      <c r="G150" s="37"/>
      <c r="H150" s="1164" t="s">
        <v>1203</v>
      </c>
      <c r="I150" s="46"/>
      <c r="J150" s="731"/>
      <c r="K150" s="1386">
        <f t="shared" si="370"/>
        <v>0</v>
      </c>
      <c r="L150" s="1387">
        <f t="shared" si="370"/>
        <v>0</v>
      </c>
      <c r="M150" s="1387">
        <f t="shared" si="370"/>
        <v>0</v>
      </c>
      <c r="N150" s="1387">
        <f t="shared" si="370"/>
        <v>0</v>
      </c>
      <c r="O150" s="1388">
        <f t="shared" si="370"/>
        <v>0</v>
      </c>
      <c r="P150" s="1389">
        <f t="shared" si="369"/>
        <v>0</v>
      </c>
      <c r="S150" s="3500"/>
      <c r="T150" s="3501"/>
      <c r="U150" s="3501"/>
      <c r="V150" s="3501"/>
      <c r="W150" s="3502"/>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499"/>
      <c r="D151" s="3499"/>
      <c r="E151" s="50" t="s">
        <v>1214</v>
      </c>
      <c r="F151" s="102"/>
      <c r="G151" s="37"/>
      <c r="H151" s="1133"/>
      <c r="I151" s="18"/>
      <c r="J151" s="731"/>
      <c r="K151" s="932">
        <f t="shared" ref="K151:O154" si="371">K128+K132</f>
        <v>0</v>
      </c>
      <c r="L151" s="933">
        <f t="shared" si="371"/>
        <v>62</v>
      </c>
      <c r="M151" s="933">
        <f t="shared" si="371"/>
        <v>64</v>
      </c>
      <c r="N151" s="933">
        <f t="shared" si="371"/>
        <v>31</v>
      </c>
      <c r="O151" s="934">
        <f t="shared" si="371"/>
        <v>0</v>
      </c>
      <c r="P151" s="1385">
        <f t="shared" si="369"/>
        <v>157</v>
      </c>
      <c r="S151" s="3500"/>
      <c r="T151" s="3501"/>
      <c r="U151" s="3501"/>
      <c r="V151" s="3501"/>
      <c r="W151" s="3502"/>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499"/>
      <c r="D152" s="3499"/>
      <c r="E152" s="50"/>
      <c r="F152" s="102"/>
      <c r="G152" s="37"/>
      <c r="H152" s="1164" t="s">
        <v>1203</v>
      </c>
      <c r="I152" s="46"/>
      <c r="J152" s="731"/>
      <c r="K152" s="1386">
        <f t="shared" si="371"/>
        <v>0</v>
      </c>
      <c r="L152" s="1387">
        <f t="shared" si="371"/>
        <v>0</v>
      </c>
      <c r="M152" s="1387">
        <f t="shared" si="371"/>
        <v>0</v>
      </c>
      <c r="N152" s="1387">
        <f t="shared" si="371"/>
        <v>0</v>
      </c>
      <c r="O152" s="1388">
        <f t="shared" si="371"/>
        <v>0</v>
      </c>
      <c r="P152" s="1389">
        <f t="shared" si="369"/>
        <v>0</v>
      </c>
      <c r="S152" s="3500"/>
      <c r="T152" s="3501"/>
      <c r="U152" s="3501"/>
      <c r="V152" s="3501"/>
      <c r="W152" s="3502"/>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499"/>
      <c r="D153" s="3499"/>
      <c r="E153" s="50" t="s">
        <v>1215</v>
      </c>
      <c r="F153" s="102"/>
      <c r="G153" s="37"/>
      <c r="H153" s="1133"/>
      <c r="I153" s="18"/>
      <c r="J153" s="731"/>
      <c r="K153" s="932">
        <f t="shared" si="371"/>
        <v>0</v>
      </c>
      <c r="L153" s="933">
        <f t="shared" si="371"/>
        <v>0</v>
      </c>
      <c r="M153" s="933">
        <f t="shared" si="371"/>
        <v>0</v>
      </c>
      <c r="N153" s="933">
        <f t="shared" si="371"/>
        <v>0</v>
      </c>
      <c r="O153" s="934">
        <f t="shared" si="371"/>
        <v>0</v>
      </c>
      <c r="P153" s="1385">
        <f t="shared" si="369"/>
        <v>0</v>
      </c>
      <c r="S153" s="3500"/>
      <c r="T153" s="3501"/>
      <c r="U153" s="3501"/>
      <c r="V153" s="3501"/>
      <c r="W153" s="3502"/>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64" t="s">
        <v>1203</v>
      </c>
      <c r="I154" s="46"/>
      <c r="J154" s="37"/>
      <c r="K154" s="1390">
        <f t="shared" si="371"/>
        <v>0</v>
      </c>
      <c r="L154" s="1391">
        <f t="shared" si="371"/>
        <v>0</v>
      </c>
      <c r="M154" s="1391">
        <f t="shared" si="371"/>
        <v>0</v>
      </c>
      <c r="N154" s="1391">
        <f t="shared" si="371"/>
        <v>0</v>
      </c>
      <c r="O154" s="1392">
        <f t="shared" si="371"/>
        <v>0</v>
      </c>
      <c r="P154" s="1393">
        <f t="shared" si="369"/>
        <v>0</v>
      </c>
      <c r="Q154" s="3512" t="s">
        <v>1216</v>
      </c>
      <c r="S154" s="3513"/>
      <c r="T154" s="3514"/>
      <c r="U154" s="3514"/>
      <c r="V154" s="3514"/>
      <c r="W154" s="3515"/>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918"/>
      <c r="B155" s="918"/>
      <c r="C155" s="79"/>
      <c r="D155" s="529"/>
      <c r="E155" s="50"/>
      <c r="F155" s="45"/>
      <c r="G155" s="37"/>
      <c r="H155" s="15"/>
      <c r="I155" s="15"/>
      <c r="J155" s="37"/>
      <c r="K155" s="2752"/>
      <c r="L155" s="2752"/>
      <c r="M155" s="2752"/>
      <c r="N155" s="2752"/>
      <c r="O155" s="2752"/>
      <c r="P155" s="2752"/>
      <c r="Q155" s="3512"/>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1217</v>
      </c>
      <c r="C156" s="45"/>
      <c r="D156" s="45"/>
      <c r="E156" s="45"/>
      <c r="F156" s="45"/>
      <c r="G156" s="37"/>
      <c r="H156" s="18"/>
      <c r="I156" s="18"/>
      <c r="J156" s="37"/>
      <c r="K156" s="2764"/>
      <c r="L156" s="2764"/>
      <c r="M156" s="2764"/>
      <c r="N156" s="2764"/>
      <c r="O156" s="2764"/>
      <c r="P156" s="2764"/>
      <c r="Q156" s="3512"/>
      <c r="S156" s="3132" t="str">
        <f>B156</f>
        <v>UNIT SQUARE FOOTAGE</v>
      </c>
      <c r="T156" s="3132"/>
      <c r="U156" s="3132"/>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1218</v>
      </c>
      <c r="D157" s="45"/>
      <c r="E157" s="45"/>
      <c r="F157" s="45"/>
      <c r="G157" s="37"/>
      <c r="H157" s="42" t="s">
        <v>1172</v>
      </c>
      <c r="I157" s="27"/>
      <c r="J157" s="37"/>
      <c r="K157" s="2908">
        <f>EI49</f>
        <v>0</v>
      </c>
      <c r="L157" s="2909">
        <f>EJ49</f>
        <v>0</v>
      </c>
      <c r="M157" s="2909">
        <f>EK49</f>
        <v>0</v>
      </c>
      <c r="N157" s="2909">
        <f>EL49</f>
        <v>0</v>
      </c>
      <c r="O157" s="2910">
        <f>EM49</f>
        <v>0</v>
      </c>
      <c r="P157" s="2913">
        <f t="shared" ref="P157:P163" si="372">SUM(K157:O157)</f>
        <v>0</v>
      </c>
      <c r="Q157" s="1036" t="str">
        <f t="shared" ref="Q157:Q163" si="373">IF(OR(P56=0,P56=""),"",P157/P56)</f>
        <v/>
      </c>
      <c r="S157" s="3503"/>
      <c r="T157" s="3504"/>
      <c r="U157" s="3504"/>
      <c r="V157" s="3504"/>
      <c r="W157" s="3505"/>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133" t="s">
        <v>1174</v>
      </c>
      <c r="I158" s="18"/>
      <c r="J158" s="37"/>
      <c r="K158" s="935">
        <f>EN49</f>
        <v>0</v>
      </c>
      <c r="L158" s="936">
        <f>EO49</f>
        <v>0</v>
      </c>
      <c r="M158" s="936">
        <f>EP49</f>
        <v>0</v>
      </c>
      <c r="N158" s="936">
        <f>EQ49</f>
        <v>0</v>
      </c>
      <c r="O158" s="937">
        <f>ER49</f>
        <v>0</v>
      </c>
      <c r="P158" s="892">
        <f t="shared" si="372"/>
        <v>0</v>
      </c>
      <c r="Q158" s="1036" t="str">
        <f t="shared" si="373"/>
        <v/>
      </c>
      <c r="S158" s="3500"/>
      <c r="T158" s="3501"/>
      <c r="U158" s="3501"/>
      <c r="V158" s="3501"/>
      <c r="W158" s="3502"/>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133" t="s">
        <v>1175</v>
      </c>
      <c r="I159" s="18"/>
      <c r="J159" s="37"/>
      <c r="K159" s="935">
        <f>ES49</f>
        <v>0</v>
      </c>
      <c r="L159" s="936">
        <f>ET49</f>
        <v>30591</v>
      </c>
      <c r="M159" s="936">
        <f>EU49</f>
        <v>65373</v>
      </c>
      <c r="N159" s="936">
        <f>EV49</f>
        <v>26286</v>
      </c>
      <c r="O159" s="937">
        <f>EW49</f>
        <v>0</v>
      </c>
      <c r="P159" s="892">
        <f t="shared" si="372"/>
        <v>122250</v>
      </c>
      <c r="Q159" s="1036">
        <f t="shared" si="373"/>
        <v>1036.0169491525423</v>
      </c>
      <c r="S159" s="3500"/>
      <c r="T159" s="3501"/>
      <c r="U159" s="3501"/>
      <c r="V159" s="3501"/>
      <c r="W159" s="3502"/>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133" t="s">
        <v>1176</v>
      </c>
      <c r="I160" s="18"/>
      <c r="J160" s="731"/>
      <c r="K160" s="988">
        <f>EX49</f>
        <v>0</v>
      </c>
      <c r="L160" s="989">
        <f>EY49</f>
        <v>0</v>
      </c>
      <c r="M160" s="989">
        <f>EZ49</f>
        <v>0</v>
      </c>
      <c r="N160" s="989">
        <f>FA49</f>
        <v>0</v>
      </c>
      <c r="O160" s="990">
        <f>FB49</f>
        <v>0</v>
      </c>
      <c r="P160" s="991">
        <f t="shared" si="372"/>
        <v>0</v>
      </c>
      <c r="Q160" s="1036" t="str">
        <f t="shared" si="373"/>
        <v/>
      </c>
      <c r="S160" s="3500"/>
      <c r="T160" s="3501"/>
      <c r="U160" s="3501"/>
      <c r="V160" s="3501"/>
      <c r="W160" s="3502"/>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133" t="s">
        <v>1177</v>
      </c>
      <c r="I161" s="18"/>
      <c r="J161" s="731"/>
      <c r="K161" s="935">
        <f>FC49</f>
        <v>0</v>
      </c>
      <c r="L161" s="936">
        <f>FD49</f>
        <v>0</v>
      </c>
      <c r="M161" s="936">
        <f>FE49</f>
        <v>0</v>
      </c>
      <c r="N161" s="936">
        <f>FF49</f>
        <v>0</v>
      </c>
      <c r="O161" s="937">
        <f>FG49</f>
        <v>0</v>
      </c>
      <c r="P161" s="892">
        <f t="shared" si="372"/>
        <v>0</v>
      </c>
      <c r="Q161" s="1036" t="str">
        <f t="shared" si="373"/>
        <v/>
      </c>
      <c r="S161" s="3500"/>
      <c r="T161" s="3501"/>
      <c r="U161" s="3501"/>
      <c r="V161" s="3501"/>
      <c r="W161" s="3502"/>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133" t="s">
        <v>1178</v>
      </c>
      <c r="I162" s="18"/>
      <c r="J162" s="37"/>
      <c r="K162" s="935">
        <f>FH49</f>
        <v>0</v>
      </c>
      <c r="L162" s="936">
        <f>FI49</f>
        <v>0</v>
      </c>
      <c r="M162" s="936">
        <f>FJ49</f>
        <v>0</v>
      </c>
      <c r="N162" s="936">
        <f>FK49</f>
        <v>0</v>
      </c>
      <c r="O162" s="937">
        <f>FL49</f>
        <v>0</v>
      </c>
      <c r="P162" s="892">
        <f t="shared" si="372"/>
        <v>0</v>
      </c>
      <c r="Q162" s="1036" t="str">
        <f t="shared" si="373"/>
        <v/>
      </c>
      <c r="S162" s="3500"/>
      <c r="T162" s="3501"/>
      <c r="U162" s="3501"/>
      <c r="V162" s="3501"/>
      <c r="W162" s="3502"/>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1179</v>
      </c>
      <c r="I163" s="27"/>
      <c r="J163" s="37"/>
      <c r="K163" s="923">
        <f>FM49</f>
        <v>0</v>
      </c>
      <c r="L163" s="924">
        <f>FN49</f>
        <v>0</v>
      </c>
      <c r="M163" s="924">
        <f>FO49</f>
        <v>0</v>
      </c>
      <c r="N163" s="924">
        <f>FP49</f>
        <v>0</v>
      </c>
      <c r="O163" s="925">
        <f>FQ49</f>
        <v>0</v>
      </c>
      <c r="P163" s="893">
        <f t="shared" si="372"/>
        <v>0</v>
      </c>
      <c r="Q163" s="1036" t="str">
        <f t="shared" si="373"/>
        <v/>
      </c>
      <c r="S163" s="3500"/>
      <c r="T163" s="3501"/>
      <c r="U163" s="3501"/>
      <c r="V163" s="3501"/>
      <c r="W163" s="3502"/>
      <c r="X163" s="1440"/>
      <c r="AA163" s="263"/>
      <c r="AB163" s="266"/>
      <c r="AC163" s="1440"/>
      <c r="AF163" s="263"/>
      <c r="AG163" s="266"/>
      <c r="AH163" s="1440"/>
      <c r="AK163" s="263"/>
      <c r="AL163" s="266"/>
      <c r="AM163" s="1440"/>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64" t="s">
        <v>1219</v>
      </c>
      <c r="I164" s="46"/>
      <c r="J164" s="897"/>
      <c r="K164" s="2914">
        <f>SUM(K157:K163)</f>
        <v>0</v>
      </c>
      <c r="L164" s="2914">
        <f>SUM(L157:L163)</f>
        <v>30591</v>
      </c>
      <c r="M164" s="2914">
        <f>SUM(M157:M163)</f>
        <v>65373</v>
      </c>
      <c r="N164" s="2914">
        <f>SUM(N157:N163)</f>
        <v>26286</v>
      </c>
      <c r="O164" s="2914">
        <f>SUM(O157:O163)</f>
        <v>0</v>
      </c>
      <c r="P164" s="2914">
        <f>SUM(K164:O164)</f>
        <v>122250</v>
      </c>
      <c r="S164" s="3500"/>
      <c r="T164" s="3501"/>
      <c r="U164" s="3501"/>
      <c r="V164" s="3501"/>
      <c r="W164" s="3502"/>
      <c r="X164" s="1440"/>
      <c r="AA164" s="263"/>
      <c r="AB164" s="266"/>
      <c r="AC164" s="1440"/>
      <c r="AF164" s="263"/>
      <c r="AG164" s="266"/>
      <c r="AH164" s="1440"/>
      <c r="AK164" s="263"/>
      <c r="AL164" s="266"/>
      <c r="AM164" s="1440"/>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1113</v>
      </c>
      <c r="D165" s="45"/>
      <c r="E165" s="45"/>
      <c r="F165" s="45"/>
      <c r="G165" s="45"/>
      <c r="H165" s="37"/>
      <c r="I165" s="37"/>
      <c r="J165" s="37"/>
      <c r="K165" s="2765">
        <f>FR49</f>
        <v>0</v>
      </c>
      <c r="L165" s="2766">
        <f>FS49</f>
        <v>19248</v>
      </c>
      <c r="M165" s="2766">
        <f>FT49</f>
        <v>44582</v>
      </c>
      <c r="N165" s="2766">
        <f>FU49</f>
        <v>20429</v>
      </c>
      <c r="O165" s="2767">
        <f>FV49</f>
        <v>0</v>
      </c>
      <c r="P165" s="893">
        <f>SUM(K165:O165)</f>
        <v>84259</v>
      </c>
      <c r="Q165" s="995">
        <f>IF(OR(P64=0,P64=""),"",P165/P64)</f>
        <v>1040.2345679012346</v>
      </c>
      <c r="S165" s="3500"/>
      <c r="T165" s="3501"/>
      <c r="U165" s="3501"/>
      <c r="V165" s="3501"/>
      <c r="W165" s="3502"/>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1181</v>
      </c>
      <c r="D166" s="896"/>
      <c r="E166" s="896"/>
      <c r="F166" s="896"/>
      <c r="G166" s="896"/>
      <c r="H166" s="897"/>
      <c r="I166" s="897"/>
      <c r="J166" s="897"/>
      <c r="K166" s="2915">
        <f>SUM(K164:K165)</f>
        <v>0</v>
      </c>
      <c r="L166" s="2915">
        <f>SUM(L164:L165)</f>
        <v>49839</v>
      </c>
      <c r="M166" s="2915">
        <f>SUM(M164:M165)</f>
        <v>109955</v>
      </c>
      <c r="N166" s="2915">
        <f>SUM(N164:N165)</f>
        <v>46715</v>
      </c>
      <c r="O166" s="2915">
        <f>SUM(O164:O165)</f>
        <v>0</v>
      </c>
      <c r="P166" s="2915">
        <f>SUM(K166:O166)</f>
        <v>206509</v>
      </c>
      <c r="S166" s="3500"/>
      <c r="T166" s="3501"/>
      <c r="U166" s="3501"/>
      <c r="V166" s="3501"/>
      <c r="W166" s="3502"/>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1182</v>
      </c>
      <c r="D167" s="45"/>
      <c r="E167" s="45"/>
      <c r="F167" s="45"/>
      <c r="G167" s="45"/>
      <c r="H167" s="37"/>
      <c r="I167" s="37"/>
      <c r="J167" s="37"/>
      <c r="K167" s="2765">
        <f>GB49</f>
        <v>0</v>
      </c>
      <c r="L167" s="2766">
        <f>GC49</f>
        <v>0</v>
      </c>
      <c r="M167" s="2766">
        <f>GD49</f>
        <v>0</v>
      </c>
      <c r="N167" s="2766">
        <f>GE49</f>
        <v>0</v>
      </c>
      <c r="O167" s="2767">
        <f>GF49</f>
        <v>0</v>
      </c>
      <c r="P167" s="893">
        <f>SUM(K167:O167)</f>
        <v>0</v>
      </c>
      <c r="Q167" s="995" t="str">
        <f>IF(OR(P66=0,P66=""),"",P167/P66)</f>
        <v/>
      </c>
      <c r="S167" s="3500"/>
      <c r="T167" s="3501"/>
      <c r="U167" s="3501"/>
      <c r="V167" s="3501"/>
      <c r="W167" s="3502"/>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296</v>
      </c>
      <c r="D168" s="45"/>
      <c r="E168" s="45"/>
      <c r="F168" s="45"/>
      <c r="G168" s="45"/>
      <c r="H168" s="37"/>
      <c r="I168" s="37"/>
      <c r="J168" s="37"/>
      <c r="K168" s="2768">
        <f>SUM(K166:K167)</f>
        <v>0</v>
      </c>
      <c r="L168" s="2768">
        <f>SUM(L166:L167)</f>
        <v>49839</v>
      </c>
      <c r="M168" s="2768">
        <f>SUM(M166:M167)</f>
        <v>109955</v>
      </c>
      <c r="N168" s="2768">
        <f>SUM(N166:N167)</f>
        <v>46715</v>
      </c>
      <c r="O168" s="2768">
        <f>SUM(O166:O167)</f>
        <v>0</v>
      </c>
      <c r="P168" s="2768">
        <f>SUM(K168:O168)</f>
        <v>206509</v>
      </c>
      <c r="S168" s="3513"/>
      <c r="T168" s="3514"/>
      <c r="U168" s="3514"/>
      <c r="V168" s="3514"/>
      <c r="W168" s="3515"/>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573"/>
      <c r="JX170" s="263"/>
      <c r="JY170" s="263"/>
      <c r="JZ170" s="263"/>
      <c r="KA170" s="263"/>
      <c r="KB170" s="1573"/>
      <c r="KC170" s="263"/>
      <c r="KD170" s="263"/>
      <c r="KE170" s="263"/>
      <c r="KF170" s="263"/>
      <c r="KG170" s="1573"/>
      <c r="KH170" s="263"/>
      <c r="KI170" s="263"/>
      <c r="KJ170" s="263"/>
      <c r="KK170" s="263"/>
      <c r="KL170" s="1573"/>
      <c r="KM170" s="1573"/>
      <c r="KN170" s="1573"/>
      <c r="KO170" s="1573"/>
      <c r="KP170" s="1573"/>
      <c r="KQ170" s="1573"/>
      <c r="KR170" s="1573"/>
      <c r="KS170" s="1573"/>
      <c r="KT170" s="1573"/>
      <c r="KU170" s="1573"/>
      <c r="KV170" s="1573"/>
      <c r="KW170" s="1573"/>
      <c r="KX170" s="1573"/>
      <c r="KY170" s="1573"/>
      <c r="KZ170" s="1573"/>
      <c r="LA170" s="1573"/>
      <c r="LB170" s="1573"/>
      <c r="LC170" s="1573"/>
      <c r="LD170" s="1573"/>
      <c r="LE170" s="1573"/>
      <c r="LF170" s="1573"/>
      <c r="LG170" s="1573"/>
      <c r="LH170" s="263"/>
      <c r="LI170" s="263"/>
      <c r="LJ170" s="263"/>
      <c r="LK170" s="263"/>
      <c r="LL170" s="263"/>
      <c r="LM170" s="263"/>
      <c r="LN170" s="1440"/>
      <c r="LO170" s="263"/>
      <c r="LP170" s="263"/>
      <c r="LQ170" s="263"/>
      <c r="LR170" s="263"/>
      <c r="LS170" s="263"/>
      <c r="LT170" s="263"/>
      <c r="LU170" s="263"/>
      <c r="LV170" s="263"/>
      <c r="LW170" s="263"/>
      <c r="LX170" s="263"/>
      <c r="LY170" s="263"/>
      <c r="LZ170" s="263"/>
      <c r="MA170" s="263"/>
      <c r="MB170" s="263"/>
      <c r="MC170" s="263"/>
      <c r="MD170" s="1440"/>
      <c r="ME170" s="1440"/>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413"/>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1220</v>
      </c>
      <c r="D171" s="45"/>
      <c r="E171" s="45"/>
      <c r="F171" s="45"/>
      <c r="G171" s="45"/>
      <c r="H171" s="45"/>
      <c r="I171" s="45"/>
      <c r="J171" s="45"/>
      <c r="K171" s="2769" t="str">
        <f>IF(OR(K67="",K67=0),"",K168/K67)</f>
        <v/>
      </c>
      <c r="L171" s="2769">
        <f>IF(OR(L67="",L67=0),"",L168/L67)</f>
        <v>803.85483870967744</v>
      </c>
      <c r="M171" s="2769">
        <f>IF(OR(M67="",M67=0),"",M168/M67)</f>
        <v>1077.9901960784314</v>
      </c>
      <c r="N171" s="2769">
        <f>IF(OR(N67="",N67=0),"",N168/N67)</f>
        <v>1334.7142857142858</v>
      </c>
      <c r="O171" s="2769" t="str">
        <f>IF(OR(O67="",O67=0),"",O168/O67)</f>
        <v/>
      </c>
      <c r="P171" s="2770"/>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573"/>
      <c r="JX171" s="263"/>
      <c r="JY171" s="263"/>
      <c r="JZ171" s="263"/>
      <c r="KA171" s="263"/>
      <c r="KB171" s="1573"/>
      <c r="KC171" s="263"/>
      <c r="KD171" s="263"/>
      <c r="KE171" s="263"/>
      <c r="KF171" s="263"/>
      <c r="KG171" s="1573"/>
      <c r="KH171" s="263"/>
      <c r="KI171" s="263"/>
      <c r="KJ171" s="263"/>
      <c r="KK171" s="263"/>
      <c r="KL171" s="1573"/>
      <c r="KM171" s="1573"/>
      <c r="KN171" s="1573"/>
      <c r="KO171" s="1573"/>
      <c r="KP171" s="1573"/>
      <c r="KQ171" s="1573"/>
      <c r="KR171" s="1573"/>
      <c r="KS171" s="1573"/>
      <c r="KT171" s="1573"/>
      <c r="KU171" s="1573"/>
      <c r="KV171" s="1573"/>
      <c r="KW171" s="1573"/>
      <c r="KX171" s="1573"/>
      <c r="KY171" s="1573"/>
      <c r="KZ171" s="1573"/>
      <c r="LA171" s="1573"/>
      <c r="LB171" s="1573"/>
      <c r="LC171" s="1573"/>
      <c r="LD171" s="1573"/>
      <c r="LE171" s="1573"/>
      <c r="LF171" s="1573"/>
      <c r="LG171" s="1573"/>
      <c r="LH171" s="263"/>
      <c r="LI171" s="263"/>
      <c r="LJ171" s="263"/>
      <c r="LK171" s="263"/>
      <c r="LL171" s="263"/>
      <c r="LM171" s="263"/>
      <c r="LN171" s="1440"/>
      <c r="LO171" s="263"/>
      <c r="LP171" s="263"/>
      <c r="LQ171" s="263"/>
      <c r="LR171" s="263"/>
      <c r="LS171" s="263"/>
      <c r="LT171" s="263"/>
      <c r="LU171" s="263"/>
      <c r="LV171" s="263"/>
      <c r="LW171" s="263"/>
      <c r="LX171" s="263"/>
      <c r="LY171" s="263"/>
      <c r="LZ171" s="263"/>
      <c r="MA171" s="263"/>
      <c r="MB171" s="263"/>
      <c r="MC171" s="263"/>
      <c r="MD171" s="1440"/>
      <c r="ME171" s="1440"/>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413"/>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573"/>
      <c r="JX172" s="263"/>
      <c r="JY172" s="263"/>
      <c r="JZ172" s="263"/>
      <c r="KA172" s="263"/>
      <c r="KB172" s="1573"/>
      <c r="KC172" s="263"/>
      <c r="KD172" s="263"/>
      <c r="KE172" s="263"/>
      <c r="KF172" s="263"/>
      <c r="KG172" s="1573"/>
      <c r="KH172" s="263"/>
      <c r="KI172" s="263"/>
      <c r="KJ172" s="263"/>
      <c r="KK172" s="263"/>
      <c r="KL172" s="1573"/>
      <c r="KM172" s="1573"/>
      <c r="KN172" s="1573"/>
      <c r="KO172" s="1573"/>
      <c r="KP172" s="1573"/>
      <c r="KQ172" s="1573"/>
      <c r="KR172" s="1573"/>
      <c r="KS172" s="1573"/>
      <c r="KT172" s="1573"/>
      <c r="KU172" s="1573"/>
      <c r="KV172" s="1573"/>
      <c r="KW172" s="1573"/>
      <c r="KX172" s="1573"/>
      <c r="KY172" s="1573"/>
      <c r="KZ172" s="1573"/>
      <c r="LA172" s="1573"/>
      <c r="LB172" s="1573"/>
      <c r="LC172" s="1573"/>
      <c r="LD172" s="1573"/>
      <c r="LE172" s="1573"/>
      <c r="LF172" s="1573"/>
      <c r="LG172" s="1573"/>
      <c r="LH172" s="263"/>
      <c r="LI172" s="263"/>
      <c r="LJ172" s="263"/>
      <c r="LK172" s="263"/>
      <c r="LL172" s="263"/>
      <c r="LM172" s="263"/>
      <c r="LN172" s="1440"/>
      <c r="LO172" s="263"/>
      <c r="LP172" s="263"/>
      <c r="LQ172" s="263"/>
      <c r="LR172" s="263"/>
      <c r="LS172" s="263"/>
      <c r="LT172" s="263"/>
      <c r="LU172" s="263"/>
      <c r="LV172" s="263"/>
      <c r="LW172" s="263"/>
      <c r="LX172" s="263"/>
      <c r="LY172" s="263"/>
      <c r="LZ172" s="263"/>
      <c r="MA172" s="263"/>
      <c r="MB172" s="263"/>
      <c r="MC172" s="263"/>
      <c r="MD172" s="1440"/>
      <c r="ME172" s="1440"/>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413"/>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31</v>
      </c>
      <c r="B173" s="7" t="s">
        <v>1221</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573"/>
      <c r="JX173" s="263"/>
      <c r="JY173" s="263"/>
      <c r="JZ173" s="263"/>
      <c r="KA173" s="263"/>
      <c r="KB173" s="1573"/>
      <c r="KC173" s="263"/>
      <c r="KD173" s="263"/>
      <c r="KE173" s="263"/>
      <c r="KF173" s="263"/>
      <c r="KG173" s="1573"/>
      <c r="KH173" s="263"/>
      <c r="KI173" s="263"/>
      <c r="KJ173" s="263"/>
      <c r="KK173" s="263"/>
      <c r="KL173" s="1573"/>
      <c r="KM173" s="1573"/>
      <c r="KN173" s="1573"/>
      <c r="KO173" s="1573"/>
      <c r="KP173" s="1573"/>
      <c r="KQ173" s="1573"/>
      <c r="KR173" s="1573"/>
      <c r="KS173" s="1573"/>
      <c r="KT173" s="1573"/>
      <c r="KU173" s="1573"/>
      <c r="KV173" s="1573"/>
      <c r="KW173" s="1573"/>
      <c r="KX173" s="1573"/>
      <c r="KY173" s="1573"/>
      <c r="KZ173" s="1573"/>
      <c r="LA173" s="1573"/>
      <c r="LB173" s="1573"/>
      <c r="LC173" s="1573"/>
      <c r="LD173" s="1573"/>
      <c r="LE173" s="1573"/>
      <c r="LF173" s="1573"/>
      <c r="LG173" s="1573"/>
      <c r="LH173" s="263"/>
      <c r="LI173" s="263"/>
      <c r="LJ173" s="263"/>
      <c r="LK173" s="263"/>
      <c r="LL173" s="263"/>
      <c r="LM173" s="263"/>
      <c r="LN173" s="1440"/>
      <c r="LO173" s="263"/>
      <c r="LP173" s="263"/>
      <c r="LQ173" s="263"/>
      <c r="LR173" s="263"/>
      <c r="LS173" s="263"/>
      <c r="LT173" s="263"/>
      <c r="LU173" s="263"/>
      <c r="LV173" s="263"/>
      <c r="LW173" s="263"/>
      <c r="LX173" s="263"/>
      <c r="LY173" s="263"/>
      <c r="LZ173" s="263"/>
      <c r="MA173" s="263"/>
      <c r="MB173" s="263"/>
      <c r="MC173" s="263"/>
      <c r="MD173" s="1440"/>
      <c r="ME173" s="1440"/>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413"/>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8"/>
      <c r="C174" s="167" t="s">
        <v>1222</v>
      </c>
      <c r="K174" s="3594">
        <v>7875</v>
      </c>
      <c r="L174" s="3595"/>
      <c r="X174" s="1499"/>
      <c r="Y174" s="1499"/>
      <c r="Z174" s="1324">
        <v>68</v>
      </c>
      <c r="AA174" s="1499"/>
      <c r="AB174" s="1499"/>
      <c r="AC174" s="1499"/>
      <c r="AD174" s="1499"/>
      <c r="AE174" s="1499"/>
      <c r="AF174" s="1499"/>
      <c r="AG174" s="1499"/>
      <c r="AH174" s="1499"/>
      <c r="AI174" s="1499"/>
      <c r="AJ174" s="1499"/>
      <c r="AK174" s="1499"/>
      <c r="AL174" s="1499"/>
      <c r="AM174" s="1499"/>
      <c r="AN174" s="1499"/>
      <c r="AO174" s="1499"/>
      <c r="AP174" s="1499"/>
      <c r="AQ174" s="1499"/>
      <c r="AR174" s="1499"/>
      <c r="AS174" s="1499"/>
      <c r="AT174" s="1499"/>
      <c r="AU174" s="1499"/>
      <c r="AV174" s="1499"/>
      <c r="AW174" s="1499"/>
      <c r="AX174" s="1499"/>
      <c r="AY174" s="1499"/>
      <c r="AZ174" s="1499"/>
      <c r="BA174" s="1499"/>
      <c r="BB174" s="1499"/>
      <c r="BC174" s="1499"/>
      <c r="BD174" s="1499"/>
      <c r="BE174" s="1499"/>
      <c r="BF174" s="1499"/>
      <c r="BG174" s="1499"/>
      <c r="BH174" s="1499"/>
      <c r="BI174" s="1499"/>
      <c r="BJ174" s="1499"/>
      <c r="BK174" s="1499"/>
      <c r="BL174" s="1499"/>
      <c r="BM174" s="1499"/>
      <c r="BN174" s="1499"/>
      <c r="BO174" s="1499"/>
      <c r="BP174" s="1499"/>
      <c r="BQ174" s="1499"/>
      <c r="BR174" s="1499"/>
      <c r="BS174" s="1499"/>
      <c r="BT174" s="1499"/>
      <c r="BU174" s="1499"/>
      <c r="BV174" s="1499"/>
      <c r="BW174" s="1499"/>
      <c r="BX174" s="1499"/>
      <c r="BY174" s="1499"/>
      <c r="BZ174" s="1499"/>
      <c r="CA174" s="1499"/>
      <c r="CB174" s="1499"/>
      <c r="CC174" s="1499"/>
      <c r="CD174" s="1499"/>
      <c r="CE174" s="1499"/>
      <c r="CF174" s="1499"/>
      <c r="CG174" s="1499"/>
      <c r="CH174" s="1499"/>
      <c r="CI174" s="1499"/>
      <c r="CJ174" s="1499"/>
      <c r="CK174" s="1499"/>
      <c r="CL174" s="1499"/>
      <c r="CM174" s="1499"/>
      <c r="CN174" s="1499"/>
      <c r="CO174" s="1499"/>
      <c r="CP174" s="1499"/>
      <c r="CQ174" s="1499"/>
      <c r="CR174" s="1499"/>
      <c r="CS174" s="1499"/>
      <c r="CT174" s="1499"/>
      <c r="CU174" s="1499"/>
      <c r="CV174" s="1499"/>
      <c r="CW174" s="1499"/>
      <c r="CX174" s="1499"/>
      <c r="CY174" s="1499"/>
      <c r="CZ174" s="1499"/>
      <c r="DA174" s="1499"/>
      <c r="DB174" s="1499"/>
      <c r="DC174" s="1499"/>
      <c r="DD174" s="1499"/>
      <c r="DE174" s="1499"/>
      <c r="DF174" s="1499"/>
      <c r="DG174" s="1499"/>
      <c r="DH174" s="1499"/>
      <c r="DI174" s="1499"/>
      <c r="DJ174" s="1499"/>
      <c r="DK174" s="1499"/>
      <c r="DL174" s="1499"/>
      <c r="DM174" s="1499"/>
      <c r="DN174" s="1499"/>
      <c r="DO174" s="1499"/>
      <c r="DP174" s="1499"/>
      <c r="DQ174" s="1499"/>
      <c r="DR174" s="1499"/>
      <c r="DS174" s="1499"/>
      <c r="DT174" s="1499"/>
      <c r="DU174" s="1499"/>
      <c r="DV174" s="1499"/>
      <c r="DW174" s="1499"/>
      <c r="DX174" s="1499"/>
      <c r="DY174" s="1499"/>
      <c r="DZ174" s="1499"/>
      <c r="EA174" s="1499"/>
      <c r="EB174" s="1499"/>
      <c r="EC174" s="1499"/>
      <c r="ED174" s="1499"/>
      <c r="EE174" s="1499"/>
      <c r="EF174" s="1499"/>
      <c r="EG174" s="1499"/>
      <c r="EH174" s="1499"/>
      <c r="EI174" s="1499"/>
      <c r="EJ174" s="1499"/>
      <c r="EK174" s="1499"/>
      <c r="EL174" s="1499"/>
      <c r="EM174" s="1499"/>
      <c r="EN174" s="1499"/>
      <c r="EO174" s="1499"/>
      <c r="EP174" s="1499"/>
      <c r="EQ174" s="1499"/>
      <c r="ER174" s="1499"/>
      <c r="ES174" s="1499"/>
      <c r="ET174" s="1499"/>
      <c r="EU174" s="1499"/>
      <c r="EV174" s="1499"/>
      <c r="EW174" s="1499"/>
      <c r="EX174" s="1499"/>
      <c r="EY174" s="1499"/>
      <c r="EZ174" s="1499"/>
      <c r="FA174" s="1499"/>
      <c r="FB174" s="1499"/>
      <c r="FC174" s="1499"/>
      <c r="FD174" s="1499"/>
      <c r="FE174" s="1499"/>
      <c r="FF174" s="1499"/>
      <c r="FG174" s="1499"/>
      <c r="FH174" s="1499"/>
      <c r="FI174" s="1499"/>
      <c r="FJ174" s="1499"/>
      <c r="FK174" s="1499"/>
      <c r="FL174" s="1499"/>
      <c r="FM174" s="1499"/>
      <c r="FN174" s="1499"/>
      <c r="FO174" s="1499"/>
      <c r="FP174" s="1499"/>
      <c r="FQ174" s="1499"/>
      <c r="FR174" s="1499"/>
      <c r="FS174" s="1499"/>
      <c r="FT174" s="1499"/>
      <c r="FU174" s="1499"/>
      <c r="FV174" s="1499"/>
      <c r="FW174" s="1499"/>
      <c r="FX174" s="1499"/>
      <c r="FY174" s="1499"/>
      <c r="FZ174" s="1499"/>
      <c r="GA174" s="1499"/>
      <c r="GB174" s="1499"/>
      <c r="GC174" s="1499"/>
      <c r="GD174" s="1499"/>
      <c r="GE174" s="1499"/>
      <c r="GF174" s="1499"/>
      <c r="GG174" s="1499"/>
      <c r="GH174" s="1499"/>
      <c r="GI174" s="1499"/>
      <c r="GJ174" s="1499"/>
      <c r="GK174" s="1499"/>
      <c r="GL174" s="1499"/>
      <c r="GM174" s="1499"/>
      <c r="GN174" s="1499"/>
      <c r="GO174" s="1499"/>
      <c r="GP174" s="1499"/>
      <c r="GQ174" s="1499"/>
      <c r="GR174" s="1499"/>
      <c r="GS174" s="1499"/>
      <c r="GT174" s="1499"/>
      <c r="GU174" s="1499"/>
      <c r="GV174" s="1499"/>
      <c r="GW174" s="1499"/>
      <c r="GX174" s="1499"/>
      <c r="GY174" s="1499"/>
      <c r="GZ174" s="1499"/>
      <c r="HA174" s="1499"/>
      <c r="HB174" s="1499"/>
      <c r="HC174" s="1499"/>
      <c r="HD174" s="1499"/>
      <c r="HE174" s="1499"/>
      <c r="HF174" s="1499"/>
      <c r="HG174" s="1499"/>
      <c r="HH174" s="1499"/>
      <c r="HI174" s="1499"/>
      <c r="HJ174" s="1499"/>
      <c r="HK174" s="1499"/>
      <c r="HL174" s="1499"/>
      <c r="HM174" s="1499"/>
      <c r="HN174" s="1499"/>
      <c r="HO174" s="1499"/>
      <c r="HP174" s="1499"/>
      <c r="HQ174" s="1499"/>
      <c r="HR174" s="1499"/>
      <c r="HS174" s="1499"/>
      <c r="HT174" s="1499"/>
      <c r="HU174" s="1499"/>
      <c r="HV174" s="1499"/>
      <c r="HW174" s="1499"/>
      <c r="HX174" s="1499"/>
      <c r="HY174" s="1499"/>
      <c r="HZ174" s="1499"/>
      <c r="IA174" s="1499"/>
      <c r="IB174" s="1499"/>
      <c r="IC174" s="1499"/>
      <c r="ID174" s="1499"/>
      <c r="IE174" s="1499"/>
      <c r="IF174" s="1499"/>
      <c r="IG174" s="1499"/>
      <c r="IH174" s="1499"/>
      <c r="II174" s="1499"/>
      <c r="IJ174" s="1499"/>
      <c r="IK174" s="1499"/>
      <c r="IL174" s="1499"/>
      <c r="IM174" s="1499"/>
      <c r="IN174" s="1499"/>
      <c r="IO174" s="1499"/>
      <c r="IP174" s="1499"/>
      <c r="IQ174" s="1499"/>
      <c r="IR174" s="1499"/>
      <c r="IS174" s="1499"/>
      <c r="IT174" s="1499"/>
      <c r="IU174" s="1499"/>
      <c r="IV174" s="1499"/>
      <c r="IW174" s="1499"/>
      <c r="IX174" s="1499"/>
      <c r="IY174" s="1499"/>
      <c r="IZ174" s="1499"/>
      <c r="JA174" s="1499"/>
      <c r="JB174" s="1499"/>
      <c r="JC174" s="1499"/>
      <c r="JD174" s="1499"/>
      <c r="JE174" s="1499"/>
      <c r="JF174" s="1499"/>
      <c r="JG174" s="1499"/>
      <c r="JH174" s="1499"/>
      <c r="JI174" s="1499"/>
      <c r="JJ174" s="1499"/>
      <c r="JK174" s="1499"/>
      <c r="JL174" s="1499"/>
      <c r="JM174" s="1499"/>
      <c r="JN174" s="1499"/>
      <c r="JO174" s="1499"/>
      <c r="JP174" s="1499"/>
      <c r="JQ174" s="1499"/>
      <c r="JR174" s="1499"/>
      <c r="JS174" s="1499"/>
      <c r="JT174" s="1499"/>
      <c r="JU174" s="1499"/>
      <c r="JV174" s="1499"/>
      <c r="JW174" s="1499"/>
      <c r="JX174" s="1499"/>
      <c r="JY174" s="1499"/>
      <c r="JZ174" s="1499"/>
      <c r="KA174" s="1499"/>
      <c r="KB174" s="1499"/>
      <c r="KC174" s="1499"/>
      <c r="KD174" s="1499"/>
      <c r="KE174" s="1499"/>
      <c r="KF174" s="1499"/>
      <c r="KG174" s="1499"/>
      <c r="KH174" s="1499"/>
      <c r="KI174" s="1499"/>
      <c r="KJ174" s="1499"/>
      <c r="KK174" s="1499"/>
      <c r="KL174" s="1499"/>
      <c r="KM174" s="1499"/>
      <c r="KN174" s="1499"/>
      <c r="KO174" s="1499"/>
      <c r="KP174" s="1499"/>
      <c r="KQ174" s="1499"/>
      <c r="KR174" s="1499"/>
      <c r="KS174" s="1499"/>
      <c r="KT174" s="1499"/>
      <c r="KU174" s="1499"/>
      <c r="KV174" s="1499"/>
      <c r="KW174" s="1499"/>
      <c r="KX174" s="1499"/>
      <c r="KY174" s="1499"/>
      <c r="KZ174" s="1499"/>
      <c r="LA174" s="1499"/>
      <c r="LB174" s="1499"/>
      <c r="LC174" s="1499"/>
      <c r="LD174" s="1499"/>
      <c r="LE174" s="1499"/>
      <c r="LF174" s="1499"/>
      <c r="LG174" s="1499"/>
      <c r="LH174" s="1499"/>
      <c r="LI174" s="1499"/>
      <c r="LJ174" s="1499"/>
      <c r="LK174" s="1499"/>
      <c r="LL174" s="1499"/>
      <c r="LM174" s="1499"/>
      <c r="LN174" s="1499"/>
      <c r="LO174" s="1499"/>
      <c r="LP174" s="1499"/>
      <c r="LQ174" s="1499"/>
      <c r="LR174" s="1499"/>
      <c r="LS174" s="1499"/>
      <c r="LT174" s="1499"/>
      <c r="LU174" s="1499"/>
      <c r="LV174" s="1499"/>
      <c r="LW174" s="1499"/>
      <c r="LX174" s="1499"/>
      <c r="LY174" s="1499"/>
      <c r="LZ174" s="1499"/>
      <c r="MA174" s="1499"/>
      <c r="MB174" s="1499"/>
      <c r="MC174" s="1499"/>
      <c r="MD174" s="1499"/>
      <c r="ME174" s="1499"/>
      <c r="MF174" s="1499"/>
      <c r="MG174" s="1499"/>
      <c r="MH174" s="1499"/>
      <c r="MI174" s="1499"/>
      <c r="MJ174" s="1499"/>
      <c r="MK174" s="1499"/>
      <c r="ML174" s="1499"/>
      <c r="MM174" s="1499"/>
      <c r="MN174" s="1499"/>
      <c r="MO174" s="1499"/>
      <c r="MP174" s="1499"/>
      <c r="MQ174" s="1499"/>
      <c r="MR174" s="1499"/>
      <c r="MS174" s="1499"/>
      <c r="MT174" s="1499"/>
      <c r="NO174" s="1499"/>
      <c r="NP174" s="1499"/>
      <c r="NQ174" s="1499"/>
    </row>
    <row r="175" spans="1:493" s="99" customFormat="1" ht="13.35" customHeight="1">
      <c r="A175" s="278"/>
      <c r="C175" s="167" t="s">
        <v>1223</v>
      </c>
      <c r="K175" s="3592">
        <f>P168+K174</f>
        <v>214384</v>
      </c>
      <c r="L175" s="3593"/>
      <c r="X175" s="1499"/>
      <c r="Y175" s="1499"/>
      <c r="Z175" s="1324">
        <v>69</v>
      </c>
      <c r="AA175" s="1499"/>
      <c r="AB175" s="1499"/>
      <c r="AC175" s="1499"/>
      <c r="AD175" s="1499"/>
      <c r="AE175" s="1499"/>
      <c r="AF175" s="1499"/>
      <c r="AG175" s="1499"/>
      <c r="AH175" s="1499"/>
      <c r="AI175" s="1499"/>
      <c r="AJ175" s="1499"/>
      <c r="AK175" s="1499"/>
      <c r="AL175" s="1499"/>
      <c r="AM175" s="1499"/>
      <c r="AN175" s="1499"/>
      <c r="AO175" s="1499"/>
      <c r="AP175" s="1499"/>
      <c r="AQ175" s="1499"/>
      <c r="AR175" s="1499"/>
      <c r="AS175" s="1499"/>
      <c r="AT175" s="1499"/>
      <c r="AU175" s="1499"/>
      <c r="AV175" s="1499"/>
      <c r="AW175" s="1499"/>
      <c r="AX175" s="1499"/>
      <c r="AY175" s="1499"/>
      <c r="AZ175" s="1499"/>
      <c r="BA175" s="1499"/>
      <c r="BB175" s="1499"/>
      <c r="BC175" s="1499"/>
      <c r="BD175" s="1499"/>
      <c r="BE175" s="1499"/>
      <c r="BF175" s="1499"/>
      <c r="BG175" s="1499"/>
      <c r="BH175" s="1499"/>
      <c r="BI175" s="1499"/>
      <c r="BJ175" s="1499"/>
      <c r="BK175" s="1499"/>
      <c r="BL175" s="1499"/>
      <c r="BM175" s="1499"/>
      <c r="BN175" s="1499"/>
      <c r="BO175" s="1499"/>
      <c r="BP175" s="1499"/>
      <c r="BQ175" s="1499"/>
      <c r="BR175" s="1499"/>
      <c r="BS175" s="1499"/>
      <c r="BT175" s="1499"/>
      <c r="BU175" s="1499"/>
      <c r="BV175" s="1499"/>
      <c r="BW175" s="1499"/>
      <c r="BX175" s="1499"/>
      <c r="BY175" s="1499"/>
      <c r="BZ175" s="1499"/>
      <c r="CA175" s="1499"/>
      <c r="CB175" s="1499"/>
      <c r="CC175" s="1499"/>
      <c r="CD175" s="1499"/>
      <c r="CE175" s="1499"/>
      <c r="CF175" s="1499"/>
      <c r="CG175" s="1499"/>
      <c r="CH175" s="1499"/>
      <c r="CI175" s="1499"/>
      <c r="CJ175" s="1499"/>
      <c r="CK175" s="1499"/>
      <c r="CL175" s="1499"/>
      <c r="CM175" s="1499"/>
      <c r="CN175" s="1499"/>
      <c r="CO175" s="1499"/>
      <c r="CP175" s="1499"/>
      <c r="CQ175" s="1499"/>
      <c r="CR175" s="1499"/>
      <c r="CS175" s="1499"/>
      <c r="CT175" s="1499"/>
      <c r="CU175" s="1499"/>
      <c r="CV175" s="1499"/>
      <c r="CW175" s="1499"/>
      <c r="CX175" s="1499"/>
      <c r="CY175" s="1499"/>
      <c r="CZ175" s="1499"/>
      <c r="DA175" s="1499"/>
      <c r="DB175" s="1499"/>
      <c r="DC175" s="1499"/>
      <c r="DD175" s="1499"/>
      <c r="DE175" s="1499"/>
      <c r="DF175" s="1499"/>
      <c r="DG175" s="1499"/>
      <c r="DH175" s="1499"/>
      <c r="DI175" s="1499"/>
      <c r="DJ175" s="1499"/>
      <c r="DK175" s="1499"/>
      <c r="DL175" s="1499"/>
      <c r="DM175" s="1499"/>
      <c r="DN175" s="1499"/>
      <c r="DO175" s="1499"/>
      <c r="DP175" s="1499"/>
      <c r="DQ175" s="1499"/>
      <c r="DR175" s="1499"/>
      <c r="DS175" s="1499"/>
      <c r="DT175" s="1499"/>
      <c r="DU175" s="1499"/>
      <c r="DV175" s="1499"/>
      <c r="DW175" s="1499"/>
      <c r="DX175" s="1499"/>
      <c r="DY175" s="1499"/>
      <c r="DZ175" s="1499"/>
      <c r="EA175" s="1499"/>
      <c r="EB175" s="1499"/>
      <c r="EC175" s="1499"/>
      <c r="ED175" s="1499"/>
      <c r="EE175" s="1499"/>
      <c r="EF175" s="1499"/>
      <c r="EG175" s="1499"/>
      <c r="EH175" s="1499"/>
      <c r="EI175" s="1499"/>
      <c r="EJ175" s="1499"/>
      <c r="EK175" s="1499"/>
      <c r="EL175" s="1499"/>
      <c r="EM175" s="1499"/>
      <c r="EN175" s="1499"/>
      <c r="EO175" s="1499"/>
      <c r="EP175" s="1499"/>
      <c r="EQ175" s="1499"/>
      <c r="ER175" s="1499"/>
      <c r="ES175" s="1499"/>
      <c r="ET175" s="1499"/>
      <c r="EU175" s="1499"/>
      <c r="EV175" s="1499"/>
      <c r="EW175" s="1499"/>
      <c r="EX175" s="1499"/>
      <c r="EY175" s="1499"/>
      <c r="EZ175" s="1499"/>
      <c r="FA175" s="1499"/>
      <c r="FB175" s="1499"/>
      <c r="FC175" s="1499"/>
      <c r="FD175" s="1499"/>
      <c r="FE175" s="1499"/>
      <c r="FF175" s="1499"/>
      <c r="FG175" s="1499"/>
      <c r="FH175" s="1499"/>
      <c r="FI175" s="1499"/>
      <c r="FJ175" s="1499"/>
      <c r="FK175" s="1499"/>
      <c r="FL175" s="1499"/>
      <c r="FM175" s="1499"/>
      <c r="FN175" s="1499"/>
      <c r="FO175" s="1499"/>
      <c r="FP175" s="1499"/>
      <c r="FQ175" s="1499"/>
      <c r="FR175" s="1499"/>
      <c r="FS175" s="1499"/>
      <c r="FT175" s="1499"/>
      <c r="FU175" s="1499"/>
      <c r="FV175" s="1499"/>
      <c r="FW175" s="1499"/>
      <c r="FX175" s="1499"/>
      <c r="FY175" s="1499"/>
      <c r="FZ175" s="1499"/>
      <c r="GA175" s="1499"/>
      <c r="GB175" s="1499"/>
      <c r="GC175" s="1499"/>
      <c r="GD175" s="1499"/>
      <c r="GE175" s="1499"/>
      <c r="GF175" s="1499"/>
      <c r="GG175" s="1499"/>
      <c r="GH175" s="1499"/>
      <c r="GI175" s="1499"/>
      <c r="GJ175" s="1499"/>
      <c r="GK175" s="1499"/>
      <c r="GL175" s="1499"/>
      <c r="GM175" s="1499"/>
      <c r="GN175" s="1499"/>
      <c r="GO175" s="1499"/>
      <c r="GP175" s="1499"/>
      <c r="GQ175" s="1499"/>
      <c r="GR175" s="1499"/>
      <c r="GS175" s="1499"/>
      <c r="GT175" s="1499"/>
      <c r="GU175" s="1499"/>
      <c r="GV175" s="1499"/>
      <c r="GW175" s="1499"/>
      <c r="GX175" s="1499"/>
      <c r="GY175" s="1499"/>
      <c r="GZ175" s="1499"/>
      <c r="HA175" s="1499"/>
      <c r="HB175" s="1499"/>
      <c r="HC175" s="1499"/>
      <c r="HD175" s="1499"/>
      <c r="HE175" s="1499"/>
      <c r="HF175" s="1499"/>
      <c r="HG175" s="1499"/>
      <c r="HH175" s="1499"/>
      <c r="HI175" s="1499"/>
      <c r="HJ175" s="1499"/>
      <c r="HK175" s="1499"/>
      <c r="HL175" s="1499"/>
      <c r="HM175" s="1499"/>
      <c r="HN175" s="1499"/>
      <c r="HO175" s="1499"/>
      <c r="HP175" s="1499"/>
      <c r="HQ175" s="1499"/>
      <c r="HR175" s="1499"/>
      <c r="HS175" s="1499"/>
      <c r="HT175" s="1499"/>
      <c r="HU175" s="1499"/>
      <c r="HV175" s="1499"/>
      <c r="HW175" s="1499"/>
      <c r="HX175" s="1499"/>
      <c r="HY175" s="1499"/>
      <c r="HZ175" s="1499"/>
      <c r="IA175" s="1499"/>
      <c r="IB175" s="1499"/>
      <c r="IC175" s="1499"/>
      <c r="ID175" s="1499"/>
      <c r="IE175" s="1499"/>
      <c r="IF175" s="1499"/>
      <c r="IG175" s="1499"/>
      <c r="IH175" s="1499"/>
      <c r="II175" s="1499"/>
      <c r="IJ175" s="1499"/>
      <c r="IK175" s="1499"/>
      <c r="IL175" s="1499"/>
      <c r="IM175" s="1499"/>
      <c r="IN175" s="1499"/>
      <c r="IO175" s="1499"/>
      <c r="IP175" s="1499"/>
      <c r="IQ175" s="1499"/>
      <c r="IR175" s="1499"/>
      <c r="IS175" s="1499"/>
      <c r="IT175" s="1499"/>
      <c r="IU175" s="1499"/>
      <c r="IV175" s="1499"/>
      <c r="IW175" s="1499"/>
      <c r="IX175" s="1499"/>
      <c r="IY175" s="1499"/>
      <c r="IZ175" s="1499"/>
      <c r="JA175" s="1499"/>
      <c r="JB175" s="1499"/>
      <c r="JC175" s="1499"/>
      <c r="JD175" s="1499"/>
      <c r="JE175" s="1499"/>
      <c r="JF175" s="1499"/>
      <c r="JG175" s="1499"/>
      <c r="JH175" s="1499"/>
      <c r="JI175" s="1499"/>
      <c r="JJ175" s="1499"/>
      <c r="JK175" s="1499"/>
      <c r="JL175" s="1499"/>
      <c r="JM175" s="1499"/>
      <c r="JN175" s="1499"/>
      <c r="JO175" s="1499"/>
      <c r="JP175" s="1499"/>
      <c r="JQ175" s="1499"/>
      <c r="JR175" s="1499"/>
      <c r="JS175" s="1499"/>
      <c r="JT175" s="1499"/>
      <c r="JU175" s="1499"/>
      <c r="JV175" s="1499"/>
      <c r="JW175" s="1499"/>
      <c r="JX175" s="1499"/>
      <c r="JY175" s="1499"/>
      <c r="JZ175" s="1499"/>
      <c r="KA175" s="1499"/>
      <c r="KB175" s="1499"/>
      <c r="KC175" s="1499"/>
      <c r="KD175" s="1499"/>
      <c r="KE175" s="1499"/>
      <c r="KF175" s="1499"/>
      <c r="KG175" s="1499"/>
      <c r="KH175" s="1499"/>
      <c r="KI175" s="1499"/>
      <c r="KJ175" s="1499"/>
      <c r="KK175" s="1499"/>
      <c r="KL175" s="1499"/>
      <c r="KM175" s="1499"/>
      <c r="KN175" s="1499"/>
      <c r="KO175" s="1499"/>
      <c r="KP175" s="1499"/>
      <c r="KQ175" s="1499"/>
      <c r="KR175" s="1499"/>
      <c r="KS175" s="1499"/>
      <c r="KT175" s="1499"/>
      <c r="KU175" s="1499"/>
      <c r="KV175" s="1499"/>
      <c r="KW175" s="1499"/>
      <c r="KX175" s="1499"/>
      <c r="KY175" s="1499"/>
      <c r="KZ175" s="1499"/>
      <c r="LA175" s="1499"/>
      <c r="LB175" s="1499"/>
      <c r="LC175" s="1499"/>
      <c r="LD175" s="1499"/>
      <c r="LE175" s="1499"/>
      <c r="LF175" s="1499"/>
      <c r="LG175" s="1499"/>
      <c r="LH175" s="1499"/>
      <c r="LI175" s="1499"/>
      <c r="LJ175" s="1499"/>
      <c r="LK175" s="1499"/>
      <c r="LL175" s="1499"/>
      <c r="LM175" s="1499"/>
      <c r="LN175" s="1499"/>
      <c r="LO175" s="1499"/>
      <c r="LP175" s="1499"/>
      <c r="LQ175" s="1499"/>
      <c r="LR175" s="1499"/>
      <c r="LS175" s="1499"/>
      <c r="LT175" s="1499"/>
      <c r="LU175" s="1499"/>
      <c r="LV175" s="1499"/>
      <c r="LW175" s="1499"/>
      <c r="LX175" s="1499"/>
      <c r="LY175" s="1499"/>
      <c r="LZ175" s="1499"/>
      <c r="MA175" s="1499"/>
      <c r="MB175" s="1499"/>
      <c r="MC175" s="1499"/>
      <c r="MD175" s="1499"/>
      <c r="ME175" s="1499"/>
      <c r="MF175" s="1499"/>
      <c r="MG175" s="1499"/>
      <c r="MH175" s="1499"/>
      <c r="MI175" s="1499"/>
      <c r="MJ175" s="1499"/>
      <c r="MK175" s="1499"/>
      <c r="ML175" s="1499"/>
      <c r="MM175" s="1499"/>
      <c r="MN175" s="1499"/>
      <c r="MO175" s="1499"/>
      <c r="MP175" s="1499"/>
      <c r="MQ175" s="1499"/>
      <c r="MR175" s="1499"/>
      <c r="MS175" s="1499"/>
      <c r="MT175" s="1499"/>
      <c r="NO175" s="1499"/>
      <c r="NP175" s="1499"/>
      <c r="NQ175" s="1499"/>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573"/>
      <c r="JX176" s="263"/>
      <c r="JY176" s="263"/>
      <c r="JZ176" s="263"/>
      <c r="KA176" s="263"/>
      <c r="KB176" s="1573"/>
      <c r="KC176" s="263"/>
      <c r="KD176" s="263"/>
      <c r="KE176" s="263"/>
      <c r="KF176" s="263"/>
      <c r="KG176" s="1573"/>
      <c r="KH176" s="263"/>
      <c r="KI176" s="263"/>
      <c r="KJ176" s="263"/>
      <c r="KK176" s="263"/>
      <c r="KL176" s="1573"/>
      <c r="KM176" s="1573"/>
      <c r="KN176" s="1573"/>
      <c r="KO176" s="1573"/>
      <c r="KP176" s="1573"/>
      <c r="KQ176" s="1573"/>
      <c r="KR176" s="1573"/>
      <c r="KS176" s="1573"/>
      <c r="KT176" s="1573"/>
      <c r="KU176" s="1573"/>
      <c r="KV176" s="1573"/>
      <c r="KW176" s="1573"/>
      <c r="KX176" s="1573"/>
      <c r="KY176" s="1573"/>
      <c r="KZ176" s="1573"/>
      <c r="LA176" s="1573"/>
      <c r="LB176" s="1573"/>
      <c r="LC176" s="1573"/>
      <c r="LD176" s="1573"/>
      <c r="LE176" s="1573"/>
      <c r="LF176" s="1573"/>
      <c r="LG176" s="1573"/>
      <c r="LH176" s="263"/>
      <c r="LI176" s="263"/>
      <c r="LJ176" s="263"/>
      <c r="LK176" s="263"/>
      <c r="LL176" s="263"/>
      <c r="LM176" s="263"/>
      <c r="LN176" s="1440"/>
      <c r="LO176" s="263"/>
      <c r="LP176" s="263"/>
      <c r="LQ176" s="263"/>
      <c r="LR176" s="263"/>
      <c r="LS176" s="263"/>
      <c r="LT176" s="263"/>
      <c r="LU176" s="263"/>
      <c r="LV176" s="263"/>
      <c r="LW176" s="263"/>
      <c r="LX176" s="263"/>
      <c r="LY176" s="263"/>
      <c r="LZ176" s="263"/>
      <c r="MA176" s="263"/>
      <c r="MB176" s="263"/>
      <c r="MC176" s="263"/>
      <c r="MD176" s="1440"/>
      <c r="ME176" s="1440"/>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413"/>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50</v>
      </c>
      <c r="B177" s="7" t="s">
        <v>1224</v>
      </c>
      <c r="C177" s="79"/>
      <c r="D177" s="79"/>
      <c r="E177" s="79"/>
      <c r="F177" s="79"/>
      <c r="G177" s="79"/>
      <c r="H177" s="79"/>
      <c r="I177" s="79"/>
      <c r="J177" s="79"/>
      <c r="K177" s="79"/>
      <c r="L177" s="79"/>
      <c r="M177" s="79"/>
      <c r="N177" s="79"/>
      <c r="O177" s="79"/>
      <c r="P177" s="79"/>
      <c r="Q177" s="79"/>
      <c r="R177" s="79"/>
      <c r="S177" s="7" t="s">
        <v>781</v>
      </c>
      <c r="U177" s="43"/>
      <c r="JW177" s="261"/>
      <c r="KB177" s="261"/>
      <c r="KG177" s="261"/>
      <c r="KL177" s="261"/>
      <c r="LH177" s="1441"/>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1225</v>
      </c>
      <c r="C179" s="50"/>
      <c r="D179" s="50"/>
      <c r="E179" s="50"/>
      <c r="F179" s="50"/>
      <c r="G179" s="50"/>
      <c r="H179" s="3494">
        <f>'Part VI-Pro Forma'!B10*M50</f>
        <v>61610.400000000001</v>
      </c>
      <c r="I179" s="3494"/>
      <c r="J179" s="1133" t="s">
        <v>1226</v>
      </c>
      <c r="M179" s="50"/>
      <c r="N179" s="50"/>
      <c r="O179" s="50"/>
      <c r="P179" s="2771">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573"/>
      <c r="JX179" s="263"/>
      <c r="JY179" s="263"/>
      <c r="JZ179" s="263"/>
      <c r="KA179" s="263"/>
      <c r="KB179" s="1573"/>
      <c r="KC179" s="263"/>
      <c r="KD179" s="263"/>
      <c r="KE179" s="263"/>
      <c r="KF179" s="263"/>
      <c r="KG179" s="1573"/>
      <c r="KH179" s="263"/>
      <c r="KI179" s="263"/>
      <c r="KJ179" s="263"/>
      <c r="KK179" s="263"/>
      <c r="KL179" s="1573"/>
      <c r="KM179" s="1573"/>
      <c r="KN179" s="1573"/>
      <c r="KO179" s="1573"/>
      <c r="KP179" s="1573"/>
      <c r="KQ179" s="1573"/>
      <c r="KR179" s="1573"/>
      <c r="KS179" s="1573"/>
      <c r="KT179" s="1573"/>
      <c r="KU179" s="1573"/>
      <c r="KV179" s="1573"/>
      <c r="KW179" s="1573"/>
      <c r="KX179" s="1573"/>
      <c r="KY179" s="1573"/>
      <c r="KZ179" s="1573"/>
      <c r="LA179" s="1573"/>
      <c r="LB179" s="1573"/>
      <c r="LC179" s="1573"/>
      <c r="LD179" s="1573"/>
      <c r="LE179" s="1573"/>
      <c r="LF179" s="1573"/>
      <c r="LG179" s="1573"/>
      <c r="LH179" s="263"/>
      <c r="LI179" s="263"/>
      <c r="LJ179" s="263"/>
      <c r="LK179" s="263"/>
      <c r="LL179" s="263"/>
      <c r="LM179" s="263"/>
      <c r="LN179" s="1440"/>
      <c r="LO179" s="263"/>
      <c r="LP179" s="263"/>
      <c r="LQ179" s="263"/>
      <c r="LR179" s="263"/>
      <c r="LS179" s="263"/>
      <c r="LT179" s="263"/>
      <c r="LU179" s="263"/>
      <c r="LV179" s="263"/>
      <c r="LW179" s="263"/>
      <c r="LX179" s="263"/>
      <c r="LY179" s="263"/>
      <c r="LZ179" s="263"/>
      <c r="MA179" s="263"/>
      <c r="MB179" s="263"/>
      <c r="MC179" s="263"/>
      <c r="MD179" s="1440"/>
      <c r="ME179" s="1440"/>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414"/>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8"/>
      <c r="C180" s="42"/>
      <c r="D180" s="50"/>
      <c r="E180" s="42"/>
      <c r="F180" s="42"/>
      <c r="G180" s="42"/>
      <c r="H180" s="42"/>
      <c r="I180" s="42"/>
      <c r="J180" s="54"/>
      <c r="K180" s="42"/>
      <c r="L180" s="42"/>
      <c r="M180" s="42"/>
      <c r="N180" s="42"/>
      <c r="O180" s="42"/>
      <c r="P180" s="42"/>
      <c r="Q180" s="219"/>
      <c r="R180" s="219"/>
      <c r="NP180" s="1414"/>
    </row>
    <row r="181" spans="1:493" ht="15.6" customHeight="1">
      <c r="A181" s="79"/>
      <c r="B181" s="298" t="s">
        <v>1227</v>
      </c>
      <c r="C181" s="42"/>
      <c r="D181" s="42"/>
      <c r="E181" s="42"/>
      <c r="F181" s="42"/>
      <c r="G181" s="42"/>
      <c r="H181" s="42"/>
      <c r="I181" s="42"/>
      <c r="J181" s="298"/>
      <c r="K181" s="42"/>
      <c r="L181" s="554"/>
      <c r="M181" s="42"/>
      <c r="N181" s="42"/>
      <c r="O181" s="42"/>
      <c r="P181" s="42"/>
      <c r="Q181" s="56"/>
      <c r="S181" s="82" t="str">
        <f>B181</f>
        <v>Other Income (OI) by Year:</v>
      </c>
      <c r="NP181" s="1414"/>
    </row>
    <row r="182" spans="1:493" ht="15.6" customHeight="1">
      <c r="A182" s="79"/>
      <c r="B182" s="555" t="s">
        <v>1228</v>
      </c>
      <c r="C182" s="42"/>
      <c r="D182" s="42"/>
      <c r="E182" s="42"/>
      <c r="F182" s="42"/>
      <c r="G182" s="79"/>
      <c r="H182" s="556">
        <v>1</v>
      </c>
      <c r="I182" s="556">
        <v>2</v>
      </c>
      <c r="J182" s="556">
        <v>3</v>
      </c>
      <c r="K182" s="556">
        <v>4</v>
      </c>
      <c r="L182" s="557">
        <v>5</v>
      </c>
      <c r="M182" s="556">
        <v>6</v>
      </c>
      <c r="N182" s="556">
        <v>7</v>
      </c>
      <c r="O182" s="556">
        <v>8</v>
      </c>
      <c r="P182" s="556">
        <v>9</v>
      </c>
      <c r="Q182" s="556">
        <v>10</v>
      </c>
      <c r="R182" s="373"/>
      <c r="S182" s="45" t="str">
        <f>B182</f>
        <v>Included in Mgt Fee:</v>
      </c>
      <c r="NP182" s="1414"/>
    </row>
    <row r="183" spans="1:493" ht="15.6" customHeight="1">
      <c r="A183" s="79"/>
      <c r="B183" s="50" t="s">
        <v>1229</v>
      </c>
      <c r="C183" s="50"/>
      <c r="D183" s="50"/>
      <c r="E183" s="50"/>
      <c r="F183" s="50"/>
      <c r="G183" s="79"/>
      <c r="H183" s="2772"/>
      <c r="I183" s="2772"/>
      <c r="J183" s="2772"/>
      <c r="K183" s="2772"/>
      <c r="L183" s="2772"/>
      <c r="M183" s="2772"/>
      <c r="N183" s="2772"/>
      <c r="O183" s="2772"/>
      <c r="P183" s="2772"/>
      <c r="Q183" s="2772"/>
      <c r="R183" s="2773"/>
      <c r="S183" s="3503"/>
      <c r="T183" s="3504"/>
      <c r="U183" s="3504"/>
      <c r="V183" s="3504"/>
      <c r="W183" s="3505"/>
    </row>
    <row r="184" spans="1:493" ht="15.6" customHeight="1">
      <c r="A184" s="79"/>
      <c r="B184" s="50" t="s">
        <v>440</v>
      </c>
      <c r="C184" s="3543"/>
      <c r="D184" s="3544"/>
      <c r="E184" s="3544"/>
      <c r="F184" s="3545"/>
      <c r="G184" s="79"/>
      <c r="H184" s="558"/>
      <c r="I184" s="558"/>
      <c r="J184" s="558"/>
      <c r="K184" s="558"/>
      <c r="L184" s="559"/>
      <c r="M184" s="558"/>
      <c r="N184" s="558"/>
      <c r="O184" s="558"/>
      <c r="P184" s="558"/>
      <c r="Q184" s="558"/>
      <c r="R184" s="2773"/>
      <c r="S184" s="3500"/>
      <c r="T184" s="3501"/>
      <c r="U184" s="3501"/>
      <c r="V184" s="3501"/>
      <c r="W184" s="3502"/>
    </row>
    <row r="185" spans="1:493" ht="15.6" customHeight="1">
      <c r="A185" s="79"/>
      <c r="B185" s="50"/>
      <c r="C185" s="50" t="s">
        <v>1230</v>
      </c>
      <c r="D185" s="50"/>
      <c r="E185" s="50"/>
      <c r="F185" s="50"/>
      <c r="G185" s="79"/>
      <c r="H185" s="2774">
        <f>SUM(H183:H184)</f>
        <v>0</v>
      </c>
      <c r="I185" s="2774">
        <f>SUM(I183:I184)</f>
        <v>0</v>
      </c>
      <c r="J185" s="2774">
        <f t="shared" ref="J185:Q185" si="374">SUM(J183:J184)</f>
        <v>0</v>
      </c>
      <c r="K185" s="2774">
        <f t="shared" si="374"/>
        <v>0</v>
      </c>
      <c r="L185" s="2774">
        <f t="shared" si="374"/>
        <v>0</v>
      </c>
      <c r="M185" s="2774">
        <f t="shared" si="374"/>
        <v>0</v>
      </c>
      <c r="N185" s="2774">
        <f t="shared" si="374"/>
        <v>0</v>
      </c>
      <c r="O185" s="2774">
        <f t="shared" si="374"/>
        <v>0</v>
      </c>
      <c r="P185" s="2774">
        <f t="shared" si="374"/>
        <v>0</v>
      </c>
      <c r="Q185" s="2774">
        <f t="shared" si="374"/>
        <v>0</v>
      </c>
      <c r="R185" s="339"/>
      <c r="S185" s="3513"/>
      <c r="T185" s="3514"/>
      <c r="U185" s="3514"/>
      <c r="V185" s="3514"/>
      <c r="W185" s="3515"/>
      <c r="NP185" s="1414"/>
    </row>
    <row r="186" spans="1:493" ht="15.6" customHeight="1">
      <c r="A186" s="79"/>
      <c r="B186" s="560" t="s">
        <v>1231</v>
      </c>
      <c r="C186" s="42"/>
      <c r="D186" s="42"/>
      <c r="E186" s="42"/>
      <c r="F186" s="42"/>
      <c r="G186" s="79"/>
      <c r="H186" s="561"/>
      <c r="I186" s="42"/>
      <c r="J186" s="42"/>
      <c r="K186" s="42"/>
      <c r="L186" s="42"/>
      <c r="M186" s="42"/>
      <c r="N186" s="42"/>
      <c r="O186" s="42"/>
      <c r="P186" s="42"/>
      <c r="Q186" s="42"/>
      <c r="R186" s="79"/>
      <c r="S186" s="45" t="str">
        <f>B186</f>
        <v>NOT Included in Mgt Fee:</v>
      </c>
    </row>
    <row r="187" spans="1:493" ht="15.6" customHeight="1">
      <c r="A187" s="79"/>
      <c r="B187" s="50" t="s">
        <v>1232</v>
      </c>
      <c r="C187" s="50"/>
      <c r="D187" s="50"/>
      <c r="E187" s="50"/>
      <c r="F187" s="50"/>
      <c r="G187" s="79"/>
      <c r="H187" s="2772"/>
      <c r="I187" s="2772"/>
      <c r="J187" s="2772"/>
      <c r="K187" s="2772"/>
      <c r="L187" s="2772"/>
      <c r="M187" s="2772"/>
      <c r="N187" s="2772"/>
      <c r="O187" s="2772"/>
      <c r="P187" s="2772"/>
      <c r="Q187" s="2772"/>
      <c r="R187" s="2773"/>
      <c r="S187" s="3503"/>
      <c r="T187" s="3504"/>
      <c r="U187" s="3504"/>
      <c r="V187" s="3504"/>
      <c r="W187" s="3505"/>
    </row>
    <row r="188" spans="1:493" ht="15.6" customHeight="1">
      <c r="A188" s="79"/>
      <c r="B188" s="50" t="s">
        <v>440</v>
      </c>
      <c r="C188" s="3543"/>
      <c r="D188" s="3544"/>
      <c r="E188" s="3544"/>
      <c r="F188" s="3545"/>
      <c r="G188" s="79"/>
      <c r="H188" s="558"/>
      <c r="I188" s="558"/>
      <c r="J188" s="558"/>
      <c r="K188" s="558"/>
      <c r="L188" s="559"/>
      <c r="M188" s="558"/>
      <c r="N188" s="558"/>
      <c r="O188" s="558"/>
      <c r="P188" s="558"/>
      <c r="Q188" s="558"/>
      <c r="R188" s="2773"/>
      <c r="S188" s="3500"/>
      <c r="T188" s="3501"/>
      <c r="U188" s="3501"/>
      <c r="V188" s="3501"/>
      <c r="W188" s="3502"/>
    </row>
    <row r="189" spans="1:493" ht="15.6" customHeight="1">
      <c r="A189" s="79"/>
      <c r="B189" s="50"/>
      <c r="C189" s="50" t="s">
        <v>1233</v>
      </c>
      <c r="D189" s="50"/>
      <c r="E189" s="50"/>
      <c r="F189" s="50"/>
      <c r="G189" s="79"/>
      <c r="H189" s="2774">
        <f>SUM(H187:H188)</f>
        <v>0</v>
      </c>
      <c r="I189" s="2774">
        <f>SUM(I187:I188)</f>
        <v>0</v>
      </c>
      <c r="J189" s="2774">
        <f t="shared" ref="J189:Q189" si="375">SUM(J187:J188)</f>
        <v>0</v>
      </c>
      <c r="K189" s="2774">
        <f t="shared" si="375"/>
        <v>0</v>
      </c>
      <c r="L189" s="2774">
        <f t="shared" si="375"/>
        <v>0</v>
      </c>
      <c r="M189" s="2774">
        <f t="shared" si="375"/>
        <v>0</v>
      </c>
      <c r="N189" s="2774">
        <f t="shared" si="375"/>
        <v>0</v>
      </c>
      <c r="O189" s="2774">
        <f t="shared" si="375"/>
        <v>0</v>
      </c>
      <c r="P189" s="2774">
        <f t="shared" si="375"/>
        <v>0</v>
      </c>
      <c r="Q189" s="2774">
        <f t="shared" si="375"/>
        <v>0</v>
      </c>
      <c r="R189" s="339"/>
      <c r="S189" s="3513"/>
      <c r="T189" s="3514"/>
      <c r="U189" s="3514"/>
      <c r="V189" s="3514"/>
      <c r="W189" s="3515"/>
    </row>
    <row r="190" spans="1:493" ht="15.6" customHeight="1">
      <c r="A190" s="79"/>
      <c r="B190" s="298"/>
      <c r="C190" s="42"/>
      <c r="D190" s="42"/>
      <c r="E190" s="42"/>
      <c r="F190" s="42"/>
      <c r="G190" s="79"/>
      <c r="H190" s="561"/>
      <c r="I190" s="42"/>
      <c r="J190" s="42"/>
      <c r="K190" s="42"/>
      <c r="L190" s="42"/>
      <c r="M190" s="42"/>
      <c r="N190" s="42"/>
      <c r="O190" s="42"/>
      <c r="P190" s="42"/>
      <c r="Q190" s="42"/>
      <c r="R190" s="79"/>
    </row>
    <row r="191" spans="1:493" ht="15.6" customHeight="1">
      <c r="A191" s="79"/>
      <c r="B191" s="555" t="s">
        <v>1228</v>
      </c>
      <c r="C191" s="42"/>
      <c r="D191" s="42"/>
      <c r="E191" s="42"/>
      <c r="F191" s="42"/>
      <c r="G191" s="79"/>
      <c r="H191" s="556">
        <v>11</v>
      </c>
      <c r="I191" s="556">
        <v>12</v>
      </c>
      <c r="J191" s="556">
        <v>13</v>
      </c>
      <c r="K191" s="556">
        <v>14</v>
      </c>
      <c r="L191" s="556">
        <v>15</v>
      </c>
      <c r="M191" s="556">
        <v>16</v>
      </c>
      <c r="N191" s="556">
        <v>17</v>
      </c>
      <c r="O191" s="556">
        <v>18</v>
      </c>
      <c r="P191" s="556">
        <v>19</v>
      </c>
      <c r="Q191" s="556">
        <v>20</v>
      </c>
      <c r="S191" s="74" t="s">
        <v>1234</v>
      </c>
      <c r="T191" s="45" t="str">
        <f>B191</f>
        <v>Included in Mgt Fee:</v>
      </c>
    </row>
    <row r="192" spans="1:493" ht="15.6" customHeight="1">
      <c r="A192" s="37"/>
      <c r="B192" s="50" t="s">
        <v>1229</v>
      </c>
      <c r="C192" s="50"/>
      <c r="D192" s="50"/>
      <c r="E192" s="50"/>
      <c r="F192" s="50"/>
      <c r="G192" s="79"/>
      <c r="H192" s="2772"/>
      <c r="I192" s="2772"/>
      <c r="J192" s="2772"/>
      <c r="K192" s="2772"/>
      <c r="L192" s="2775"/>
      <c r="M192" s="2772"/>
      <c r="N192" s="2772"/>
      <c r="O192" s="2772"/>
      <c r="P192" s="2772"/>
      <c r="Q192" s="2772"/>
      <c r="R192" s="2773"/>
      <c r="S192" s="3503"/>
      <c r="T192" s="3504"/>
      <c r="U192" s="3504"/>
      <c r="V192" s="3504"/>
      <c r="W192" s="3505"/>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440</v>
      </c>
      <c r="C193" s="3543"/>
      <c r="D193" s="3544"/>
      <c r="E193" s="3544"/>
      <c r="F193" s="3545"/>
      <c r="G193" s="79"/>
      <c r="H193" s="558"/>
      <c r="I193" s="558"/>
      <c r="J193" s="558"/>
      <c r="K193" s="558"/>
      <c r="L193" s="559"/>
      <c r="M193" s="558"/>
      <c r="N193" s="558"/>
      <c r="O193" s="558"/>
      <c r="P193" s="558"/>
      <c r="Q193" s="558"/>
      <c r="R193" s="2773"/>
      <c r="S193" s="3500"/>
      <c r="T193" s="3501"/>
      <c r="U193" s="3501"/>
      <c r="V193" s="3501"/>
      <c r="W193" s="3502"/>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1230</v>
      </c>
      <c r="D194" s="50"/>
      <c r="E194" s="50"/>
      <c r="F194" s="50"/>
      <c r="G194" s="79"/>
      <c r="H194" s="2774">
        <f>SUM(H192:H193)</f>
        <v>0</v>
      </c>
      <c r="I194" s="2774">
        <f>SUM(I192:I193)</f>
        <v>0</v>
      </c>
      <c r="J194" s="2774">
        <f t="shared" ref="J194:Q194" si="376">SUM(J192:J193)</f>
        <v>0</v>
      </c>
      <c r="K194" s="2774">
        <f t="shared" si="376"/>
        <v>0</v>
      </c>
      <c r="L194" s="2774">
        <f t="shared" si="376"/>
        <v>0</v>
      </c>
      <c r="M194" s="2774">
        <f t="shared" si="376"/>
        <v>0</v>
      </c>
      <c r="N194" s="2774">
        <f t="shared" si="376"/>
        <v>0</v>
      </c>
      <c r="O194" s="2774">
        <f t="shared" si="376"/>
        <v>0</v>
      </c>
      <c r="P194" s="2774">
        <f t="shared" si="376"/>
        <v>0</v>
      </c>
      <c r="Q194" s="2774">
        <f t="shared" si="376"/>
        <v>0</v>
      </c>
      <c r="R194" s="339"/>
      <c r="S194" s="3513"/>
      <c r="T194" s="3514"/>
      <c r="U194" s="3514"/>
      <c r="V194" s="3514"/>
      <c r="W194" s="3515"/>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60" t="s">
        <v>1231</v>
      </c>
      <c r="C195" s="42"/>
      <c r="D195" s="42"/>
      <c r="E195" s="42"/>
      <c r="F195" s="42"/>
      <c r="G195" s="79"/>
      <c r="H195" s="561"/>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1232</v>
      </c>
      <c r="C196" s="50"/>
      <c r="D196" s="50"/>
      <c r="E196" s="50"/>
      <c r="F196" s="50"/>
      <c r="G196" s="79"/>
      <c r="H196" s="2772"/>
      <c r="I196" s="2772"/>
      <c r="J196" s="2772"/>
      <c r="K196" s="2772"/>
      <c r="L196" s="2775"/>
      <c r="M196" s="2772"/>
      <c r="N196" s="2772"/>
      <c r="O196" s="2772"/>
      <c r="P196" s="2772"/>
      <c r="Q196" s="2772"/>
      <c r="R196" s="2773"/>
      <c r="S196" s="3503"/>
      <c r="T196" s="3504"/>
      <c r="U196" s="3504"/>
      <c r="V196" s="3504"/>
      <c r="W196" s="3505"/>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440</v>
      </c>
      <c r="C197" s="3543"/>
      <c r="D197" s="3544"/>
      <c r="E197" s="3544"/>
      <c r="F197" s="3545"/>
      <c r="G197" s="79"/>
      <c r="H197" s="558"/>
      <c r="I197" s="558"/>
      <c r="J197" s="558"/>
      <c r="K197" s="558"/>
      <c r="L197" s="559"/>
      <c r="M197" s="558"/>
      <c r="N197" s="558"/>
      <c r="O197" s="558"/>
      <c r="P197" s="558"/>
      <c r="Q197" s="558"/>
      <c r="R197" s="2773"/>
      <c r="S197" s="3500"/>
      <c r="T197" s="3501"/>
      <c r="U197" s="3501"/>
      <c r="V197" s="3501"/>
      <c r="W197" s="3502"/>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1233</v>
      </c>
      <c r="D198" s="50"/>
      <c r="E198" s="50"/>
      <c r="F198" s="50"/>
      <c r="G198" s="79"/>
      <c r="H198" s="2774">
        <f>SUM(H196:H197)</f>
        <v>0</v>
      </c>
      <c r="I198" s="2774">
        <f>SUM(I196:I197)</f>
        <v>0</v>
      </c>
      <c r="J198" s="2774">
        <f t="shared" ref="J198:Q198" si="377">SUM(J196:J197)</f>
        <v>0</v>
      </c>
      <c r="K198" s="2774">
        <f t="shared" si="377"/>
        <v>0</v>
      </c>
      <c r="L198" s="2774">
        <f t="shared" si="377"/>
        <v>0</v>
      </c>
      <c r="M198" s="2774">
        <f t="shared" si="377"/>
        <v>0</v>
      </c>
      <c r="N198" s="2774">
        <f t="shared" si="377"/>
        <v>0</v>
      </c>
      <c r="O198" s="2774">
        <f t="shared" si="377"/>
        <v>0</v>
      </c>
      <c r="P198" s="2774">
        <f t="shared" si="377"/>
        <v>0</v>
      </c>
      <c r="Q198" s="2774">
        <f t="shared" si="377"/>
        <v>0</v>
      </c>
      <c r="R198" s="339"/>
      <c r="S198" s="3513"/>
      <c r="T198" s="3514"/>
      <c r="U198" s="3514"/>
      <c r="V198" s="3514"/>
      <c r="W198" s="3515"/>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8"/>
      <c r="C199" s="42"/>
      <c r="D199" s="42"/>
      <c r="E199" s="42"/>
      <c r="F199" s="42"/>
      <c r="G199" s="79"/>
      <c r="H199" s="561"/>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55" t="s">
        <v>1228</v>
      </c>
      <c r="C200" s="42"/>
      <c r="D200" s="42"/>
      <c r="E200" s="42"/>
      <c r="F200" s="42"/>
      <c r="G200" s="79"/>
      <c r="H200" s="556">
        <v>21</v>
      </c>
      <c r="I200" s="556">
        <v>22</v>
      </c>
      <c r="J200" s="556">
        <v>23</v>
      </c>
      <c r="K200" s="556">
        <v>24</v>
      </c>
      <c r="L200" s="556">
        <v>25</v>
      </c>
      <c r="M200" s="556">
        <v>26</v>
      </c>
      <c r="N200" s="556">
        <v>27</v>
      </c>
      <c r="O200" s="556">
        <v>28</v>
      </c>
      <c r="P200" s="556">
        <v>29</v>
      </c>
      <c r="Q200" s="556">
        <v>30</v>
      </c>
      <c r="R200" s="373"/>
      <c r="S200" s="74" t="s">
        <v>1235</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1229</v>
      </c>
      <c r="C201" s="50"/>
      <c r="D201" s="50"/>
      <c r="E201" s="50"/>
      <c r="F201" s="50"/>
      <c r="G201" s="79"/>
      <c r="H201" s="2772"/>
      <c r="I201" s="2772"/>
      <c r="J201" s="2772"/>
      <c r="K201" s="2772"/>
      <c r="L201" s="2775"/>
      <c r="M201" s="2772"/>
      <c r="N201" s="2772"/>
      <c r="O201" s="2772"/>
      <c r="P201" s="2772"/>
      <c r="Q201" s="2772"/>
      <c r="R201" s="2773"/>
      <c r="S201" s="3503"/>
      <c r="T201" s="3504"/>
      <c r="U201" s="3504"/>
      <c r="V201" s="3504"/>
      <c r="W201" s="350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440</v>
      </c>
      <c r="C202" s="3543"/>
      <c r="D202" s="3544"/>
      <c r="E202" s="3544"/>
      <c r="F202" s="3545"/>
      <c r="G202" s="79"/>
      <c r="H202" s="558"/>
      <c r="I202" s="558"/>
      <c r="J202" s="558"/>
      <c r="K202" s="558"/>
      <c r="L202" s="559"/>
      <c r="M202" s="558"/>
      <c r="N202" s="558"/>
      <c r="O202" s="558"/>
      <c r="P202" s="558"/>
      <c r="Q202" s="558"/>
      <c r="R202" s="2773"/>
      <c r="S202" s="3500"/>
      <c r="T202" s="3501"/>
      <c r="U202" s="3501"/>
      <c r="V202" s="3501"/>
      <c r="W202" s="3502"/>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1230</v>
      </c>
      <c r="D203" s="50"/>
      <c r="E203" s="50"/>
      <c r="F203" s="50"/>
      <c r="G203" s="79"/>
      <c r="H203" s="2774">
        <f>SUM(H201:H202)</f>
        <v>0</v>
      </c>
      <c r="I203" s="2774">
        <f>SUM(I201:I202)</f>
        <v>0</v>
      </c>
      <c r="J203" s="2774">
        <f t="shared" ref="J203:Q203" si="378">SUM(J201:J202)</f>
        <v>0</v>
      </c>
      <c r="K203" s="2774">
        <f t="shared" si="378"/>
        <v>0</v>
      </c>
      <c r="L203" s="2774">
        <f t="shared" si="378"/>
        <v>0</v>
      </c>
      <c r="M203" s="2774">
        <f t="shared" si="378"/>
        <v>0</v>
      </c>
      <c r="N203" s="2774">
        <f t="shared" si="378"/>
        <v>0</v>
      </c>
      <c r="O203" s="2774">
        <f t="shared" si="378"/>
        <v>0</v>
      </c>
      <c r="P203" s="2774">
        <f t="shared" si="378"/>
        <v>0</v>
      </c>
      <c r="Q203" s="2774">
        <f t="shared" si="378"/>
        <v>0</v>
      </c>
      <c r="R203" s="339"/>
      <c r="S203" s="3513"/>
      <c r="T203" s="3514"/>
      <c r="U203" s="3514"/>
      <c r="V203" s="3514"/>
      <c r="W203" s="3515"/>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60" t="s">
        <v>1231</v>
      </c>
      <c r="C204" s="42"/>
      <c r="D204" s="42"/>
      <c r="E204" s="42"/>
      <c r="F204" s="42"/>
      <c r="G204" s="79"/>
      <c r="H204" s="561"/>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1232</v>
      </c>
      <c r="C205" s="50"/>
      <c r="D205" s="50"/>
      <c r="E205" s="50"/>
      <c r="F205" s="50"/>
      <c r="G205" s="79"/>
      <c r="H205" s="2772"/>
      <c r="I205" s="2772"/>
      <c r="J205" s="2772"/>
      <c r="K205" s="2772"/>
      <c r="L205" s="2775"/>
      <c r="M205" s="2772"/>
      <c r="N205" s="2772"/>
      <c r="O205" s="2772"/>
      <c r="P205" s="2772"/>
      <c r="Q205" s="2772"/>
      <c r="R205" s="2773"/>
      <c r="S205" s="3503"/>
      <c r="T205" s="3504"/>
      <c r="U205" s="3504"/>
      <c r="V205" s="3504"/>
      <c r="W205" s="3505"/>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440</v>
      </c>
      <c r="C206" s="3543"/>
      <c r="D206" s="3544"/>
      <c r="E206" s="3544"/>
      <c r="F206" s="3545"/>
      <c r="G206" s="79"/>
      <c r="H206" s="558"/>
      <c r="I206" s="558"/>
      <c r="J206" s="558"/>
      <c r="K206" s="558"/>
      <c r="L206" s="559"/>
      <c r="M206" s="558"/>
      <c r="N206" s="558"/>
      <c r="O206" s="558"/>
      <c r="P206" s="558"/>
      <c r="Q206" s="558"/>
      <c r="R206" s="2773"/>
      <c r="S206" s="3500"/>
      <c r="T206" s="3501"/>
      <c r="U206" s="3501"/>
      <c r="V206" s="3501"/>
      <c r="W206" s="3502"/>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1233</v>
      </c>
      <c r="D207" s="50"/>
      <c r="E207" s="50"/>
      <c r="F207" s="50"/>
      <c r="G207" s="79"/>
      <c r="H207" s="2774">
        <f>SUM(H205:H206)</f>
        <v>0</v>
      </c>
      <c r="I207" s="2774">
        <f>SUM(I205:I206)</f>
        <v>0</v>
      </c>
      <c r="J207" s="2774">
        <f t="shared" ref="J207:Q207" si="379">SUM(J205:J206)</f>
        <v>0</v>
      </c>
      <c r="K207" s="2774">
        <f t="shared" si="379"/>
        <v>0</v>
      </c>
      <c r="L207" s="2774">
        <f t="shared" si="379"/>
        <v>0</v>
      </c>
      <c r="M207" s="2774">
        <f t="shared" si="379"/>
        <v>0</v>
      </c>
      <c r="N207" s="2774">
        <f t="shared" si="379"/>
        <v>0</v>
      </c>
      <c r="O207" s="2774">
        <f t="shared" si="379"/>
        <v>0</v>
      </c>
      <c r="P207" s="2774">
        <f t="shared" si="379"/>
        <v>0</v>
      </c>
      <c r="Q207" s="2774">
        <f t="shared" si="379"/>
        <v>0</v>
      </c>
      <c r="R207" s="339"/>
      <c r="S207" s="3513"/>
      <c r="T207" s="3514"/>
      <c r="U207" s="3514"/>
      <c r="V207" s="3514"/>
      <c r="W207" s="3515"/>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8"/>
      <c r="C208" s="42"/>
      <c r="D208" s="42"/>
      <c r="E208" s="42"/>
      <c r="F208" s="42"/>
      <c r="G208" s="79"/>
      <c r="H208" s="561"/>
      <c r="I208" s="42"/>
      <c r="J208" s="42"/>
      <c r="K208" s="42"/>
      <c r="L208" s="42"/>
      <c r="M208" s="42"/>
      <c r="N208" s="42"/>
      <c r="O208" s="42"/>
      <c r="P208" s="42"/>
      <c r="Q208" s="42"/>
      <c r="R208" s="79"/>
    </row>
    <row r="209" spans="1:493" ht="15.6" customHeight="1">
      <c r="A209" s="79"/>
      <c r="B209" s="555" t="s">
        <v>1228</v>
      </c>
      <c r="C209" s="42"/>
      <c r="D209" s="42"/>
      <c r="E209" s="42"/>
      <c r="F209" s="42"/>
      <c r="G209" s="79"/>
      <c r="H209" s="556">
        <v>31</v>
      </c>
      <c r="I209" s="556">
        <v>32</v>
      </c>
      <c r="J209" s="556">
        <v>33</v>
      </c>
      <c r="K209" s="556">
        <v>34</v>
      </c>
      <c r="L209" s="556">
        <v>35</v>
      </c>
      <c r="M209" s="42"/>
      <c r="N209" s="42"/>
      <c r="O209" s="42"/>
      <c r="P209" s="42"/>
      <c r="Q209" s="42"/>
      <c r="S209" s="74" t="s">
        <v>1235</v>
      </c>
      <c r="T209" s="45" t="str">
        <f>B209</f>
        <v>Included in Mgt Fee:</v>
      </c>
    </row>
    <row r="210" spans="1:493" ht="15.6" customHeight="1">
      <c r="A210" s="79"/>
      <c r="B210" s="50" t="s">
        <v>1229</v>
      </c>
      <c r="C210" s="50"/>
      <c r="D210" s="50"/>
      <c r="E210" s="50"/>
      <c r="F210" s="50"/>
      <c r="G210" s="79"/>
      <c r="H210" s="2772"/>
      <c r="I210" s="2772"/>
      <c r="J210" s="2772"/>
      <c r="K210" s="2772"/>
      <c r="L210" s="2775"/>
      <c r="M210" s="42"/>
      <c r="N210" s="42"/>
      <c r="O210" s="42"/>
      <c r="P210" s="42"/>
      <c r="Q210" s="42"/>
      <c r="R210" s="79"/>
      <c r="S210" s="3503"/>
      <c r="T210" s="3504"/>
      <c r="U210" s="3504"/>
      <c r="V210" s="3504"/>
      <c r="W210" s="3505"/>
    </row>
    <row r="211" spans="1:493" ht="15.6" customHeight="1">
      <c r="A211" s="79"/>
      <c r="B211" s="50" t="s">
        <v>440</v>
      </c>
      <c r="C211" s="3543"/>
      <c r="D211" s="3544"/>
      <c r="E211" s="3544"/>
      <c r="F211" s="3545"/>
      <c r="G211" s="79"/>
      <c r="H211" s="558"/>
      <c r="I211" s="558"/>
      <c r="J211" s="558"/>
      <c r="K211" s="558"/>
      <c r="L211" s="559"/>
      <c r="M211" s="42"/>
      <c r="N211" s="42"/>
      <c r="O211" s="42"/>
      <c r="P211" s="42"/>
      <c r="Q211" s="42"/>
      <c r="R211" s="79"/>
      <c r="S211" s="3500"/>
      <c r="T211" s="3501"/>
      <c r="U211" s="3501"/>
      <c r="V211" s="3501"/>
      <c r="W211" s="3502"/>
    </row>
    <row r="212" spans="1:493" ht="15.6" customHeight="1">
      <c r="A212" s="79"/>
      <c r="B212" s="50"/>
      <c r="C212" s="50" t="s">
        <v>1230</v>
      </c>
      <c r="D212" s="50"/>
      <c r="E212" s="50"/>
      <c r="F212" s="50"/>
      <c r="G212" s="79"/>
      <c r="H212" s="2774">
        <f>SUM(H210:H211)</f>
        <v>0</v>
      </c>
      <c r="I212" s="2774">
        <f>SUM(I210:I211)</f>
        <v>0</v>
      </c>
      <c r="J212" s="2774">
        <f>SUM(J210:J211)</f>
        <v>0</v>
      </c>
      <c r="K212" s="2774">
        <f>SUM(K210:K211)</f>
        <v>0</v>
      </c>
      <c r="L212" s="2774">
        <f>SUM(L210:L211)</f>
        <v>0</v>
      </c>
      <c r="M212" s="42"/>
      <c r="N212" s="42"/>
      <c r="O212" s="42"/>
      <c r="P212" s="42"/>
      <c r="Q212" s="42"/>
      <c r="R212" s="79"/>
      <c r="S212" s="3513"/>
      <c r="T212" s="3514"/>
      <c r="U212" s="3514"/>
      <c r="V212" s="3514"/>
      <c r="W212" s="3515"/>
    </row>
    <row r="213" spans="1:493" ht="15.6" customHeight="1">
      <c r="A213" s="79"/>
      <c r="B213" s="560" t="s">
        <v>1231</v>
      </c>
      <c r="C213" s="42"/>
      <c r="D213" s="42"/>
      <c r="E213" s="42"/>
      <c r="F213" s="42"/>
      <c r="G213" s="79"/>
      <c r="H213" s="561"/>
      <c r="I213" s="42"/>
      <c r="J213" s="42"/>
      <c r="K213" s="42"/>
      <c r="L213" s="42"/>
      <c r="M213" s="42"/>
      <c r="N213" s="42"/>
      <c r="O213" s="42"/>
      <c r="P213" s="42"/>
      <c r="Q213" s="42"/>
      <c r="R213" s="79"/>
      <c r="S213" s="45" t="str">
        <f>B213</f>
        <v>NOT Included in Mgt Fee:</v>
      </c>
    </row>
    <row r="214" spans="1:493" ht="15.6" customHeight="1">
      <c r="A214" s="79"/>
      <c r="B214" s="50" t="s">
        <v>1232</v>
      </c>
      <c r="C214" s="50"/>
      <c r="D214" s="50"/>
      <c r="E214" s="50"/>
      <c r="F214" s="50"/>
      <c r="G214" s="79"/>
      <c r="H214" s="2772"/>
      <c r="I214" s="2772"/>
      <c r="J214" s="2772"/>
      <c r="K214" s="2772"/>
      <c r="L214" s="2775"/>
      <c r="M214" s="42"/>
      <c r="N214" s="42"/>
      <c r="O214" s="42"/>
      <c r="P214" s="42"/>
      <c r="Q214" s="42"/>
      <c r="R214" s="79"/>
      <c r="S214" s="3503"/>
      <c r="T214" s="3504"/>
      <c r="U214" s="3504"/>
      <c r="V214" s="3504"/>
      <c r="W214" s="3505"/>
    </row>
    <row r="215" spans="1:493" ht="15.6" customHeight="1">
      <c r="A215" s="79"/>
      <c r="B215" s="50" t="s">
        <v>440</v>
      </c>
      <c r="C215" s="3543"/>
      <c r="D215" s="3544"/>
      <c r="E215" s="3544"/>
      <c r="F215" s="3545"/>
      <c r="G215" s="79"/>
      <c r="H215" s="558"/>
      <c r="I215" s="558"/>
      <c r="J215" s="558"/>
      <c r="K215" s="558"/>
      <c r="L215" s="559"/>
      <c r="M215" s="42"/>
      <c r="N215" s="42"/>
      <c r="O215" s="42"/>
      <c r="P215" s="42"/>
      <c r="Q215" s="42"/>
      <c r="R215" s="79"/>
      <c r="S215" s="3500"/>
      <c r="T215" s="3501"/>
      <c r="U215" s="3501"/>
      <c r="V215" s="3501"/>
      <c r="W215" s="3502"/>
    </row>
    <row r="216" spans="1:493" ht="15.6" customHeight="1">
      <c r="A216" s="79"/>
      <c r="B216" s="50"/>
      <c r="C216" s="50" t="s">
        <v>1233</v>
      </c>
      <c r="D216" s="50"/>
      <c r="E216" s="50"/>
      <c r="F216" s="50"/>
      <c r="G216" s="79"/>
      <c r="H216" s="2774">
        <f>SUM(H214:H215)</f>
        <v>0</v>
      </c>
      <c r="I216" s="2774">
        <f>SUM(I214:I215)</f>
        <v>0</v>
      </c>
      <c r="J216" s="2774">
        <f>SUM(J214:J215)</f>
        <v>0</v>
      </c>
      <c r="K216" s="2774">
        <f>SUM(K214:K215)</f>
        <v>0</v>
      </c>
      <c r="L216" s="2774">
        <f>SUM(L214:L215)</f>
        <v>0</v>
      </c>
      <c r="M216" s="42"/>
      <c r="N216" s="42"/>
      <c r="O216" s="42"/>
      <c r="P216" s="42"/>
      <c r="Q216" s="42"/>
      <c r="R216" s="79"/>
      <c r="S216" s="3513"/>
      <c r="T216" s="3514"/>
      <c r="U216" s="3514"/>
      <c r="V216" s="3514"/>
      <c r="W216" s="3515"/>
    </row>
    <row r="217" spans="1:493" ht="2.25" customHeight="1">
      <c r="A217" s="79"/>
      <c r="B217" s="7"/>
      <c r="C217" s="79"/>
      <c r="D217" s="79"/>
      <c r="E217" s="79"/>
      <c r="F217" s="2776"/>
      <c r="G217" s="2776"/>
      <c r="H217" s="79"/>
      <c r="I217" s="79"/>
      <c r="J217" s="79"/>
      <c r="K217" s="79"/>
      <c r="L217" s="79"/>
      <c r="M217" s="79"/>
      <c r="N217" s="79"/>
      <c r="O217" s="79"/>
      <c r="P217" s="79"/>
      <c r="Q217" s="79"/>
      <c r="R217" s="79"/>
    </row>
    <row r="218" spans="1:493" s="43" customFormat="1" ht="11.25" customHeight="1">
      <c r="A218" s="4" t="s">
        <v>66</v>
      </c>
      <c r="B218" s="2" t="s">
        <v>1236</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573"/>
      <c r="JX218" s="263"/>
      <c r="JY218" s="263"/>
      <c r="JZ218" s="263"/>
      <c r="KA218" s="263"/>
      <c r="KB218" s="1573"/>
      <c r="KC218" s="263"/>
      <c r="KD218" s="263"/>
      <c r="KE218" s="263"/>
      <c r="KF218" s="263"/>
      <c r="KG218" s="1573"/>
      <c r="KH218" s="263"/>
      <c r="KI218" s="263"/>
      <c r="KJ218" s="263"/>
      <c r="KK218" s="263"/>
      <c r="KL218" s="1573"/>
      <c r="KM218" s="1573"/>
      <c r="KN218" s="1573"/>
      <c r="KO218" s="1573"/>
      <c r="KP218" s="1573"/>
      <c r="KQ218" s="1573"/>
      <c r="KR218" s="1573"/>
      <c r="KS218" s="1573"/>
      <c r="KT218" s="1573"/>
      <c r="KU218" s="1573"/>
      <c r="KV218" s="1573"/>
      <c r="KW218" s="1573"/>
      <c r="KX218" s="1573"/>
      <c r="KY218" s="1573"/>
      <c r="KZ218" s="1573"/>
      <c r="LA218" s="1573"/>
      <c r="LB218" s="1573"/>
      <c r="LC218" s="1573"/>
      <c r="LD218" s="1573"/>
      <c r="LE218" s="1573"/>
      <c r="LF218" s="1573"/>
      <c r="LG218" s="1573"/>
      <c r="LH218" s="263"/>
      <c r="LI218" s="263"/>
      <c r="LJ218" s="263"/>
      <c r="LK218" s="263"/>
      <c r="LL218" s="263"/>
      <c r="LM218" s="263"/>
      <c r="LN218" s="1440"/>
      <c r="LO218" s="263"/>
      <c r="LP218" s="263"/>
      <c r="LQ218" s="263"/>
      <c r="LR218" s="263"/>
      <c r="LS218" s="263"/>
      <c r="LT218" s="263"/>
      <c r="LU218" s="263"/>
      <c r="LV218" s="263"/>
      <c r="LW218" s="263"/>
      <c r="LX218" s="263"/>
      <c r="LY218" s="263"/>
      <c r="LZ218" s="263"/>
      <c r="MA218" s="263"/>
      <c r="MB218" s="263"/>
      <c r="MC218" s="263"/>
      <c r="MD218" s="1440"/>
      <c r="ME218" s="1440"/>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413"/>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781</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573"/>
      <c r="JX219" s="263"/>
      <c r="JY219" s="263"/>
      <c r="JZ219" s="263"/>
      <c r="KA219" s="263"/>
      <c r="KB219" s="1573"/>
      <c r="KC219" s="263"/>
      <c r="KD219" s="263"/>
      <c r="KE219" s="263"/>
      <c r="KF219" s="263"/>
      <c r="KG219" s="1573"/>
      <c r="KH219" s="263"/>
      <c r="KI219" s="263"/>
      <c r="KJ219" s="263"/>
      <c r="KK219" s="263"/>
      <c r="KL219" s="1573"/>
      <c r="KM219" s="1573"/>
      <c r="KN219" s="1573"/>
      <c r="KO219" s="1573"/>
      <c r="KP219" s="1573"/>
      <c r="KQ219" s="1573"/>
      <c r="KR219" s="1573"/>
      <c r="KS219" s="1573"/>
      <c r="KT219" s="1573"/>
      <c r="KU219" s="1573"/>
      <c r="KV219" s="1573"/>
      <c r="KW219" s="1573"/>
      <c r="KX219" s="1573"/>
      <c r="KY219" s="1573"/>
      <c r="KZ219" s="1573"/>
      <c r="LA219" s="1573"/>
      <c r="LB219" s="1573"/>
      <c r="LC219" s="1573"/>
      <c r="LD219" s="1573"/>
      <c r="LE219" s="1573"/>
      <c r="LF219" s="1573"/>
      <c r="LG219" s="1573"/>
      <c r="LH219" s="263"/>
      <c r="LI219" s="263"/>
      <c r="LJ219" s="263"/>
      <c r="LK219" s="263"/>
      <c r="LL219" s="263"/>
      <c r="LM219" s="263"/>
      <c r="LN219" s="1440"/>
      <c r="LO219" s="263"/>
      <c r="LP219" s="263"/>
      <c r="LQ219" s="263"/>
      <c r="LR219" s="263"/>
      <c r="LS219" s="263"/>
      <c r="LT219" s="263"/>
      <c r="LU219" s="263"/>
      <c r="LV219" s="263"/>
      <c r="LW219" s="263"/>
      <c r="LX219" s="263"/>
      <c r="LY219" s="263"/>
      <c r="LZ219" s="263"/>
      <c r="MA219" s="263"/>
      <c r="MB219" s="263"/>
      <c r="MC219" s="263"/>
      <c r="MD219" s="1440"/>
      <c r="ME219" s="1440"/>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413"/>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1237</v>
      </c>
      <c r="C220" s="45"/>
      <c r="D220" s="45"/>
      <c r="E220" s="45"/>
      <c r="F220"/>
      <c r="G220"/>
      <c r="H220" s="45"/>
      <c r="I220" s="4" t="s">
        <v>1238</v>
      </c>
      <c r="K220" s="45"/>
      <c r="L220" s="45"/>
      <c r="M220" s="45"/>
      <c r="N220" s="45"/>
      <c r="O220" s="4" t="s">
        <v>1239</v>
      </c>
      <c r="P220" s="45"/>
      <c r="Q220" s="2777">
        <f>IF(OR('Part VI-Pro Forma'!$B$22 = "Choose Mgt Fee",'Part VI-Pro Forma'!$B$22 = "Choose One!"), 0,- 'Part VI-Pro Forma'!$B$22)</f>
        <v>160720</v>
      </c>
      <c r="R220" s="45"/>
      <c r="S220" s="3503"/>
      <c r="T220" s="3504"/>
      <c r="U220" s="3504"/>
      <c r="V220" s="3504"/>
      <c r="W220" s="3505"/>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573"/>
      <c r="JX220" s="263"/>
      <c r="JY220" s="263"/>
      <c r="JZ220" s="263"/>
      <c r="KA220" s="263"/>
      <c r="KB220" s="1573"/>
      <c r="KC220" s="263"/>
      <c r="KD220" s="263"/>
      <c r="KE220" s="263"/>
      <c r="KF220" s="263"/>
      <c r="KG220" s="1573"/>
      <c r="KH220" s="263"/>
      <c r="KI220" s="263"/>
      <c r="KJ220" s="263"/>
      <c r="KK220" s="263"/>
      <c r="KL220" s="1573"/>
      <c r="KM220" s="1573"/>
      <c r="KN220" s="1573"/>
      <c r="KO220" s="1573"/>
      <c r="KP220" s="1573"/>
      <c r="KQ220" s="1573"/>
      <c r="KR220" s="1573"/>
      <c r="KS220" s="1573"/>
      <c r="KT220" s="1573"/>
      <c r="KU220" s="1573"/>
      <c r="KV220" s="1573"/>
      <c r="KW220" s="1573"/>
      <c r="KX220" s="1573"/>
      <c r="KY220" s="1573"/>
      <c r="KZ220" s="1573"/>
      <c r="LA220" s="1573"/>
      <c r="LB220" s="1573"/>
      <c r="LC220" s="1573"/>
      <c r="LD220" s="1573"/>
      <c r="LE220" s="1573"/>
      <c r="LF220" s="1573"/>
      <c r="LG220" s="1573"/>
      <c r="LH220" s="263"/>
      <c r="LI220" s="263"/>
      <c r="LJ220" s="263"/>
      <c r="LK220" s="263"/>
      <c r="LL220" s="263"/>
      <c r="LM220" s="263"/>
      <c r="LN220" s="1440"/>
      <c r="LO220" s="263"/>
      <c r="LP220" s="263"/>
      <c r="LQ220" s="263"/>
      <c r="LR220" s="263"/>
      <c r="LS220" s="263"/>
      <c r="LT220" s="263"/>
      <c r="LU220" s="263"/>
      <c r="LV220" s="263"/>
      <c r="LW220" s="263"/>
      <c r="LX220" s="263"/>
      <c r="LY220" s="263"/>
      <c r="LZ220" s="263"/>
      <c r="MA220" s="263"/>
      <c r="MB220" s="263"/>
      <c r="MC220" s="263"/>
      <c r="MD220" s="1440"/>
      <c r="ME220" s="1440"/>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413"/>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1240</v>
      </c>
      <c r="C221" s="45"/>
      <c r="D221" s="45"/>
      <c r="E221" s="45"/>
      <c r="F221" s="3565">
        <v>145321</v>
      </c>
      <c r="G221" s="3566"/>
      <c r="H221" s="45"/>
      <c r="I221" s="45" t="s">
        <v>1241</v>
      </c>
      <c r="K221" s="45"/>
      <c r="L221" s="3565">
        <v>133695</v>
      </c>
      <c r="M221" s="3566"/>
      <c r="N221" s="45"/>
      <c r="O221" s="229">
        <f>+Q220/(P67*0.93)</f>
        <v>868.42816231696099</v>
      </c>
      <c r="P221" s="25" t="s">
        <v>1242</v>
      </c>
      <c r="Q221" s="45"/>
      <c r="R221" s="2773"/>
      <c r="S221" s="3500"/>
      <c r="T221" s="3501"/>
      <c r="U221" s="3501"/>
      <c r="V221" s="3501"/>
      <c r="W221" s="3502"/>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573"/>
      <c r="JX221" s="263"/>
      <c r="JY221" s="263"/>
      <c r="JZ221" s="263"/>
      <c r="KA221" s="263"/>
      <c r="KB221" s="1573"/>
      <c r="KC221" s="263"/>
      <c r="KD221" s="263"/>
      <c r="KE221" s="263"/>
      <c r="KF221" s="263"/>
      <c r="KG221" s="1573"/>
      <c r="KH221" s="263"/>
      <c r="KI221" s="263"/>
      <c r="KJ221" s="263"/>
      <c r="KK221" s="263"/>
      <c r="KL221" s="1573"/>
      <c r="KM221" s="1573"/>
      <c r="KN221" s="1573"/>
      <c r="KO221" s="1573"/>
      <c r="KP221" s="1573"/>
      <c r="KQ221" s="1573"/>
      <c r="KR221" s="1573"/>
      <c r="KS221" s="1573"/>
      <c r="KT221" s="1573"/>
      <c r="KU221" s="1573"/>
      <c r="KV221" s="1573"/>
      <c r="KW221" s="1573"/>
      <c r="KX221" s="1573"/>
      <c r="KY221" s="1573"/>
      <c r="KZ221" s="1573"/>
      <c r="LA221" s="1573"/>
      <c r="LB221" s="1573"/>
      <c r="LC221" s="1573"/>
      <c r="LD221" s="1573"/>
      <c r="LE221" s="1573"/>
      <c r="LF221" s="1573"/>
      <c r="LG221" s="1573"/>
      <c r="LH221" s="263"/>
      <c r="LI221" s="263"/>
      <c r="LJ221" s="263"/>
      <c r="LK221" s="263"/>
      <c r="LL221" s="263"/>
      <c r="LM221" s="263"/>
      <c r="LN221" s="1440"/>
      <c r="LO221" s="263"/>
      <c r="LP221" s="263"/>
      <c r="LQ221" s="263"/>
      <c r="LR221" s="263"/>
      <c r="LS221" s="263"/>
      <c r="LT221" s="263"/>
      <c r="LU221" s="263"/>
      <c r="LV221" s="263"/>
      <c r="LW221" s="263"/>
      <c r="LX221" s="263"/>
      <c r="LY221" s="263"/>
      <c r="LZ221" s="263"/>
      <c r="MA221" s="263"/>
      <c r="MB221" s="263"/>
      <c r="MC221" s="263"/>
      <c r="MD221" s="1440"/>
      <c r="ME221" s="1440"/>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413"/>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1243</v>
      </c>
      <c r="C222" s="45"/>
      <c r="D222" s="45"/>
      <c r="E222" s="45"/>
      <c r="F222" s="3540">
        <v>210000</v>
      </c>
      <c r="G222" s="3541"/>
      <c r="H222" s="45"/>
      <c r="I222" s="45" t="s">
        <v>1244</v>
      </c>
      <c r="K222" s="45"/>
      <c r="L222" s="3568">
        <v>5800</v>
      </c>
      <c r="M222" s="3569"/>
      <c r="N222" s="45"/>
      <c r="O222" s="229">
        <f>+Q220/(P67*0.93)/12</f>
        <v>72.369013526413411</v>
      </c>
      <c r="P222" s="25" t="s">
        <v>1245</v>
      </c>
      <c r="Q222" s="45"/>
      <c r="R222" s="2773"/>
      <c r="S222" s="3500"/>
      <c r="T222" s="3501"/>
      <c r="U222" s="3501"/>
      <c r="V222" s="3501"/>
      <c r="W222" s="3502"/>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573"/>
      <c r="JX222" s="263"/>
      <c r="JY222" s="263"/>
      <c r="JZ222" s="263"/>
      <c r="KA222" s="263"/>
      <c r="KB222" s="1573"/>
      <c r="KC222" s="263"/>
      <c r="KD222" s="263"/>
      <c r="KE222" s="263"/>
      <c r="KF222" s="263"/>
      <c r="KG222" s="1573"/>
      <c r="KH222" s="263"/>
      <c r="KI222" s="263"/>
      <c r="KJ222" s="263"/>
      <c r="KK222" s="263"/>
      <c r="KL222" s="1573"/>
      <c r="KM222" s="1573"/>
      <c r="KN222" s="1573"/>
      <c r="KO222" s="1573"/>
      <c r="KP222" s="1573"/>
      <c r="KQ222" s="1573"/>
      <c r="KR222" s="1573"/>
      <c r="KS222" s="1573"/>
      <c r="KT222" s="1573"/>
      <c r="KU222" s="1573"/>
      <c r="KV222" s="1573"/>
      <c r="KW222" s="1573"/>
      <c r="KX222" s="1573"/>
      <c r="KY222" s="1573"/>
      <c r="KZ222" s="1573"/>
      <c r="LA222" s="1573"/>
      <c r="LB222" s="1573"/>
      <c r="LC222" s="1573"/>
      <c r="LD222" s="1573"/>
      <c r="LE222" s="1573"/>
      <c r="LF222" s="1573"/>
      <c r="LG222" s="1573"/>
      <c r="LH222" s="263"/>
      <c r="LI222" s="263"/>
      <c r="LJ222" s="263"/>
      <c r="LK222" s="263"/>
      <c r="LL222" s="263"/>
      <c r="LM222" s="263"/>
      <c r="LN222" s="1440"/>
      <c r="LO222" s="263"/>
      <c r="LP222" s="263"/>
      <c r="LQ222" s="263"/>
      <c r="LR222" s="263"/>
      <c r="LS222" s="263"/>
      <c r="LT222" s="263"/>
      <c r="LU222" s="263"/>
      <c r="LV222" s="263"/>
      <c r="LW222" s="263"/>
      <c r="LX222" s="263"/>
      <c r="LY222" s="263"/>
      <c r="LZ222" s="263"/>
      <c r="MA222" s="263"/>
      <c r="MB222" s="263"/>
      <c r="MC222" s="263"/>
      <c r="MD222" s="1440"/>
      <c r="ME222" s="1440"/>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413"/>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1246</v>
      </c>
      <c r="C223" s="45"/>
      <c r="D223" s="45"/>
      <c r="E223" s="45"/>
      <c r="F223" s="3540">
        <v>34958</v>
      </c>
      <c r="G223" s="3541"/>
      <c r="H223" s="45"/>
      <c r="I223" s="45"/>
      <c r="K223" s="6" t="s">
        <v>536</v>
      </c>
      <c r="L223" s="3572">
        <f>SUM(L221:M222)</f>
        <v>139495</v>
      </c>
      <c r="M223" s="3573"/>
      <c r="N223" s="45"/>
      <c r="O223" s="15" t="s">
        <v>1247</v>
      </c>
      <c r="P223" s="70"/>
      <c r="Q223" s="70"/>
      <c r="R223" s="2773"/>
      <c r="S223" s="3500"/>
      <c r="T223" s="3501"/>
      <c r="U223" s="3501"/>
      <c r="V223" s="3501"/>
      <c r="W223" s="3502"/>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573"/>
      <c r="JX223" s="263"/>
      <c r="JY223" s="263"/>
      <c r="JZ223" s="263"/>
      <c r="KA223" s="263"/>
      <c r="KB223" s="1573"/>
      <c r="KC223" s="263"/>
      <c r="KD223" s="263"/>
      <c r="KE223" s="263"/>
      <c r="KF223" s="263"/>
      <c r="KG223" s="1573"/>
      <c r="KH223" s="263"/>
      <c r="KI223" s="263"/>
      <c r="KJ223" s="263"/>
      <c r="KK223" s="263"/>
      <c r="KL223" s="1573"/>
      <c r="KM223" s="1573"/>
      <c r="KN223" s="1573"/>
      <c r="KO223" s="1573"/>
      <c r="KP223" s="1573"/>
      <c r="KQ223" s="1573"/>
      <c r="KR223" s="1573"/>
      <c r="KS223" s="1573"/>
      <c r="KT223" s="1573"/>
      <c r="KU223" s="1573"/>
      <c r="KV223" s="1573"/>
      <c r="KW223" s="1573"/>
      <c r="KX223" s="1573"/>
      <c r="KY223" s="1573"/>
      <c r="KZ223" s="1573"/>
      <c r="LA223" s="1573"/>
      <c r="LB223" s="1573"/>
      <c r="LC223" s="1573"/>
      <c r="LD223" s="1573"/>
      <c r="LE223" s="1573"/>
      <c r="LF223" s="1573"/>
      <c r="LG223" s="1573"/>
      <c r="LH223" s="263"/>
      <c r="LI223" s="263"/>
      <c r="LJ223" s="263"/>
      <c r="LK223" s="263"/>
      <c r="LL223" s="263"/>
      <c r="LM223" s="263"/>
      <c r="LN223" s="1440"/>
      <c r="LO223" s="263"/>
      <c r="LP223" s="263"/>
      <c r="LQ223" s="263"/>
      <c r="LR223" s="263"/>
      <c r="LS223" s="263"/>
      <c r="LT223" s="263"/>
      <c r="LU223" s="263"/>
      <c r="LV223" s="263"/>
      <c r="LW223" s="263"/>
      <c r="LX223" s="263"/>
      <c r="LY223" s="263"/>
      <c r="LZ223" s="263"/>
      <c r="MA223" s="263"/>
      <c r="MB223" s="263"/>
      <c r="MC223" s="263"/>
      <c r="MD223" s="1440"/>
      <c r="ME223" s="1440"/>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413"/>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1032" t="s">
        <v>1248</v>
      </c>
      <c r="F224" s="3540">
        <v>14982</v>
      </c>
      <c r="G224" s="3541"/>
      <c r="H224" s="45"/>
      <c r="I224" s="45"/>
      <c r="K224" s="45"/>
      <c r="L224" s="45"/>
      <c r="M224" s="45"/>
      <c r="N224" s="45"/>
      <c r="R224" s="2770"/>
      <c r="S224" s="3500"/>
      <c r="T224" s="3501"/>
      <c r="U224" s="3501"/>
      <c r="V224" s="3501"/>
      <c r="W224" s="3502"/>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573"/>
      <c r="JX224" s="263"/>
      <c r="JY224" s="263"/>
      <c r="JZ224" s="263"/>
      <c r="KA224" s="263"/>
      <c r="KB224" s="1573"/>
      <c r="KC224" s="263"/>
      <c r="KD224" s="263"/>
      <c r="KE224" s="263"/>
      <c r="KF224" s="263"/>
      <c r="KG224" s="1573"/>
      <c r="KH224" s="263"/>
      <c r="KI224" s="263"/>
      <c r="KJ224" s="263"/>
      <c r="KK224" s="263"/>
      <c r="KL224" s="1573"/>
      <c r="KM224" s="1573"/>
      <c r="KN224" s="1573"/>
      <c r="KO224" s="1573"/>
      <c r="KP224" s="1573"/>
      <c r="KQ224" s="1573"/>
      <c r="KR224" s="1573"/>
      <c r="KS224" s="1573"/>
      <c r="KT224" s="1573"/>
      <c r="KU224" s="1573"/>
      <c r="KV224" s="1573"/>
      <c r="KW224" s="1573"/>
      <c r="KX224" s="1573"/>
      <c r="KY224" s="1573"/>
      <c r="KZ224" s="1573"/>
      <c r="LA224" s="1573"/>
      <c r="LB224" s="1573"/>
      <c r="LC224" s="1573"/>
      <c r="LD224" s="1573"/>
      <c r="LE224" s="1573"/>
      <c r="LF224" s="1573"/>
      <c r="LG224" s="1573"/>
      <c r="LH224" s="263"/>
      <c r="LI224" s="263"/>
      <c r="LJ224" s="263"/>
      <c r="LK224" s="263"/>
      <c r="LL224" s="263"/>
      <c r="LM224" s="263"/>
      <c r="LN224" s="1440"/>
      <c r="LO224" s="263"/>
      <c r="LP224" s="263"/>
      <c r="LQ224" s="263"/>
      <c r="LR224" s="263"/>
      <c r="LS224" s="263"/>
      <c r="LT224" s="263"/>
      <c r="LU224" s="263"/>
      <c r="LV224" s="263"/>
      <c r="LW224" s="263"/>
      <c r="LX224" s="263"/>
      <c r="LY224" s="263"/>
      <c r="LZ224" s="263"/>
      <c r="MA224" s="263"/>
      <c r="MB224" s="263"/>
      <c r="MC224" s="263"/>
      <c r="MD224" s="1440"/>
      <c r="ME224" s="1440"/>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414"/>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1032" t="s">
        <v>1249</v>
      </c>
      <c r="F225" s="3540"/>
      <c r="G225" s="3541"/>
      <c r="H225" s="45"/>
      <c r="I225" s="45"/>
      <c r="K225" s="45"/>
      <c r="L225" s="45"/>
      <c r="M225" s="45"/>
      <c r="N225" s="45"/>
      <c r="R225" s="2770"/>
      <c r="S225" s="3500"/>
      <c r="T225" s="3501"/>
      <c r="U225" s="3501"/>
      <c r="V225" s="3501"/>
      <c r="W225" s="3502"/>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573"/>
      <c r="JX225" s="263"/>
      <c r="JY225" s="263"/>
      <c r="JZ225" s="263"/>
      <c r="KA225" s="263"/>
      <c r="KB225" s="1573"/>
      <c r="KC225" s="263"/>
      <c r="KD225" s="263"/>
      <c r="KE225" s="263"/>
      <c r="KF225" s="263"/>
      <c r="KG225" s="1573"/>
      <c r="KH225" s="263"/>
      <c r="KI225" s="263"/>
      <c r="KJ225" s="263"/>
      <c r="KK225" s="263"/>
      <c r="KL225" s="1573"/>
      <c r="KM225" s="1573"/>
      <c r="KN225" s="1573"/>
      <c r="KO225" s="1573"/>
      <c r="KP225" s="1573"/>
      <c r="KQ225" s="1573"/>
      <c r="KR225" s="1573"/>
      <c r="KS225" s="1573"/>
      <c r="KT225" s="1573"/>
      <c r="KU225" s="1573"/>
      <c r="KV225" s="1573"/>
      <c r="KW225" s="1573"/>
      <c r="KX225" s="1573"/>
      <c r="KY225" s="1573"/>
      <c r="KZ225" s="1573"/>
      <c r="LA225" s="1573"/>
      <c r="LB225" s="1573"/>
      <c r="LC225" s="1573"/>
      <c r="LD225" s="1573"/>
      <c r="LE225" s="1573"/>
      <c r="LF225" s="1573"/>
      <c r="LG225" s="1573"/>
      <c r="LH225" s="263"/>
      <c r="LI225" s="263"/>
      <c r="LJ225" s="263"/>
      <c r="LK225" s="263"/>
      <c r="LL225" s="263"/>
      <c r="LM225" s="263"/>
      <c r="LN225" s="1440"/>
      <c r="LO225" s="263"/>
      <c r="LP225" s="263"/>
      <c r="LQ225" s="263"/>
      <c r="LR225" s="263"/>
      <c r="LS225" s="263"/>
      <c r="LT225" s="263"/>
      <c r="LU225" s="263"/>
      <c r="LV225" s="263"/>
      <c r="LW225" s="263"/>
      <c r="LX225" s="263"/>
      <c r="LY225" s="263"/>
      <c r="LZ225" s="263"/>
      <c r="MA225" s="263"/>
      <c r="MB225" s="263"/>
      <c r="MC225" s="263"/>
      <c r="MD225" s="1440"/>
      <c r="ME225" s="1440"/>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414"/>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549" t="s">
        <v>1250</v>
      </c>
      <c r="C226" s="3550"/>
      <c r="D226" s="3550"/>
      <c r="E226" s="3551"/>
      <c r="F226" s="3568"/>
      <c r="G226" s="3569"/>
      <c r="H226" s="45"/>
      <c r="I226" s="4" t="s">
        <v>1251</v>
      </c>
      <c r="K226" s="45"/>
      <c r="L226" s="45"/>
      <c r="M226" s="45"/>
      <c r="N226" s="45"/>
      <c r="R226" s="2770"/>
      <c r="S226" s="3500"/>
      <c r="T226" s="3501"/>
      <c r="U226" s="3501"/>
      <c r="V226" s="3501"/>
      <c r="W226" s="3502"/>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573"/>
      <c r="JX226" s="263"/>
      <c r="JY226" s="263"/>
      <c r="JZ226" s="263"/>
      <c r="KA226" s="263"/>
      <c r="KB226" s="1573"/>
      <c r="KC226" s="263"/>
      <c r="KD226" s="263"/>
      <c r="KE226" s="263"/>
      <c r="KF226" s="263"/>
      <c r="KG226" s="1573"/>
      <c r="KH226" s="263"/>
      <c r="KI226" s="263"/>
      <c r="KJ226" s="263"/>
      <c r="KK226" s="263"/>
      <c r="KL226" s="1573"/>
      <c r="KM226" s="1573"/>
      <c r="KN226" s="1573"/>
      <c r="KO226" s="1573"/>
      <c r="KP226" s="1573"/>
      <c r="KQ226" s="1573"/>
      <c r="KR226" s="1573"/>
      <c r="KS226" s="1573"/>
      <c r="KT226" s="1573"/>
      <c r="KU226" s="1573"/>
      <c r="KV226" s="1573"/>
      <c r="KW226" s="1573"/>
      <c r="KX226" s="1573"/>
      <c r="KY226" s="1573"/>
      <c r="KZ226" s="1573"/>
      <c r="LA226" s="1573"/>
      <c r="LB226" s="1573"/>
      <c r="LC226" s="1573"/>
      <c r="LD226" s="1573"/>
      <c r="LE226" s="1573"/>
      <c r="LF226" s="1573"/>
      <c r="LG226" s="1573"/>
      <c r="LH226" s="263"/>
      <c r="LI226" s="263"/>
      <c r="LJ226" s="263"/>
      <c r="LK226" s="263"/>
      <c r="LL226" s="263"/>
      <c r="LM226" s="263"/>
      <c r="LN226" s="1440"/>
      <c r="LO226" s="263"/>
      <c r="LP226" s="263"/>
      <c r="LQ226" s="263"/>
      <c r="LR226" s="263"/>
      <c r="LS226" s="263"/>
      <c r="LT226" s="263"/>
      <c r="LU226" s="263"/>
      <c r="LV226" s="263"/>
      <c r="LW226" s="263"/>
      <c r="LX226" s="263"/>
      <c r="LY226" s="263"/>
      <c r="LZ226" s="263"/>
      <c r="MA226" s="263"/>
      <c r="MB226" s="263"/>
      <c r="MC226" s="263"/>
      <c r="MD226" s="1440"/>
      <c r="ME226" s="1440"/>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414"/>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536</v>
      </c>
      <c r="F227" s="3572">
        <f>SUM(F221:G226)</f>
        <v>405261</v>
      </c>
      <c r="G227" s="3573"/>
      <c r="H227" s="45"/>
      <c r="I227" s="45" t="s">
        <v>1252</v>
      </c>
      <c r="K227" s="45"/>
      <c r="L227" s="3552">
        <v>20000</v>
      </c>
      <c r="M227" s="3553"/>
      <c r="N227" s="45"/>
      <c r="R227" s="45"/>
      <c r="S227" s="3500"/>
      <c r="T227" s="3501"/>
      <c r="U227" s="3501"/>
      <c r="V227" s="3501"/>
      <c r="W227" s="3502"/>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573"/>
      <c r="JX227" s="263"/>
      <c r="JY227" s="263"/>
      <c r="JZ227" s="263"/>
      <c r="KA227" s="263"/>
      <c r="KB227" s="1573"/>
      <c r="KC227" s="263"/>
      <c r="KD227" s="263"/>
      <c r="KE227" s="263"/>
      <c r="KF227" s="263"/>
      <c r="KG227" s="1573"/>
      <c r="KH227" s="263"/>
      <c r="KI227" s="263"/>
      <c r="KJ227" s="263"/>
      <c r="KK227" s="263"/>
      <c r="KL227" s="1573"/>
      <c r="KM227" s="1573"/>
      <c r="KN227" s="1573"/>
      <c r="KO227" s="1573"/>
      <c r="KP227" s="1573"/>
      <c r="KQ227" s="1573"/>
      <c r="KR227" s="1573"/>
      <c r="KS227" s="1573"/>
      <c r="KT227" s="1573"/>
      <c r="KU227" s="1573"/>
      <c r="KV227" s="1573"/>
      <c r="KW227" s="1573"/>
      <c r="KX227" s="1573"/>
      <c r="KY227" s="1573"/>
      <c r="KZ227" s="1573"/>
      <c r="LA227" s="1573"/>
      <c r="LB227" s="1573"/>
      <c r="LC227" s="1573"/>
      <c r="LD227" s="1573"/>
      <c r="LE227" s="1573"/>
      <c r="LF227" s="1573"/>
      <c r="LG227" s="1573"/>
      <c r="LH227" s="263"/>
      <c r="LI227" s="263"/>
      <c r="LJ227" s="263"/>
      <c r="LK227" s="263"/>
      <c r="LL227" s="263"/>
      <c r="LM227" s="263"/>
      <c r="LN227" s="1440"/>
      <c r="LO227" s="263"/>
      <c r="LP227" s="263"/>
      <c r="LQ227" s="263"/>
      <c r="LR227" s="263"/>
      <c r="LS227" s="263"/>
      <c r="LT227" s="263"/>
      <c r="LU227" s="263"/>
      <c r="LV227" s="263"/>
      <c r="LW227" s="263"/>
      <c r="LX227" s="263"/>
      <c r="LY227" s="263"/>
      <c r="LZ227" s="263"/>
      <c r="MA227" s="263"/>
      <c r="MB227" s="263"/>
      <c r="MC227" s="263"/>
      <c r="MD227" s="1440"/>
      <c r="ME227" s="1440"/>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414"/>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778"/>
      <c r="G228" s="2778"/>
      <c r="H228" s="45"/>
      <c r="I228" s="45" t="s">
        <v>611</v>
      </c>
      <c r="K228" s="45"/>
      <c r="L228" s="3554">
        <v>10350</v>
      </c>
      <c r="M228" s="3555"/>
      <c r="N228" s="3567" t="str">
        <f>IF(Q230="","",IF(Q228&lt;Q230, "WARNING! OE below required minimum.",""))</f>
        <v/>
      </c>
      <c r="O228" s="4" t="s">
        <v>1253</v>
      </c>
      <c r="P228" s="45"/>
      <c r="Q228" s="2779">
        <f>F227+F236+F247+L223+L231+L241+L247+Q220</f>
        <v>1501801</v>
      </c>
      <c r="R228" s="45"/>
      <c r="S228" s="3500"/>
      <c r="T228" s="3501"/>
      <c r="U228" s="3501"/>
      <c r="V228" s="3501"/>
      <c r="W228" s="3502"/>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573"/>
      <c r="JX228" s="263"/>
      <c r="JY228" s="263"/>
      <c r="JZ228" s="263"/>
      <c r="KA228" s="263"/>
      <c r="KB228" s="1573"/>
      <c r="KC228" s="263"/>
      <c r="KD228" s="263"/>
      <c r="KE228" s="263"/>
      <c r="KF228" s="263"/>
      <c r="KG228" s="1573"/>
      <c r="KH228" s="263"/>
      <c r="KI228" s="263"/>
      <c r="KJ228" s="263"/>
      <c r="KK228" s="263"/>
      <c r="KL228" s="1573"/>
      <c r="KM228" s="1573"/>
      <c r="KN228" s="1573"/>
      <c r="KO228" s="1573"/>
      <c r="KP228" s="1573"/>
      <c r="KQ228" s="1573"/>
      <c r="KR228" s="1573"/>
      <c r="KS228" s="1573"/>
      <c r="KT228" s="1573"/>
      <c r="KU228" s="1573"/>
      <c r="KV228" s="1573"/>
      <c r="KW228" s="1573"/>
      <c r="KX228" s="1573"/>
      <c r="KY228" s="1573"/>
      <c r="KZ228" s="1573"/>
      <c r="LA228" s="1573"/>
      <c r="LB228" s="1573"/>
      <c r="LC228" s="1573"/>
      <c r="LD228" s="1573"/>
      <c r="LE228" s="1573"/>
      <c r="LF228" s="1573"/>
      <c r="LG228" s="1573"/>
      <c r="LH228" s="263"/>
      <c r="LI228" s="263"/>
      <c r="LJ228" s="263"/>
      <c r="LK228" s="263"/>
      <c r="LL228" s="263"/>
      <c r="LM228" s="263"/>
      <c r="LN228" s="1440"/>
      <c r="LO228" s="263"/>
      <c r="LP228" s="263"/>
      <c r="LQ228" s="263"/>
      <c r="LR228" s="263"/>
      <c r="LS228" s="263"/>
      <c r="LT228" s="263"/>
      <c r="LU228" s="263"/>
      <c r="LV228" s="263"/>
      <c r="LW228" s="263"/>
      <c r="LX228" s="263"/>
      <c r="LY228" s="263"/>
      <c r="LZ228" s="263"/>
      <c r="MA228" s="263"/>
      <c r="MB228" s="263"/>
      <c r="MC228" s="263"/>
      <c r="MD228" s="1440"/>
      <c r="ME228" s="1440"/>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414"/>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1254</v>
      </c>
      <c r="C229" s="45"/>
      <c r="D229" s="2780"/>
      <c r="E229" s="45"/>
      <c r="F229" s="45"/>
      <c r="G229" s="45"/>
      <c r="H229" s="45"/>
      <c r="I229" s="45" t="s">
        <v>1255</v>
      </c>
      <c r="K229" s="45"/>
      <c r="L229" s="3554">
        <v>15500</v>
      </c>
      <c r="M229" s="3555"/>
      <c r="N229" s="3567"/>
      <c r="O229" s="25" t="s">
        <v>1256</v>
      </c>
      <c r="P229" s="229">
        <f>+Q228/P67</f>
        <v>7546.7386934673368</v>
      </c>
      <c r="R229" s="2781"/>
      <c r="S229" s="3500"/>
      <c r="T229" s="3501"/>
      <c r="U229" s="3501"/>
      <c r="V229" s="3501"/>
      <c r="W229" s="3502"/>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573"/>
      <c r="JX229" s="263"/>
      <c r="JY229" s="263"/>
      <c r="JZ229" s="263"/>
      <c r="KA229" s="263"/>
      <c r="KB229" s="1573"/>
      <c r="KC229" s="263"/>
      <c r="KD229" s="263"/>
      <c r="KE229" s="263"/>
      <c r="KF229" s="263"/>
      <c r="KG229" s="1573"/>
      <c r="KH229" s="263"/>
      <c r="KI229" s="263"/>
      <c r="KJ229" s="263"/>
      <c r="KK229" s="263"/>
      <c r="KL229" s="1573"/>
      <c r="KM229" s="1573"/>
      <c r="KN229" s="1573"/>
      <c r="KO229" s="1573"/>
      <c r="KP229" s="1573"/>
      <c r="KQ229" s="1573"/>
      <c r="KR229" s="1573"/>
      <c r="KS229" s="1573"/>
      <c r="KT229" s="1573"/>
      <c r="KU229" s="1573"/>
      <c r="KV229" s="1573"/>
      <c r="KW229" s="1573"/>
      <c r="KX229" s="1573"/>
      <c r="KY229" s="1573"/>
      <c r="KZ229" s="1573"/>
      <c r="LA229" s="1573"/>
      <c r="LB229" s="1573"/>
      <c r="LC229" s="1573"/>
      <c r="LD229" s="1573"/>
      <c r="LE229" s="1573"/>
      <c r="LF229" s="1573"/>
      <c r="LG229" s="1573"/>
      <c r="LH229" s="263"/>
      <c r="LI229" s="263"/>
      <c r="LJ229" s="263"/>
      <c r="LK229" s="263"/>
      <c r="LL229" s="263"/>
      <c r="LM229" s="263"/>
      <c r="LN229" s="1440"/>
      <c r="LO229" s="263"/>
      <c r="LP229" s="263"/>
      <c r="LQ229" s="263"/>
      <c r="LR229" s="263"/>
      <c r="LS229" s="263"/>
      <c r="LT229" s="263"/>
      <c r="LU229" s="263"/>
      <c r="LV229" s="263"/>
      <c r="LW229" s="263"/>
      <c r="LX229" s="263"/>
      <c r="LY229" s="263"/>
      <c r="LZ229" s="263"/>
      <c r="MA229" s="263"/>
      <c r="MB229" s="263"/>
      <c r="MC229" s="263"/>
      <c r="MD229" s="1440"/>
      <c r="ME229" s="1440"/>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414" t="s">
        <v>1257</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1258</v>
      </c>
      <c r="C230" s="45"/>
      <c r="D230" s="2780"/>
      <c r="E230" s="45"/>
      <c r="F230" s="3565">
        <v>6651</v>
      </c>
      <c r="G230" s="3566"/>
      <c r="H230" s="45"/>
      <c r="I230" s="3558" t="s">
        <v>1250</v>
      </c>
      <c r="J230" s="3559"/>
      <c r="K230" s="3560"/>
      <c r="L230" s="3570"/>
      <c r="M230" s="3571"/>
      <c r="N230" s="3567"/>
      <c r="P230" s="598" t="s">
        <v>1259</v>
      </c>
      <c r="Q230" s="59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895500</v>
      </c>
      <c r="R230" s="45"/>
      <c r="S230" s="3500"/>
      <c r="T230" s="3501"/>
      <c r="U230" s="3501"/>
      <c r="V230" s="3501"/>
      <c r="W230" s="3502"/>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573"/>
      <c r="JX230" s="263"/>
      <c r="JY230" s="263"/>
      <c r="JZ230" s="263"/>
      <c r="KA230" s="263"/>
      <c r="KB230" s="1573"/>
      <c r="KC230" s="263"/>
      <c r="KD230" s="263"/>
      <c r="KE230" s="263"/>
      <c r="KF230" s="263"/>
      <c r="KG230" s="1573"/>
      <c r="KH230" s="263"/>
      <c r="KI230" s="263"/>
      <c r="KJ230" s="263"/>
      <c r="KK230" s="263"/>
      <c r="KL230" s="1573"/>
      <c r="KM230" s="1573"/>
      <c r="KN230" s="1573"/>
      <c r="KO230" s="1573"/>
      <c r="KP230" s="1573"/>
      <c r="KQ230" s="1573"/>
      <c r="KR230" s="1573"/>
      <c r="KS230" s="1573"/>
      <c r="KT230" s="1573"/>
      <c r="KU230" s="1573"/>
      <c r="KV230" s="1573"/>
      <c r="KW230" s="1573"/>
      <c r="KX230" s="1573"/>
      <c r="KY230" s="1573"/>
      <c r="KZ230" s="1573"/>
      <c r="LA230" s="1573"/>
      <c r="LB230" s="1573"/>
      <c r="LC230" s="1573"/>
      <c r="LD230" s="1573"/>
      <c r="LE230" s="1573"/>
      <c r="LF230" s="1573"/>
      <c r="LG230" s="1573"/>
      <c r="LH230" s="263"/>
      <c r="LI230" s="263"/>
      <c r="LJ230" s="263"/>
      <c r="LK230" s="263"/>
      <c r="LL230" s="263"/>
      <c r="LM230" s="263"/>
      <c r="LN230" s="1440"/>
      <c r="LO230" s="263"/>
      <c r="LP230" s="263"/>
      <c r="LQ230" s="263"/>
      <c r="LR230" s="263"/>
      <c r="LS230" s="263"/>
      <c r="LT230" s="263"/>
      <c r="LU230" s="263"/>
      <c r="LV230" s="263"/>
      <c r="LW230" s="263"/>
      <c r="LX230" s="263"/>
      <c r="LY230" s="263"/>
      <c r="LZ230" s="263"/>
      <c r="MA230" s="263"/>
      <c r="MB230" s="263"/>
      <c r="MC230" s="263"/>
      <c r="MD230" s="1440"/>
      <c r="ME230" s="1440"/>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414"/>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1260</v>
      </c>
      <c r="C231" s="45"/>
      <c r="D231" s="2780"/>
      <c r="E231" s="45"/>
      <c r="F231" s="3540">
        <v>52123</v>
      </c>
      <c r="G231" s="3541"/>
      <c r="H231" s="45"/>
      <c r="I231" s="4"/>
      <c r="K231" s="6" t="s">
        <v>536</v>
      </c>
      <c r="L231" s="3574">
        <f>SUM(L227:L230)</f>
        <v>45850</v>
      </c>
      <c r="M231" s="3575"/>
      <c r="N231" s="3567"/>
      <c r="O231" s="3580" t="s">
        <v>1261</v>
      </c>
      <c r="P231" s="3580"/>
      <c r="Q231" s="3580"/>
      <c r="R231" s="45"/>
      <c r="S231" s="3500"/>
      <c r="T231" s="3501"/>
      <c r="U231" s="3501"/>
      <c r="V231" s="3501"/>
      <c r="W231" s="3502"/>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573"/>
      <c r="JX231" s="263"/>
      <c r="JY231" s="263"/>
      <c r="JZ231" s="263"/>
      <c r="KA231" s="263"/>
      <c r="KB231" s="1573"/>
      <c r="KC231" s="263"/>
      <c r="KD231" s="263"/>
      <c r="KE231" s="263"/>
      <c r="KF231" s="263"/>
      <c r="KG231" s="1573"/>
      <c r="KH231" s="263"/>
      <c r="KI231" s="263"/>
      <c r="KJ231" s="263"/>
      <c r="KK231" s="263"/>
      <c r="KL231" s="1573"/>
      <c r="KM231" s="1573"/>
      <c r="KN231" s="1573"/>
      <c r="KO231" s="1573"/>
      <c r="KP231" s="1573"/>
      <c r="KQ231" s="1573"/>
      <c r="KR231" s="1573"/>
      <c r="KS231" s="1573"/>
      <c r="KT231" s="1573"/>
      <c r="KU231" s="1573"/>
      <c r="KV231" s="1573"/>
      <c r="KW231" s="1573"/>
      <c r="KX231" s="1573"/>
      <c r="KY231" s="1573"/>
      <c r="KZ231" s="1573"/>
      <c r="LA231" s="1573"/>
      <c r="LB231" s="1573"/>
      <c r="LC231" s="1573"/>
      <c r="LD231" s="1573"/>
      <c r="LE231" s="1573"/>
      <c r="LF231" s="1573"/>
      <c r="LG231" s="1573"/>
      <c r="LH231" s="263"/>
      <c r="LI231" s="263"/>
      <c r="LJ231" s="263"/>
      <c r="LK231" s="263"/>
      <c r="LL231" s="263"/>
      <c r="LM231" s="263"/>
      <c r="LN231" s="1440"/>
      <c r="LO231" s="263"/>
      <c r="LP231" s="263"/>
      <c r="LQ231" s="263"/>
      <c r="LR231" s="263"/>
      <c r="LS231" s="263"/>
      <c r="LT231" s="263"/>
      <c r="LU231" s="263"/>
      <c r="LV231" s="263"/>
      <c r="LW231" s="263"/>
      <c r="LX231" s="263"/>
      <c r="LY231" s="263"/>
      <c r="LZ231" s="263"/>
      <c r="MA231" s="263"/>
      <c r="MB231" s="263"/>
      <c r="MC231" s="263"/>
      <c r="MD231" s="1440"/>
      <c r="ME231" s="1440"/>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414"/>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1262</v>
      </c>
      <c r="C232" s="45"/>
      <c r="D232" s="2780"/>
      <c r="E232" s="45"/>
      <c r="F232" s="3540"/>
      <c r="G232" s="3541"/>
      <c r="H232" s="45"/>
      <c r="N232" s="45"/>
      <c r="O232" s="3580"/>
      <c r="P232" s="3580"/>
      <c r="Q232" s="3580"/>
      <c r="R232" s="712"/>
      <c r="S232" s="3500"/>
      <c r="T232" s="3501"/>
      <c r="U232" s="3501"/>
      <c r="V232" s="3501"/>
      <c r="W232" s="3502"/>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573"/>
      <c r="JX232" s="263"/>
      <c r="JY232" s="263"/>
      <c r="JZ232" s="263"/>
      <c r="KA232" s="263"/>
      <c r="KB232" s="1573"/>
      <c r="KC232" s="263"/>
      <c r="KD232" s="263"/>
      <c r="KE232" s="263"/>
      <c r="KF232" s="263"/>
      <c r="KG232" s="1573"/>
      <c r="KH232" s="263"/>
      <c r="KI232" s="263"/>
      <c r="KJ232" s="263"/>
      <c r="KK232" s="263"/>
      <c r="KL232" s="1573"/>
      <c r="KM232" s="1573"/>
      <c r="KN232" s="1573"/>
      <c r="KO232" s="1573"/>
      <c r="KP232" s="1573"/>
      <c r="KQ232" s="1573"/>
      <c r="KR232" s="1573"/>
      <c r="KS232" s="1573"/>
      <c r="KT232" s="1573"/>
      <c r="KU232" s="1573"/>
      <c r="KV232" s="1573"/>
      <c r="KW232" s="1573"/>
      <c r="KX232" s="1573"/>
      <c r="KY232" s="1573"/>
      <c r="KZ232" s="1573"/>
      <c r="LA232" s="1573"/>
      <c r="LB232" s="1573"/>
      <c r="LC232" s="1573"/>
      <c r="LD232" s="1573"/>
      <c r="LE232" s="1573"/>
      <c r="LF232" s="1573"/>
      <c r="LG232" s="1573"/>
      <c r="LH232" s="263"/>
      <c r="LI232" s="263"/>
      <c r="LJ232" s="263"/>
      <c r="LK232" s="263"/>
      <c r="LL232" s="263"/>
      <c r="LM232" s="263"/>
      <c r="LN232" s="1440"/>
      <c r="LO232" s="263"/>
      <c r="LP232" s="263"/>
      <c r="LQ232" s="263"/>
      <c r="LR232" s="263"/>
      <c r="LS232" s="263"/>
      <c r="LT232" s="263"/>
      <c r="LU232" s="263"/>
      <c r="LV232" s="263"/>
      <c r="LW232" s="263"/>
      <c r="LX232" s="263"/>
      <c r="LY232" s="263"/>
      <c r="LZ232" s="263"/>
      <c r="MA232" s="263"/>
      <c r="MB232" s="263"/>
      <c r="MC232" s="263"/>
      <c r="MD232" s="1440"/>
      <c r="ME232" s="1440"/>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414"/>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1263</v>
      </c>
      <c r="C233" s="45"/>
      <c r="D233" s="2780"/>
      <c r="E233" s="45"/>
      <c r="F233" s="3540">
        <v>7612</v>
      </c>
      <c r="G233" s="3541"/>
      <c r="H233" s="45"/>
      <c r="L233" s="45"/>
      <c r="M233" s="45"/>
      <c r="N233" s="45"/>
      <c r="R233" s="712"/>
      <c r="S233" s="3500"/>
      <c r="T233" s="3501"/>
      <c r="U233" s="3501"/>
      <c r="V233" s="3501"/>
      <c r="W233" s="3502"/>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573"/>
      <c r="JX233" s="263"/>
      <c r="JY233" s="263"/>
      <c r="JZ233" s="263"/>
      <c r="KA233" s="263"/>
      <c r="KB233" s="1573"/>
      <c r="KC233" s="263"/>
      <c r="KD233" s="263"/>
      <c r="KE233" s="263"/>
      <c r="KF233" s="263"/>
      <c r="KG233" s="1573"/>
      <c r="KH233" s="263"/>
      <c r="KI233" s="263"/>
      <c r="KJ233" s="263"/>
      <c r="KK233" s="263"/>
      <c r="KL233" s="1573"/>
      <c r="KM233" s="1573"/>
      <c r="KN233" s="1573"/>
      <c r="KO233" s="1573"/>
      <c r="KP233" s="1573"/>
      <c r="KQ233" s="1573"/>
      <c r="KR233" s="1573"/>
      <c r="KS233" s="1573"/>
      <c r="KT233" s="1573"/>
      <c r="KU233" s="1573"/>
      <c r="KV233" s="1573"/>
      <c r="KW233" s="1573"/>
      <c r="KX233" s="1573"/>
      <c r="KY233" s="1573"/>
      <c r="KZ233" s="1573"/>
      <c r="LA233" s="1573"/>
      <c r="LB233" s="1573"/>
      <c r="LC233" s="1573"/>
      <c r="LD233" s="1573"/>
      <c r="LE233" s="1573"/>
      <c r="LF233" s="1573"/>
      <c r="LG233" s="1573"/>
      <c r="LH233" s="263"/>
      <c r="LI233" s="263"/>
      <c r="LJ233" s="263"/>
      <c r="LK233" s="263"/>
      <c r="LL233" s="263"/>
      <c r="LM233" s="263"/>
      <c r="LN233" s="1440"/>
      <c r="LO233" s="263"/>
      <c r="LP233" s="263"/>
      <c r="LQ233" s="263"/>
      <c r="LR233" s="263"/>
      <c r="LS233" s="263"/>
      <c r="LT233" s="263"/>
      <c r="LU233" s="263"/>
      <c r="LV233" s="263"/>
      <c r="LW233" s="263"/>
      <c r="LX233" s="263"/>
      <c r="LY233" s="263"/>
      <c r="LZ233" s="263"/>
      <c r="MA233" s="263"/>
      <c r="MB233" s="263"/>
      <c r="MC233" s="263"/>
      <c r="MD233" s="1440"/>
      <c r="ME233" s="1440"/>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414" t="s">
        <v>1264</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1265</v>
      </c>
      <c r="C234" s="45"/>
      <c r="D234" s="2780"/>
      <c r="E234" s="45"/>
      <c r="F234" s="3540">
        <v>13582</v>
      </c>
      <c r="G234" s="3541"/>
      <c r="H234" s="45"/>
      <c r="I234" s="4" t="s">
        <v>1266</v>
      </c>
      <c r="K234" s="162" t="s">
        <v>1267</v>
      </c>
      <c r="O234" s="1057" t="s">
        <v>1268</v>
      </c>
      <c r="P234" s="4"/>
      <c r="Q234" s="2782">
        <f>Q243</f>
        <v>69650</v>
      </c>
      <c r="S234" s="3500"/>
      <c r="T234" s="3501"/>
      <c r="U234" s="3501"/>
      <c r="V234" s="3501"/>
      <c r="W234" s="3502"/>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573"/>
      <c r="JX234" s="263"/>
      <c r="JY234" s="263"/>
      <c r="JZ234" s="263"/>
      <c r="KA234" s="263"/>
      <c r="KB234" s="1573"/>
      <c r="KC234" s="263"/>
      <c r="KD234" s="263"/>
      <c r="KE234" s="263"/>
      <c r="KF234" s="263"/>
      <c r="KG234" s="1573"/>
      <c r="KH234" s="263"/>
      <c r="KI234" s="263"/>
      <c r="KJ234" s="263"/>
      <c r="KK234" s="263"/>
      <c r="KL234" s="1573"/>
      <c r="KM234" s="1573"/>
      <c r="KN234" s="1573"/>
      <c r="KO234" s="1573"/>
      <c r="KP234" s="1573"/>
      <c r="KQ234" s="1573"/>
      <c r="KR234" s="1573"/>
      <c r="KS234" s="1573"/>
      <c r="KT234" s="1573"/>
      <c r="KU234" s="1573"/>
      <c r="KV234" s="1573"/>
      <c r="KW234" s="1573"/>
      <c r="KX234" s="1573"/>
      <c r="KY234" s="1573"/>
      <c r="KZ234" s="1573"/>
      <c r="LA234" s="1573"/>
      <c r="LB234" s="1573"/>
      <c r="LC234" s="1573"/>
      <c r="LD234" s="1573"/>
      <c r="LE234" s="1573"/>
      <c r="LF234" s="1573"/>
      <c r="LG234" s="1573"/>
      <c r="LH234" s="263"/>
      <c r="LI234" s="263"/>
      <c r="LJ234" s="263"/>
      <c r="LK234" s="263"/>
      <c r="LL234" s="263"/>
      <c r="LM234" s="263"/>
      <c r="LN234" s="1440"/>
      <c r="LO234" s="263"/>
      <c r="LP234" s="263"/>
      <c r="LQ234" s="263"/>
      <c r="LR234" s="263"/>
      <c r="LS234" s="263"/>
      <c r="LT234" s="263"/>
      <c r="LU234" s="263"/>
      <c r="LV234" s="263"/>
      <c r="LW234" s="263"/>
      <c r="LX234" s="263"/>
      <c r="LY234" s="263"/>
      <c r="LZ234" s="263"/>
      <c r="MA234" s="263"/>
      <c r="MB234" s="263"/>
      <c r="MC234" s="263"/>
      <c r="MD234" s="1440"/>
      <c r="ME234" s="1440"/>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414"/>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549" t="s">
        <v>1480</v>
      </c>
      <c r="C235" s="3550"/>
      <c r="D235" s="3550"/>
      <c r="E235" s="3551"/>
      <c r="F235" s="3568">
        <v>10514</v>
      </c>
      <c r="G235" s="3569"/>
      <c r="H235" s="45"/>
      <c r="I235" s="45" t="s">
        <v>1269</v>
      </c>
      <c r="K235" s="268">
        <f>L235/12/P67</f>
        <v>28.41917922948074</v>
      </c>
      <c r="L235" s="3552">
        <v>67865</v>
      </c>
      <c r="M235" s="3553"/>
      <c r="N235" s="3567" t="str">
        <f>IF(Q234&lt;Q243, "WARNING! RR proposed is below the DCA required minimum.","")</f>
        <v/>
      </c>
      <c r="O235" s="611" t="s">
        <v>1270</v>
      </c>
      <c r="P235" s="2761"/>
      <c r="Q235" s="612">
        <f>Q234/P243</f>
        <v>350</v>
      </c>
      <c r="R235" s="2770"/>
      <c r="S235" s="3500"/>
      <c r="T235" s="3501"/>
      <c r="U235" s="3501"/>
      <c r="V235" s="3501"/>
      <c r="W235" s="3502"/>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573"/>
      <c r="JX235" s="263"/>
      <c r="JY235" s="263"/>
      <c r="JZ235" s="263"/>
      <c r="KA235" s="263"/>
      <c r="KB235" s="1573"/>
      <c r="KC235" s="263"/>
      <c r="KD235" s="263"/>
      <c r="KE235" s="263"/>
      <c r="KF235" s="263"/>
      <c r="KG235" s="1573"/>
      <c r="KH235" s="263"/>
      <c r="KI235" s="263"/>
      <c r="KJ235" s="263"/>
      <c r="KK235" s="263"/>
      <c r="KL235" s="1573"/>
      <c r="KM235" s="1573"/>
      <c r="KN235" s="1573"/>
      <c r="KO235" s="1573"/>
      <c r="KP235" s="1573"/>
      <c r="KQ235" s="1573"/>
      <c r="KR235" s="1573"/>
      <c r="KS235" s="1573"/>
      <c r="KT235" s="1573"/>
      <c r="KU235" s="1573"/>
      <c r="KV235" s="1573"/>
      <c r="KW235" s="1573"/>
      <c r="KX235" s="1573"/>
      <c r="KY235" s="1573"/>
      <c r="KZ235" s="1573"/>
      <c r="LA235" s="1573"/>
      <c r="LB235" s="1573"/>
      <c r="LC235" s="1573"/>
      <c r="LD235" s="1573"/>
      <c r="LE235" s="1573"/>
      <c r="LF235" s="1573"/>
      <c r="LG235" s="1573"/>
      <c r="LH235" s="263"/>
      <c r="LI235" s="263"/>
      <c r="LJ235" s="263"/>
      <c r="LK235" s="263"/>
      <c r="LL235" s="263"/>
      <c r="LM235" s="263"/>
      <c r="LN235" s="1440"/>
      <c r="LO235" s="263"/>
      <c r="LP235" s="263"/>
      <c r="LQ235" s="263"/>
      <c r="LR235" s="263"/>
      <c r="LS235" s="263"/>
      <c r="LT235" s="263"/>
      <c r="LU235" s="263"/>
      <c r="LV235" s="263"/>
      <c r="LW235" s="263"/>
      <c r="LX235" s="263"/>
      <c r="LY235" s="263"/>
      <c r="LZ235" s="263"/>
      <c r="MA235" s="263"/>
      <c r="MB235" s="263"/>
      <c r="MC235" s="263"/>
      <c r="MD235" s="1440"/>
      <c r="ME235" s="1440"/>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414"/>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536</v>
      </c>
      <c r="F236" s="3572">
        <f>SUM(F230:G235)</f>
        <v>90482</v>
      </c>
      <c r="G236" s="3573"/>
      <c r="H236" s="45"/>
      <c r="I236" s="45" t="s">
        <v>1271</v>
      </c>
      <c r="K236" s="268">
        <f>L236/12/P67</f>
        <v>0</v>
      </c>
      <c r="L236" s="3554">
        <v>0</v>
      </c>
      <c r="M236" s="3555"/>
      <c r="N236" s="3583"/>
      <c r="O236" s="3584" t="s">
        <v>1272</v>
      </c>
      <c r="P236" s="3585"/>
      <c r="Q236" s="3586"/>
      <c r="S236" s="3500"/>
      <c r="T236" s="3501"/>
      <c r="U236" s="3501"/>
      <c r="V236" s="3501"/>
      <c r="W236" s="3502"/>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573"/>
      <c r="JX236" s="263"/>
      <c r="JY236" s="263"/>
      <c r="JZ236" s="263"/>
      <c r="KA236" s="263"/>
      <c r="KB236" s="1573"/>
      <c r="KC236" s="263"/>
      <c r="KD236" s="263"/>
      <c r="KE236" s="263"/>
      <c r="KF236" s="263"/>
      <c r="KG236" s="1573"/>
      <c r="KH236" s="263"/>
      <c r="KI236" s="263"/>
      <c r="KJ236" s="263"/>
      <c r="KK236" s="263"/>
      <c r="KL236" s="1573"/>
      <c r="KM236" s="1573"/>
      <c r="KN236" s="1573"/>
      <c r="KO236" s="1573"/>
      <c r="KP236" s="1573"/>
      <c r="KQ236" s="1573"/>
      <c r="KR236" s="1573"/>
      <c r="KS236" s="1573"/>
      <c r="KT236" s="1573"/>
      <c r="KU236" s="1573"/>
      <c r="KV236" s="1573"/>
      <c r="KW236" s="1573"/>
      <c r="KX236" s="1573"/>
      <c r="KY236" s="1573"/>
      <c r="KZ236" s="1573"/>
      <c r="LA236" s="1573"/>
      <c r="LB236" s="1573"/>
      <c r="LC236" s="1573"/>
      <c r="LD236" s="1573"/>
      <c r="LE236" s="1573"/>
      <c r="LF236" s="1573"/>
      <c r="LG236" s="1573"/>
      <c r="LH236" s="263"/>
      <c r="LI236" s="263"/>
      <c r="LJ236" s="263"/>
      <c r="LK236" s="263"/>
      <c r="LL236" s="263"/>
      <c r="LM236" s="263"/>
      <c r="LN236" s="1440"/>
      <c r="LO236" s="263"/>
      <c r="LP236" s="263"/>
      <c r="LQ236" s="263"/>
      <c r="LR236" s="263"/>
      <c r="LS236" s="263"/>
      <c r="LT236" s="263"/>
      <c r="LU236" s="263"/>
      <c r="LV236" s="263"/>
      <c r="LW236" s="263"/>
      <c r="LX236" s="263"/>
      <c r="LY236" s="263"/>
      <c r="LZ236" s="263"/>
      <c r="MA236" s="263"/>
      <c r="MB236" s="263"/>
      <c r="MC236" s="263"/>
      <c r="MD236" s="1440"/>
      <c r="ME236" s="1440"/>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414"/>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778"/>
      <c r="G237" s="2778"/>
      <c r="H237" s="45"/>
      <c r="I237" s="45" t="s">
        <v>1273</v>
      </c>
      <c r="K237" s="268">
        <f>L237/12/P67</f>
        <v>32.839614740368511</v>
      </c>
      <c r="L237" s="3554">
        <v>78421</v>
      </c>
      <c r="M237" s="3555"/>
      <c r="N237" s="3583"/>
      <c r="O237" s="606" t="s">
        <v>1274</v>
      </c>
      <c r="P237" s="531" t="s">
        <v>1275</v>
      </c>
      <c r="Q237" s="607" t="s">
        <v>1276</v>
      </c>
      <c r="R237" s="45"/>
      <c r="S237" s="3500"/>
      <c r="T237" s="3501"/>
      <c r="U237" s="3501"/>
      <c r="V237" s="3501"/>
      <c r="W237" s="3502"/>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573"/>
      <c r="JX237" s="263"/>
      <c r="JY237" s="263"/>
      <c r="JZ237" s="263"/>
      <c r="KA237" s="263"/>
      <c r="KB237" s="1573"/>
      <c r="KC237" s="263"/>
      <c r="KD237" s="263"/>
      <c r="KE237" s="263"/>
      <c r="KF237" s="263"/>
      <c r="KG237" s="1573"/>
      <c r="KH237" s="263"/>
      <c r="KI237" s="263"/>
      <c r="KJ237" s="263"/>
      <c r="KK237" s="263"/>
      <c r="KL237" s="1573"/>
      <c r="KM237" s="1573"/>
      <c r="KN237" s="1573"/>
      <c r="KO237" s="1573"/>
      <c r="KP237" s="1573"/>
      <c r="KQ237" s="1573"/>
      <c r="KR237" s="1573"/>
      <c r="KS237" s="1573"/>
      <c r="KT237" s="1573"/>
      <c r="KU237" s="1573"/>
      <c r="KV237" s="1573"/>
      <c r="KW237" s="1573"/>
      <c r="KX237" s="1573"/>
      <c r="KY237" s="1573"/>
      <c r="KZ237" s="1573"/>
      <c r="LA237" s="1573"/>
      <c r="LB237" s="1573"/>
      <c r="LC237" s="1573"/>
      <c r="LD237" s="1573"/>
      <c r="LE237" s="1573"/>
      <c r="LF237" s="1573"/>
      <c r="LG237" s="1573"/>
      <c r="LH237" s="263"/>
      <c r="LI237" s="263"/>
      <c r="LJ237" s="263"/>
      <c r="LK237" s="263"/>
      <c r="LL237" s="263"/>
      <c r="LM237" s="263"/>
      <c r="LN237" s="1440"/>
      <c r="LO237" s="263"/>
      <c r="LP237" s="263"/>
      <c r="LQ237" s="263"/>
      <c r="LR237" s="263"/>
      <c r="LS237" s="263"/>
      <c r="LT237" s="263"/>
      <c r="LU237" s="263"/>
      <c r="LV237" s="263"/>
      <c r="LW237" s="263"/>
      <c r="LX237" s="263"/>
      <c r="LY237" s="263"/>
      <c r="LZ237" s="263"/>
      <c r="MA237" s="263"/>
      <c r="MB237" s="263"/>
      <c r="MC237" s="263"/>
      <c r="MD237" s="1440"/>
      <c r="ME237" s="1440"/>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414" t="s">
        <v>608</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1277</v>
      </c>
      <c r="C238" s="45"/>
      <c r="D238" s="2780"/>
      <c r="E238" s="45"/>
      <c r="F238" s="45"/>
      <c r="G238" s="45"/>
      <c r="H238" s="45"/>
      <c r="I238" s="45" t="s">
        <v>1278</v>
      </c>
      <c r="K238" s="268">
        <f>L238/12/P67</f>
        <v>23.272613065326635</v>
      </c>
      <c r="L238" s="3554">
        <v>55575</v>
      </c>
      <c r="M238" s="3555"/>
      <c r="N238" s="3583"/>
      <c r="O238" s="374" t="s">
        <v>652</v>
      </c>
      <c r="Q238" s="375"/>
      <c r="R238" s="2781"/>
      <c r="S238" s="3500"/>
      <c r="T238" s="3501"/>
      <c r="U238" s="3501"/>
      <c r="V238" s="3501"/>
      <c r="W238" s="3502"/>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573"/>
      <c r="JX238" s="263"/>
      <c r="JY238" s="263"/>
      <c r="JZ238" s="263"/>
      <c r="KA238" s="263"/>
      <c r="KB238" s="1573"/>
      <c r="KC238" s="263"/>
      <c r="KD238" s="263"/>
      <c r="KE238" s="263"/>
      <c r="KF238" s="263"/>
      <c r="KG238" s="1573"/>
      <c r="KH238" s="263"/>
      <c r="KI238" s="263"/>
      <c r="KJ238" s="263"/>
      <c r="KK238" s="263"/>
      <c r="KL238" s="1573"/>
      <c r="KM238" s="1573"/>
      <c r="KN238" s="1573"/>
      <c r="KO238" s="1573"/>
      <c r="KP238" s="1573"/>
      <c r="KQ238" s="1573"/>
      <c r="KR238" s="1573"/>
      <c r="KS238" s="1573"/>
      <c r="KT238" s="1573"/>
      <c r="KU238" s="1573"/>
      <c r="KV238" s="1573"/>
      <c r="KW238" s="1573"/>
      <c r="KX238" s="1573"/>
      <c r="KY238" s="1573"/>
      <c r="KZ238" s="1573"/>
      <c r="LA238" s="1573"/>
      <c r="LB238" s="1573"/>
      <c r="LC238" s="1573"/>
      <c r="LD238" s="1573"/>
      <c r="LE238" s="1573"/>
      <c r="LF238" s="1573"/>
      <c r="LG238" s="1573"/>
      <c r="LH238" s="263"/>
      <c r="LI238" s="263"/>
      <c r="LJ238" s="263"/>
      <c r="LK238" s="263"/>
      <c r="LL238" s="263"/>
      <c r="LM238" s="263"/>
      <c r="LN238" s="1440"/>
      <c r="LO238" s="263"/>
      <c r="LP238" s="263"/>
      <c r="LQ238" s="263"/>
      <c r="LR238" s="263"/>
      <c r="LS238" s="263"/>
      <c r="LT238" s="263"/>
      <c r="LU238" s="263"/>
      <c r="LV238" s="263"/>
      <c r="LW238" s="263"/>
      <c r="LX238" s="263"/>
      <c r="LY238" s="263"/>
      <c r="LZ238" s="263"/>
      <c r="MA238" s="263"/>
      <c r="MB238" s="263"/>
      <c r="MC238" s="263"/>
      <c r="MD238" s="1440"/>
      <c r="ME238" s="1440"/>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414"/>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1279</v>
      </c>
      <c r="C239" s="45"/>
      <c r="D239" s="2780"/>
      <c r="E239" s="45"/>
      <c r="F239" s="3587">
        <v>9575</v>
      </c>
      <c r="G239" s="3588"/>
      <c r="H239" s="45"/>
      <c r="I239" s="45" t="s">
        <v>1280</v>
      </c>
      <c r="K239" s="268">
        <f>L239/12/P67</f>
        <v>3.4489112227805698</v>
      </c>
      <c r="L239" s="3554">
        <v>8236</v>
      </c>
      <c r="M239" s="3555"/>
      <c r="N239" s="3583"/>
      <c r="O239" s="288" t="s">
        <v>1281</v>
      </c>
      <c r="P239" s="533" t="str">
        <f>CONCATENATE(SUM(MF49:MJ49)," units x $",'DCA Underwriting Assumptions'!$Q$28," =")</f>
        <v>199 units x $350 =</v>
      </c>
      <c r="Q239" s="376">
        <f>SUM(MF49:MJ49)*'DCA Underwriting Assumptions'!$Q$28</f>
        <v>69650</v>
      </c>
      <c r="R239" s="2783"/>
      <c r="S239" s="3500"/>
      <c r="T239" s="3501"/>
      <c r="U239" s="3501"/>
      <c r="V239" s="3501"/>
      <c r="W239" s="3502"/>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573"/>
      <c r="JX239" s="263"/>
      <c r="JY239" s="263"/>
      <c r="JZ239" s="263"/>
      <c r="KA239" s="263"/>
      <c r="KB239" s="1573"/>
      <c r="KC239" s="263"/>
      <c r="KD239" s="263"/>
      <c r="KE239" s="263"/>
      <c r="KF239" s="263"/>
      <c r="KG239" s="1573"/>
      <c r="KH239" s="263"/>
      <c r="KI239" s="263"/>
      <c r="KJ239" s="263"/>
      <c r="KK239" s="263"/>
      <c r="KL239" s="1573"/>
      <c r="KM239" s="1573"/>
      <c r="KN239" s="1573"/>
      <c r="KO239" s="1573"/>
      <c r="KP239" s="1573"/>
      <c r="KQ239" s="1573"/>
      <c r="KR239" s="1573"/>
      <c r="KS239" s="1573"/>
      <c r="KT239" s="1573"/>
      <c r="KU239" s="1573"/>
      <c r="KV239" s="1573"/>
      <c r="KW239" s="1573"/>
      <c r="KX239" s="1573"/>
      <c r="KY239" s="1573"/>
      <c r="KZ239" s="1573"/>
      <c r="LA239" s="1573"/>
      <c r="LB239" s="1573"/>
      <c r="LC239" s="1573"/>
      <c r="LD239" s="1573"/>
      <c r="LE239" s="1573"/>
      <c r="LF239" s="1573"/>
      <c r="LG239" s="1573"/>
      <c r="LH239" s="263"/>
      <c r="LI239" s="263"/>
      <c r="LJ239" s="263"/>
      <c r="LK239" s="263"/>
      <c r="LL239" s="263"/>
      <c r="LM239" s="263"/>
      <c r="LN239" s="1440"/>
      <c r="LO239" s="263"/>
      <c r="LP239" s="263"/>
      <c r="LQ239" s="263"/>
      <c r="LR239" s="263"/>
      <c r="LS239" s="263"/>
      <c r="LT239" s="263"/>
      <c r="LU239" s="263"/>
      <c r="LV239" s="263"/>
      <c r="LW239" s="263"/>
      <c r="LX239" s="263"/>
      <c r="LY239" s="263"/>
      <c r="LZ239" s="263"/>
      <c r="MA239" s="263"/>
      <c r="MB239" s="263"/>
      <c r="MC239" s="263"/>
      <c r="MD239" s="1440"/>
      <c r="ME239" s="1440"/>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414"/>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1282</v>
      </c>
      <c r="C240" s="45"/>
      <c r="D240" s="2780"/>
      <c r="E240" s="45"/>
      <c r="F240" s="3576">
        <v>92815</v>
      </c>
      <c r="G240" s="3577"/>
      <c r="H240" s="45"/>
      <c r="I240" s="3561" t="s">
        <v>1250</v>
      </c>
      <c r="J240" s="3562"/>
      <c r="K240" s="268">
        <f>L240/12/P67</f>
        <v>0</v>
      </c>
      <c r="L240" s="3570"/>
      <c r="M240" s="3571"/>
      <c r="N240" s="3583"/>
      <c r="O240" s="288" t="s">
        <v>1283</v>
      </c>
      <c r="P240" s="533" t="str">
        <f>CONCATENATE(SUM(MK49:MO49)," units x $",'DCA Underwriting Assumptions'!$Q$29," =")</f>
        <v>0 units x $250 =</v>
      </c>
      <c r="Q240" s="376">
        <f>SUM(MK49:MO49)*'DCA Underwriting Assumptions'!$Q$29</f>
        <v>0</v>
      </c>
      <c r="S240" s="3500"/>
      <c r="T240" s="3501"/>
      <c r="U240" s="3501"/>
      <c r="V240" s="3501"/>
      <c r="W240" s="3502"/>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573"/>
      <c r="JX240" s="263"/>
      <c r="JY240" s="263"/>
      <c r="JZ240" s="263"/>
      <c r="KA240" s="263"/>
      <c r="KB240" s="1573"/>
      <c r="KC240" s="263"/>
      <c r="KD240" s="263"/>
      <c r="KE240" s="263"/>
      <c r="KF240" s="263"/>
      <c r="KG240" s="1573"/>
      <c r="KH240" s="263"/>
      <c r="KI240" s="263"/>
      <c r="KJ240" s="263"/>
      <c r="KK240" s="263"/>
      <c r="KL240" s="1573"/>
      <c r="KM240" s="1573"/>
      <c r="KN240" s="1573"/>
      <c r="KO240" s="1573"/>
      <c r="KP240" s="1573"/>
      <c r="KQ240" s="1573"/>
      <c r="KR240" s="1573"/>
      <c r="KS240" s="1573"/>
      <c r="KT240" s="1573"/>
      <c r="KU240" s="1573"/>
      <c r="KV240" s="1573"/>
      <c r="KW240" s="1573"/>
      <c r="KX240" s="1573"/>
      <c r="KY240" s="1573"/>
      <c r="KZ240" s="1573"/>
      <c r="LA240" s="1573"/>
      <c r="LB240" s="1573"/>
      <c r="LC240" s="1573"/>
      <c r="LD240" s="1573"/>
      <c r="LE240" s="1573"/>
      <c r="LF240" s="1573"/>
      <c r="LG240" s="1573"/>
      <c r="LH240" s="263"/>
      <c r="LI240" s="263"/>
      <c r="LJ240" s="263"/>
      <c r="LK240" s="263"/>
      <c r="LL240" s="263"/>
      <c r="LM240" s="263"/>
      <c r="LN240" s="1440"/>
      <c r="LO240" s="263"/>
      <c r="LP240" s="263"/>
      <c r="LQ240" s="263"/>
      <c r="LR240" s="263"/>
      <c r="LS240" s="263"/>
      <c r="LT240" s="263"/>
      <c r="LU240" s="263"/>
      <c r="LV240" s="263"/>
      <c r="LW240" s="263"/>
      <c r="LX240" s="263"/>
      <c r="LY240" s="263"/>
      <c r="LZ240" s="263"/>
      <c r="MA240" s="263"/>
      <c r="MB240" s="263"/>
      <c r="MC240" s="263"/>
      <c r="MD240" s="1440"/>
      <c r="ME240" s="1440"/>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414"/>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1284</v>
      </c>
      <c r="C241" s="45"/>
      <c r="D241" s="2780"/>
      <c r="E241" s="45"/>
      <c r="F241" s="3576">
        <v>18500</v>
      </c>
      <c r="G241" s="3577"/>
      <c r="H241" s="45"/>
      <c r="K241" s="6" t="s">
        <v>536</v>
      </c>
      <c r="L241" s="3574">
        <f>SUM(L235:L240)</f>
        <v>210097</v>
      </c>
      <c r="M241" s="3575"/>
      <c r="N241" s="3583"/>
      <c r="O241" s="377" t="s">
        <v>1285</v>
      </c>
      <c r="P241" s="533" t="str">
        <f>CONCATENATE(SUM(MP49:MT49)," units x $",'DCA Underwriting Assumptions'!$Q$30," =")</f>
        <v>0 units x $420 =</v>
      </c>
      <c r="Q241" s="376">
        <f>SUM(MP49:MT49)*'DCA Underwriting Assumptions'!$Q$30</f>
        <v>0</v>
      </c>
      <c r="R241" s="531"/>
      <c r="S241" s="3500"/>
      <c r="T241" s="3501"/>
      <c r="U241" s="3501"/>
      <c r="V241" s="3501"/>
      <c r="W241" s="3502"/>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573"/>
      <c r="JX241" s="263"/>
      <c r="JY241" s="263"/>
      <c r="JZ241" s="263"/>
      <c r="KA241" s="263"/>
      <c r="KB241" s="1573"/>
      <c r="KC241" s="263"/>
      <c r="KD241" s="263"/>
      <c r="KE241" s="263"/>
      <c r="KF241" s="263"/>
      <c r="KG241" s="1573"/>
      <c r="KH241" s="263"/>
      <c r="KI241" s="263"/>
      <c r="KJ241" s="263"/>
      <c r="KK241" s="263"/>
      <c r="KL241" s="1573"/>
      <c r="KM241" s="1573"/>
      <c r="KN241" s="1573"/>
      <c r="KO241" s="1573"/>
      <c r="KP241" s="1573"/>
      <c r="KQ241" s="1573"/>
      <c r="KR241" s="1573"/>
      <c r="KS241" s="1573"/>
      <c r="KT241" s="1573"/>
      <c r="KU241" s="1573"/>
      <c r="KV241" s="1573"/>
      <c r="KW241" s="1573"/>
      <c r="KX241" s="1573"/>
      <c r="KY241" s="1573"/>
      <c r="KZ241" s="1573"/>
      <c r="LA241" s="1573"/>
      <c r="LB241" s="1573"/>
      <c r="LC241" s="1573"/>
      <c r="LD241" s="1573"/>
      <c r="LE241" s="1573"/>
      <c r="LF241" s="1573"/>
      <c r="LG241" s="1573"/>
      <c r="LH241" s="263"/>
      <c r="LI241" s="263"/>
      <c r="LJ241" s="263"/>
      <c r="LK241" s="263"/>
      <c r="LL241" s="263"/>
      <c r="LM241" s="263"/>
      <c r="LN241" s="1440"/>
      <c r="LO241" s="263"/>
      <c r="LP241" s="263"/>
      <c r="LQ241" s="263"/>
      <c r="LR241" s="263"/>
      <c r="LS241" s="263"/>
      <c r="LT241" s="263"/>
      <c r="LU241" s="263"/>
      <c r="LV241" s="263"/>
      <c r="LW241" s="263"/>
      <c r="LX241" s="263"/>
      <c r="LY241" s="263"/>
      <c r="LZ241" s="263"/>
      <c r="MA241" s="263"/>
      <c r="MB241" s="263"/>
      <c r="MC241" s="263"/>
      <c r="MD241" s="1440"/>
      <c r="ME241" s="1440"/>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414"/>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1286</v>
      </c>
      <c r="C242" s="45"/>
      <c r="D242" s="2780"/>
      <c r="E242" s="45"/>
      <c r="F242" s="3540">
        <v>19250</v>
      </c>
      <c r="G242" s="3541"/>
      <c r="H242" s="45"/>
      <c r="O242" s="377" t="s">
        <v>1287</v>
      </c>
      <c r="P242" s="533" t="str">
        <f>CONCATENATE(P125," units x $",'DCA Underwriting Assumptions'!$Q$31," =")</f>
        <v>0 units x $420 =</v>
      </c>
      <c r="Q242" s="376">
        <f>P125*'DCA Underwriting Assumptions'!$Q$31</f>
        <v>0</v>
      </c>
      <c r="S242" s="3500"/>
      <c r="T242" s="3501"/>
      <c r="U242" s="3501"/>
      <c r="V242" s="3501"/>
      <c r="W242" s="3502"/>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573"/>
      <c r="JX242" s="263"/>
      <c r="JY242" s="263"/>
      <c r="JZ242" s="263"/>
      <c r="KA242" s="263"/>
      <c r="KB242" s="1573"/>
      <c r="KC242" s="263"/>
      <c r="KD242" s="263"/>
      <c r="KE242" s="263"/>
      <c r="KF242" s="263"/>
      <c r="KG242" s="1573"/>
      <c r="KH242" s="263"/>
      <c r="KI242" s="263"/>
      <c r="KJ242" s="263"/>
      <c r="KK242" s="263"/>
      <c r="KL242" s="1573"/>
      <c r="KM242" s="1573"/>
      <c r="KN242" s="1573"/>
      <c r="KO242" s="1573"/>
      <c r="KP242" s="1573"/>
      <c r="KQ242" s="1573"/>
      <c r="KR242" s="1573"/>
      <c r="KS242" s="1573"/>
      <c r="KT242" s="1573"/>
      <c r="KU242" s="1573"/>
      <c r="KV242" s="1573"/>
      <c r="KW242" s="1573"/>
      <c r="KX242" s="1573"/>
      <c r="KY242" s="1573"/>
      <c r="KZ242" s="1573"/>
      <c r="LA242" s="1573"/>
      <c r="LB242" s="1573"/>
      <c r="LC242" s="1573"/>
      <c r="LD242" s="1573"/>
      <c r="LE242" s="1573"/>
      <c r="LF242" s="1573"/>
      <c r="LG242" s="1573"/>
      <c r="LH242" s="263"/>
      <c r="LI242" s="263"/>
      <c r="LJ242" s="263"/>
      <c r="LK242" s="263"/>
      <c r="LL242" s="263"/>
      <c r="LM242" s="263"/>
      <c r="LN242" s="1440"/>
      <c r="LO242" s="263"/>
      <c r="LP242" s="263"/>
      <c r="LQ242" s="263"/>
      <c r="LR242" s="263"/>
      <c r="LS242" s="263"/>
      <c r="LT242" s="263"/>
      <c r="LU242" s="263"/>
      <c r="LV242" s="263"/>
      <c r="LW242" s="263"/>
      <c r="LX242" s="263"/>
      <c r="LY242" s="263"/>
      <c r="LZ242" s="263"/>
      <c r="MA242" s="263"/>
      <c r="MB242" s="263"/>
      <c r="MC242" s="263"/>
      <c r="MD242" s="1440"/>
      <c r="ME242" s="1440"/>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414" t="s">
        <v>1288</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1289</v>
      </c>
      <c r="C243" s="45"/>
      <c r="D243" s="2780"/>
      <c r="E243" s="45"/>
      <c r="F243" s="3540">
        <v>31430</v>
      </c>
      <c r="G243" s="3541"/>
      <c r="H243" s="45"/>
      <c r="I243" s="4" t="s">
        <v>1290</v>
      </c>
      <c r="O243" s="608" t="s">
        <v>1291</v>
      </c>
      <c r="P243" s="609">
        <f>SUM(MF49:MJ49)+SUM(MK49:MO49)+SUM(MP49:MT49)+P125</f>
        <v>199</v>
      </c>
      <c r="Q243" s="610">
        <f>SUM(Q239:Q242)</f>
        <v>69650</v>
      </c>
      <c r="R243" s="533"/>
      <c r="S243" s="3500"/>
      <c r="T243" s="3501"/>
      <c r="U243" s="3501"/>
      <c r="V243" s="3501"/>
      <c r="W243" s="3502"/>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573"/>
      <c r="JX243" s="263"/>
      <c r="JY243" s="263"/>
      <c r="JZ243" s="263"/>
      <c r="KA243" s="263"/>
      <c r="KB243" s="1573"/>
      <c r="KC243" s="263"/>
      <c r="KD243" s="263"/>
      <c r="KE243" s="263"/>
      <c r="KF243" s="263"/>
      <c r="KG243" s="1573"/>
      <c r="KH243" s="263"/>
      <c r="KI243" s="263"/>
      <c r="KJ243" s="263"/>
      <c r="KK243" s="263"/>
      <c r="KL243" s="1573"/>
      <c r="KM243" s="1573"/>
      <c r="KN243" s="1573"/>
      <c r="KO243" s="1573"/>
      <c r="KP243" s="1573"/>
      <c r="KQ243" s="1573"/>
      <c r="KR243" s="1573"/>
      <c r="KS243" s="1573"/>
      <c r="KT243" s="1573"/>
      <c r="KU243" s="1573"/>
      <c r="KV243" s="1573"/>
      <c r="KW243" s="1573"/>
      <c r="KX243" s="1573"/>
      <c r="KY243" s="1573"/>
      <c r="KZ243" s="1573"/>
      <c r="LA243" s="1573"/>
      <c r="LB243" s="1573"/>
      <c r="LC243" s="1573"/>
      <c r="LD243" s="1573"/>
      <c r="LE243" s="1573"/>
      <c r="LF243" s="1573"/>
      <c r="LG243" s="1573"/>
      <c r="LH243" s="263"/>
      <c r="LI243" s="263"/>
      <c r="LJ243" s="263"/>
      <c r="LK243" s="263"/>
      <c r="LL243" s="263"/>
      <c r="LM243" s="263"/>
      <c r="LN243" s="1440"/>
      <c r="LO243" s="263"/>
      <c r="LP243" s="263"/>
      <c r="LQ243" s="263"/>
      <c r="LR243" s="263"/>
      <c r="LS243" s="263"/>
      <c r="LT243" s="263"/>
      <c r="LU243" s="263"/>
      <c r="LV243" s="263"/>
      <c r="LW243" s="263"/>
      <c r="LX243" s="263"/>
      <c r="LY243" s="263"/>
      <c r="LZ243" s="263"/>
      <c r="MA243" s="263"/>
      <c r="MB243" s="263"/>
      <c r="MC243" s="263"/>
      <c r="MD243" s="1440"/>
      <c r="ME243" s="1440"/>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414"/>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1292</v>
      </c>
      <c r="C244" s="45"/>
      <c r="D244" s="2780"/>
      <c r="E244" s="45"/>
      <c r="F244" s="3540">
        <v>3500</v>
      </c>
      <c r="G244" s="3541"/>
      <c r="H244" s="45"/>
      <c r="I244" s="45" t="s">
        <v>1293</v>
      </c>
      <c r="K244" s="45"/>
      <c r="L244" s="3552">
        <v>114826</v>
      </c>
      <c r="M244" s="3553"/>
      <c r="R244" s="533"/>
      <c r="S244" s="3500"/>
      <c r="T244" s="3501"/>
      <c r="U244" s="3501"/>
      <c r="V244" s="3501"/>
      <c r="W244" s="3502"/>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573"/>
      <c r="JX244" s="263"/>
      <c r="JY244" s="263"/>
      <c r="JZ244" s="263"/>
      <c r="KA244" s="263"/>
      <c r="KB244" s="1573"/>
      <c r="KC244" s="263"/>
      <c r="KD244" s="263"/>
      <c r="KE244" s="263"/>
      <c r="KF244" s="263"/>
      <c r="KG244" s="1573"/>
      <c r="KH244" s="263"/>
      <c r="KI244" s="263"/>
      <c r="KJ244" s="263"/>
      <c r="KK244" s="263"/>
      <c r="KL244" s="1573"/>
      <c r="KM244" s="1573"/>
      <c r="KN244" s="1573"/>
      <c r="KO244" s="1573"/>
      <c r="KP244" s="1573"/>
      <c r="KQ244" s="1573"/>
      <c r="KR244" s="1573"/>
      <c r="KS244" s="1573"/>
      <c r="KT244" s="1573"/>
      <c r="KU244" s="1573"/>
      <c r="KV244" s="1573"/>
      <c r="KW244" s="1573"/>
      <c r="KX244" s="1573"/>
      <c r="KY244" s="1573"/>
      <c r="KZ244" s="1573"/>
      <c r="LA244" s="1573"/>
      <c r="LB244" s="1573"/>
      <c r="LC244" s="1573"/>
      <c r="LD244" s="1573"/>
      <c r="LE244" s="1573"/>
      <c r="LF244" s="1573"/>
      <c r="LG244" s="1573"/>
      <c r="LH244" s="263"/>
      <c r="LI244" s="263"/>
      <c r="LJ244" s="263"/>
      <c r="LK244" s="263"/>
      <c r="LL244" s="263"/>
      <c r="LM244" s="263"/>
      <c r="LN244" s="1440"/>
      <c r="LO244" s="263"/>
      <c r="LP244" s="263"/>
      <c r="LQ244" s="263"/>
      <c r="LR244" s="263"/>
      <c r="LS244" s="263"/>
      <c r="LT244" s="263"/>
      <c r="LU244" s="263"/>
      <c r="LV244" s="263"/>
      <c r="LW244" s="263"/>
      <c r="LX244" s="263"/>
      <c r="LY244" s="263"/>
      <c r="LZ244" s="263"/>
      <c r="MA244" s="263"/>
      <c r="MB244" s="263"/>
      <c r="MC244" s="263"/>
      <c r="MD244" s="1440"/>
      <c r="ME244" s="1440"/>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414"/>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1294</v>
      </c>
      <c r="C245" s="45"/>
      <c r="D245" s="2780"/>
      <c r="E245" s="45"/>
      <c r="F245" s="3540"/>
      <c r="G245" s="3541"/>
      <c r="H245" s="45"/>
      <c r="I245" s="45" t="s">
        <v>1295</v>
      </c>
      <c r="K245" s="45"/>
      <c r="L245" s="3554">
        <v>115000</v>
      </c>
      <c r="M245" s="3555"/>
      <c r="R245" s="533"/>
      <c r="S245" s="3500"/>
      <c r="T245" s="3501"/>
      <c r="U245" s="3501"/>
      <c r="V245" s="3501"/>
      <c r="W245" s="3502"/>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573"/>
      <c r="JX245" s="263"/>
      <c r="JY245" s="263"/>
      <c r="JZ245" s="263"/>
      <c r="KA245" s="263"/>
      <c r="KB245" s="1573"/>
      <c r="KC245" s="263"/>
      <c r="KD245" s="263"/>
      <c r="KE245" s="263"/>
      <c r="KF245" s="263"/>
      <c r="KG245" s="1573"/>
      <c r="KH245" s="263"/>
      <c r="KI245" s="263"/>
      <c r="KJ245" s="263"/>
      <c r="KK245" s="263"/>
      <c r="KL245" s="1573"/>
      <c r="KM245" s="1573"/>
      <c r="KN245" s="1573"/>
      <c r="KO245" s="1573"/>
      <c r="KP245" s="1573"/>
      <c r="KQ245" s="1573"/>
      <c r="KR245" s="1573"/>
      <c r="KS245" s="1573"/>
      <c r="KT245" s="1573"/>
      <c r="KU245" s="1573"/>
      <c r="KV245" s="1573"/>
      <c r="KW245" s="1573"/>
      <c r="KX245" s="1573"/>
      <c r="KY245" s="1573"/>
      <c r="KZ245" s="1573"/>
      <c r="LA245" s="1573"/>
      <c r="LB245" s="1573"/>
      <c r="LC245" s="1573"/>
      <c r="LD245" s="1573"/>
      <c r="LE245" s="1573"/>
      <c r="LF245" s="1573"/>
      <c r="LG245" s="1573"/>
      <c r="LH245" s="263"/>
      <c r="LI245" s="263"/>
      <c r="LJ245" s="263"/>
      <c r="LK245" s="263"/>
      <c r="LL245" s="263"/>
      <c r="LM245" s="263"/>
      <c r="LN245" s="1440"/>
      <c r="LO245" s="263"/>
      <c r="LP245" s="263"/>
      <c r="LQ245" s="263"/>
      <c r="LR245" s="263"/>
      <c r="LS245" s="263"/>
      <c r="LT245" s="263"/>
      <c r="LU245" s="263"/>
      <c r="LV245" s="263"/>
      <c r="LW245" s="263"/>
      <c r="LX245" s="263"/>
      <c r="LY245" s="263"/>
      <c r="LZ245" s="263"/>
      <c r="MA245" s="263"/>
      <c r="MB245" s="263"/>
      <c r="MC245" s="263"/>
      <c r="MD245" s="1440"/>
      <c r="ME245" s="1440"/>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414"/>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549" t="s">
        <v>7057</v>
      </c>
      <c r="C246" s="3550"/>
      <c r="D246" s="3550"/>
      <c r="E246" s="3551"/>
      <c r="F246" s="3568">
        <v>45000</v>
      </c>
      <c r="G246" s="3569"/>
      <c r="H246" s="45"/>
      <c r="I246" s="3558" t="s">
        <v>1250</v>
      </c>
      <c r="J246" s="3559"/>
      <c r="K246" s="3560"/>
      <c r="L246" s="3556"/>
      <c r="M246" s="3557"/>
      <c r="N246" s="45"/>
      <c r="R246" s="533"/>
      <c r="S246" s="3500"/>
      <c r="T246" s="3501"/>
      <c r="U246" s="3501"/>
      <c r="V246" s="3501"/>
      <c r="W246" s="3502"/>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573"/>
      <c r="JX246" s="263"/>
      <c r="JY246" s="263"/>
      <c r="JZ246" s="263"/>
      <c r="KA246" s="263"/>
      <c r="KB246" s="1573"/>
      <c r="KC246" s="263"/>
      <c r="KD246" s="263"/>
      <c r="KE246" s="263"/>
      <c r="KF246" s="263"/>
      <c r="KG246" s="1573"/>
      <c r="KH246" s="263"/>
      <c r="KI246" s="263"/>
      <c r="KJ246" s="263"/>
      <c r="KK246" s="263"/>
      <c r="KL246" s="1573"/>
      <c r="KM246" s="1573"/>
      <c r="KN246" s="1573"/>
      <c r="KO246" s="1573"/>
      <c r="KP246" s="1573"/>
      <c r="KQ246" s="1573"/>
      <c r="KR246" s="1573"/>
      <c r="KS246" s="1573"/>
      <c r="KT246" s="1573"/>
      <c r="KU246" s="1573"/>
      <c r="KV246" s="1573"/>
      <c r="KW246" s="1573"/>
      <c r="KX246" s="1573"/>
      <c r="KY246" s="1573"/>
      <c r="KZ246" s="1573"/>
      <c r="LA246" s="1573"/>
      <c r="LB246" s="1573"/>
      <c r="LC246" s="1573"/>
      <c r="LD246" s="1573"/>
      <c r="LE246" s="1573"/>
      <c r="LF246" s="1573"/>
      <c r="LG246" s="1573"/>
      <c r="LH246" s="263"/>
      <c r="LI246" s="263"/>
      <c r="LJ246" s="263"/>
      <c r="LK246" s="263"/>
      <c r="LL246" s="263"/>
      <c r="LM246" s="263"/>
      <c r="LN246" s="1440"/>
      <c r="LO246" s="263"/>
      <c r="LP246" s="263"/>
      <c r="LQ246" s="263"/>
      <c r="LR246" s="263"/>
      <c r="LS246" s="263"/>
      <c r="LT246" s="263"/>
      <c r="LU246" s="263"/>
      <c r="LV246" s="263"/>
      <c r="LW246" s="263"/>
      <c r="LX246" s="263"/>
      <c r="LY246" s="263"/>
      <c r="LZ246" s="263"/>
      <c r="MA246" s="263"/>
      <c r="MB246" s="263"/>
      <c r="MC246" s="263"/>
      <c r="MD246" s="1440"/>
      <c r="ME246" s="1440"/>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414" t="s">
        <v>1296</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536</v>
      </c>
      <c r="F247" s="3581">
        <f>SUM(F239:G246)</f>
        <v>220070</v>
      </c>
      <c r="G247" s="3582"/>
      <c r="H247" s="45"/>
      <c r="K247" s="6" t="s">
        <v>536</v>
      </c>
      <c r="L247" s="3574">
        <f>SUM(L243:L246)</f>
        <v>229826</v>
      </c>
      <c r="M247" s="3575"/>
      <c r="N247" s="45"/>
      <c r="O247" s="4" t="s">
        <v>1297</v>
      </c>
      <c r="P247" s="45"/>
      <c r="Q247" s="2779">
        <f>Q228+Q234</f>
        <v>1571451</v>
      </c>
      <c r="R247" s="533"/>
      <c r="S247" s="3513"/>
      <c r="T247" s="3514"/>
      <c r="U247" s="3514"/>
      <c r="V247" s="3514"/>
      <c r="W247" s="3515"/>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573"/>
      <c r="JX247" s="263"/>
      <c r="JY247" s="263"/>
      <c r="JZ247" s="263"/>
      <c r="KA247" s="263"/>
      <c r="KB247" s="1573"/>
      <c r="KC247" s="263"/>
      <c r="KD247" s="263"/>
      <c r="KE247" s="263"/>
      <c r="KF247" s="263"/>
      <c r="KG247" s="1573"/>
      <c r="KH247" s="263"/>
      <c r="KI247" s="263"/>
      <c r="KJ247" s="263"/>
      <c r="KK247" s="263"/>
      <c r="KL247" s="1573"/>
      <c r="KM247" s="1573"/>
      <c r="KN247" s="1573"/>
      <c r="KO247" s="1573"/>
      <c r="KP247" s="1573"/>
      <c r="KQ247" s="1573"/>
      <c r="KR247" s="1573"/>
      <c r="KS247" s="1573"/>
      <c r="KT247" s="1573"/>
      <c r="KU247" s="1573"/>
      <c r="KV247" s="1573"/>
      <c r="KW247" s="1573"/>
      <c r="KX247" s="1573"/>
      <c r="KY247" s="1573"/>
      <c r="KZ247" s="1573"/>
      <c r="LA247" s="1573"/>
      <c r="LB247" s="1573"/>
      <c r="LC247" s="1573"/>
      <c r="LD247" s="1573"/>
      <c r="LE247" s="1573"/>
      <c r="LF247" s="1573"/>
      <c r="LG247" s="1573"/>
      <c r="LH247" s="263"/>
      <c r="LI247" s="263"/>
      <c r="LJ247" s="263"/>
      <c r="LK247" s="263"/>
      <c r="LL247" s="263"/>
      <c r="LM247" s="263"/>
      <c r="LN247" s="1440"/>
      <c r="LO247" s="263"/>
      <c r="LP247" s="263"/>
      <c r="LQ247" s="263"/>
      <c r="LR247" s="263"/>
      <c r="LS247" s="263"/>
      <c r="LT247" s="263"/>
      <c r="LU247" s="263"/>
      <c r="LV247" s="263"/>
      <c r="LW247" s="263"/>
      <c r="LX247" s="263"/>
      <c r="LY247" s="263"/>
      <c r="LZ247" s="263"/>
      <c r="MA247" s="263"/>
      <c r="MB247" s="263"/>
      <c r="MC247" s="263"/>
      <c r="MD247" s="1440"/>
      <c r="ME247" s="1440"/>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414"/>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778"/>
      <c r="G248" s="2778"/>
      <c r="H248" s="45"/>
      <c r="I248" s="45"/>
      <c r="J248" s="45"/>
      <c r="K248" s="2778"/>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573"/>
      <c r="JX248" s="263"/>
      <c r="JY248" s="263"/>
      <c r="JZ248" s="263"/>
      <c r="KA248" s="263"/>
      <c r="KB248" s="1573"/>
      <c r="KC248" s="263"/>
      <c r="KD248" s="263"/>
      <c r="KE248" s="263"/>
      <c r="KF248" s="263"/>
      <c r="KG248" s="1573"/>
      <c r="KH248" s="263"/>
      <c r="KI248" s="263"/>
      <c r="KJ248" s="263"/>
      <c r="KK248" s="263"/>
      <c r="KL248" s="1573"/>
      <c r="KM248" s="1573"/>
      <c r="KN248" s="1573"/>
      <c r="KO248" s="1573"/>
      <c r="KP248" s="1573"/>
      <c r="KQ248" s="1573"/>
      <c r="KR248" s="1573"/>
      <c r="KS248" s="1573"/>
      <c r="KT248" s="1573"/>
      <c r="KU248" s="1573"/>
      <c r="KV248" s="1573"/>
      <c r="KW248" s="1573"/>
      <c r="KX248" s="1573"/>
      <c r="KY248" s="1573"/>
      <c r="KZ248" s="1573"/>
      <c r="LA248" s="1573"/>
      <c r="LB248" s="1573"/>
      <c r="LC248" s="1573"/>
      <c r="LD248" s="1573"/>
      <c r="LE248" s="1573"/>
      <c r="LF248" s="1573"/>
      <c r="LG248" s="1573"/>
      <c r="LH248" s="263"/>
      <c r="LI248" s="263"/>
      <c r="LJ248" s="263"/>
      <c r="LK248" s="263"/>
      <c r="LL248" s="263"/>
      <c r="LM248" s="263"/>
      <c r="LN248" s="1440"/>
      <c r="LO248" s="263"/>
      <c r="LP248" s="263"/>
      <c r="LQ248" s="263"/>
      <c r="LR248" s="263"/>
      <c r="LS248" s="263"/>
      <c r="LT248" s="263"/>
      <c r="LU248" s="263"/>
      <c r="LV248" s="263"/>
      <c r="LW248" s="263"/>
      <c r="LX248" s="263"/>
      <c r="LY248" s="263"/>
      <c r="LZ248" s="263"/>
      <c r="MA248" s="263"/>
      <c r="MB248" s="263"/>
      <c r="MC248" s="263"/>
      <c r="MD248" s="1440"/>
      <c r="ME248" s="1440"/>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414"/>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778"/>
      <c r="G249" s="2778"/>
      <c r="H249" s="45"/>
      <c r="I249" s="45"/>
      <c r="J249" s="45"/>
      <c r="K249" s="2778"/>
      <c r="L249" s="45"/>
      <c r="M249" s="45"/>
      <c r="N249" s="45"/>
      <c r="R249" s="2770"/>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573"/>
      <c r="JX249" s="263"/>
      <c r="JY249" s="263"/>
      <c r="JZ249" s="263"/>
      <c r="KA249" s="263"/>
      <c r="KB249" s="1573"/>
      <c r="KC249" s="263"/>
      <c r="KD249" s="263"/>
      <c r="KE249" s="263"/>
      <c r="KF249" s="263"/>
      <c r="KG249" s="1573"/>
      <c r="KH249" s="263"/>
      <c r="KI249" s="263"/>
      <c r="KJ249" s="263"/>
      <c r="KK249" s="263"/>
      <c r="KL249" s="1573"/>
      <c r="KM249" s="1573"/>
      <c r="KN249" s="1573"/>
      <c r="KO249" s="1573"/>
      <c r="KP249" s="1573"/>
      <c r="KQ249" s="1573"/>
      <c r="KR249" s="1573"/>
      <c r="KS249" s="1573"/>
      <c r="KT249" s="1573"/>
      <c r="KU249" s="1573"/>
      <c r="KV249" s="1573"/>
      <c r="KW249" s="1573"/>
      <c r="KX249" s="1573"/>
      <c r="KY249" s="1573"/>
      <c r="KZ249" s="1573"/>
      <c r="LA249" s="1573"/>
      <c r="LB249" s="1573"/>
      <c r="LC249" s="1573"/>
      <c r="LD249" s="1573"/>
      <c r="LE249" s="1573"/>
      <c r="LF249" s="1573"/>
      <c r="LG249" s="1573"/>
      <c r="LH249" s="263"/>
      <c r="LI249" s="263"/>
      <c r="LJ249" s="263"/>
      <c r="LK249" s="263"/>
      <c r="LL249" s="263"/>
      <c r="LM249" s="263"/>
      <c r="LN249" s="1440"/>
      <c r="LO249" s="263"/>
      <c r="LP249" s="263"/>
      <c r="LQ249" s="263"/>
      <c r="LR249" s="263"/>
      <c r="LS249" s="263"/>
      <c r="LT249" s="263"/>
      <c r="LU249" s="263"/>
      <c r="LV249" s="263"/>
      <c r="LW249" s="263"/>
      <c r="LX249" s="263"/>
      <c r="LY249" s="263"/>
      <c r="LZ249" s="263"/>
      <c r="MA249" s="263"/>
      <c r="MB249" s="263"/>
      <c r="MC249" s="263"/>
      <c r="MD249" s="1440"/>
      <c r="ME249" s="1440"/>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414"/>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778"/>
      <c r="G250" s="2778"/>
      <c r="H250" s="45"/>
      <c r="I250" s="45"/>
      <c r="J250" s="45"/>
      <c r="K250" s="2778"/>
      <c r="L250" s="45"/>
      <c r="M250" s="45"/>
      <c r="N250" s="45"/>
      <c r="O250" s="4"/>
      <c r="P250" s="45"/>
      <c r="Q250" s="2770"/>
      <c r="R250" s="2770"/>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573"/>
      <c r="JX250" s="263"/>
      <c r="JY250" s="263"/>
      <c r="JZ250" s="263"/>
      <c r="KA250" s="263"/>
      <c r="KB250" s="1573"/>
      <c r="KC250" s="263"/>
      <c r="KD250" s="263"/>
      <c r="KE250" s="263"/>
      <c r="KF250" s="263"/>
      <c r="KG250" s="1573"/>
      <c r="KH250" s="263"/>
      <c r="KI250" s="263"/>
      <c r="KJ250" s="263"/>
      <c r="KK250" s="263"/>
      <c r="KL250" s="1573"/>
      <c r="KM250" s="1573"/>
      <c r="KN250" s="1573"/>
      <c r="KO250" s="1573"/>
      <c r="KP250" s="1573"/>
      <c r="KQ250" s="1573"/>
      <c r="KR250" s="1573"/>
      <c r="KS250" s="1573"/>
      <c r="KT250" s="1573"/>
      <c r="KU250" s="1573"/>
      <c r="KV250" s="1573"/>
      <c r="KW250" s="1573"/>
      <c r="KX250" s="1573"/>
      <c r="KY250" s="1573"/>
      <c r="KZ250" s="1573"/>
      <c r="LA250" s="1573"/>
      <c r="LB250" s="1573"/>
      <c r="LC250" s="1573"/>
      <c r="LD250" s="1573"/>
      <c r="LE250" s="1573"/>
      <c r="LF250" s="1573"/>
      <c r="LG250" s="1573"/>
      <c r="LH250" s="263"/>
      <c r="LI250" s="263"/>
      <c r="LJ250" s="263"/>
      <c r="LK250" s="263"/>
      <c r="LL250" s="263"/>
      <c r="LM250" s="263"/>
      <c r="LN250" s="1440"/>
      <c r="LO250" s="263"/>
      <c r="LP250" s="263"/>
      <c r="LQ250" s="263"/>
      <c r="LR250" s="263"/>
      <c r="LS250" s="263"/>
      <c r="LT250" s="263"/>
      <c r="LU250" s="263"/>
      <c r="LV250" s="263"/>
      <c r="LW250" s="263"/>
      <c r="LX250" s="263"/>
      <c r="LY250" s="263"/>
      <c r="LZ250" s="263"/>
      <c r="MA250" s="263"/>
      <c r="MB250" s="263"/>
      <c r="MC250" s="263"/>
      <c r="MD250" s="1440"/>
      <c r="ME250" s="1440"/>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414"/>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1298</v>
      </c>
      <c r="B251" s="4" t="s">
        <v>1299</v>
      </c>
      <c r="C251" s="6"/>
      <c r="D251" s="45"/>
      <c r="E251" s="45"/>
      <c r="H251" s="2778"/>
      <c r="I251" s="987" t="s">
        <v>1300</v>
      </c>
      <c r="K251" s="3510">
        <v>10</v>
      </c>
      <c r="L251" s="3511"/>
      <c r="M251" s="1032" t="s">
        <v>1301</v>
      </c>
      <c r="N251" s="2784">
        <v>45</v>
      </c>
      <c r="O251" s="4" t="s">
        <v>1302</v>
      </c>
      <c r="P251" s="45"/>
      <c r="Q251" s="2785">
        <f>K251*N251</f>
        <v>450</v>
      </c>
      <c r="R251" s="2770"/>
      <c r="S251" s="3589"/>
      <c r="T251" s="3590"/>
      <c r="U251" s="3590"/>
      <c r="V251" s="3590"/>
      <c r="W251" s="3591"/>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573"/>
      <c r="JX251" s="263"/>
      <c r="JY251" s="263"/>
      <c r="JZ251" s="263"/>
      <c r="KA251" s="263"/>
      <c r="KB251" s="1573"/>
      <c r="KC251" s="263"/>
      <c r="KD251" s="263"/>
      <c r="KE251" s="263"/>
      <c r="KF251" s="263"/>
      <c r="KG251" s="1573"/>
      <c r="KH251" s="263"/>
      <c r="KI251" s="263"/>
      <c r="KJ251" s="263"/>
      <c r="KK251" s="263"/>
      <c r="KL251" s="1573"/>
      <c r="KM251" s="1573"/>
      <c r="KN251" s="1573"/>
      <c r="KO251" s="1573"/>
      <c r="KP251" s="1573"/>
      <c r="KQ251" s="1573"/>
      <c r="KR251" s="1573"/>
      <c r="KS251" s="1573"/>
      <c r="KT251" s="1573"/>
      <c r="KU251" s="1573"/>
      <c r="KV251" s="1573"/>
      <c r="KW251" s="1573"/>
      <c r="KX251" s="1573"/>
      <c r="KY251" s="1573"/>
      <c r="KZ251" s="1573"/>
      <c r="LA251" s="1573"/>
      <c r="LB251" s="1573"/>
      <c r="LC251" s="1573"/>
      <c r="LD251" s="1573"/>
      <c r="LE251" s="1573"/>
      <c r="LF251" s="1573"/>
      <c r="LG251" s="1573"/>
      <c r="LH251" s="263"/>
      <c r="LI251" s="263"/>
      <c r="LJ251" s="263"/>
      <c r="LK251" s="263"/>
      <c r="LL251" s="263"/>
      <c r="LM251" s="263"/>
      <c r="LN251" s="1440"/>
      <c r="LO251" s="263"/>
      <c r="LP251" s="263"/>
      <c r="LQ251" s="263"/>
      <c r="LR251" s="263"/>
      <c r="LS251" s="263"/>
      <c r="LT251" s="263"/>
      <c r="LU251" s="263"/>
      <c r="LV251" s="263"/>
      <c r="LW251" s="263"/>
      <c r="LX251" s="263"/>
      <c r="LY251" s="263"/>
      <c r="LZ251" s="263"/>
      <c r="MA251" s="263"/>
      <c r="MB251" s="263"/>
      <c r="MC251" s="263"/>
      <c r="MD251" s="1440"/>
      <c r="ME251" s="1440"/>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414"/>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778"/>
      <c r="G252" s="2778"/>
      <c r="H252" s="45"/>
      <c r="I252" s="45"/>
      <c r="J252" s="45"/>
      <c r="K252" s="2778"/>
      <c r="L252" s="45"/>
      <c r="M252" s="45"/>
      <c r="N252" s="45"/>
      <c r="O252" s="4"/>
      <c r="P252" s="45"/>
      <c r="Q252" s="2770"/>
      <c r="R252" s="2770"/>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573"/>
      <c r="JX252" s="263"/>
      <c r="JY252" s="263"/>
      <c r="JZ252" s="263"/>
      <c r="KA252" s="263"/>
      <c r="KB252" s="1573"/>
      <c r="KC252" s="263"/>
      <c r="KD252" s="263"/>
      <c r="KE252" s="263"/>
      <c r="KF252" s="263"/>
      <c r="KG252" s="1573"/>
      <c r="KH252" s="263"/>
      <c r="KI252" s="263"/>
      <c r="KJ252" s="263"/>
      <c r="KK252" s="263"/>
      <c r="KL252" s="1573"/>
      <c r="KM252" s="1573"/>
      <c r="KN252" s="1573"/>
      <c r="KO252" s="1573"/>
      <c r="KP252" s="1573"/>
      <c r="KQ252" s="1573"/>
      <c r="KR252" s="1573"/>
      <c r="KS252" s="1573"/>
      <c r="KT252" s="1573"/>
      <c r="KU252" s="1573"/>
      <c r="KV252" s="1573"/>
      <c r="KW252" s="1573"/>
      <c r="KX252" s="1573"/>
      <c r="KY252" s="1573"/>
      <c r="KZ252" s="1573"/>
      <c r="LA252" s="1573"/>
      <c r="LB252" s="1573"/>
      <c r="LC252" s="1573"/>
      <c r="LD252" s="1573"/>
      <c r="LE252" s="1573"/>
      <c r="LF252" s="1573"/>
      <c r="LG252" s="1573"/>
      <c r="LH252" s="263"/>
      <c r="LI252" s="263"/>
      <c r="LJ252" s="263"/>
      <c r="LK252" s="263"/>
      <c r="LL252" s="263"/>
      <c r="LM252" s="263"/>
      <c r="LN252" s="1440"/>
      <c r="LO252" s="263"/>
      <c r="LP252" s="263"/>
      <c r="LQ252" s="263"/>
      <c r="LR252" s="263"/>
      <c r="LS252" s="263"/>
      <c r="LT252" s="263"/>
      <c r="LU252" s="263"/>
      <c r="LV252" s="263"/>
      <c r="LW252" s="263"/>
      <c r="LX252" s="263"/>
      <c r="LY252" s="263"/>
      <c r="LZ252" s="263"/>
      <c r="MA252" s="263"/>
      <c r="MB252" s="263"/>
      <c r="MC252" s="263"/>
      <c r="MD252" s="1440"/>
      <c r="ME252" s="1440"/>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414"/>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1303</v>
      </c>
      <c r="C253" s="6"/>
      <c r="D253" s="45"/>
      <c r="E253" s="45"/>
      <c r="F253" s="2778"/>
      <c r="G253" s="2778"/>
      <c r="H253" s="45"/>
      <c r="I253" s="45"/>
      <c r="J253" s="979" t="s">
        <v>63</v>
      </c>
      <c r="K253" s="987" t="s">
        <v>1304</v>
      </c>
      <c r="L253" s="979" t="s">
        <v>63</v>
      </c>
      <c r="M253" s="34" t="s">
        <v>1305</v>
      </c>
      <c r="N253" s="2784"/>
      <c r="O253" s="45" t="s">
        <v>1306</v>
      </c>
      <c r="P253" s="45"/>
      <c r="Q253" s="2786"/>
      <c r="R253" s="2770"/>
      <c r="S253" s="3589"/>
      <c r="T253" s="3590"/>
      <c r="U253" s="3590"/>
      <c r="V253" s="3590"/>
      <c r="W253" s="3591"/>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573"/>
      <c r="JX253" s="263"/>
      <c r="JY253" s="263"/>
      <c r="JZ253" s="263"/>
      <c r="KA253" s="263"/>
      <c r="KB253" s="1573"/>
      <c r="KC253" s="263"/>
      <c r="KD253" s="263"/>
      <c r="KE253" s="263"/>
      <c r="KF253" s="263"/>
      <c r="KG253" s="1573"/>
      <c r="KH253" s="263"/>
      <c r="KI253" s="263"/>
      <c r="KJ253" s="263"/>
      <c r="KK253" s="263"/>
      <c r="KL253" s="1573"/>
      <c r="KM253" s="1573"/>
      <c r="KN253" s="1573"/>
      <c r="KO253" s="1573"/>
      <c r="KP253" s="1573"/>
      <c r="KQ253" s="1573"/>
      <c r="KR253" s="1573"/>
      <c r="KS253" s="1573"/>
      <c r="KT253" s="1573"/>
      <c r="KU253" s="1573"/>
      <c r="KV253" s="1573"/>
      <c r="KW253" s="1573"/>
      <c r="KX253" s="1573"/>
      <c r="KY253" s="1573"/>
      <c r="KZ253" s="1573"/>
      <c r="LA253" s="1573"/>
      <c r="LB253" s="1573"/>
      <c r="LC253" s="1573"/>
      <c r="LD253" s="1573"/>
      <c r="LE253" s="1573"/>
      <c r="LF253" s="1573"/>
      <c r="LG253" s="1573"/>
      <c r="LH253" s="263"/>
      <c r="LI253" s="263"/>
      <c r="LJ253" s="263"/>
      <c r="LK253" s="263"/>
      <c r="LL253" s="263"/>
      <c r="LM253" s="263"/>
      <c r="LN253" s="1440"/>
      <c r="LO253" s="263"/>
      <c r="LP253" s="263"/>
      <c r="LQ253" s="263"/>
      <c r="LR253" s="263"/>
      <c r="LS253" s="263"/>
      <c r="LT253" s="263"/>
      <c r="LU253" s="263"/>
      <c r="LV253" s="263"/>
      <c r="LW253" s="263"/>
      <c r="LX253" s="263"/>
      <c r="LY253" s="263"/>
      <c r="LZ253" s="263"/>
      <c r="MA253" s="263"/>
      <c r="MB253" s="263"/>
      <c r="MC253" s="263"/>
      <c r="MD253" s="1440"/>
      <c r="ME253" s="1440"/>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414" t="s">
        <v>1307</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778"/>
      <c r="G254" s="2778"/>
      <c r="H254" s="45"/>
      <c r="I254" s="45"/>
      <c r="J254" s="45"/>
      <c r="K254" s="2778"/>
      <c r="L254" s="45"/>
      <c r="M254" s="45"/>
      <c r="N254" s="45"/>
      <c r="O254" s="4"/>
      <c r="P254" s="45"/>
      <c r="Q254" s="2770"/>
      <c r="R254" s="2770"/>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573"/>
      <c r="JX254" s="263"/>
      <c r="JY254" s="263"/>
      <c r="JZ254" s="263"/>
      <c r="KA254" s="263"/>
      <c r="KB254" s="1573"/>
      <c r="KC254" s="263"/>
      <c r="KD254" s="263"/>
      <c r="KE254" s="263"/>
      <c r="KF254" s="263"/>
      <c r="KG254" s="1573"/>
      <c r="KH254" s="263"/>
      <c r="KI254" s="263"/>
      <c r="KJ254" s="263"/>
      <c r="KK254" s="263"/>
      <c r="KL254" s="1573"/>
      <c r="KM254" s="1573"/>
      <c r="KN254" s="1573"/>
      <c r="KO254" s="1573"/>
      <c r="KP254" s="1573"/>
      <c r="KQ254" s="1573"/>
      <c r="KR254" s="1573"/>
      <c r="KS254" s="1573"/>
      <c r="KT254" s="1573"/>
      <c r="KU254" s="1573"/>
      <c r="KV254" s="1573"/>
      <c r="KW254" s="1573"/>
      <c r="KX254" s="1573"/>
      <c r="KY254" s="1573"/>
      <c r="KZ254" s="1573"/>
      <c r="LA254" s="1573"/>
      <c r="LB254" s="1573"/>
      <c r="LC254" s="1573"/>
      <c r="LD254" s="1573"/>
      <c r="LE254" s="1573"/>
      <c r="LF254" s="1573"/>
      <c r="LG254" s="1573"/>
      <c r="LH254" s="263"/>
      <c r="LI254" s="263"/>
      <c r="LJ254" s="263"/>
      <c r="LK254" s="263"/>
      <c r="LL254" s="263"/>
      <c r="LM254" s="263"/>
      <c r="LN254" s="1440"/>
      <c r="LO254" s="263"/>
      <c r="LP254" s="263"/>
      <c r="LQ254" s="263"/>
      <c r="LR254" s="263"/>
      <c r="LS254" s="263"/>
      <c r="LT254" s="263"/>
      <c r="LU254" s="263"/>
      <c r="LV254" s="263"/>
      <c r="LW254" s="263"/>
      <c r="LX254" s="263"/>
      <c r="LY254" s="263"/>
      <c r="LZ254" s="263"/>
      <c r="MA254" s="263"/>
      <c r="MB254" s="263"/>
      <c r="MC254" s="263"/>
      <c r="MD254" s="1440"/>
      <c r="ME254" s="1440"/>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414"/>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1308</v>
      </c>
      <c r="B255" s="7" t="s">
        <v>76</v>
      </c>
      <c r="C255" s="79"/>
      <c r="D255" s="79"/>
      <c r="E255" s="79"/>
      <c r="F255" s="79"/>
      <c r="G255" s="79"/>
      <c r="H255" s="79"/>
      <c r="I255" s="79"/>
      <c r="J255" s="79"/>
      <c r="K255" s="79"/>
      <c r="L255" s="79"/>
      <c r="M255" s="79"/>
      <c r="N255" s="7" t="s">
        <v>1309</v>
      </c>
      <c r="O255" s="7"/>
      <c r="P255" s="79"/>
      <c r="NP255" s="1414"/>
    </row>
    <row r="256" spans="1:493" ht="409.5" customHeight="1">
      <c r="A256" s="3579" t="s">
        <v>7070</v>
      </c>
      <c r="B256" s="3579"/>
      <c r="C256" s="3579"/>
      <c r="D256" s="3579"/>
      <c r="E256" s="3579"/>
      <c r="F256" s="3579"/>
      <c r="G256" s="3579"/>
      <c r="H256" s="3579"/>
      <c r="I256" s="3579"/>
      <c r="J256" s="3579"/>
      <c r="K256" s="3579"/>
      <c r="L256" s="3579"/>
      <c r="M256" s="3579"/>
      <c r="N256" s="3578"/>
      <c r="O256" s="3578"/>
      <c r="P256" s="3578"/>
      <c r="Q256" s="3578"/>
      <c r="R256" s="3001" t="s">
        <v>1310</v>
      </c>
      <c r="S256" s="2964"/>
      <c r="T256" s="2964"/>
      <c r="U256" s="2964"/>
      <c r="NP256" s="1414"/>
    </row>
    <row r="257" spans="1:493" ht="11.25" customHeight="1">
      <c r="A257" s="79"/>
      <c r="B257" s="79"/>
      <c r="C257" s="79"/>
      <c r="D257" s="79"/>
      <c r="E257" s="79"/>
      <c r="F257" s="79"/>
      <c r="G257" s="79"/>
      <c r="H257" s="79"/>
      <c r="I257" s="79"/>
      <c r="J257" s="79"/>
      <c r="K257" s="79"/>
      <c r="L257" s="79"/>
      <c r="M257" s="79"/>
      <c r="N257" s="79"/>
      <c r="O257" s="79"/>
      <c r="P257" s="79"/>
      <c r="NP257" s="1414"/>
    </row>
    <row r="258" spans="1:493" ht="12" customHeight="1">
      <c r="A258" s="79"/>
      <c r="B258" s="79"/>
      <c r="C258" s="79"/>
      <c r="D258" s="79"/>
      <c r="E258" s="79"/>
      <c r="F258" s="79"/>
      <c r="G258" s="79"/>
      <c r="H258" s="79"/>
      <c r="I258" s="79"/>
      <c r="J258" s="79"/>
      <c r="K258" s="79"/>
      <c r="L258" s="79"/>
      <c r="M258" s="79"/>
      <c r="N258" s="79"/>
      <c r="O258" s="79"/>
      <c r="P258" s="79"/>
      <c r="NP258" s="1414"/>
    </row>
    <row r="259" spans="1:493" ht="12" customHeight="1">
      <c r="A259" s="79"/>
      <c r="B259" s="79"/>
      <c r="C259" s="79"/>
      <c r="D259" s="79"/>
      <c r="E259" s="79"/>
      <c r="F259" s="79"/>
      <c r="G259" s="79"/>
      <c r="H259" s="79"/>
      <c r="I259" s="79"/>
      <c r="J259" s="79"/>
      <c r="K259" s="79"/>
      <c r="L259" s="79"/>
      <c r="M259" s="79"/>
      <c r="N259" s="79"/>
      <c r="O259" s="79"/>
      <c r="P259" s="79"/>
      <c r="NP259" s="1414"/>
    </row>
    <row r="260" spans="1:493" ht="14.1" customHeight="1">
      <c r="A260" s="79"/>
      <c r="B260" s="79"/>
      <c r="C260" s="79"/>
      <c r="D260" s="79"/>
      <c r="E260" s="79"/>
      <c r="F260" s="79"/>
      <c r="G260" s="79"/>
      <c r="H260" s="79"/>
      <c r="I260" s="79"/>
      <c r="J260" s="79"/>
      <c r="K260" s="79"/>
      <c r="L260" s="79"/>
      <c r="M260" s="79"/>
      <c r="N260" s="79"/>
      <c r="O260" s="79"/>
      <c r="P260" s="79"/>
      <c r="NP260" s="1414"/>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573"/>
      <c r="JX261" s="263"/>
      <c r="JY261" s="263"/>
      <c r="JZ261" s="263"/>
      <c r="KA261" s="263"/>
      <c r="KB261" s="1573"/>
      <c r="KC261" s="263"/>
      <c r="KD261" s="263"/>
      <c r="KE261" s="263"/>
      <c r="KF261" s="263"/>
      <c r="KG261" s="1573"/>
      <c r="KH261" s="263"/>
      <c r="KI261" s="263"/>
      <c r="KJ261" s="263"/>
      <c r="KK261" s="263"/>
      <c r="KL261" s="1573"/>
      <c r="KM261" s="1573"/>
      <c r="KN261" s="1573"/>
      <c r="KO261" s="1573"/>
      <c r="KP261" s="1573"/>
      <c r="KQ261" s="1573"/>
      <c r="KR261" s="1573"/>
      <c r="KS261" s="1573"/>
      <c r="KT261" s="1573"/>
      <c r="KU261" s="1573"/>
      <c r="KV261" s="1573"/>
      <c r="KW261" s="1573"/>
      <c r="KX261" s="1573"/>
      <c r="KY261" s="1573"/>
      <c r="KZ261" s="1573"/>
      <c r="LA261" s="1573"/>
      <c r="LB261" s="1573"/>
      <c r="LC261" s="1573"/>
      <c r="LD261" s="1573"/>
      <c r="LE261" s="1573"/>
      <c r="LF261" s="1573"/>
      <c r="LG261" s="1573"/>
      <c r="LH261" s="263"/>
      <c r="LI261" s="263"/>
      <c r="LJ261" s="263"/>
      <c r="LK261" s="263"/>
      <c r="LL261" s="263"/>
      <c r="LM261" s="263"/>
      <c r="LN261" s="1440"/>
      <c r="LO261" s="263"/>
      <c r="LP261" s="263"/>
      <c r="LQ261" s="263"/>
      <c r="LR261" s="263"/>
      <c r="LS261" s="263"/>
      <c r="LT261" s="263"/>
      <c r="LU261" s="263"/>
      <c r="LV261" s="263"/>
      <c r="LW261" s="263"/>
      <c r="LX261" s="263"/>
      <c r="LY261" s="263"/>
      <c r="LZ261" s="263"/>
      <c r="MA261" s="263"/>
      <c r="MB261" s="263"/>
      <c r="MC261" s="263"/>
      <c r="MD261" s="1440"/>
      <c r="ME261" s="1440"/>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413"/>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573"/>
      <c r="JX262" s="263"/>
      <c r="JY262" s="263"/>
      <c r="JZ262" s="263"/>
      <c r="KA262" s="263"/>
      <c r="KB262" s="1573"/>
      <c r="KC262" s="263"/>
      <c r="KD262" s="263"/>
      <c r="KE262" s="263"/>
      <c r="KF262" s="263"/>
      <c r="KG262" s="1573"/>
      <c r="KH262" s="263"/>
      <c r="KI262" s="263"/>
      <c r="KJ262" s="263"/>
      <c r="KK262" s="263"/>
      <c r="KL262" s="1573"/>
      <c r="KM262" s="1573"/>
      <c r="KN262" s="1573"/>
      <c r="KO262" s="1573"/>
      <c r="KP262" s="1573"/>
      <c r="KQ262" s="1573"/>
      <c r="KR262" s="1573"/>
      <c r="KS262" s="1573"/>
      <c r="KT262" s="1573"/>
      <c r="KU262" s="1573"/>
      <c r="KV262" s="1573"/>
      <c r="KW262" s="1573"/>
      <c r="KX262" s="1573"/>
      <c r="KY262" s="1573"/>
      <c r="KZ262" s="1573"/>
      <c r="LA262" s="1573"/>
      <c r="LB262" s="1573"/>
      <c r="LC262" s="1573"/>
      <c r="LD262" s="1573"/>
      <c r="LE262" s="1573"/>
      <c r="LF262" s="1573"/>
      <c r="LG262" s="1573"/>
      <c r="LH262" s="263"/>
      <c r="LI262" s="263"/>
      <c r="LJ262" s="263"/>
      <c r="LK262" s="263"/>
      <c r="LL262" s="263"/>
      <c r="LM262" s="263"/>
      <c r="LN262" s="1440"/>
      <c r="LO262" s="263"/>
      <c r="LP262" s="263"/>
      <c r="LQ262" s="263"/>
      <c r="LR262" s="263"/>
      <c r="LS262" s="263"/>
      <c r="LT262" s="263"/>
      <c r="LU262" s="263"/>
      <c r="LV262" s="263"/>
      <c r="LW262" s="263"/>
      <c r="LX262" s="263"/>
      <c r="LY262" s="263"/>
      <c r="LZ262" s="263"/>
      <c r="MA262" s="263"/>
      <c r="MB262" s="263"/>
      <c r="MC262" s="263"/>
      <c r="MD262" s="1440"/>
      <c r="ME262" s="1440"/>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413"/>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573"/>
      <c r="JX263" s="263"/>
      <c r="JY263" s="263"/>
      <c r="JZ263" s="263"/>
      <c r="KA263" s="263"/>
      <c r="KB263" s="1573"/>
      <c r="KC263" s="263"/>
      <c r="KD263" s="263"/>
      <c r="KE263" s="263"/>
      <c r="KF263" s="263"/>
      <c r="KG263" s="1573"/>
      <c r="KH263" s="263"/>
      <c r="KI263" s="263"/>
      <c r="KJ263" s="263"/>
      <c r="KK263" s="263"/>
      <c r="KL263" s="1573"/>
      <c r="KM263" s="1573"/>
      <c r="KN263" s="1573"/>
      <c r="KO263" s="1573"/>
      <c r="KP263" s="1573"/>
      <c r="KQ263" s="1573"/>
      <c r="KR263" s="1573"/>
      <c r="KS263" s="1573"/>
      <c r="KT263" s="1573"/>
      <c r="KU263" s="1573"/>
      <c r="KV263" s="1573"/>
      <c r="KW263" s="1573"/>
      <c r="KX263" s="1573"/>
      <c r="KY263" s="1573"/>
      <c r="KZ263" s="1573"/>
      <c r="LA263" s="1573"/>
      <c r="LB263" s="1573"/>
      <c r="LC263" s="1573"/>
      <c r="LD263" s="1573"/>
      <c r="LE263" s="1573"/>
      <c r="LF263" s="1573"/>
      <c r="LG263" s="1573"/>
      <c r="LH263" s="263"/>
      <c r="LI263" s="263"/>
      <c r="LJ263" s="263"/>
      <c r="LK263" s="263"/>
      <c r="LL263" s="263"/>
      <c r="LM263" s="263"/>
      <c r="LN263" s="1440"/>
      <c r="LO263" s="263"/>
      <c r="LP263" s="263"/>
      <c r="LQ263" s="263"/>
      <c r="LR263" s="263"/>
      <c r="LS263" s="263"/>
      <c r="LT263" s="263"/>
      <c r="LU263" s="263"/>
      <c r="LV263" s="263"/>
      <c r="LW263" s="263"/>
      <c r="LX263" s="263"/>
      <c r="LY263" s="263"/>
      <c r="LZ263" s="263"/>
      <c r="MA263" s="263"/>
      <c r="MB263" s="263"/>
      <c r="MC263" s="263"/>
      <c r="MD263" s="1440"/>
      <c r="ME263" s="1440"/>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413"/>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573"/>
      <c r="JX264" s="263"/>
      <c r="JY264" s="263"/>
      <c r="JZ264" s="263"/>
      <c r="KA264" s="263"/>
      <c r="KB264" s="1573"/>
      <c r="KC264" s="263"/>
      <c r="KD264" s="263"/>
      <c r="KE264" s="263"/>
      <c r="KF264" s="263"/>
      <c r="KG264" s="1573"/>
      <c r="KH264" s="263"/>
      <c r="KI264" s="263"/>
      <c r="KJ264" s="263"/>
      <c r="KK264" s="263"/>
      <c r="KL264" s="1573"/>
      <c r="KM264" s="1573"/>
      <c r="KN264" s="1573"/>
      <c r="KO264" s="1573"/>
      <c r="KP264" s="1573"/>
      <c r="KQ264" s="1573"/>
      <c r="KR264" s="1573"/>
      <c r="KS264" s="1573"/>
      <c r="KT264" s="1573"/>
      <c r="KU264" s="1573"/>
      <c r="KV264" s="1573"/>
      <c r="KW264" s="1573"/>
      <c r="KX264" s="1573"/>
      <c r="KY264" s="1573"/>
      <c r="KZ264" s="1573"/>
      <c r="LA264" s="1573"/>
      <c r="LB264" s="1573"/>
      <c r="LC264" s="1573"/>
      <c r="LD264" s="1573"/>
      <c r="LE264" s="1573"/>
      <c r="LF264" s="1573"/>
      <c r="LG264" s="1573"/>
      <c r="LH264" s="263"/>
      <c r="LI264" s="263"/>
      <c r="LJ264" s="263"/>
      <c r="LK264" s="263"/>
      <c r="LL264" s="263"/>
      <c r="LM264" s="263"/>
      <c r="LN264" s="1440"/>
      <c r="LO264" s="263"/>
      <c r="LP264" s="263"/>
      <c r="LQ264" s="263"/>
      <c r="LR264" s="263"/>
      <c r="LS264" s="263"/>
      <c r="LT264" s="263"/>
      <c r="LU264" s="263"/>
      <c r="LV264" s="263"/>
      <c r="LW264" s="263"/>
      <c r="LX264" s="263"/>
      <c r="LY264" s="263"/>
      <c r="LZ264" s="263"/>
      <c r="MA264" s="263"/>
      <c r="MB264" s="263"/>
      <c r="MC264" s="263"/>
      <c r="MD264" s="1440"/>
      <c r="ME264" s="1440"/>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413"/>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573"/>
      <c r="JX265" s="263"/>
      <c r="JY265" s="263"/>
      <c r="JZ265" s="263"/>
      <c r="KA265" s="263"/>
      <c r="KB265" s="1573"/>
      <c r="KC265" s="263"/>
      <c r="KD265" s="263"/>
      <c r="KE265" s="263"/>
      <c r="KF265" s="263"/>
      <c r="KG265" s="1573"/>
      <c r="KH265" s="263"/>
      <c r="KI265" s="263"/>
      <c r="KJ265" s="263"/>
      <c r="KK265" s="263"/>
      <c r="KL265" s="1573"/>
      <c r="KM265" s="1573"/>
      <c r="KN265" s="1573"/>
      <c r="KO265" s="1573"/>
      <c r="KP265" s="1573"/>
      <c r="KQ265" s="1573"/>
      <c r="KR265" s="1573"/>
      <c r="KS265" s="1573"/>
      <c r="KT265" s="1573"/>
      <c r="KU265" s="1573"/>
      <c r="KV265" s="1573"/>
      <c r="KW265" s="1573"/>
      <c r="KX265" s="1573"/>
      <c r="KY265" s="1573"/>
      <c r="KZ265" s="1573"/>
      <c r="LA265" s="1573"/>
      <c r="LB265" s="1573"/>
      <c r="LC265" s="1573"/>
      <c r="LD265" s="1573"/>
      <c r="LE265" s="1573"/>
      <c r="LF265" s="1573"/>
      <c r="LG265" s="1573"/>
      <c r="LH265" s="263"/>
      <c r="LI265" s="263"/>
      <c r="LJ265" s="263"/>
      <c r="LK265" s="263"/>
      <c r="LL265" s="263"/>
      <c r="LM265" s="263"/>
      <c r="LN265" s="1440"/>
      <c r="LO265" s="263"/>
      <c r="LP265" s="263"/>
      <c r="LQ265" s="263"/>
      <c r="LR265" s="263"/>
      <c r="LS265" s="263"/>
      <c r="LT265" s="263"/>
      <c r="LU265" s="263"/>
      <c r="LV265" s="263"/>
      <c r="LW265" s="263"/>
      <c r="LX265" s="263"/>
      <c r="LY265" s="263"/>
      <c r="LZ265" s="263"/>
      <c r="MA265" s="263"/>
      <c r="MB265" s="263"/>
      <c r="MC265" s="263"/>
      <c r="MD265" s="1440"/>
      <c r="ME265" s="1440"/>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413"/>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573"/>
      <c r="JX266" s="263"/>
      <c r="JY266" s="263"/>
      <c r="JZ266" s="263"/>
      <c r="KA266" s="263"/>
      <c r="KB266" s="1573"/>
      <c r="KC266" s="263"/>
      <c r="KD266" s="263"/>
      <c r="KE266" s="263"/>
      <c r="KF266" s="263"/>
      <c r="KG266" s="1573"/>
      <c r="KH266" s="263"/>
      <c r="KI266" s="263"/>
      <c r="KJ266" s="263"/>
      <c r="KK266" s="263"/>
      <c r="KL266" s="1573"/>
      <c r="KM266" s="1573"/>
      <c r="KN266" s="1573"/>
      <c r="KO266" s="1573"/>
      <c r="KP266" s="1573"/>
      <c r="KQ266" s="1573"/>
      <c r="KR266" s="1573"/>
      <c r="KS266" s="1573"/>
      <c r="KT266" s="1573"/>
      <c r="KU266" s="1573"/>
      <c r="KV266" s="1573"/>
      <c r="KW266" s="1573"/>
      <c r="KX266" s="1573"/>
      <c r="KY266" s="1573"/>
      <c r="KZ266" s="1573"/>
      <c r="LA266" s="1573"/>
      <c r="LB266" s="1573"/>
      <c r="LC266" s="1573"/>
      <c r="LD266" s="1573"/>
      <c r="LE266" s="1573"/>
      <c r="LF266" s="1573"/>
      <c r="LG266" s="1573"/>
      <c r="LH266" s="263"/>
      <c r="LI266" s="263"/>
      <c r="LJ266" s="263"/>
      <c r="LK266" s="263"/>
      <c r="LL266" s="263"/>
      <c r="LM266" s="263"/>
      <c r="LN266" s="1440"/>
      <c r="LO266" s="263"/>
      <c r="LP266" s="263"/>
      <c r="LQ266" s="263"/>
      <c r="LR266" s="263"/>
      <c r="LS266" s="263"/>
      <c r="LT266" s="263"/>
      <c r="LU266" s="263"/>
      <c r="LV266" s="263"/>
      <c r="LW266" s="263"/>
      <c r="LX266" s="263"/>
      <c r="LY266" s="263"/>
      <c r="LZ266" s="263"/>
      <c r="MA266" s="263"/>
      <c r="MB266" s="263"/>
      <c r="MC266" s="263"/>
      <c r="MD266" s="1440"/>
      <c r="ME266" s="1440"/>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413"/>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573"/>
      <c r="JX267" s="263"/>
      <c r="JY267" s="263"/>
      <c r="JZ267" s="263"/>
      <c r="KA267" s="263"/>
      <c r="KB267" s="1573"/>
      <c r="KC267" s="263"/>
      <c r="KD267" s="263"/>
      <c r="KE267" s="263"/>
      <c r="KF267" s="263"/>
      <c r="KG267" s="1573"/>
      <c r="KH267" s="263"/>
      <c r="KI267" s="263"/>
      <c r="KJ267" s="263"/>
      <c r="KK267" s="263"/>
      <c r="KL267" s="1573"/>
      <c r="KM267" s="1573"/>
      <c r="KN267" s="1573"/>
      <c r="KO267" s="1573"/>
      <c r="KP267" s="1573"/>
      <c r="KQ267" s="1573"/>
      <c r="KR267" s="1573"/>
      <c r="KS267" s="1573"/>
      <c r="KT267" s="1573"/>
      <c r="KU267" s="1573"/>
      <c r="KV267" s="1573"/>
      <c r="KW267" s="1573"/>
      <c r="KX267" s="1573"/>
      <c r="KY267" s="1573"/>
      <c r="KZ267" s="1573"/>
      <c r="LA267" s="1573"/>
      <c r="LB267" s="1573"/>
      <c r="LC267" s="1573"/>
      <c r="LD267" s="1573"/>
      <c r="LE267" s="1573"/>
      <c r="LF267" s="1573"/>
      <c r="LG267" s="1573"/>
      <c r="LH267" s="263"/>
      <c r="LI267" s="263"/>
      <c r="LJ267" s="263"/>
      <c r="LK267" s="263"/>
      <c r="LL267" s="263"/>
      <c r="LM267" s="263"/>
      <c r="LN267" s="1440"/>
      <c r="LO267" s="263"/>
      <c r="LP267" s="263"/>
      <c r="LQ267" s="263"/>
      <c r="LR267" s="263"/>
      <c r="LS267" s="263"/>
      <c r="LT267" s="263"/>
      <c r="LU267" s="263"/>
      <c r="LV267" s="263"/>
      <c r="LW267" s="263"/>
      <c r="LX267" s="263"/>
      <c r="LY267" s="263"/>
      <c r="LZ267" s="263"/>
      <c r="MA267" s="263"/>
      <c r="MB267" s="263"/>
      <c r="MC267" s="263"/>
      <c r="MD267" s="1440"/>
      <c r="ME267" s="1440"/>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414"/>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414"/>
    </row>
    <row r="269" spans="1:493" ht="14.1" customHeight="1">
      <c r="A269" s="79"/>
      <c r="B269" s="79"/>
      <c r="C269" s="79"/>
      <c r="D269" s="79"/>
      <c r="E269" s="79"/>
      <c r="F269" s="79"/>
      <c r="G269" s="79"/>
      <c r="H269" s="79"/>
      <c r="I269" s="79"/>
      <c r="J269" s="79"/>
      <c r="K269" s="79"/>
      <c r="L269" s="79"/>
      <c r="M269" s="79"/>
      <c r="N269" s="79"/>
      <c r="O269" s="79"/>
      <c r="P269" s="79"/>
      <c r="NP269" s="1414"/>
    </row>
    <row r="270" spans="1:493" ht="14.1" customHeight="1">
      <c r="A270" s="79"/>
      <c r="B270" s="79"/>
      <c r="C270" s="79"/>
      <c r="D270" s="79"/>
      <c r="E270" s="79"/>
      <c r="F270" s="79"/>
      <c r="G270" s="79"/>
      <c r="H270" s="79"/>
      <c r="I270" s="79"/>
      <c r="J270" s="79"/>
      <c r="K270" s="79"/>
      <c r="L270" s="79"/>
      <c r="M270" s="79"/>
      <c r="N270" s="79"/>
      <c r="O270" s="79"/>
      <c r="P270" s="79"/>
      <c r="NP270" s="1414"/>
    </row>
    <row r="271" spans="1:493" ht="14.1" customHeight="1">
      <c r="A271" s="79"/>
      <c r="B271" s="79"/>
      <c r="C271" s="79"/>
      <c r="D271" s="79"/>
      <c r="E271" s="79"/>
      <c r="F271" s="79"/>
      <c r="G271" s="79"/>
      <c r="H271" s="79"/>
      <c r="I271" s="79"/>
      <c r="J271" s="79"/>
      <c r="K271" s="79"/>
      <c r="L271" s="79"/>
      <c r="M271" s="79"/>
      <c r="N271" s="79"/>
      <c r="O271" s="79"/>
      <c r="P271" s="79"/>
      <c r="NP271" s="1414"/>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573"/>
      <c r="JX272" s="263"/>
      <c r="JY272" s="263"/>
      <c r="JZ272" s="263"/>
      <c r="KA272" s="263"/>
      <c r="KB272" s="1573"/>
      <c r="KC272" s="263"/>
      <c r="KD272" s="263"/>
      <c r="KE272" s="263"/>
      <c r="KF272" s="263"/>
      <c r="KG272" s="1573"/>
      <c r="KH272" s="263"/>
      <c r="KI272" s="263"/>
      <c r="KJ272" s="263"/>
      <c r="KK272" s="263"/>
      <c r="KL272" s="1573"/>
      <c r="KM272" s="1573"/>
      <c r="KN272" s="1573"/>
      <c r="KO272" s="1573"/>
      <c r="KP272" s="1573"/>
      <c r="KQ272" s="1573"/>
      <c r="KR272" s="1573"/>
      <c r="KS272" s="1573"/>
      <c r="KT272" s="1573"/>
      <c r="KU272" s="1573"/>
      <c r="KV272" s="1573"/>
      <c r="KW272" s="1573"/>
      <c r="KX272" s="1573"/>
      <c r="KY272" s="1573"/>
      <c r="KZ272" s="1573"/>
      <c r="LA272" s="1573"/>
      <c r="LB272" s="1573"/>
      <c r="LC272" s="1573"/>
      <c r="LD272" s="1573"/>
      <c r="LE272" s="1573"/>
      <c r="LF272" s="1573"/>
      <c r="LG272" s="1573"/>
      <c r="LH272" s="263"/>
      <c r="LI272" s="263"/>
      <c r="LJ272" s="263"/>
      <c r="LK272" s="263"/>
      <c r="LL272" s="263"/>
      <c r="LM272" s="263"/>
      <c r="LN272" s="1440"/>
      <c r="LO272" s="263"/>
      <c r="LP272" s="263"/>
      <c r="LQ272" s="263"/>
      <c r="LR272" s="263"/>
      <c r="LS272" s="263"/>
      <c r="LT272" s="263"/>
      <c r="LU272" s="263"/>
      <c r="LV272" s="263"/>
      <c r="LW272" s="263"/>
      <c r="LX272" s="263"/>
      <c r="LY272" s="263"/>
      <c r="LZ272" s="263"/>
      <c r="MA272" s="263"/>
      <c r="MB272" s="263"/>
      <c r="MC272" s="263"/>
      <c r="MD272" s="1440"/>
      <c r="ME272" s="1440"/>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414"/>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573"/>
      <c r="JX273" s="263"/>
      <c r="JY273" s="263"/>
      <c r="JZ273" s="263"/>
      <c r="KA273" s="263"/>
      <c r="KB273" s="1573"/>
      <c r="KC273" s="263"/>
      <c r="KD273" s="263"/>
      <c r="KE273" s="263"/>
      <c r="KF273" s="263"/>
      <c r="KG273" s="1573"/>
      <c r="KH273" s="263"/>
      <c r="KI273" s="263"/>
      <c r="KJ273" s="263"/>
      <c r="KK273" s="263"/>
      <c r="KL273" s="1573"/>
      <c r="KM273" s="1573"/>
      <c r="KN273" s="1573"/>
      <c r="KO273" s="1573"/>
      <c r="KP273" s="1573"/>
      <c r="KQ273" s="1573"/>
      <c r="KR273" s="1573"/>
      <c r="KS273" s="1573"/>
      <c r="KT273" s="1573"/>
      <c r="KU273" s="1573"/>
      <c r="KV273" s="1573"/>
      <c r="KW273" s="1573"/>
      <c r="KX273" s="1573"/>
      <c r="KY273" s="1573"/>
      <c r="KZ273" s="1573"/>
      <c r="LA273" s="1573"/>
      <c r="LB273" s="1573"/>
      <c r="LC273" s="1573"/>
      <c r="LD273" s="1573"/>
      <c r="LE273" s="1573"/>
      <c r="LF273" s="1573"/>
      <c r="LG273" s="1573"/>
      <c r="LH273" s="263"/>
      <c r="LI273" s="263"/>
      <c r="LJ273" s="263"/>
      <c r="LK273" s="263"/>
      <c r="LL273" s="263"/>
      <c r="LM273" s="263"/>
      <c r="LN273" s="1440"/>
      <c r="LO273" s="263"/>
      <c r="LP273" s="263"/>
      <c r="LQ273" s="263"/>
      <c r="LR273" s="263"/>
      <c r="LS273" s="263"/>
      <c r="LT273" s="263"/>
      <c r="LU273" s="263"/>
      <c r="LV273" s="263"/>
      <c r="LW273" s="263"/>
      <c r="LX273" s="263"/>
      <c r="LY273" s="263"/>
      <c r="LZ273" s="263"/>
      <c r="MA273" s="263"/>
      <c r="MB273" s="263"/>
      <c r="MC273" s="263"/>
      <c r="MD273" s="1440"/>
      <c r="ME273" s="1440"/>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414"/>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573"/>
      <c r="JX274" s="263"/>
      <c r="JY274" s="263"/>
      <c r="JZ274" s="263"/>
      <c r="KA274" s="263"/>
      <c r="KB274" s="1573"/>
      <c r="KC274" s="263"/>
      <c r="KD274" s="263"/>
      <c r="KE274" s="263"/>
      <c r="KF274" s="263"/>
      <c r="KG274" s="1573"/>
      <c r="KH274" s="263"/>
      <c r="KI274" s="263"/>
      <c r="KJ274" s="263"/>
      <c r="KK274" s="263"/>
      <c r="KL274" s="1573"/>
      <c r="KM274" s="1573"/>
      <c r="KN274" s="1573"/>
      <c r="KO274" s="1573"/>
      <c r="KP274" s="1573"/>
      <c r="KQ274" s="1573"/>
      <c r="KR274" s="1573"/>
      <c r="KS274" s="1573"/>
      <c r="KT274" s="1573"/>
      <c r="KU274" s="1573"/>
      <c r="KV274" s="1573"/>
      <c r="KW274" s="1573"/>
      <c r="KX274" s="1573"/>
      <c r="KY274" s="1573"/>
      <c r="KZ274" s="1573"/>
      <c r="LA274" s="1573"/>
      <c r="LB274" s="1573"/>
      <c r="LC274" s="1573"/>
      <c r="LD274" s="1573"/>
      <c r="LE274" s="1573"/>
      <c r="LF274" s="1573"/>
      <c r="LG274" s="1573"/>
      <c r="LH274" s="263"/>
      <c r="LI274" s="263"/>
      <c r="LJ274" s="263"/>
      <c r="LK274" s="263"/>
      <c r="LL274" s="263"/>
      <c r="LM274" s="263"/>
      <c r="LN274" s="1440"/>
      <c r="LO274" s="263"/>
      <c r="LP274" s="263"/>
      <c r="LQ274" s="263"/>
      <c r="LR274" s="263"/>
      <c r="LS274" s="263"/>
      <c r="LT274" s="263"/>
      <c r="LU274" s="263"/>
      <c r="LV274" s="263"/>
      <c r="LW274" s="263"/>
      <c r="LX274" s="263"/>
      <c r="LY274" s="263"/>
      <c r="LZ274" s="263"/>
      <c r="MA274" s="263"/>
      <c r="MB274" s="263"/>
      <c r="MC274" s="263"/>
      <c r="MD274" s="1440"/>
      <c r="ME274" s="1440"/>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413"/>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573"/>
      <c r="JX275" s="263"/>
      <c r="JY275" s="263"/>
      <c r="JZ275" s="263"/>
      <c r="KA275" s="263"/>
      <c r="KB275" s="1573"/>
      <c r="KC275" s="263"/>
      <c r="KD275" s="263"/>
      <c r="KE275" s="263"/>
      <c r="KF275" s="263"/>
      <c r="KG275" s="1573"/>
      <c r="KH275" s="263"/>
      <c r="KI275" s="263"/>
      <c r="KJ275" s="263"/>
      <c r="KK275" s="263"/>
      <c r="KL275" s="1573"/>
      <c r="KM275" s="1573"/>
      <c r="KN275" s="1573"/>
      <c r="KO275" s="1573"/>
      <c r="KP275" s="1573"/>
      <c r="KQ275" s="1573"/>
      <c r="KR275" s="1573"/>
      <c r="KS275" s="1573"/>
      <c r="KT275" s="1573"/>
      <c r="KU275" s="1573"/>
      <c r="KV275" s="1573"/>
      <c r="KW275" s="1573"/>
      <c r="KX275" s="1573"/>
      <c r="KY275" s="1573"/>
      <c r="KZ275" s="1573"/>
      <c r="LA275" s="1573"/>
      <c r="LB275" s="1573"/>
      <c r="LC275" s="1573"/>
      <c r="LD275" s="1573"/>
      <c r="LE275" s="1573"/>
      <c r="LF275" s="1573"/>
      <c r="LG275" s="1573"/>
      <c r="LH275" s="263"/>
      <c r="LI275" s="263"/>
      <c r="LJ275" s="263"/>
      <c r="LK275" s="263"/>
      <c r="LL275" s="263"/>
      <c r="LM275" s="263"/>
      <c r="LN275" s="1440"/>
      <c r="LO275" s="263"/>
      <c r="LP275" s="263"/>
      <c r="LQ275" s="263"/>
      <c r="LR275" s="263"/>
      <c r="LS275" s="263"/>
      <c r="LT275" s="263"/>
      <c r="LU275" s="263"/>
      <c r="LV275" s="263"/>
      <c r="LW275" s="263"/>
      <c r="LX275" s="263"/>
      <c r="LY275" s="263"/>
      <c r="LZ275" s="263"/>
      <c r="MA275" s="263"/>
      <c r="MB275" s="263"/>
      <c r="MC275" s="263"/>
      <c r="MD275" s="1440"/>
      <c r="ME275" s="1440"/>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413"/>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573"/>
      <c r="JX276" s="263"/>
      <c r="JY276" s="263"/>
      <c r="JZ276" s="263"/>
      <c r="KA276" s="263"/>
      <c r="KB276" s="1573"/>
      <c r="KC276" s="263"/>
      <c r="KD276" s="263"/>
      <c r="KE276" s="263"/>
      <c r="KF276" s="263"/>
      <c r="KG276" s="1573"/>
      <c r="KH276" s="263"/>
      <c r="KI276" s="263"/>
      <c r="KJ276" s="263"/>
      <c r="KK276" s="263"/>
      <c r="KL276" s="1573"/>
      <c r="KM276" s="1573"/>
      <c r="KN276" s="1573"/>
      <c r="KO276" s="1573"/>
      <c r="KP276" s="1573"/>
      <c r="KQ276" s="1573"/>
      <c r="KR276" s="1573"/>
      <c r="KS276" s="1573"/>
      <c r="KT276" s="1573"/>
      <c r="KU276" s="1573"/>
      <c r="KV276" s="1573"/>
      <c r="KW276" s="1573"/>
      <c r="KX276" s="1573"/>
      <c r="KY276" s="1573"/>
      <c r="KZ276" s="1573"/>
      <c r="LA276" s="1573"/>
      <c r="LB276" s="1573"/>
      <c r="LC276" s="1573"/>
      <c r="LD276" s="1573"/>
      <c r="LE276" s="1573"/>
      <c r="LF276" s="1573"/>
      <c r="LG276" s="1573"/>
      <c r="LH276" s="263"/>
      <c r="LI276" s="263"/>
      <c r="LJ276" s="263"/>
      <c r="LK276" s="263"/>
      <c r="LL276" s="263"/>
      <c r="LM276" s="263"/>
      <c r="LN276" s="1440"/>
      <c r="LO276" s="263"/>
      <c r="LP276" s="263"/>
      <c r="LQ276" s="263"/>
      <c r="LR276" s="263"/>
      <c r="LS276" s="263"/>
      <c r="LT276" s="263"/>
      <c r="LU276" s="263"/>
      <c r="LV276" s="263"/>
      <c r="LW276" s="263"/>
      <c r="LX276" s="263"/>
      <c r="LY276" s="263"/>
      <c r="LZ276" s="263"/>
      <c r="MA276" s="263"/>
      <c r="MB276" s="263"/>
      <c r="MC276" s="263"/>
      <c r="MD276" s="1440"/>
      <c r="ME276" s="1440"/>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413"/>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414"/>
    </row>
    <row r="279" spans="1:493" ht="14.1" customHeight="1">
      <c r="A279" s="79"/>
      <c r="B279" s="79"/>
      <c r="C279" s="79"/>
      <c r="D279" s="79"/>
      <c r="E279" s="79"/>
      <c r="F279" s="79"/>
      <c r="G279" s="79"/>
      <c r="H279" s="79"/>
      <c r="I279" s="79"/>
      <c r="J279" s="79"/>
      <c r="K279" s="79"/>
      <c r="L279" s="79"/>
      <c r="M279" s="79"/>
      <c r="N279" s="79"/>
      <c r="O279" s="79"/>
      <c r="P279" s="79"/>
      <c r="NP279" s="1414"/>
    </row>
    <row r="280" spans="1:493" ht="14.1" customHeight="1">
      <c r="A280" s="79"/>
      <c r="B280" s="79"/>
      <c r="C280" s="79"/>
      <c r="D280" s="79"/>
      <c r="E280" s="79"/>
      <c r="F280" s="79"/>
      <c r="G280" s="79"/>
      <c r="H280" s="79"/>
      <c r="I280" s="79"/>
      <c r="J280" s="79"/>
      <c r="K280" s="79"/>
      <c r="L280" s="79"/>
      <c r="M280" s="79"/>
      <c r="N280" s="79"/>
      <c r="O280" s="79"/>
      <c r="P280" s="79"/>
      <c r="NP280" s="1414"/>
    </row>
    <row r="281" spans="1:493" ht="14.1" customHeight="1">
      <c r="A281" s="79"/>
      <c r="B281" s="79"/>
      <c r="C281" s="79"/>
      <c r="D281" s="79"/>
      <c r="E281" s="79"/>
      <c r="F281" s="79"/>
      <c r="G281" s="79"/>
      <c r="H281" s="79"/>
      <c r="I281" s="79"/>
      <c r="J281" s="79"/>
      <c r="K281" s="79"/>
      <c r="L281" s="79"/>
      <c r="M281" s="79"/>
      <c r="N281" s="79"/>
      <c r="O281" s="79"/>
      <c r="P281" s="79"/>
      <c r="NP281" s="1414"/>
    </row>
    <row r="282" spans="1:493" ht="14.1" customHeight="1">
      <c r="A282" s="79"/>
      <c r="B282" s="79"/>
      <c r="C282" s="79"/>
      <c r="D282" s="79"/>
      <c r="E282" s="79"/>
      <c r="F282" s="79"/>
      <c r="G282" s="79"/>
      <c r="H282" s="79"/>
      <c r="I282" s="79"/>
      <c r="J282" s="79"/>
      <c r="K282" s="79"/>
      <c r="L282" s="79"/>
      <c r="M282" s="79"/>
      <c r="N282" s="79"/>
      <c r="O282" s="79"/>
      <c r="P282" s="79"/>
      <c r="NP282" s="1414"/>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573"/>
      <c r="JX284" s="263"/>
      <c r="JY284" s="263"/>
      <c r="JZ284" s="263"/>
      <c r="KA284" s="263"/>
      <c r="KB284" s="1573"/>
      <c r="KC284" s="263"/>
      <c r="KD284" s="263"/>
      <c r="KE284" s="263"/>
      <c r="KF284" s="263"/>
      <c r="KG284" s="1573"/>
      <c r="KH284" s="263"/>
      <c r="KI284" s="263"/>
      <c r="KJ284" s="263"/>
      <c r="KK284" s="263"/>
      <c r="KL284" s="1573"/>
      <c r="KM284" s="1573"/>
      <c r="KN284" s="1573"/>
      <c r="KO284" s="1573"/>
      <c r="KP284" s="1573"/>
      <c r="KQ284" s="1573"/>
      <c r="KR284" s="1573"/>
      <c r="KS284" s="1573"/>
      <c r="KT284" s="1573"/>
      <c r="KU284" s="1573"/>
      <c r="KV284" s="1573"/>
      <c r="KW284" s="1573"/>
      <c r="KX284" s="1573"/>
      <c r="KY284" s="1573"/>
      <c r="KZ284" s="1573"/>
      <c r="LA284" s="1573"/>
      <c r="LB284" s="1573"/>
      <c r="LC284" s="1573"/>
      <c r="LD284" s="1573"/>
      <c r="LE284" s="1573"/>
      <c r="LF284" s="1573"/>
      <c r="LG284" s="1573"/>
      <c r="LH284" s="263"/>
      <c r="LI284" s="263"/>
      <c r="LJ284" s="263"/>
      <c r="LK284" s="263"/>
      <c r="LL284" s="263"/>
      <c r="LM284" s="263"/>
      <c r="LN284" s="1440"/>
      <c r="LO284" s="263"/>
      <c r="LP284" s="263"/>
      <c r="LQ284" s="263"/>
      <c r="LR284" s="263"/>
      <c r="LS284" s="263"/>
      <c r="LT284" s="263"/>
      <c r="LU284" s="263"/>
      <c r="LV284" s="263"/>
      <c r="LW284" s="263"/>
      <c r="LX284" s="263"/>
      <c r="LY284" s="263"/>
      <c r="LZ284" s="263"/>
      <c r="MA284" s="263"/>
      <c r="MB284" s="263"/>
      <c r="MC284" s="263"/>
      <c r="MD284" s="1440"/>
      <c r="ME284" s="1440"/>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413"/>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573"/>
      <c r="JX285" s="263"/>
      <c r="JY285" s="263"/>
      <c r="JZ285" s="263"/>
      <c r="KA285" s="263"/>
      <c r="KB285" s="1573"/>
      <c r="KC285" s="263"/>
      <c r="KD285" s="263"/>
      <c r="KE285" s="263"/>
      <c r="KF285" s="263"/>
      <c r="KG285" s="1573"/>
      <c r="KH285" s="263"/>
      <c r="KI285" s="263"/>
      <c r="KJ285" s="263"/>
      <c r="KK285" s="263"/>
      <c r="KL285" s="1573"/>
      <c r="KM285" s="1573"/>
      <c r="KN285" s="1573"/>
      <c r="KO285" s="1573"/>
      <c r="KP285" s="1573"/>
      <c r="KQ285" s="1573"/>
      <c r="KR285" s="1573"/>
      <c r="KS285" s="1573"/>
      <c r="KT285" s="1573"/>
      <c r="KU285" s="1573"/>
      <c r="KV285" s="1573"/>
      <c r="KW285" s="1573"/>
      <c r="KX285" s="1573"/>
      <c r="KY285" s="1573"/>
      <c r="KZ285" s="1573"/>
      <c r="LA285" s="1573"/>
      <c r="LB285" s="1573"/>
      <c r="LC285" s="1573"/>
      <c r="LD285" s="1573"/>
      <c r="LE285" s="1573"/>
      <c r="LF285" s="1573"/>
      <c r="LG285" s="1573"/>
      <c r="LH285" s="263"/>
      <c r="LI285" s="263"/>
      <c r="LJ285" s="263"/>
      <c r="LK285" s="263"/>
      <c r="LL285" s="263"/>
      <c r="LM285" s="263"/>
      <c r="LN285" s="1440"/>
      <c r="LO285" s="263"/>
      <c r="LP285" s="263"/>
      <c r="LQ285" s="263"/>
      <c r="LR285" s="263"/>
      <c r="LS285" s="263"/>
      <c r="LT285" s="263"/>
      <c r="LU285" s="263"/>
      <c r="LV285" s="263"/>
      <c r="LW285" s="263"/>
      <c r="LX285" s="263"/>
      <c r="LY285" s="263"/>
      <c r="LZ285" s="263"/>
      <c r="MA285" s="263"/>
      <c r="MB285" s="263"/>
      <c r="MC285" s="263"/>
      <c r="MD285" s="1440"/>
      <c r="ME285" s="1440"/>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413"/>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573"/>
      <c r="JX286" s="263"/>
      <c r="JY286" s="263"/>
      <c r="JZ286" s="263"/>
      <c r="KA286" s="263"/>
      <c r="KB286" s="1573"/>
      <c r="KC286" s="263"/>
      <c r="KD286" s="263"/>
      <c r="KE286" s="263"/>
      <c r="KF286" s="263"/>
      <c r="KG286" s="1573"/>
      <c r="KH286" s="263"/>
      <c r="KI286" s="263"/>
      <c r="KJ286" s="263"/>
      <c r="KK286" s="263"/>
      <c r="KL286" s="1573"/>
      <c r="KM286" s="1573"/>
      <c r="KN286" s="1573"/>
      <c r="KO286" s="1573"/>
      <c r="KP286" s="1573"/>
      <c r="KQ286" s="1573"/>
      <c r="KR286" s="1573"/>
      <c r="KS286" s="1573"/>
      <c r="KT286" s="1573"/>
      <c r="KU286" s="1573"/>
      <c r="KV286" s="1573"/>
      <c r="KW286" s="1573"/>
      <c r="KX286" s="1573"/>
      <c r="KY286" s="1573"/>
      <c r="KZ286" s="1573"/>
      <c r="LA286" s="1573"/>
      <c r="LB286" s="1573"/>
      <c r="LC286" s="1573"/>
      <c r="LD286" s="1573"/>
      <c r="LE286" s="1573"/>
      <c r="LF286" s="1573"/>
      <c r="LG286" s="1573"/>
      <c r="LH286" s="263"/>
      <c r="LI286" s="263"/>
      <c r="LJ286" s="263"/>
      <c r="LK286" s="263"/>
      <c r="LL286" s="263"/>
      <c r="LM286" s="263"/>
      <c r="LN286" s="1440"/>
      <c r="LO286" s="263"/>
      <c r="LP286" s="263"/>
      <c r="LQ286" s="263"/>
      <c r="LR286" s="263"/>
      <c r="LS286" s="263"/>
      <c r="LT286" s="263"/>
      <c r="LU286" s="263"/>
      <c r="LV286" s="263"/>
      <c r="LW286" s="263"/>
      <c r="LX286" s="263"/>
      <c r="LY286" s="263"/>
      <c r="LZ286" s="263"/>
      <c r="MA286" s="263"/>
      <c r="MB286" s="263"/>
      <c r="MC286" s="263"/>
      <c r="MD286" s="1440"/>
      <c r="ME286" s="1440"/>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413"/>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573"/>
      <c r="JX287" s="263"/>
      <c r="JY287" s="263"/>
      <c r="JZ287" s="263"/>
      <c r="KA287" s="263"/>
      <c r="KB287" s="1573"/>
      <c r="KC287" s="263"/>
      <c r="KD287" s="263"/>
      <c r="KE287" s="263"/>
      <c r="KF287" s="263"/>
      <c r="KG287" s="1573"/>
      <c r="KH287" s="263"/>
      <c r="KI287" s="263"/>
      <c r="KJ287" s="263"/>
      <c r="KK287" s="263"/>
      <c r="KL287" s="1573"/>
      <c r="KM287" s="1573"/>
      <c r="KN287" s="1573"/>
      <c r="KO287" s="1573"/>
      <c r="KP287" s="1573"/>
      <c r="KQ287" s="1573"/>
      <c r="KR287" s="1573"/>
      <c r="KS287" s="1573"/>
      <c r="KT287" s="1573"/>
      <c r="KU287" s="1573"/>
      <c r="KV287" s="1573"/>
      <c r="KW287" s="1573"/>
      <c r="KX287" s="1573"/>
      <c r="KY287" s="1573"/>
      <c r="KZ287" s="1573"/>
      <c r="LA287" s="1573"/>
      <c r="LB287" s="1573"/>
      <c r="LC287" s="1573"/>
      <c r="LD287" s="1573"/>
      <c r="LE287" s="1573"/>
      <c r="LF287" s="1573"/>
      <c r="LG287" s="1573"/>
      <c r="LH287" s="263"/>
      <c r="LI287" s="263"/>
      <c r="LJ287" s="263"/>
      <c r="LK287" s="263"/>
      <c r="LL287" s="263"/>
      <c r="LM287" s="263"/>
      <c r="LN287" s="1440"/>
      <c r="LO287" s="263"/>
      <c r="LP287" s="263"/>
      <c r="LQ287" s="263"/>
      <c r="LR287" s="263"/>
      <c r="LS287" s="263"/>
      <c r="LT287" s="263"/>
      <c r="LU287" s="263"/>
      <c r="LV287" s="263"/>
      <c r="LW287" s="263"/>
      <c r="LX287" s="263"/>
      <c r="LY287" s="263"/>
      <c r="LZ287" s="263"/>
      <c r="MA287" s="263"/>
      <c r="MB287" s="263"/>
      <c r="MC287" s="263"/>
      <c r="MD287" s="1440"/>
      <c r="ME287" s="1440"/>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413"/>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573"/>
      <c r="JX288" s="263"/>
      <c r="JY288" s="263"/>
      <c r="JZ288" s="263"/>
      <c r="KA288" s="263"/>
      <c r="KB288" s="1573"/>
      <c r="KC288" s="263"/>
      <c r="KD288" s="263"/>
      <c r="KE288" s="263"/>
      <c r="KF288" s="263"/>
      <c r="KG288" s="1573"/>
      <c r="KH288" s="263"/>
      <c r="KI288" s="263"/>
      <c r="KJ288" s="263"/>
      <c r="KK288" s="263"/>
      <c r="KL288" s="1573"/>
      <c r="KM288" s="1573"/>
      <c r="KN288" s="1573"/>
      <c r="KO288" s="1573"/>
      <c r="KP288" s="1573"/>
      <c r="KQ288" s="1573"/>
      <c r="KR288" s="1573"/>
      <c r="KS288" s="1573"/>
      <c r="KT288" s="1573"/>
      <c r="KU288" s="1573"/>
      <c r="KV288" s="1573"/>
      <c r="KW288" s="1573"/>
      <c r="KX288" s="1573"/>
      <c r="KY288" s="1573"/>
      <c r="KZ288" s="1573"/>
      <c r="LA288" s="1573"/>
      <c r="LB288" s="1573"/>
      <c r="LC288" s="1573"/>
      <c r="LD288" s="1573"/>
      <c r="LE288" s="1573"/>
      <c r="LF288" s="1573"/>
      <c r="LG288" s="1573"/>
      <c r="LH288" s="263"/>
      <c r="LI288" s="263"/>
      <c r="LJ288" s="263"/>
      <c r="LK288" s="263"/>
      <c r="LL288" s="263"/>
      <c r="LM288" s="263"/>
      <c r="LN288" s="1440"/>
      <c r="LO288" s="263"/>
      <c r="LP288" s="263"/>
      <c r="LQ288" s="263"/>
      <c r="LR288" s="263"/>
      <c r="LS288" s="263"/>
      <c r="LT288" s="263"/>
      <c r="LU288" s="263"/>
      <c r="LV288" s="263"/>
      <c r="LW288" s="263"/>
      <c r="LX288" s="263"/>
      <c r="LY288" s="263"/>
      <c r="LZ288" s="263"/>
      <c r="MA288" s="263"/>
      <c r="MB288" s="263"/>
      <c r="MC288" s="263"/>
      <c r="MD288" s="1440"/>
      <c r="ME288" s="1440"/>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413"/>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414"/>
    </row>
    <row r="291" spans="1:380" ht="14.1" customHeight="1">
      <c r="A291" s="79"/>
      <c r="B291" s="79"/>
      <c r="C291" s="79"/>
      <c r="D291" s="79"/>
      <c r="E291" s="79"/>
      <c r="F291" s="79"/>
      <c r="G291" s="79"/>
      <c r="H291" s="79"/>
      <c r="I291" s="79"/>
      <c r="J291" s="79"/>
      <c r="K291" s="79"/>
      <c r="L291" s="79"/>
      <c r="M291" s="79"/>
      <c r="N291" s="79"/>
      <c r="O291" s="79"/>
      <c r="P291" s="79"/>
      <c r="NP291" s="1414"/>
    </row>
    <row r="292" spans="1:380" ht="14.1" customHeight="1">
      <c r="A292" s="79"/>
      <c r="B292" s="79"/>
      <c r="C292" s="79"/>
      <c r="D292" s="79"/>
      <c r="E292" s="79"/>
      <c r="F292" s="79"/>
      <c r="G292" s="79"/>
      <c r="H292" s="79"/>
      <c r="I292" s="79"/>
      <c r="J292" s="79"/>
      <c r="K292" s="79"/>
      <c r="L292" s="79"/>
      <c r="M292" s="79"/>
      <c r="N292" s="79"/>
      <c r="O292" s="79"/>
      <c r="P292" s="79"/>
      <c r="NP292" s="1414"/>
    </row>
    <row r="293" spans="1:380" ht="14.1" customHeight="1">
      <c r="A293" s="79"/>
      <c r="B293" s="79"/>
      <c r="C293" s="79"/>
      <c r="D293" s="79"/>
      <c r="E293" s="79"/>
      <c r="F293" s="79"/>
      <c r="G293" s="79"/>
      <c r="H293" s="79"/>
      <c r="I293" s="79"/>
      <c r="J293" s="79"/>
      <c r="K293" s="79"/>
      <c r="L293" s="79"/>
      <c r="M293" s="79"/>
      <c r="N293" s="79"/>
      <c r="O293" s="79"/>
      <c r="P293" s="79"/>
      <c r="NP293" s="1414"/>
    </row>
    <row r="294" spans="1:380" ht="14.1" customHeight="1">
      <c r="A294" s="79"/>
      <c r="B294" s="79"/>
      <c r="C294" s="79"/>
      <c r="D294" s="79"/>
      <c r="E294" s="79"/>
      <c r="F294" s="79"/>
      <c r="G294" s="79"/>
      <c r="H294" s="79"/>
      <c r="I294" s="79"/>
      <c r="J294" s="79"/>
      <c r="K294" s="79"/>
      <c r="L294" s="79"/>
      <c r="M294" s="79"/>
      <c r="N294" s="79"/>
      <c r="O294" s="79"/>
      <c r="P294" s="79"/>
      <c r="NP294" s="1414"/>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C32" sqref="C32:K32"/>
    </sheetView>
  </sheetViews>
  <sheetFormatPr defaultColWidth="8.7109375" defaultRowHeight="12.7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25" width="8.7109375" style="5"/>
    <col min="26" max="26" width="10.7109375" style="1413" bestFit="1" customWidth="1"/>
    <col min="27" max="27" width="8.7109375" style="1415"/>
    <col min="28" max="16384" width="8.7109375" style="5"/>
  </cols>
  <sheetData>
    <row r="1" spans="1:27" s="1413" customFormat="1" hidden="1">
      <c r="B1" s="1413" t="s">
        <v>1311</v>
      </c>
      <c r="C1" s="1413" t="s">
        <v>1312</v>
      </c>
      <c r="D1" s="1413" t="s">
        <v>1313</v>
      </c>
      <c r="E1" s="1413" t="s">
        <v>1314</v>
      </c>
      <c r="F1" s="1413" t="s">
        <v>1315</v>
      </c>
      <c r="G1" s="1413" t="s">
        <v>1316</v>
      </c>
      <c r="H1" s="1413" t="s">
        <v>1317</v>
      </c>
      <c r="I1" s="1413" t="s">
        <v>1318</v>
      </c>
      <c r="J1" s="1413" t="s">
        <v>1319</v>
      </c>
      <c r="K1" s="1413" t="s">
        <v>1320</v>
      </c>
      <c r="AA1" s="1415">
        <v>1</v>
      </c>
    </row>
    <row r="2" spans="1:27" ht="14.1" customHeight="1">
      <c r="A2" s="3605" t="str">
        <f>CONCATENATE("PART SIX - OPERATING PRO FORMA","  -  ",'Part I-Project Identification'!$O$7," ",'Part I-Project Identification'!$F$25,", ",'Part I-Project Identification'!F26,", ",'Part I-Project Identification'!J26," County")</f>
        <v>PART SIX - OPERATING PRO FORMA  -  2023-5 Ashley Collegetown Phase I, Atlanta, Fulton County</v>
      </c>
      <c r="B2" s="3606"/>
      <c r="C2" s="3606"/>
      <c r="D2" s="3606"/>
      <c r="E2" s="3606"/>
      <c r="F2" s="3606"/>
      <c r="G2" s="3606"/>
      <c r="H2" s="3606"/>
      <c r="I2" s="3606"/>
      <c r="J2" s="3606"/>
      <c r="K2" s="3607"/>
      <c r="L2" s="4"/>
      <c r="M2" s="4"/>
      <c r="N2" s="3608" t="str">
        <f>A2</f>
        <v>PART SIX - OPERATING PRO FORMA  -  2023-5 Ashley Collegetown Phase I, Atlanta, Fulton County</v>
      </c>
      <c r="O2" s="3608"/>
      <c r="P2" s="4"/>
      <c r="Q2" s="79"/>
      <c r="R2" s="79"/>
      <c r="S2" s="79"/>
      <c r="T2" s="79"/>
      <c r="U2" s="79"/>
      <c r="V2" s="79"/>
      <c r="W2" s="79"/>
      <c r="X2" s="79"/>
      <c r="Y2" s="79"/>
      <c r="AA2" s="1415">
        <v>2</v>
      </c>
    </row>
    <row r="3" spans="1:27" ht="13.5" customHeight="1">
      <c r="A3" s="2787"/>
      <c r="B3" s="2787"/>
      <c r="C3" s="2787"/>
      <c r="D3" s="2787"/>
      <c r="E3" s="2787"/>
      <c r="F3" s="2787"/>
      <c r="G3" s="2787"/>
      <c r="H3" s="2787"/>
      <c r="I3" s="2787"/>
      <c r="J3" s="2787"/>
      <c r="K3" s="2787"/>
      <c r="L3" s="79"/>
      <c r="M3" s="79"/>
      <c r="N3" s="3478" t="s">
        <v>781</v>
      </c>
      <c r="O3" s="3478"/>
      <c r="P3" s="79"/>
      <c r="Q3" s="79"/>
      <c r="R3" s="79"/>
      <c r="S3" s="79"/>
      <c r="T3" s="79"/>
      <c r="U3" s="79"/>
      <c r="V3" s="79"/>
      <c r="W3" s="79"/>
      <c r="X3" s="79"/>
      <c r="Y3" s="79"/>
      <c r="AA3" s="1415">
        <v>3</v>
      </c>
    </row>
    <row r="4" spans="1:27" ht="13.5" customHeight="1">
      <c r="A4" s="7" t="s">
        <v>1321</v>
      </c>
      <c r="B4" s="79"/>
      <c r="C4" s="3609" t="str">
        <f>'Part I-Project Identification'!$A$6</f>
        <v>Sept 2023</v>
      </c>
      <c r="D4" s="756" t="s">
        <v>1322</v>
      </c>
      <c r="E4" s="2788"/>
      <c r="F4" s="757" t="s">
        <v>1323</v>
      </c>
      <c r="G4" s="79"/>
      <c r="H4" s="79"/>
      <c r="I4" s="79"/>
      <c r="J4" s="79"/>
      <c r="K4" s="79"/>
      <c r="L4" s="79"/>
      <c r="M4" s="79"/>
      <c r="N4" s="7" t="str">
        <f>A4</f>
        <v>I.  OPERATING ASSUMPTIONS</v>
      </c>
      <c r="O4" s="7"/>
      <c r="P4" s="79"/>
      <c r="Q4" s="79"/>
      <c r="R4" s="79"/>
      <c r="S4" s="79"/>
      <c r="T4" s="79"/>
      <c r="U4" s="79"/>
      <c r="V4" s="79"/>
      <c r="W4" s="79"/>
      <c r="X4" s="79"/>
      <c r="Y4" s="79"/>
      <c r="AA4" s="1415">
        <v>4</v>
      </c>
    </row>
    <row r="5" spans="1:27" ht="2.65" customHeight="1">
      <c r="A5" s="79"/>
      <c r="B5" s="79"/>
      <c r="C5" s="3609"/>
      <c r="D5" s="79"/>
      <c r="E5" s="79"/>
      <c r="F5" s="79"/>
      <c r="G5" s="79"/>
      <c r="H5" s="79"/>
      <c r="I5" s="79"/>
      <c r="J5" s="79"/>
      <c r="K5" s="79"/>
      <c r="L5" s="79"/>
      <c r="M5" s="79"/>
      <c r="N5" s="79"/>
      <c r="O5" s="79"/>
      <c r="P5" s="79"/>
      <c r="Q5" s="79"/>
      <c r="R5" s="79"/>
      <c r="S5" s="79"/>
      <c r="T5" s="79"/>
      <c r="U5" s="79"/>
      <c r="V5" s="79"/>
      <c r="W5" s="79"/>
      <c r="X5" s="79"/>
      <c r="Y5" s="79"/>
      <c r="AA5" s="1415">
        <v>5</v>
      </c>
    </row>
    <row r="6" spans="1:27" ht="13.5" customHeight="1">
      <c r="A6" s="79" t="s">
        <v>1324</v>
      </c>
      <c r="B6" s="2789">
        <f>'DCA Underwriting Assumptions'!$Q$99</f>
        <v>0.02</v>
      </c>
      <c r="C6" s="3609"/>
      <c r="D6" s="3499" t="s">
        <v>1325</v>
      </c>
      <c r="E6" s="3499"/>
      <c r="F6" s="3499"/>
      <c r="G6" s="2790">
        <v>10000</v>
      </c>
      <c r="H6" s="552" t="s">
        <v>1326</v>
      </c>
      <c r="I6" s="79"/>
      <c r="J6" s="79"/>
      <c r="K6" s="2791">
        <f>IF(($B$15+$B$16+$B$17+$B$18)=0,"",B31/($B$15+$B$16+$B$17+$B$18))</f>
        <v>-3.4221011871572904E-3</v>
      </c>
      <c r="L6" s="79"/>
      <c r="M6" s="79"/>
      <c r="N6" s="3503"/>
      <c r="O6" s="3505"/>
      <c r="P6" s="79"/>
      <c r="Q6" s="79"/>
      <c r="R6" s="79"/>
      <c r="S6" s="79"/>
      <c r="T6" s="79"/>
      <c r="U6" s="79"/>
      <c r="V6" s="79"/>
      <c r="W6" s="79"/>
      <c r="X6" s="79"/>
      <c r="Y6" s="79"/>
      <c r="AA6" s="1415">
        <v>6</v>
      </c>
    </row>
    <row r="7" spans="1:27">
      <c r="A7" s="79" t="s">
        <v>1327</v>
      </c>
      <c r="B7" s="2789">
        <f>'DCA Underwriting Assumptions'!$Q$102</f>
        <v>0.03</v>
      </c>
      <c r="C7" s="3609"/>
      <c r="D7" s="3499"/>
      <c r="E7" s="3499"/>
      <c r="F7" s="3499"/>
      <c r="G7" s="758">
        <f>IF(OR('Part II-Sources of Funds'!E6="Yes",'Part II-Sources of Funds'!I6&gt;0),'DCA Underwriting Assumptions'!$Q$64,0)</f>
        <v>0</v>
      </c>
      <c r="H7" s="79"/>
      <c r="I7" s="79"/>
      <c r="J7" s="79"/>
      <c r="K7" s="79"/>
      <c r="L7" s="79"/>
      <c r="M7" s="79"/>
      <c r="N7" s="3500"/>
      <c r="O7" s="3502"/>
      <c r="P7" s="79"/>
      <c r="Q7" s="79"/>
      <c r="R7" s="79"/>
      <c r="S7" s="79"/>
      <c r="T7" s="79"/>
      <c r="U7" s="79"/>
      <c r="V7" s="79"/>
      <c r="W7" s="79"/>
      <c r="X7" s="79"/>
      <c r="Y7" s="79"/>
      <c r="AA7" s="1415">
        <v>7</v>
      </c>
    </row>
    <row r="8" spans="1:27">
      <c r="A8" s="79" t="s">
        <v>1328</v>
      </c>
      <c r="B8" s="2789">
        <f>'DCA Underwriting Assumptions'!$Q$103</f>
        <v>0.03</v>
      </c>
      <c r="C8" s="3609"/>
      <c r="D8" s="45" t="s">
        <v>1329</v>
      </c>
      <c r="E8" s="79"/>
      <c r="F8" s="79"/>
      <c r="G8" s="2792"/>
      <c r="H8" s="552" t="s">
        <v>1330</v>
      </c>
      <c r="I8" s="79"/>
      <c r="J8" s="79"/>
      <c r="K8" s="2791">
        <f>IF(($B$15+$B$16+$B$17+$B$18)=0,"",-B22/($B$15+$B$16+$B$17+$B$18))</f>
        <v>5.5000010279991969E-2</v>
      </c>
      <c r="L8" s="79"/>
      <c r="M8" s="79"/>
      <c r="N8" s="3500"/>
      <c r="O8" s="3502"/>
      <c r="P8" s="79"/>
      <c r="Q8" s="79"/>
      <c r="R8" s="79"/>
      <c r="S8" s="79"/>
      <c r="T8" s="79"/>
      <c r="U8" s="79"/>
      <c r="V8" s="79"/>
      <c r="W8" s="79"/>
      <c r="X8" s="79"/>
      <c r="Y8" s="79"/>
      <c r="AA8" s="1415">
        <v>8</v>
      </c>
    </row>
    <row r="9" spans="1:27" ht="13.35" customHeight="1">
      <c r="A9" s="79" t="s">
        <v>1331</v>
      </c>
      <c r="B9" s="2793">
        <v>7.0000000000000007E-2</v>
      </c>
      <c r="C9" s="981" t="str">
        <f>IF(B9&lt;0.07, "Must be &gt;= 7%!","")</f>
        <v/>
      </c>
      <c r="D9" s="45" t="s">
        <v>1332</v>
      </c>
      <c r="E9" s="79"/>
      <c r="F9" s="79"/>
      <c r="G9" s="2794"/>
      <c r="H9" s="2795" t="s">
        <v>1333</v>
      </c>
      <c r="I9" s="79"/>
      <c r="J9" s="79"/>
      <c r="K9" s="2796"/>
      <c r="L9" s="79"/>
      <c r="M9" s="79"/>
      <c r="N9" s="3500"/>
      <c r="O9" s="3502"/>
      <c r="P9" s="79"/>
      <c r="Q9" s="79"/>
      <c r="R9" s="79"/>
      <c r="S9" s="79"/>
      <c r="T9" s="79"/>
      <c r="U9" s="79"/>
      <c r="V9" s="79"/>
      <c r="W9" s="79"/>
      <c r="X9" s="79"/>
      <c r="Y9" s="79"/>
      <c r="AA9" s="1415">
        <v>9</v>
      </c>
    </row>
    <row r="10" spans="1:27">
      <c r="A10" s="79" t="s">
        <v>1334</v>
      </c>
      <c r="B10" s="2789">
        <v>0.02</v>
      </c>
      <c r="C10" s="79"/>
      <c r="D10" s="45" t="s">
        <v>1335</v>
      </c>
      <c r="E10" s="79"/>
      <c r="F10" s="79"/>
      <c r="G10" s="2797" t="s">
        <v>1402</v>
      </c>
      <c r="H10" s="2795" t="s">
        <v>1336</v>
      </c>
      <c r="I10" s="79"/>
      <c r="J10" s="79"/>
      <c r="K10" s="2798">
        <v>5.5E-2</v>
      </c>
      <c r="L10" s="79"/>
      <c r="M10" s="79"/>
      <c r="N10" s="3513"/>
      <c r="O10" s="3515"/>
      <c r="P10" s="79"/>
      <c r="Q10" s="79"/>
      <c r="R10" s="79"/>
      <c r="S10" s="79"/>
      <c r="T10" s="79"/>
      <c r="U10" s="79"/>
      <c r="V10" s="79"/>
      <c r="W10" s="79"/>
      <c r="X10" s="79"/>
      <c r="Y10" s="79"/>
      <c r="AA10" s="1415">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415">
        <v>11</v>
      </c>
    </row>
    <row r="12" spans="1:27">
      <c r="A12" s="7" t="s">
        <v>1337</v>
      </c>
      <c r="B12" s="79"/>
      <c r="C12" s="79"/>
      <c r="D12" s="690"/>
      <c r="E12" s="79"/>
      <c r="F12" s="79"/>
      <c r="G12" s="79"/>
      <c r="H12" s="79"/>
      <c r="I12" s="79"/>
      <c r="J12" s="79"/>
      <c r="K12" s="79"/>
      <c r="L12" s="79"/>
      <c r="M12" s="79"/>
      <c r="N12" s="7" t="str">
        <f>A12</f>
        <v>II.  OPERATING PRO FORMA</v>
      </c>
      <c r="O12" s="79"/>
      <c r="P12" s="79"/>
      <c r="Q12" s="79"/>
      <c r="R12" s="79"/>
      <c r="S12" s="79"/>
      <c r="T12" s="79"/>
      <c r="U12" s="79"/>
      <c r="V12" s="79"/>
      <c r="W12" s="79"/>
      <c r="X12" s="79"/>
      <c r="Y12" s="79"/>
      <c r="AA12" s="1415">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415">
        <v>13</v>
      </c>
    </row>
    <row r="14" spans="1:27" ht="14.65" customHeight="1">
      <c r="A14" s="7" t="s">
        <v>484</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144" t="s">
        <v>1338</v>
      </c>
      <c r="O14" s="3144"/>
      <c r="P14" s="79"/>
      <c r="Q14" s="79"/>
      <c r="R14" s="79"/>
      <c r="S14" s="79"/>
      <c r="T14" s="79"/>
      <c r="U14" s="79"/>
      <c r="V14" s="79"/>
      <c r="W14" s="79"/>
      <c r="X14" s="79"/>
      <c r="Y14" s="79"/>
      <c r="AA14" s="1415">
        <v>14</v>
      </c>
    </row>
    <row r="15" spans="1:27" ht="13.35" customHeight="1">
      <c r="A15" s="2916" t="s">
        <v>1339</v>
      </c>
      <c r="B15" s="2799">
        <f>'Part V-Revenues &amp; Expenses'!$M$50</f>
        <v>3080520</v>
      </c>
      <c r="C15" s="2799">
        <f t="shared" ref="C15:K15" si="1">$B$15*(1+$B$6)^(C14-1)</f>
        <v>3142130.4</v>
      </c>
      <c r="D15" s="2799">
        <f t="shared" si="1"/>
        <v>3204973.0079999999</v>
      </c>
      <c r="E15" s="2799">
        <f t="shared" si="1"/>
        <v>3269072.4681599997</v>
      </c>
      <c r="F15" s="2799">
        <f t="shared" si="1"/>
        <v>3334453.9175232002</v>
      </c>
      <c r="G15" s="2799">
        <f t="shared" si="1"/>
        <v>3401142.995873664</v>
      </c>
      <c r="H15" s="2799">
        <f t="shared" si="1"/>
        <v>3469165.8557911376</v>
      </c>
      <c r="I15" s="2799">
        <f t="shared" si="1"/>
        <v>3538549.1729069594</v>
      </c>
      <c r="J15" s="2799">
        <f t="shared" si="1"/>
        <v>3609320.1563650989</v>
      </c>
      <c r="K15" s="2800">
        <f t="shared" si="1"/>
        <v>3681506.5594924008</v>
      </c>
      <c r="L15" s="79"/>
      <c r="M15" s="79"/>
      <c r="N15" s="3503"/>
      <c r="O15" s="3505"/>
      <c r="P15" s="79"/>
      <c r="Q15" s="79"/>
      <c r="R15" s="79"/>
      <c r="S15" s="3601" t="s">
        <v>1340</v>
      </c>
      <c r="T15" s="79"/>
      <c r="U15" s="79"/>
      <c r="V15" s="79"/>
      <c r="W15" s="79"/>
      <c r="X15" s="79"/>
      <c r="Y15" s="79"/>
      <c r="Z15" s="1413" t="s">
        <v>1341</v>
      </c>
      <c r="AA15" s="1415">
        <v>15</v>
      </c>
    </row>
    <row r="16" spans="1:27" ht="13.35" customHeight="1">
      <c r="A16" s="246" t="s">
        <v>1225</v>
      </c>
      <c r="B16" s="2801">
        <f>MIN(B15*B10,'Part V-Revenues &amp; Expenses'!$H$179)</f>
        <v>61610.400000000001</v>
      </c>
      <c r="C16" s="2801">
        <f t="shared" ref="C16:K16" si="2">$B$16*(1+$B$6)^(C14-1)</f>
        <v>62842.608</v>
      </c>
      <c r="D16" s="2801">
        <f t="shared" si="2"/>
        <v>64099.460160000002</v>
      </c>
      <c r="E16" s="2801">
        <f t="shared" si="2"/>
        <v>65381.449363199994</v>
      </c>
      <c r="F16" s="2801">
        <f t="shared" si="2"/>
        <v>66689.078350463999</v>
      </c>
      <c r="G16" s="2801">
        <f t="shared" si="2"/>
        <v>68022.859917473281</v>
      </c>
      <c r="H16" s="2801">
        <f t="shared" si="2"/>
        <v>69383.317115822749</v>
      </c>
      <c r="I16" s="2801">
        <f t="shared" si="2"/>
        <v>70770.983458139191</v>
      </c>
      <c r="J16" s="2801">
        <f t="shared" si="2"/>
        <v>72186.403127301979</v>
      </c>
      <c r="K16" s="2802">
        <f t="shared" si="2"/>
        <v>73630.13118984802</v>
      </c>
      <c r="L16" s="79"/>
      <c r="M16" s="79"/>
      <c r="N16" s="3500"/>
      <c r="O16" s="3502"/>
      <c r="P16" s="79"/>
      <c r="Q16" s="79"/>
      <c r="R16" s="79"/>
      <c r="S16" s="3602"/>
      <c r="T16" s="79"/>
      <c r="U16" s="79"/>
      <c r="V16" s="79"/>
      <c r="W16" s="79"/>
      <c r="X16" s="79"/>
      <c r="Y16" s="79"/>
      <c r="Z16" s="1413" t="s">
        <v>1341</v>
      </c>
      <c r="AA16" s="1415">
        <v>16</v>
      </c>
    </row>
    <row r="17" spans="1:27" ht="13.35" customHeight="1">
      <c r="A17" s="246" t="s">
        <v>1342</v>
      </c>
      <c r="B17" s="2801">
        <f t="shared" ref="B17:K17" si="3">-(B15+B16)*$B$9</f>
        <v>-219949.12800000003</v>
      </c>
      <c r="C17" s="2801">
        <f t="shared" si="3"/>
        <v>-224348.11056</v>
      </c>
      <c r="D17" s="2801">
        <f t="shared" si="3"/>
        <v>-228835.07277120001</v>
      </c>
      <c r="E17" s="2801">
        <f t="shared" si="3"/>
        <v>-233411.77422662399</v>
      </c>
      <c r="F17" s="2801">
        <f t="shared" si="3"/>
        <v>-238080.00971115651</v>
      </c>
      <c r="G17" s="2801">
        <f t="shared" si="3"/>
        <v>-242841.60990537965</v>
      </c>
      <c r="H17" s="2801">
        <f t="shared" si="3"/>
        <v>-247698.44210348724</v>
      </c>
      <c r="I17" s="2801">
        <f t="shared" si="3"/>
        <v>-252652.41094555691</v>
      </c>
      <c r="J17" s="2801">
        <f t="shared" si="3"/>
        <v>-257705.45916446808</v>
      </c>
      <c r="K17" s="2802">
        <f t="shared" si="3"/>
        <v>-262859.56834775745</v>
      </c>
      <c r="L17" s="79"/>
      <c r="M17" s="79"/>
      <c r="N17" s="3500"/>
      <c r="O17" s="3502"/>
      <c r="P17" s="79"/>
      <c r="Q17" s="3604" t="s">
        <v>1343</v>
      </c>
      <c r="R17" s="3604" t="s">
        <v>1344</v>
      </c>
      <c r="S17" s="3602"/>
      <c r="T17" s="79"/>
      <c r="U17" s="79"/>
      <c r="V17" s="79"/>
      <c r="W17" s="79"/>
      <c r="X17" s="79"/>
      <c r="Y17" s="79"/>
      <c r="Z17" s="1413" t="s">
        <v>1341</v>
      </c>
      <c r="AA17" s="1415">
        <v>17</v>
      </c>
    </row>
    <row r="18" spans="1:27" ht="13.35" customHeight="1">
      <c r="A18" s="246" t="s">
        <v>1345</v>
      </c>
      <c r="B18" s="2801">
        <f>+'Part V-Revenues &amp; Expenses'!H185</f>
        <v>0</v>
      </c>
      <c r="C18" s="2801">
        <f>+'Part V-Revenues &amp; Expenses'!I185</f>
        <v>0</v>
      </c>
      <c r="D18" s="2801">
        <f>+'Part V-Revenues &amp; Expenses'!J185</f>
        <v>0</v>
      </c>
      <c r="E18" s="2801">
        <f>+'Part V-Revenues &amp; Expenses'!K185</f>
        <v>0</v>
      </c>
      <c r="F18" s="2801">
        <f>+'Part V-Revenues &amp; Expenses'!L185</f>
        <v>0</v>
      </c>
      <c r="G18" s="2801">
        <f>+'Part V-Revenues &amp; Expenses'!M185</f>
        <v>0</v>
      </c>
      <c r="H18" s="2801">
        <f>+'Part V-Revenues &amp; Expenses'!N185</f>
        <v>0</v>
      </c>
      <c r="I18" s="2801">
        <f>+'Part V-Revenues &amp; Expenses'!O185</f>
        <v>0</v>
      </c>
      <c r="J18" s="2801">
        <f>+'Part V-Revenues &amp; Expenses'!P185</f>
        <v>0</v>
      </c>
      <c r="K18" s="2802">
        <f>+'Part V-Revenues &amp; Expenses'!Q185</f>
        <v>0</v>
      </c>
      <c r="L18" s="79"/>
      <c r="M18" s="79"/>
      <c r="N18" s="3500"/>
      <c r="O18" s="3502"/>
      <c r="P18" s="79"/>
      <c r="Q18" s="3604"/>
      <c r="R18" s="3604"/>
      <c r="S18" s="3603"/>
      <c r="T18" s="79"/>
      <c r="U18" s="79"/>
      <c r="V18" s="79"/>
      <c r="W18" s="79"/>
      <c r="X18" s="79"/>
      <c r="Y18" s="79"/>
      <c r="Z18" s="1413" t="s">
        <v>1341</v>
      </c>
      <c r="AA18" s="1415">
        <v>18</v>
      </c>
    </row>
    <row r="19" spans="1:27" ht="13.35" customHeight="1">
      <c r="A19" s="246" t="s">
        <v>1346</v>
      </c>
      <c r="B19" s="2801">
        <f>'Part V-Revenues &amp; Expenses'!H189</f>
        <v>0</v>
      </c>
      <c r="C19" s="2801">
        <f>'Part V-Revenues &amp; Expenses'!I189</f>
        <v>0</v>
      </c>
      <c r="D19" s="2801">
        <f>'Part V-Revenues &amp; Expenses'!J189</f>
        <v>0</v>
      </c>
      <c r="E19" s="2801">
        <f>'Part V-Revenues &amp; Expenses'!K189</f>
        <v>0</v>
      </c>
      <c r="F19" s="2801">
        <f>'Part V-Revenues &amp; Expenses'!L189</f>
        <v>0</v>
      </c>
      <c r="G19" s="2801">
        <f>'Part V-Revenues &amp; Expenses'!M189</f>
        <v>0</v>
      </c>
      <c r="H19" s="2801">
        <f>'Part V-Revenues &amp; Expenses'!N189</f>
        <v>0</v>
      </c>
      <c r="I19" s="2801">
        <f>'Part V-Revenues &amp; Expenses'!O189</f>
        <v>0</v>
      </c>
      <c r="J19" s="2801">
        <f>'Part V-Revenues &amp; Expenses'!P189</f>
        <v>0</v>
      </c>
      <c r="K19" s="2802">
        <f>'Part V-Revenues &amp; Expenses'!Q189</f>
        <v>0</v>
      </c>
      <c r="L19" s="79"/>
      <c r="M19" s="79"/>
      <c r="N19" s="3500"/>
      <c r="O19" s="3502"/>
      <c r="P19" s="79"/>
      <c r="Q19" s="79"/>
      <c r="R19" s="79"/>
      <c r="S19" s="79"/>
      <c r="T19" s="79"/>
      <c r="U19" s="79"/>
      <c r="V19" s="79"/>
      <c r="W19" s="79"/>
      <c r="X19" s="79"/>
      <c r="Y19" s="79"/>
      <c r="Z19" s="1413" t="s">
        <v>1341</v>
      </c>
      <c r="AA19" s="1415">
        <v>19</v>
      </c>
    </row>
    <row r="20" spans="1:27" ht="13.35" customHeight="1">
      <c r="A20" s="246" t="s">
        <v>1347</v>
      </c>
      <c r="B20" s="2801">
        <f>SUM(B15:B19)</f>
        <v>2922181.2719999999</v>
      </c>
      <c r="C20" s="2801">
        <f t="shared" ref="C20:K20" si="4">SUM(C15:C19)</f>
        <v>2980624.89744</v>
      </c>
      <c r="D20" s="2801">
        <f t="shared" si="4"/>
        <v>3040237.3953887997</v>
      </c>
      <c r="E20" s="2801">
        <f t="shared" si="4"/>
        <v>3101042.1432965756</v>
      </c>
      <c r="F20" s="2801">
        <f t="shared" si="4"/>
        <v>3163062.9861625074</v>
      </c>
      <c r="G20" s="2801">
        <f t="shared" si="4"/>
        <v>3226324.2458857577</v>
      </c>
      <c r="H20" s="2801">
        <f t="shared" si="4"/>
        <v>3290850.7308034729</v>
      </c>
      <c r="I20" s="2801">
        <f t="shared" si="4"/>
        <v>3356667.7454195414</v>
      </c>
      <c r="J20" s="2801">
        <f t="shared" si="4"/>
        <v>3423801.1003279327</v>
      </c>
      <c r="K20" s="2802">
        <f t="shared" si="4"/>
        <v>3492277.1223344915</v>
      </c>
      <c r="L20" s="79"/>
      <c r="M20" s="79"/>
      <c r="N20" s="3500"/>
      <c r="O20" s="3502"/>
      <c r="P20" s="79"/>
      <c r="Q20" s="79"/>
      <c r="R20" s="79"/>
      <c r="S20" s="79"/>
      <c r="T20" s="79"/>
      <c r="U20" s="79"/>
      <c r="V20" s="79"/>
      <c r="W20" s="79"/>
      <c r="X20" s="79"/>
      <c r="Y20" s="79"/>
      <c r="Z20" s="1413" t="s">
        <v>1341</v>
      </c>
      <c r="AA20" s="1415">
        <v>20</v>
      </c>
    </row>
    <row r="21" spans="1:27" ht="13.35" customHeight="1">
      <c r="A21" s="246" t="s">
        <v>1348</v>
      </c>
      <c r="B21" s="2801">
        <f>-('Part V-Revenues &amp; Expenses'!$Q$228-'Part V-Revenues &amp; Expenses'!$Q$220)</f>
        <v>-1341081</v>
      </c>
      <c r="C21" s="2801">
        <f t="shared" ref="C21:K21" si="5">$B$21*(1+$B$7)^(C14-1)</f>
        <v>-1381313.43</v>
      </c>
      <c r="D21" s="2801">
        <f t="shared" si="5"/>
        <v>-1422752.8329</v>
      </c>
      <c r="E21" s="2801">
        <f t="shared" si="5"/>
        <v>-1465435.4178869999</v>
      </c>
      <c r="F21" s="2801">
        <f t="shared" si="5"/>
        <v>-1509398.48042361</v>
      </c>
      <c r="G21" s="2801">
        <f t="shared" si="5"/>
        <v>-1554680.434836318</v>
      </c>
      <c r="H21" s="2801">
        <f t="shared" si="5"/>
        <v>-1601320.8478814077</v>
      </c>
      <c r="I21" s="2801">
        <f t="shared" si="5"/>
        <v>-1649360.4733178501</v>
      </c>
      <c r="J21" s="2801">
        <f t="shared" si="5"/>
        <v>-1698841.2875173853</v>
      </c>
      <c r="K21" s="2802">
        <f t="shared" si="5"/>
        <v>-1749806.5261429071</v>
      </c>
      <c r="L21" s="79"/>
      <c r="M21" s="79"/>
      <c r="N21" s="3500"/>
      <c r="O21" s="3502"/>
      <c r="P21" s="79"/>
      <c r="Q21" s="60">
        <v>1</v>
      </c>
      <c r="R21" s="2803">
        <f>-B32</f>
        <v>99936.3</v>
      </c>
      <c r="S21" s="2803">
        <f>B33+R21</f>
        <v>191296.53542416735</v>
      </c>
      <c r="T21" s="79"/>
      <c r="U21" s="79"/>
      <c r="V21" s="79"/>
      <c r="W21" s="79"/>
      <c r="X21" s="79"/>
      <c r="Y21" s="79"/>
      <c r="Z21" s="1413" t="s">
        <v>1341</v>
      </c>
      <c r="AA21" s="1415">
        <v>21</v>
      </c>
    </row>
    <row r="22" spans="1:27" ht="13.35" customHeight="1">
      <c r="A22" s="246" t="s">
        <v>1349</v>
      </c>
      <c r="B22" s="2801">
        <f>IF(AND('Part VI-Pro Forma'!$G$9="Yes",'Part VI-Pro Forma'!$G$10="Yes"),"Choose One!",IF('Part VI-Pro Forma'!$G$9="Yes",ROUND((-$K$9*(1+'Part VI-Pro Forma'!$B$7)^('Part VI-Pro Forma'!B14-1)),),IF('Part VI-Pro Forma'!$G$10="Yes",ROUND((-(SUM(B15:B18)*'Part VI-Pro Forma'!$K$10)),),"Choose mgt fee")))</f>
        <v>-160720</v>
      </c>
      <c r="C22" s="2801">
        <f>IF(AND('Part VI-Pro Forma'!$G$9="Yes",'Part VI-Pro Forma'!$G$10="Yes"),"Choose One!",IF('Part VI-Pro Forma'!$G$9="Yes",ROUND((-$K$9*(1+'Part VI-Pro Forma'!$B$7)^('Part VI-Pro Forma'!C14-1)),),IF('Part VI-Pro Forma'!$G$10="Yes",ROUND((-(SUM(C15:C18)*'Part VI-Pro Forma'!$K$10)),),"Choose mgt fee")))</f>
        <v>-163934</v>
      </c>
      <c r="D22" s="2801">
        <f>IF(AND('Part VI-Pro Forma'!$G$9="Yes",'Part VI-Pro Forma'!$G$10="Yes"),"Choose One!",IF('Part VI-Pro Forma'!$G$9="Yes",ROUND((-$K$9*(1+'Part VI-Pro Forma'!$B$7)^('Part VI-Pro Forma'!D14-1)),),IF('Part VI-Pro Forma'!$G$10="Yes",ROUND((-(SUM(D15:D18)*'Part VI-Pro Forma'!$K$10)),),"Choose mgt fee")))</f>
        <v>-167213</v>
      </c>
      <c r="E22" s="2801">
        <f>IF(AND('Part VI-Pro Forma'!$G$9="Yes",'Part VI-Pro Forma'!$G$10="Yes"),"Choose One!",IF('Part VI-Pro Forma'!$G$9="Yes",ROUND((-$K$9*(1+'Part VI-Pro Forma'!$B$7)^('Part VI-Pro Forma'!E14-1)),),IF('Part VI-Pro Forma'!$G$10="Yes",ROUND((-(SUM(E15:E18)*'Part VI-Pro Forma'!$K$10)),),"Choose mgt fee")))</f>
        <v>-170557</v>
      </c>
      <c r="F22" s="2801">
        <f>IF(AND('Part VI-Pro Forma'!$G$9="Yes",'Part VI-Pro Forma'!$G$10="Yes"),"Choose One!",IF('Part VI-Pro Forma'!$G$9="Yes",ROUND((-$K$9*(1+'Part VI-Pro Forma'!$B$7)^('Part VI-Pro Forma'!F14-1)),),IF('Part VI-Pro Forma'!$G$10="Yes",ROUND((-(SUM(F15:F18)*'Part VI-Pro Forma'!$K$10)),),"Choose mgt fee")))</f>
        <v>-173968</v>
      </c>
      <c r="G22" s="2801">
        <f>IF(AND('Part VI-Pro Forma'!$G$9="Yes",'Part VI-Pro Forma'!$G$10="Yes"),"Choose One!",IF('Part VI-Pro Forma'!$G$9="Yes",ROUND((-$K$9*(1+'Part VI-Pro Forma'!$B$7)^('Part VI-Pro Forma'!G14-1)),),IF('Part VI-Pro Forma'!$G$10="Yes",ROUND((-(SUM(G15:G18)*'Part VI-Pro Forma'!$K$10)),),"Choose mgt fee")))</f>
        <v>-177448</v>
      </c>
      <c r="H22" s="2801">
        <f>IF(AND('Part VI-Pro Forma'!$G$9="Yes",'Part VI-Pro Forma'!$G$10="Yes"),"Choose One!",IF('Part VI-Pro Forma'!$G$9="Yes",ROUND((-$K$9*(1+'Part VI-Pro Forma'!$B$7)^('Part VI-Pro Forma'!H14-1)),),IF('Part VI-Pro Forma'!$G$10="Yes",ROUND((-(SUM(H15:H18)*'Part VI-Pro Forma'!$K$10)),),"Choose mgt fee")))</f>
        <v>-180997</v>
      </c>
      <c r="I22" s="2801">
        <f>IF(AND('Part VI-Pro Forma'!$G$9="Yes",'Part VI-Pro Forma'!$G$10="Yes"),"Choose One!",IF('Part VI-Pro Forma'!$G$9="Yes",ROUND((-$K$9*(1+'Part VI-Pro Forma'!$B$7)^('Part VI-Pro Forma'!I14-1)),),IF('Part VI-Pro Forma'!$G$10="Yes",ROUND((-(SUM(I15:I18)*'Part VI-Pro Forma'!$K$10)),),"Choose mgt fee")))</f>
        <v>-184617</v>
      </c>
      <c r="J22" s="2801">
        <f>IF(AND('Part VI-Pro Forma'!$G$9="Yes",'Part VI-Pro Forma'!$G$10="Yes"),"Choose One!",IF('Part VI-Pro Forma'!$G$9="Yes",ROUND((-$K$9*(1+'Part VI-Pro Forma'!$B$7)^('Part VI-Pro Forma'!J14-1)),),IF('Part VI-Pro Forma'!$G$10="Yes",ROUND((-(SUM(J15:J18)*'Part VI-Pro Forma'!$K$10)),),"Choose mgt fee")))</f>
        <v>-188309</v>
      </c>
      <c r="K22" s="2802">
        <f>IF(AND('Part VI-Pro Forma'!$G$9="Yes",'Part VI-Pro Forma'!$G$10="Yes"),"Choose One!",IF('Part VI-Pro Forma'!$G$9="Yes",ROUND((-$K$9*(1+'Part VI-Pro Forma'!$B$7)^('Part VI-Pro Forma'!K14-1)),),IF('Part VI-Pro Forma'!$G$10="Yes",ROUND((-(SUM(K15:K18)*'Part VI-Pro Forma'!$K$10)),),"Choose mgt fee")))</f>
        <v>-192075</v>
      </c>
      <c r="L22" s="79"/>
      <c r="M22" s="79"/>
      <c r="N22" s="3500"/>
      <c r="O22" s="3502"/>
      <c r="P22" s="79"/>
      <c r="Q22" s="60">
        <v>2</v>
      </c>
      <c r="R22" s="2803">
        <f>-SUM(B32:C32)</f>
        <v>199872.6</v>
      </c>
      <c r="S22" s="2803">
        <f>SUM(B33:C33)+R22</f>
        <v>392273.84242833481</v>
      </c>
      <c r="T22" s="79"/>
      <c r="U22" s="79"/>
      <c r="V22" s="79"/>
      <c r="W22" s="79"/>
      <c r="X22" s="79"/>
      <c r="Y22" s="79"/>
      <c r="Z22" s="1413" t="s">
        <v>1341</v>
      </c>
      <c r="AA22" s="1415">
        <v>22</v>
      </c>
    </row>
    <row r="23" spans="1:27" ht="13.35" customHeight="1">
      <c r="A23" s="246" t="s">
        <v>1350</v>
      </c>
      <c r="B23" s="2801">
        <f>-('Part V-Revenues &amp; Expenses'!$Q$234)</f>
        <v>-69650</v>
      </c>
      <c r="C23" s="2801">
        <f t="shared" ref="C23:K23" si="6">$B$23*(1+$B$8)^(C14-1)</f>
        <v>-71739.5</v>
      </c>
      <c r="D23" s="2801">
        <f t="shared" si="6"/>
        <v>-73891.684999999998</v>
      </c>
      <c r="E23" s="2801">
        <f t="shared" si="6"/>
        <v>-76108.435549999995</v>
      </c>
      <c r="F23" s="2801">
        <f t="shared" si="6"/>
        <v>-78391.688616499989</v>
      </c>
      <c r="G23" s="2801">
        <f t="shared" si="6"/>
        <v>-80743.439274994991</v>
      </c>
      <c r="H23" s="2801">
        <f t="shared" si="6"/>
        <v>-83165.742453244849</v>
      </c>
      <c r="I23" s="2801">
        <f t="shared" si="6"/>
        <v>-85660.714726842198</v>
      </c>
      <c r="J23" s="2801">
        <f t="shared" si="6"/>
        <v>-88230.53616864745</v>
      </c>
      <c r="K23" s="2802">
        <f t="shared" si="6"/>
        <v>-90877.45225370687</v>
      </c>
      <c r="L23" s="79"/>
      <c r="M23" s="79"/>
      <c r="N23" s="3500"/>
      <c r="O23" s="3502"/>
      <c r="P23" s="79"/>
      <c r="Q23" s="60">
        <v>3</v>
      </c>
      <c r="R23" s="2803">
        <f>-SUM(B32:D32)</f>
        <v>299808.90000000002</v>
      </c>
      <c r="S23" s="2803">
        <f>SUM(B33:D33)+R23</f>
        <v>602807.58196910191</v>
      </c>
      <c r="T23" s="79"/>
      <c r="U23" s="79"/>
      <c r="V23" s="79"/>
      <c r="W23" s="79"/>
      <c r="X23" s="79"/>
      <c r="Y23" s="79"/>
      <c r="Z23" s="1413" t="s">
        <v>1341</v>
      </c>
      <c r="AA23" s="1415">
        <v>23</v>
      </c>
    </row>
    <row r="24" spans="1:27" ht="13.35" customHeight="1">
      <c r="A24" s="246" t="s">
        <v>1351</v>
      </c>
      <c r="B24" s="2804">
        <f>IF(B14&lt;=+'Part V-Revenues &amp; Expenses'!$N$251,-'Part V-Revenues &amp; Expenses'!$K$251,0)</f>
        <v>-10</v>
      </c>
      <c r="C24" s="2804">
        <f>IF(C14&lt;=+'Part V-Revenues &amp; Expenses'!$N$251,-'Part V-Revenues &amp; Expenses'!$K$251,0)</f>
        <v>-10</v>
      </c>
      <c r="D24" s="2804">
        <f>IF(D14&lt;=+'Part V-Revenues &amp; Expenses'!$N$251,-'Part V-Revenues &amp; Expenses'!$K$251,0)</f>
        <v>-10</v>
      </c>
      <c r="E24" s="2804">
        <f>IF(E14&lt;=+'Part V-Revenues &amp; Expenses'!$N$251,-'Part V-Revenues &amp; Expenses'!$K$251,0)</f>
        <v>-10</v>
      </c>
      <c r="F24" s="2804">
        <f>IF(F14&lt;=+'Part V-Revenues &amp; Expenses'!$N$251,-'Part V-Revenues &amp; Expenses'!$K$251,0)</f>
        <v>-10</v>
      </c>
      <c r="G24" s="2804">
        <f>IF(G14&lt;=+'Part V-Revenues &amp; Expenses'!$N$251,-'Part V-Revenues &amp; Expenses'!$K$251,0)</f>
        <v>-10</v>
      </c>
      <c r="H24" s="2804">
        <f>IF(H14&lt;=+'Part V-Revenues &amp; Expenses'!$N$251,-'Part V-Revenues &amp; Expenses'!$K$251,0)</f>
        <v>-10</v>
      </c>
      <c r="I24" s="2804">
        <f>IF(I14&lt;=+'Part V-Revenues &amp; Expenses'!$N$251,-'Part V-Revenues &amp; Expenses'!$K$251,0)</f>
        <v>-10</v>
      </c>
      <c r="J24" s="2804">
        <f>IF(J14&lt;=+'Part V-Revenues &amp; Expenses'!$N$251,-'Part V-Revenues &amp; Expenses'!$K$251,0)</f>
        <v>-10</v>
      </c>
      <c r="K24" s="2804">
        <f>IF(K14&lt;=+'Part V-Revenues &amp; Expenses'!$N$251,-'Part V-Revenues &amp; Expenses'!$K$251,0)</f>
        <v>-10</v>
      </c>
      <c r="L24" s="79"/>
      <c r="M24" s="79"/>
      <c r="N24" s="3500"/>
      <c r="O24" s="3502"/>
      <c r="P24" s="79"/>
      <c r="Q24" s="60">
        <v>4</v>
      </c>
      <c r="R24" s="2803">
        <f>-SUM(B32:E32)</f>
        <v>399745.2</v>
      </c>
      <c r="S24" s="2803">
        <f>SUM(B33:E33)+R24</f>
        <v>822762.38078795117</v>
      </c>
      <c r="T24" s="79"/>
      <c r="U24" s="79"/>
      <c r="V24" s="79"/>
      <c r="W24" s="79"/>
      <c r="X24" s="79"/>
      <c r="Y24" s="79"/>
      <c r="Z24" s="1413" t="s">
        <v>1341</v>
      </c>
      <c r="AA24" s="1415">
        <v>24</v>
      </c>
    </row>
    <row r="25" spans="1:27" ht="13.35" customHeight="1">
      <c r="A25" s="246" t="s">
        <v>1352</v>
      </c>
      <c r="B25" s="2801">
        <f>SUM(B20:B24)</f>
        <v>1350720.2719999999</v>
      </c>
      <c r="C25" s="2801">
        <f t="shared" ref="C25:J25" si="7">SUM(C20:C24)</f>
        <v>1363627.96744</v>
      </c>
      <c r="D25" s="2801">
        <f t="shared" si="7"/>
        <v>1376369.8774887996</v>
      </c>
      <c r="E25" s="2801">
        <f t="shared" si="7"/>
        <v>1388931.2898595757</v>
      </c>
      <c r="F25" s="2801">
        <f t="shared" si="7"/>
        <v>1401294.8171223975</v>
      </c>
      <c r="G25" s="2801">
        <f t="shared" si="7"/>
        <v>1413442.3717744448</v>
      </c>
      <c r="H25" s="2801">
        <f t="shared" si="7"/>
        <v>1425357.1404688205</v>
      </c>
      <c r="I25" s="2801">
        <f t="shared" si="7"/>
        <v>1437019.557374849</v>
      </c>
      <c r="J25" s="2801">
        <f t="shared" si="7"/>
        <v>1448410.2766419</v>
      </c>
      <c r="K25" s="2805">
        <f>SUM(K20:K24)</f>
        <v>1459508.1439378774</v>
      </c>
      <c r="L25" s="79"/>
      <c r="M25" s="79"/>
      <c r="N25" s="3500"/>
      <c r="O25" s="3502"/>
      <c r="P25" s="79"/>
      <c r="Q25" s="60">
        <v>5</v>
      </c>
      <c r="R25" s="2803">
        <f>-SUM(B32:F32)</f>
        <v>499681.5</v>
      </c>
      <c r="S25" s="2803">
        <f>SUM(B33:F33)+R25</f>
        <v>1051989.8250539168</v>
      </c>
      <c r="T25" s="79"/>
      <c r="U25" s="79"/>
      <c r="V25" s="79"/>
      <c r="W25" s="79"/>
      <c r="X25" s="79"/>
      <c r="Y25" s="79"/>
      <c r="Z25" s="1413" t="s">
        <v>1341</v>
      </c>
      <c r="AA25" s="1415">
        <v>25</v>
      </c>
    </row>
    <row r="26" spans="1:27" ht="13.35" customHeight="1">
      <c r="A26" s="246" t="s">
        <v>402</v>
      </c>
      <c r="B26" s="2806">
        <f>IF('Part II-Sources of Funds'!$P$40="", 0,-'Part II-Sources of Funds'!$P$40)</f>
        <v>-1082324.8914344434</v>
      </c>
      <c r="C26" s="2806">
        <f>IF('Part II-Sources of Funds'!$P$40="", 0,-'Part II-Sources of Funds'!$P$40)</f>
        <v>-1082324.8914344434</v>
      </c>
      <c r="D26" s="2806">
        <f>IF('Part II-Sources of Funds'!$P$40="", 0,-'Part II-Sources of Funds'!$P$40)</f>
        <v>-1082324.8914344434</v>
      </c>
      <c r="E26" s="2806">
        <f>IF('Part II-Sources of Funds'!$P$40="", 0,-'Part II-Sources of Funds'!$P$40)</f>
        <v>-1082324.8914344434</v>
      </c>
      <c r="F26" s="2806">
        <f>IF('Part II-Sources of Funds'!$P$40="", 0,-'Part II-Sources of Funds'!$P$40)</f>
        <v>-1082324.8914344434</v>
      </c>
      <c r="G26" s="2806">
        <f>IF('Part II-Sources of Funds'!$P$40="", 0,-'Part II-Sources of Funds'!$P$40)</f>
        <v>-1082324.8914344434</v>
      </c>
      <c r="H26" s="2806">
        <f>IF('Part II-Sources of Funds'!$P$40="", 0,-'Part II-Sources of Funds'!$P$40)</f>
        <v>-1082324.8914344434</v>
      </c>
      <c r="I26" s="2806">
        <f>IF('Part II-Sources of Funds'!$P$40="", 0,-'Part II-Sources of Funds'!$P$40)</f>
        <v>-1082324.8914344434</v>
      </c>
      <c r="J26" s="2806">
        <f>IF('Part II-Sources of Funds'!$P$40="", 0,-'Part II-Sources of Funds'!$P$40)</f>
        <v>-1082324.8914344434</v>
      </c>
      <c r="K26" s="2806">
        <f>IF('Part II-Sources of Funds'!$P$40="", 0,-'Part II-Sources of Funds'!$P$40)</f>
        <v>-1082324.8914344434</v>
      </c>
      <c r="L26" s="79"/>
      <c r="M26" s="79"/>
      <c r="N26" s="3500"/>
      <c r="O26" s="3502"/>
      <c r="P26" s="79"/>
      <c r="Q26" s="60">
        <v>6</v>
      </c>
      <c r="R26" s="2803">
        <f>-SUM(B32:G32)</f>
        <v>599617.80000000005</v>
      </c>
      <c r="S26" s="2803">
        <f>SUM(B33:G33)+R26</f>
        <v>1290327.9353089179</v>
      </c>
      <c r="T26" s="79"/>
      <c r="U26" s="79"/>
      <c r="V26" s="79"/>
      <c r="W26" s="79"/>
      <c r="X26" s="79"/>
      <c r="Y26" s="79"/>
      <c r="Z26" s="1413" t="s">
        <v>1341</v>
      </c>
      <c r="AA26" s="1415">
        <v>26</v>
      </c>
    </row>
    <row r="27" spans="1:27" ht="13.35" customHeight="1">
      <c r="A27" s="246" t="s">
        <v>404</v>
      </c>
      <c r="B27" s="2807">
        <f>-(B25+B26)*0.25</f>
        <v>-67098.845141389116</v>
      </c>
      <c r="C27" s="2807">
        <f t="shared" ref="C27:K27" si="8">-(C25+C26)*0.25</f>
        <v>-70325.769001389155</v>
      </c>
      <c r="D27" s="2807">
        <f t="shared" si="8"/>
        <v>-73511.246513589052</v>
      </c>
      <c r="E27" s="2807">
        <f t="shared" si="8"/>
        <v>-76651.599606283067</v>
      </c>
      <c r="F27" s="2807">
        <f t="shared" si="8"/>
        <v>-79742.481421988516</v>
      </c>
      <c r="G27" s="2807">
        <f t="shared" si="8"/>
        <v>-82779.370085000352</v>
      </c>
      <c r="H27" s="2807">
        <f t="shared" si="8"/>
        <v>-85758.062258594262</v>
      </c>
      <c r="I27" s="2807">
        <f t="shared" si="8"/>
        <v>-88673.666485101392</v>
      </c>
      <c r="J27" s="2807">
        <f t="shared" si="8"/>
        <v>-91521.346301864134</v>
      </c>
      <c r="K27" s="2807">
        <f t="shared" si="8"/>
        <v>-94295.813125858491</v>
      </c>
      <c r="L27" s="79"/>
      <c r="M27" s="79"/>
      <c r="N27" s="3500"/>
      <c r="O27" s="3502"/>
      <c r="P27" s="79"/>
      <c r="Q27" s="60">
        <v>7</v>
      </c>
      <c r="R27" s="2803">
        <f>-SUM(B32:H32)</f>
        <v>699554.10000000009</v>
      </c>
      <c r="S27" s="2803">
        <f>SUM(B33:H33)+R27</f>
        <v>1537602.1220847005</v>
      </c>
      <c r="T27" s="79"/>
      <c r="U27" s="79"/>
      <c r="V27" s="79"/>
      <c r="W27" s="79"/>
      <c r="X27" s="79"/>
      <c r="Y27" s="79"/>
      <c r="Z27" s="1413" t="s">
        <v>1341</v>
      </c>
      <c r="AA27" s="1415">
        <v>27</v>
      </c>
    </row>
    <row r="28" spans="1:27" ht="13.35" customHeight="1">
      <c r="A28" s="246" t="s">
        <v>406</v>
      </c>
      <c r="B28" s="2807">
        <f>IF('Part II-Sources of Funds'!$P$42="", 0,-'Part II-Sources of Funds'!$P$42)</f>
        <v>0</v>
      </c>
      <c r="C28" s="2807">
        <f>IF('Part II-Sources of Funds'!$P$42="", 0,-'Part II-Sources of Funds'!$P$42)</f>
        <v>0</v>
      </c>
      <c r="D28" s="2807">
        <f>IF('Part II-Sources of Funds'!$P$42="", 0,-'Part II-Sources of Funds'!$P$42)</f>
        <v>0</v>
      </c>
      <c r="E28" s="2807">
        <f>IF('Part II-Sources of Funds'!$P$42="", 0,-'Part II-Sources of Funds'!$P$42)</f>
        <v>0</v>
      </c>
      <c r="F28" s="2807">
        <f>IF('Part II-Sources of Funds'!$P$42="", 0,-'Part II-Sources of Funds'!$P$42)</f>
        <v>0</v>
      </c>
      <c r="G28" s="2807">
        <f>IF('Part II-Sources of Funds'!$P$42="", 0,-'Part II-Sources of Funds'!$P$42)</f>
        <v>0</v>
      </c>
      <c r="H28" s="2807">
        <f>IF('Part II-Sources of Funds'!$P$42="", 0,-'Part II-Sources of Funds'!$P$42)</f>
        <v>0</v>
      </c>
      <c r="I28" s="2807">
        <f>IF('Part II-Sources of Funds'!$P$42="", 0,-'Part II-Sources of Funds'!$P$42)</f>
        <v>0</v>
      </c>
      <c r="J28" s="2807">
        <f>IF('Part II-Sources of Funds'!$P$42="", 0,-'Part II-Sources of Funds'!$P$42)</f>
        <v>0</v>
      </c>
      <c r="K28" s="2807">
        <f>IF('Part II-Sources of Funds'!$P$42="", 0,-'Part II-Sources of Funds'!$P$42)</f>
        <v>0</v>
      </c>
      <c r="L28" s="79"/>
      <c r="M28" s="79"/>
      <c r="N28" s="3500"/>
      <c r="O28" s="3502"/>
      <c r="P28" s="79"/>
      <c r="Q28" s="60">
        <v>8</v>
      </c>
      <c r="R28" s="2803">
        <f>-SUM(B32:I32)</f>
        <v>799490.40000000014</v>
      </c>
      <c r="S28" s="2803">
        <f>SUM(B33:I33)+R28</f>
        <v>1793623.1215400049</v>
      </c>
      <c r="T28" s="79"/>
      <c r="U28" s="79"/>
      <c r="V28" s="79"/>
      <c r="W28" s="79"/>
      <c r="X28" s="79"/>
      <c r="Y28" s="79"/>
      <c r="Z28" s="1413" t="s">
        <v>1341</v>
      </c>
      <c r="AA28" s="1415">
        <v>28</v>
      </c>
    </row>
    <row r="29" spans="1:27" ht="13.35" customHeight="1">
      <c r="A29" s="246" t="s">
        <v>1353</v>
      </c>
      <c r="B29" s="2807">
        <f>IF('Part II-Sources of Funds'!$P$43="", 0,-'Part II-Sources of Funds'!$P$43)</f>
        <v>0</v>
      </c>
      <c r="C29" s="2807">
        <f>IF('Part II-Sources of Funds'!$P$43="", 0,-'Part II-Sources of Funds'!$P$43)</f>
        <v>0</v>
      </c>
      <c r="D29" s="2807">
        <f>IF('Part II-Sources of Funds'!$P$43="", 0,-'Part II-Sources of Funds'!$P$43)</f>
        <v>0</v>
      </c>
      <c r="E29" s="2807">
        <f>IF('Part II-Sources of Funds'!$P$43="", 0,-'Part II-Sources of Funds'!$P$43)</f>
        <v>0</v>
      </c>
      <c r="F29" s="2807">
        <f>IF('Part II-Sources of Funds'!$P$43="", 0,-'Part II-Sources of Funds'!$P$43)</f>
        <v>0</v>
      </c>
      <c r="G29" s="2807">
        <f>IF('Part II-Sources of Funds'!$P$43="", 0,-'Part II-Sources of Funds'!$P$43)</f>
        <v>0</v>
      </c>
      <c r="H29" s="2807">
        <f>IF('Part II-Sources of Funds'!$P$43="", 0,-'Part II-Sources of Funds'!$P$43)</f>
        <v>0</v>
      </c>
      <c r="I29" s="2807">
        <f>IF('Part II-Sources of Funds'!$P$43="", 0,-'Part II-Sources of Funds'!$P$43)</f>
        <v>0</v>
      </c>
      <c r="J29" s="2807">
        <f>IF('Part II-Sources of Funds'!$P$43="", 0,-'Part II-Sources of Funds'!$P$43)</f>
        <v>0</v>
      </c>
      <c r="K29" s="2807">
        <f>IF('Part II-Sources of Funds'!$P$43="", 0,-'Part II-Sources of Funds'!$P$43)</f>
        <v>0</v>
      </c>
      <c r="L29" s="79"/>
      <c r="M29" s="79"/>
      <c r="N29" s="3500"/>
      <c r="O29" s="3502"/>
      <c r="P29" s="79"/>
      <c r="Q29" s="60">
        <v>9</v>
      </c>
      <c r="R29" s="2803">
        <f>-SUM(B32:J32)</f>
        <v>899426.70000000019</v>
      </c>
      <c r="S29" s="2803">
        <f>SUM(B33:J33)+R29</f>
        <v>2058187.1604455973</v>
      </c>
      <c r="T29" s="79"/>
      <c r="U29" s="79"/>
      <c r="V29" s="79"/>
      <c r="W29" s="79"/>
      <c r="X29" s="79"/>
      <c r="Y29" s="79"/>
      <c r="Z29" s="1413" t="s">
        <v>1341</v>
      </c>
      <c r="AA29" s="1415">
        <v>29</v>
      </c>
    </row>
    <row r="30" spans="1:27" ht="13.35" customHeight="1">
      <c r="A30" s="246" t="s">
        <v>1354</v>
      </c>
      <c r="B30" s="2808"/>
      <c r="C30" s="2808"/>
      <c r="D30" s="2808"/>
      <c r="E30" s="2808"/>
      <c r="F30" s="2808"/>
      <c r="G30" s="2808"/>
      <c r="H30" s="2808"/>
      <c r="I30" s="2808"/>
      <c r="J30" s="2808"/>
      <c r="K30" s="2808"/>
      <c r="L30" s="79"/>
      <c r="M30" s="79"/>
      <c r="N30" s="3500"/>
      <c r="O30" s="3502"/>
      <c r="P30" s="79"/>
      <c r="Q30" s="60">
        <v>10</v>
      </c>
      <c r="R30" s="2803">
        <f>-SUM(B32:K32)</f>
        <v>999363.00000000023</v>
      </c>
      <c r="S30" s="2803">
        <f>SUM(B33:K33)+R30</f>
        <v>2331074.5998231731</v>
      </c>
      <c r="T30" s="79"/>
      <c r="U30" s="79"/>
      <c r="V30" s="79"/>
      <c r="W30" s="79"/>
      <c r="X30" s="79"/>
      <c r="Y30" s="79"/>
      <c r="Z30" s="1413" t="s">
        <v>1341</v>
      </c>
      <c r="AA30" s="1415">
        <v>30</v>
      </c>
    </row>
    <row r="31" spans="1:27" ht="13.35" customHeight="1">
      <c r="A31" s="246" t="s">
        <v>1355</v>
      </c>
      <c r="B31" s="2809">
        <f>-$G$6</f>
        <v>-10000</v>
      </c>
      <c r="C31" s="2809">
        <f t="shared" ref="C31:K31" si="9">+B31</f>
        <v>-10000</v>
      </c>
      <c r="D31" s="2809">
        <f t="shared" si="9"/>
        <v>-10000</v>
      </c>
      <c r="E31" s="2809">
        <f>+D31</f>
        <v>-10000</v>
      </c>
      <c r="F31" s="2809">
        <f t="shared" si="9"/>
        <v>-10000</v>
      </c>
      <c r="G31" s="2809">
        <f t="shared" si="9"/>
        <v>-10000</v>
      </c>
      <c r="H31" s="2809">
        <f t="shared" si="9"/>
        <v>-10000</v>
      </c>
      <c r="I31" s="2809">
        <f t="shared" si="9"/>
        <v>-10000</v>
      </c>
      <c r="J31" s="2809">
        <f t="shared" si="9"/>
        <v>-10000</v>
      </c>
      <c r="K31" s="2809">
        <f t="shared" si="9"/>
        <v>-10000</v>
      </c>
      <c r="L31" s="79"/>
      <c r="M31" s="79"/>
      <c r="N31" s="3500"/>
      <c r="O31" s="3502"/>
      <c r="P31" s="79"/>
      <c r="Q31" s="60">
        <v>11</v>
      </c>
      <c r="R31" s="2803">
        <f>-SUM(B32:K32)-B64</f>
        <v>999363.00000000023</v>
      </c>
      <c r="S31" s="2803">
        <f>SUM(B33:K33)+B65+R31</f>
        <v>2612049.3065218423</v>
      </c>
      <c r="T31" s="79"/>
      <c r="U31" s="79"/>
      <c r="V31" s="79"/>
      <c r="W31" s="79"/>
      <c r="X31" s="79"/>
      <c r="Y31" s="79"/>
      <c r="Z31" s="1413" t="s">
        <v>1341</v>
      </c>
      <c r="AA31" s="1415">
        <v>31</v>
      </c>
    </row>
    <row r="32" spans="1:27" ht="13.35" customHeight="1">
      <c r="A32" s="246" t="s">
        <v>1356</v>
      </c>
      <c r="B32" s="2810">
        <f>-'Part II-Sources of Funds'!I45/10</f>
        <v>-99936.3</v>
      </c>
      <c r="C32" s="2810">
        <f>B32</f>
        <v>-99936.3</v>
      </c>
      <c r="D32" s="2810">
        <f t="shared" ref="D32:K32" si="10">C32</f>
        <v>-99936.3</v>
      </c>
      <c r="E32" s="2810">
        <f t="shared" si="10"/>
        <v>-99936.3</v>
      </c>
      <c r="F32" s="2810">
        <f t="shared" si="10"/>
        <v>-99936.3</v>
      </c>
      <c r="G32" s="2810">
        <f t="shared" si="10"/>
        <v>-99936.3</v>
      </c>
      <c r="H32" s="2810">
        <f t="shared" si="10"/>
        <v>-99936.3</v>
      </c>
      <c r="I32" s="2810">
        <f t="shared" si="10"/>
        <v>-99936.3</v>
      </c>
      <c r="J32" s="2810">
        <f t="shared" si="10"/>
        <v>-99936.3</v>
      </c>
      <c r="K32" s="2810">
        <f t="shared" si="10"/>
        <v>-99936.3</v>
      </c>
      <c r="L32" s="79"/>
      <c r="M32" s="79"/>
      <c r="N32" s="3500"/>
      <c r="O32" s="3502"/>
      <c r="P32" s="79"/>
      <c r="Q32" s="60">
        <v>12</v>
      </c>
      <c r="R32" s="2803">
        <f>-SUM(B32:K32) - SUM(B64:C64)</f>
        <v>999363.00000000023</v>
      </c>
      <c r="S32" s="2803">
        <f>SUM(B33:K33) + SUM(B65:C65)+R32</f>
        <v>2900859.5019928869</v>
      </c>
      <c r="T32" s="79"/>
      <c r="U32" s="79"/>
      <c r="V32" s="79"/>
      <c r="W32" s="79"/>
      <c r="X32" s="79"/>
      <c r="Y32" s="79"/>
      <c r="Z32" s="1413" t="s">
        <v>1341</v>
      </c>
      <c r="AA32" s="1415">
        <v>32</v>
      </c>
    </row>
    <row r="33" spans="1:27" ht="13.35" customHeight="1">
      <c r="A33" s="246" t="s">
        <v>1357</v>
      </c>
      <c r="B33" s="2801">
        <f t="shared" ref="B33:K33" si="11">SUM(B25:B32)</f>
        <v>91360.235424167346</v>
      </c>
      <c r="C33" s="2801">
        <f t="shared" si="11"/>
        <v>101041.00700416746</v>
      </c>
      <c r="D33" s="2801">
        <f t="shared" si="11"/>
        <v>110597.43954076715</v>
      </c>
      <c r="E33" s="2801">
        <f t="shared" si="11"/>
        <v>120018.4988188492</v>
      </c>
      <c r="F33" s="2801">
        <f t="shared" si="11"/>
        <v>129291.14426596554</v>
      </c>
      <c r="G33" s="2801">
        <f t="shared" si="11"/>
        <v>138401.81025500107</v>
      </c>
      <c r="H33" s="2801">
        <f t="shared" si="11"/>
        <v>147337.8867757828</v>
      </c>
      <c r="I33" s="2801">
        <f t="shared" si="11"/>
        <v>156084.69945530419</v>
      </c>
      <c r="J33" s="2801">
        <f t="shared" si="11"/>
        <v>164627.73890559241</v>
      </c>
      <c r="K33" s="2802">
        <f t="shared" si="11"/>
        <v>172951.13937757548</v>
      </c>
      <c r="L33" s="79"/>
      <c r="M33" s="79"/>
      <c r="N33" s="3500"/>
      <c r="O33" s="3502"/>
      <c r="P33" s="79"/>
      <c r="Q33" s="60">
        <v>13</v>
      </c>
      <c r="R33" s="2803">
        <f>-SUM(B32:K32) - SUM(B64:D64)</f>
        <v>999363.00000000023</v>
      </c>
      <c r="S33" s="2803">
        <f>SUM(B33:K33) + SUM(B65:D65)+R33</f>
        <v>3197234.8374997629</v>
      </c>
      <c r="T33" s="79"/>
      <c r="U33" s="79"/>
      <c r="V33" s="79"/>
      <c r="W33" s="79"/>
      <c r="X33" s="79"/>
      <c r="Y33" s="79"/>
      <c r="Z33" s="1413" t="s">
        <v>1341</v>
      </c>
      <c r="AA33" s="1415">
        <v>33</v>
      </c>
    </row>
    <row r="34" spans="1:27" ht="13.35" customHeight="1">
      <c r="A34" s="246" t="str">
        <f>IF('Part II-Sources of Funds'!$E$40 = "Neither", "", "DCR Mortgage A")</f>
        <v>DCR Mortgage A</v>
      </c>
      <c r="B34" s="2811">
        <f t="shared" ref="B34:K34" si="12">IF(B26=0,"",-B25/B26)</f>
        <v>1.2479804194559756</v>
      </c>
      <c r="C34" s="2811">
        <f t="shared" si="12"/>
        <v>1.2599063167000952</v>
      </c>
      <c r="D34" s="2811">
        <f t="shared" si="12"/>
        <v>1.2716790386892498</v>
      </c>
      <c r="E34" s="2811">
        <f t="shared" si="12"/>
        <v>1.2832849921974685</v>
      </c>
      <c r="F34" s="2811">
        <f t="shared" si="12"/>
        <v>1.2947081123351158</v>
      </c>
      <c r="G34" s="2811">
        <f t="shared" si="12"/>
        <v>1.3059316873893196</v>
      </c>
      <c r="H34" s="2811">
        <f t="shared" si="12"/>
        <v>1.3169401828869927</v>
      </c>
      <c r="I34" s="2811">
        <f t="shared" si="12"/>
        <v>1.3277155212334775</v>
      </c>
      <c r="J34" s="2811">
        <f t="shared" si="12"/>
        <v>1.3382398280818162</v>
      </c>
      <c r="K34" s="2812">
        <f t="shared" si="12"/>
        <v>1.3484935581621333</v>
      </c>
      <c r="L34" s="79"/>
      <c r="M34" s="79"/>
      <c r="N34" s="3500"/>
      <c r="O34" s="3502"/>
      <c r="P34" s="79"/>
      <c r="Q34" s="60">
        <v>14</v>
      </c>
      <c r="R34" s="2803">
        <f>-SUM(B32:K32) - SUM(B64:E64)</f>
        <v>999363.00000000023</v>
      </c>
      <c r="S34" s="2803">
        <f>SUM(B33:K33) + SUM(B65:E65)+R34</f>
        <v>3500887.9449758325</v>
      </c>
      <c r="T34" s="79"/>
      <c r="U34" s="79"/>
      <c r="V34" s="79"/>
      <c r="W34" s="79"/>
      <c r="X34" s="79"/>
      <c r="Y34" s="79"/>
      <c r="Z34" s="1413" t="s">
        <v>1341</v>
      </c>
      <c r="AA34" s="1415">
        <v>34</v>
      </c>
    </row>
    <row r="35" spans="1:27" ht="13.35" customHeight="1">
      <c r="A35" s="246" t="str">
        <f>IF('Part II-Sources of Funds'!$E$40 = "Neither", "", "DCR Mortgage B")</f>
        <v>DCR Mortgage B</v>
      </c>
      <c r="B35" s="2811">
        <f t="shared" ref="B35:K35" si="13">IF(B27=0,"",-(B25+B26)/B27)</f>
        <v>4</v>
      </c>
      <c r="C35" s="2811">
        <f t="shared" si="13"/>
        <v>4</v>
      </c>
      <c r="D35" s="2811">
        <f t="shared" si="13"/>
        <v>4</v>
      </c>
      <c r="E35" s="2811">
        <f t="shared" si="13"/>
        <v>4</v>
      </c>
      <c r="F35" s="2811">
        <f t="shared" si="13"/>
        <v>4</v>
      </c>
      <c r="G35" s="2811">
        <f t="shared" si="13"/>
        <v>4</v>
      </c>
      <c r="H35" s="2811">
        <f t="shared" si="13"/>
        <v>4</v>
      </c>
      <c r="I35" s="2811">
        <f t="shared" si="13"/>
        <v>4</v>
      </c>
      <c r="J35" s="2811">
        <f t="shared" si="13"/>
        <v>4</v>
      </c>
      <c r="K35" s="2812">
        <f t="shared" si="13"/>
        <v>4</v>
      </c>
      <c r="L35" s="79"/>
      <c r="M35" s="79"/>
      <c r="N35" s="3500"/>
      <c r="O35" s="3502"/>
      <c r="P35" s="79"/>
      <c r="Q35" s="60">
        <v>15</v>
      </c>
      <c r="R35" s="2803">
        <f>-SUM(B32:K32) - SUM(B64:F64)</f>
        <v>999363.00000000023</v>
      </c>
      <c r="S35" s="2803">
        <f>SUM(B33:K33) + SUM(B65:F65)+R35</f>
        <v>3811510.7127171056</v>
      </c>
      <c r="T35" s="79"/>
      <c r="U35" s="79"/>
      <c r="V35" s="79"/>
      <c r="W35" s="79"/>
      <c r="X35" s="79"/>
      <c r="Y35" s="79"/>
      <c r="Z35" s="1413" t="s">
        <v>1341</v>
      </c>
      <c r="AA35" s="1415">
        <v>35</v>
      </c>
    </row>
    <row r="36" spans="1:27" ht="13.35" customHeight="1">
      <c r="A36" s="246" t="str">
        <f>IF('Part II-Sources of Funds'!$E$40 = "Neither", "DCR First Mortgage", "DCR Mortgage C")</f>
        <v>DCR Mortgage C</v>
      </c>
      <c r="B36" s="2811" t="str">
        <f t="shared" ref="B36:K36" si="14">IF(B28=0,"",-(B25+B26+B27)/B28)</f>
        <v/>
      </c>
      <c r="C36" s="2811" t="str">
        <f t="shared" si="14"/>
        <v/>
      </c>
      <c r="D36" s="2811" t="str">
        <f t="shared" si="14"/>
        <v/>
      </c>
      <c r="E36" s="2811" t="str">
        <f t="shared" si="14"/>
        <v/>
      </c>
      <c r="F36" s="2811" t="str">
        <f t="shared" si="14"/>
        <v/>
      </c>
      <c r="G36" s="2811" t="str">
        <f t="shared" si="14"/>
        <v/>
      </c>
      <c r="H36" s="2811" t="str">
        <f t="shared" si="14"/>
        <v/>
      </c>
      <c r="I36" s="2811" t="str">
        <f t="shared" si="14"/>
        <v/>
      </c>
      <c r="J36" s="2811" t="str">
        <f t="shared" si="14"/>
        <v/>
      </c>
      <c r="K36" s="2812" t="str">
        <f t="shared" si="14"/>
        <v/>
      </c>
      <c r="L36" s="79"/>
      <c r="M36" s="79"/>
      <c r="N36" s="3500"/>
      <c r="O36" s="3502"/>
      <c r="P36" s="79"/>
      <c r="Q36" s="60">
        <v>16</v>
      </c>
      <c r="R36" s="2803">
        <f>-SUM(B32:K32) - SUM(B64:G64)</f>
        <v>999363.00000000023</v>
      </c>
      <c r="S36" s="2803">
        <f>SUM(B33:K33) + SUM(B65:G65)+R36</f>
        <v>4128777.2850712109</v>
      </c>
      <c r="T36" s="79"/>
      <c r="U36" s="79"/>
      <c r="V36" s="79"/>
      <c r="W36" s="79"/>
      <c r="X36" s="79"/>
      <c r="Y36" s="79"/>
      <c r="Z36" s="1413" t="s">
        <v>1341</v>
      </c>
      <c r="AA36" s="1415">
        <v>36</v>
      </c>
    </row>
    <row r="37" spans="1:27" ht="13.35" customHeight="1">
      <c r="A37" s="246" t="s">
        <v>1358</v>
      </c>
      <c r="B37" s="2811" t="str">
        <f t="shared" ref="B37:K37" si="15">IF(B29=0,"",-(B25+B26+B27+B28)/B29)</f>
        <v/>
      </c>
      <c r="C37" s="2811" t="str">
        <f t="shared" si="15"/>
        <v/>
      </c>
      <c r="D37" s="2811" t="str">
        <f t="shared" si="15"/>
        <v/>
      </c>
      <c r="E37" s="2811" t="str">
        <f t="shared" si="15"/>
        <v/>
      </c>
      <c r="F37" s="2811" t="str">
        <f t="shared" si="15"/>
        <v/>
      </c>
      <c r="G37" s="2811" t="str">
        <f t="shared" si="15"/>
        <v/>
      </c>
      <c r="H37" s="2811" t="str">
        <f t="shared" si="15"/>
        <v/>
      </c>
      <c r="I37" s="2811" t="str">
        <f t="shared" si="15"/>
        <v/>
      </c>
      <c r="J37" s="2811" t="str">
        <f t="shared" si="15"/>
        <v/>
      </c>
      <c r="K37" s="2812" t="str">
        <f t="shared" si="15"/>
        <v/>
      </c>
      <c r="L37" s="79"/>
      <c r="M37" s="79"/>
      <c r="N37" s="3500"/>
      <c r="O37" s="3502"/>
      <c r="P37" s="79"/>
      <c r="Q37" s="60">
        <v>17</v>
      </c>
      <c r="R37" s="2803">
        <f>-SUM(B32:K32) - SUM(B64:H64)</f>
        <v>999363.00000000023</v>
      </c>
      <c r="S37" s="2803">
        <f>SUM(B33:K33) + SUM(B65:H65)+R37</f>
        <v>4452340.2852570023</v>
      </c>
      <c r="T37" s="79"/>
      <c r="U37" s="79"/>
      <c r="V37" s="79"/>
      <c r="W37" s="79"/>
      <c r="X37" s="79"/>
      <c r="Y37" s="79"/>
      <c r="Z37" s="1413" t="s">
        <v>1341</v>
      </c>
      <c r="AA37" s="1415">
        <v>37</v>
      </c>
    </row>
    <row r="38" spans="1:27" ht="13.35" customHeight="1">
      <c r="A38" s="246" t="s">
        <v>1359</v>
      </c>
      <c r="B38" s="2811">
        <f t="shared" ref="B38:K38" si="16">IF(AND(B26=0,B27=0,B28=0,B29=0),"",-B25/(B26+B27+B28+B29))</f>
        <v>1.1751282220983497</v>
      </c>
      <c r="C38" s="2811">
        <f t="shared" si="16"/>
        <v>1.183036642623702</v>
      </c>
      <c r="D38" s="2811">
        <f t="shared" si="16"/>
        <v>1.190800176859224</v>
      </c>
      <c r="E38" s="2811">
        <f t="shared" si="16"/>
        <v>1.1984119614129158</v>
      </c>
      <c r="F38" s="2811">
        <f t="shared" si="16"/>
        <v>1.2058636614828364</v>
      </c>
      <c r="G38" s="2811">
        <f t="shared" si="16"/>
        <v>1.2131466843414827</v>
      </c>
      <c r="H38" s="2811">
        <f t="shared" si="16"/>
        <v>1.220253352694155</v>
      </c>
      <c r="I38" s="2811">
        <f t="shared" si="16"/>
        <v>1.2271744893759138</v>
      </c>
      <c r="J38" s="2811">
        <f t="shared" si="16"/>
        <v>1.2339011959820843</v>
      </c>
      <c r="K38" s="2812">
        <f t="shared" si="16"/>
        <v>1.2404236456839244</v>
      </c>
      <c r="L38" s="79"/>
      <c r="M38" s="79"/>
      <c r="N38" s="3500"/>
      <c r="O38" s="3502"/>
      <c r="P38" s="79"/>
      <c r="Q38" s="60">
        <v>18</v>
      </c>
      <c r="R38" s="2803">
        <f>-SUM(B32:K32) - SUM(B64:I64)</f>
        <v>999363.00000000023</v>
      </c>
      <c r="S38" s="2803">
        <f>SUM(B33:K33) + SUM(B65:I65)+R38</f>
        <v>4781830.7604215033</v>
      </c>
      <c r="T38" s="79"/>
      <c r="U38" s="79"/>
      <c r="V38" s="79"/>
      <c r="W38" s="79"/>
      <c r="X38" s="79"/>
      <c r="Y38" s="79"/>
      <c r="Z38" s="1413" t="s">
        <v>1341</v>
      </c>
      <c r="AA38" s="1415">
        <v>38</v>
      </c>
    </row>
    <row r="39" spans="1:27" ht="13.35" customHeight="1">
      <c r="A39" s="246" t="s">
        <v>1360</v>
      </c>
      <c r="B39" s="2813">
        <f t="shared" ref="B39:K39" si="17">IF(OR(B22="Choose mgt fee",B22="Choose One!"),"",(B15+B16+B17+B18+B19) / -(B21+B22+B23))</f>
        <v>1.8595433596084128</v>
      </c>
      <c r="C39" s="2813">
        <f t="shared" si="17"/>
        <v>1.8433203399114673</v>
      </c>
      <c r="D39" s="2813">
        <f t="shared" si="17"/>
        <v>1.8272222006280718</v>
      </c>
      <c r="E39" s="2813">
        <f t="shared" si="17"/>
        <v>1.8112496919041368</v>
      </c>
      <c r="F39" s="2813">
        <f t="shared" si="17"/>
        <v>1.7954013449450303</v>
      </c>
      <c r="G39" s="2813">
        <f t="shared" si="17"/>
        <v>1.7796758237353827</v>
      </c>
      <c r="H39" s="2813">
        <f t="shared" si="17"/>
        <v>1.7640738025538576</v>
      </c>
      <c r="I39" s="2813">
        <f t="shared" si="17"/>
        <v>1.7485939623021256</v>
      </c>
      <c r="J39" s="2813">
        <f t="shared" si="17"/>
        <v>1.7332359711476637</v>
      </c>
      <c r="K39" s="2814">
        <f t="shared" si="17"/>
        <v>1.7179986213068439</v>
      </c>
      <c r="L39" s="79"/>
      <c r="M39" s="79"/>
      <c r="N39" s="3500"/>
      <c r="O39" s="3502"/>
      <c r="P39" s="79"/>
      <c r="Q39" s="60">
        <v>19</v>
      </c>
      <c r="R39" s="2803">
        <f>-SUM(B32:K32) - SUM(B64:J64)</f>
        <v>999363.00000000023</v>
      </c>
      <c r="S39" s="2803">
        <f>SUM(B33:K33) + SUM(B65:J65)+R39</f>
        <v>5116858.0980123933</v>
      </c>
      <c r="T39" s="79"/>
      <c r="U39" s="79"/>
      <c r="V39" s="79"/>
      <c r="W39" s="79"/>
      <c r="X39" s="79"/>
      <c r="Y39" s="79"/>
      <c r="Z39" s="1413" t="s">
        <v>1341</v>
      </c>
      <c r="AA39" s="1415">
        <v>39</v>
      </c>
    </row>
    <row r="40" spans="1:27" ht="13.35" customHeight="1">
      <c r="A40" s="246" t="s">
        <v>1361</v>
      </c>
      <c r="B40" s="2815">
        <f>IF('Part II-Sources of Funds'!$I$40="","",-FV('Part II-Sources of Funds'!$K$40/12,12,B26/12,'Part II-Sources of Funds'!$I$40))</f>
        <v>14037888.116142109</v>
      </c>
      <c r="C40" s="2815">
        <f>IF('Part II-Sources of Funds'!$I$40="","",-FV('Part II-Sources of Funds'!$K$40/12,12,C26/12,B40))</f>
        <v>13971120.4312206</v>
      </c>
      <c r="D40" s="2815">
        <f>IF('Part II-Sources of Funds'!$I$40="","",-FV('Part II-Sources of Funds'!$K$40/12,12,D26/12,C40))</f>
        <v>13899347.954314612</v>
      </c>
      <c r="E40" s="2815">
        <f>IF('Part II-Sources of Funds'!$I$40="","",-FV('Part II-Sources of Funds'!$K$40/12,12,E26/12,D40))</f>
        <v>13822195.534738038</v>
      </c>
      <c r="F40" s="2815">
        <f>IF('Part II-Sources of Funds'!$I$40="","",-FV('Part II-Sources of Funds'!$K$40/12,12,F26/12,E40))</f>
        <v>13739259.901148068</v>
      </c>
      <c r="G40" s="2815">
        <f>IF('Part II-Sources of Funds'!$I$40="","",-FV('Part II-Sources of Funds'!$K$40/12,12,G26/12,F40))</f>
        <v>13650107.553668635</v>
      </c>
      <c r="H40" s="2815">
        <f>IF('Part II-Sources of Funds'!$I$40="","",-FV('Part II-Sources of Funds'!$K$40/12,12,H26/12,G40))</f>
        <v>13554272.49801103</v>
      </c>
      <c r="I40" s="2815">
        <f>IF('Part II-Sources of Funds'!$I$40="","",-FV('Part II-Sources of Funds'!$K$40/12,12,I26/12,H40))</f>
        <v>13451253.809748054</v>
      </c>
      <c r="J40" s="2815">
        <f>IF('Part II-Sources of Funds'!$I$40="","",-FV('Part II-Sources of Funds'!$K$40/12,12,J26/12,I40))</f>
        <v>13340513.016010305</v>
      </c>
      <c r="K40" s="2815">
        <f>IF('Part II-Sources of Funds'!$I$40="","",-FV('Part II-Sources of Funds'!$K$40/12,12,K26/12,J40))</f>
        <v>13221471.280918889</v>
      </c>
      <c r="L40" s="79"/>
      <c r="M40" s="79"/>
      <c r="N40" s="3500"/>
      <c r="O40" s="3502"/>
      <c r="P40" s="79"/>
      <c r="Q40" s="60">
        <v>20</v>
      </c>
      <c r="R40" s="2803">
        <f>-SUM(B32:K32) - SUM(B64:K64)</f>
        <v>999363.00000000023</v>
      </c>
      <c r="S40" s="2803">
        <f>SUM(B33:K33) + SUM(B65:K65)+R40</f>
        <v>5457008.4125147462</v>
      </c>
      <c r="T40" s="79"/>
      <c r="U40" s="79"/>
      <c r="V40" s="79"/>
      <c r="W40" s="79"/>
      <c r="X40" s="79"/>
      <c r="Y40" s="79"/>
      <c r="Z40" s="1413" t="s">
        <v>1341</v>
      </c>
      <c r="AA40" s="1415">
        <v>40</v>
      </c>
    </row>
    <row r="41" spans="1:27" ht="13.35" customHeight="1">
      <c r="A41" s="246" t="s">
        <v>1362</v>
      </c>
      <c r="B41" s="2807">
        <f>IF('Part II-Sources of Funds'!$I$41="","",-FV('Part II-Sources of Funds'!$K$41/12,12,B27/12,'Part II-Sources of Funds'!$I$41))</f>
        <v>8291793.7376734223</v>
      </c>
      <c r="C41" s="2807">
        <f>IF('Part II-Sources of Funds'!$I$41="","",-FV('Part II-Sources of Funds'!$K$41/12,12,C27/12,B41))</f>
        <v>8304443.7807717733</v>
      </c>
      <c r="D41" s="2807">
        <f>IF('Part II-Sources of Funds'!$I$41="","",-FV('Part II-Sources of Funds'!$K$41/12,12,D27/12,C41))</f>
        <v>8314020.7874588566</v>
      </c>
      <c r="E41" s="2807">
        <f>IF('Part II-Sources of Funds'!$I$41="","",-FV('Part II-Sources of Funds'!$K$41/12,12,E27/12,D41))</f>
        <v>8320539.2179464204</v>
      </c>
      <c r="F41" s="2807">
        <f>IF('Part II-Sources of Funds'!$I$41="","",-FV('Part II-Sources of Funds'!$K$41/12,12,F27/12,E41))</f>
        <v>8324018.0445489595</v>
      </c>
      <c r="G41" s="2807">
        <f>IF('Part II-Sources of Funds'!$I$41="","",-FV('Part II-Sources of Funds'!$K$41/12,12,G27/12,F41))</f>
        <v>8324480.9728347473</v>
      </c>
      <c r="H41" s="2807">
        <f>IF('Part II-Sources of Funds'!$I$41="","",-FV('Part II-Sources of Funds'!$K$41/12,12,H27/12,G41))</f>
        <v>8321956.1691728998</v>
      </c>
      <c r="I41" s="2807">
        <f>IF('Part II-Sources of Funds'!$I$41="","",-FV('Part II-Sources of Funds'!$K$41/12,12,I27/12,H41))</f>
        <v>8316476.9968300192</v>
      </c>
      <c r="J41" s="2807">
        <f>IF('Part II-Sources of Funds'!$I$41="","",-FV('Part II-Sources of Funds'!$K$41/12,12,J27/12,I41))</f>
        <v>8308082.0129302479</v>
      </c>
      <c r="K41" s="2807">
        <f>IF('Part II-Sources of Funds'!$I$41="","",-FV('Part II-Sources of Funds'!$K$41/12,12,K27/12,J41))</f>
        <v>8296815.4748309078</v>
      </c>
      <c r="L41" s="79"/>
      <c r="M41" s="79"/>
      <c r="N41" s="3500"/>
      <c r="O41" s="3502"/>
      <c r="P41" s="79"/>
      <c r="Q41" s="79"/>
      <c r="R41" s="79"/>
      <c r="S41" s="79"/>
      <c r="T41" s="79"/>
      <c r="U41" s="79"/>
      <c r="V41" s="79"/>
      <c r="W41" s="79"/>
      <c r="X41" s="79"/>
      <c r="Y41" s="79"/>
      <c r="Z41" s="1413" t="s">
        <v>1341</v>
      </c>
      <c r="AA41" s="1415">
        <v>41</v>
      </c>
    </row>
    <row r="42" spans="1:27" ht="13.35" customHeight="1">
      <c r="A42" s="246" t="s">
        <v>1363</v>
      </c>
      <c r="B42" s="2807" t="str">
        <f>IF('Part II-Sources of Funds'!$I$42="","",-FV('Part II-Sources of Funds'!$K$42/12,12,B28/12,'Part II-Sources of Funds'!$I$42))</f>
        <v/>
      </c>
      <c r="C42" s="2807" t="str">
        <f>IF('Part II-Sources of Funds'!$I$42="","",-FV('Part II-Sources of Funds'!$K$42/12,12,C28/12,B42))</f>
        <v/>
      </c>
      <c r="D42" s="2807" t="str">
        <f>IF('Part II-Sources of Funds'!$I$42="","",-FV('Part II-Sources of Funds'!$K$42/12,12,D28/12,C42))</f>
        <v/>
      </c>
      <c r="E42" s="2807" t="str">
        <f>IF('Part II-Sources of Funds'!$I$42="","",-FV('Part II-Sources of Funds'!$K$42/12,12,E28/12,D42))</f>
        <v/>
      </c>
      <c r="F42" s="2807" t="str">
        <f>IF('Part II-Sources of Funds'!$I$42="","",-FV('Part II-Sources of Funds'!$K$42/12,12,F28/12,E42))</f>
        <v/>
      </c>
      <c r="G42" s="2807" t="str">
        <f>IF('Part II-Sources of Funds'!$I$42="","",-FV('Part II-Sources of Funds'!$K$42/12,12,G28/12,F42))</f>
        <v/>
      </c>
      <c r="H42" s="2807" t="str">
        <f>IF('Part II-Sources of Funds'!$I$42="","",-FV('Part II-Sources of Funds'!$K$42/12,12,H28/12,G42))</f>
        <v/>
      </c>
      <c r="I42" s="2807" t="str">
        <f>IF('Part II-Sources of Funds'!$I$42="","",-FV('Part II-Sources of Funds'!$K$42/12,12,I28/12,H42))</f>
        <v/>
      </c>
      <c r="J42" s="2807" t="str">
        <f>IF('Part II-Sources of Funds'!$I$42="","",-FV('Part II-Sources of Funds'!$K$42/12,12,J28/12,I42))</f>
        <v/>
      </c>
      <c r="K42" s="2807" t="str">
        <f>IF('Part II-Sources of Funds'!$I$42="","",-FV('Part II-Sources of Funds'!$K$42/12,12,K28/12,J42))</f>
        <v/>
      </c>
      <c r="L42" s="79"/>
      <c r="M42" s="79"/>
      <c r="N42" s="3500"/>
      <c r="O42" s="3502"/>
      <c r="P42" s="79"/>
      <c r="Q42" s="79"/>
      <c r="R42" s="79"/>
      <c r="S42" s="79"/>
      <c r="T42" s="79"/>
      <c r="U42" s="79"/>
      <c r="V42" s="79"/>
      <c r="W42" s="79"/>
      <c r="X42" s="79"/>
      <c r="Y42" s="79"/>
      <c r="Z42" s="1413" t="s">
        <v>1341</v>
      </c>
      <c r="AA42" s="1415">
        <v>42</v>
      </c>
    </row>
    <row r="43" spans="1:27" ht="13.35" customHeight="1">
      <c r="A43" s="246" t="s">
        <v>1364</v>
      </c>
      <c r="B43" s="2807" t="str">
        <f>IF('Part II-Sources of Funds'!$I$43="","",-FV('Part II-Sources of Funds'!$K$43/12,12,B29/12,'Part II-Sources of Funds'!$I$43))</f>
        <v/>
      </c>
      <c r="C43" s="2807" t="str">
        <f>IF('Part II-Sources of Funds'!$I$43="","",-FV('Part II-Sources of Funds'!$K$43/12,12,C29/12,B43))</f>
        <v/>
      </c>
      <c r="D43" s="2807" t="str">
        <f>IF('Part II-Sources of Funds'!$I$43="","",-FV('Part II-Sources of Funds'!$K$43/12,12,D29/12,C43))</f>
        <v/>
      </c>
      <c r="E43" s="2807" t="str">
        <f>IF('Part II-Sources of Funds'!$I$43="","",-FV('Part II-Sources of Funds'!$K$43/12,12,E29/12,D43))</f>
        <v/>
      </c>
      <c r="F43" s="2807" t="str">
        <f>IF('Part II-Sources of Funds'!$I$43="","",-FV('Part II-Sources of Funds'!$K$43/12,12,F29/12,E43))</f>
        <v/>
      </c>
      <c r="G43" s="2807" t="str">
        <f>IF('Part II-Sources of Funds'!$I$43="","",-FV('Part II-Sources of Funds'!$K$43/12,12,G29/12,F43))</f>
        <v/>
      </c>
      <c r="H43" s="2807" t="str">
        <f>IF('Part II-Sources of Funds'!$I$43="","",-FV('Part II-Sources of Funds'!$K$43/12,12,H29/12,G43))</f>
        <v/>
      </c>
      <c r="I43" s="2807" t="str">
        <f>IF('Part II-Sources of Funds'!$I$43="","",-FV('Part II-Sources of Funds'!$K$43/12,12,I29/12,H43))</f>
        <v/>
      </c>
      <c r="J43" s="2807" t="str">
        <f>IF('Part II-Sources of Funds'!$I$43="","",-FV('Part II-Sources of Funds'!$K$43/12,12,J29/12,I43))</f>
        <v/>
      </c>
      <c r="K43" s="2807" t="str">
        <f>IF('Part II-Sources of Funds'!$I$43="","",-FV('Part II-Sources of Funds'!$K$43/12,12,K29/12,J43))</f>
        <v/>
      </c>
      <c r="L43" s="79"/>
      <c r="M43" s="79"/>
      <c r="N43" s="3500"/>
      <c r="O43" s="3502"/>
      <c r="P43" s="79"/>
      <c r="Q43" s="79"/>
      <c r="R43" s="79"/>
      <c r="S43" s="79"/>
      <c r="T43" s="79"/>
      <c r="U43" s="79"/>
      <c r="V43" s="79"/>
      <c r="W43" s="79"/>
      <c r="X43" s="79"/>
      <c r="Y43" s="79"/>
      <c r="Z43" s="1413" t="s">
        <v>1341</v>
      </c>
      <c r="AA43" s="1415">
        <v>43</v>
      </c>
    </row>
    <row r="44" spans="1:27" ht="13.35" customHeight="1">
      <c r="A44" s="246" t="s">
        <v>1365</v>
      </c>
      <c r="B44" s="2810">
        <f>IF('Part II-Sources of Funds'!$I$45="","",-FV('Part II-Sources of Funds'!$K$45/12,12,B32/12,'Part II-Sources of Funds'!$I$45))</f>
        <v>899426.7</v>
      </c>
      <c r="C44" s="2810">
        <f>IF('Part II-Sources of Funds'!$I$45="","",IF(-FV('Part II-Sources of Funds'!$K$45/12,12,C32/12,B44)&gt;0,-FV('Part II-Sources of Funds'!$K$45/12,12,C32/12,B44),0))</f>
        <v>799490.39999999991</v>
      </c>
      <c r="D44" s="2810">
        <f>IF('Part II-Sources of Funds'!$I$45="","",IF(-FV('Part II-Sources of Funds'!$K$45/12,12,D32/12,C44)&gt;0,-FV('Part II-Sources of Funds'!$K$45/12,12,D32/12,C44),0))</f>
        <v>699554.09999999986</v>
      </c>
      <c r="E44" s="2810">
        <f>IF('Part II-Sources of Funds'!$I$45="","",IF(-FV('Part II-Sources of Funds'!$K$45/12,12,E32/12,D44)&gt;0,-FV('Part II-Sources of Funds'!$K$45/12,12,E32/12,D44),0))</f>
        <v>599617.79999999981</v>
      </c>
      <c r="F44" s="2810">
        <f>IF('Part II-Sources of Funds'!$I$45="","",IF(-FV('Part II-Sources of Funds'!$K$45/12,12,F32/12,E44)&gt;0,-FV('Part II-Sources of Funds'!$K$45/12,12,F32/12,E44),0))</f>
        <v>499681.49999999983</v>
      </c>
      <c r="G44" s="2810">
        <f>IF('Part II-Sources of Funds'!$I$45="","",IF(-FV('Part II-Sources of Funds'!$K$45/12,12,G32/12,F44)&gt;0,-FV('Part II-Sources of Funds'!$K$45/12,12,G32/12,F44),0))</f>
        <v>399745.19999999984</v>
      </c>
      <c r="H44" s="2810">
        <f>IF('Part II-Sources of Funds'!$I$45="","",IF(-FV('Part II-Sources of Funds'!$K$45/12,12,H32/12,G44)&gt;0,-FV('Part II-Sources of Funds'!$K$45/12,12,H32/12,G44),0))</f>
        <v>299808.89999999985</v>
      </c>
      <c r="I44" s="2810">
        <f>IF('Part II-Sources of Funds'!$I$45="","",IF(-FV('Part II-Sources of Funds'!$K$45/12,12,I32/12,H44)&gt;0,-FV('Part II-Sources of Funds'!$K$45/12,12,I32/12,H44),0))</f>
        <v>199872.59999999986</v>
      </c>
      <c r="J44" s="2810">
        <f>IF('Part II-Sources of Funds'!$I$45="","",IF(-FV('Part II-Sources of Funds'!$K$45/12,12,J32/12,I44)&gt;0,-FV('Part II-Sources of Funds'!$K$45/12,12,J32/12,I44),0))</f>
        <v>99936.299999999872</v>
      </c>
      <c r="K44" s="2810">
        <f>IF('Part II-Sources of Funds'!$I$45="","",IF(-FV('Part II-Sources of Funds'!$K$45/12,12,K32/12,J44)&gt;0,-FV('Part II-Sources of Funds'!$K$45/12,12,K32/12,J44),0))</f>
        <v>0</v>
      </c>
      <c r="L44" s="79"/>
      <c r="M44" s="79"/>
      <c r="N44" s="3513"/>
      <c r="O44" s="3515"/>
      <c r="P44" s="79"/>
      <c r="Q44" s="79"/>
      <c r="R44" s="79"/>
      <c r="S44" s="79"/>
      <c r="T44" s="79"/>
      <c r="U44" s="79"/>
      <c r="V44" s="79"/>
      <c r="W44" s="79"/>
      <c r="X44" s="79"/>
      <c r="Y44" s="79"/>
      <c r="Z44" s="1413" t="s">
        <v>1341</v>
      </c>
      <c r="AA44" s="1415">
        <v>44</v>
      </c>
    </row>
    <row r="45" spans="1:27" ht="4.3499999999999996" customHeight="1">
      <c r="A45" s="79"/>
      <c r="B45" s="2816"/>
      <c r="C45" s="2816"/>
      <c r="D45" s="2816"/>
      <c r="E45" s="2816"/>
      <c r="F45" s="2816"/>
      <c r="G45" s="2816"/>
      <c r="H45" s="2816"/>
      <c r="I45" s="2816"/>
      <c r="J45" s="2816"/>
      <c r="K45" s="2816"/>
      <c r="L45" s="79"/>
      <c r="M45" s="79"/>
      <c r="N45" s="79"/>
      <c r="O45" s="79"/>
      <c r="P45" s="79"/>
      <c r="Q45" s="79"/>
      <c r="R45" s="79"/>
      <c r="S45" s="79"/>
      <c r="T45" s="79"/>
      <c r="U45" s="79"/>
      <c r="V45" s="79"/>
      <c r="W45" s="79"/>
      <c r="X45" s="79"/>
      <c r="Y45" s="79"/>
      <c r="AA45" s="1415">
        <v>45</v>
      </c>
    </row>
    <row r="46" spans="1:27" ht="14.65" customHeight="1">
      <c r="A46" s="7" t="s">
        <v>484</v>
      </c>
      <c r="B46" s="9">
        <f>K14+1</f>
        <v>11</v>
      </c>
      <c r="C46" s="9">
        <f t="shared" ref="C46:K46" si="18">B46+1</f>
        <v>12</v>
      </c>
      <c r="D46" s="9">
        <f t="shared" si="18"/>
        <v>13</v>
      </c>
      <c r="E46" s="9">
        <f t="shared" si="18"/>
        <v>14</v>
      </c>
      <c r="F46" s="9">
        <f t="shared" si="18"/>
        <v>15</v>
      </c>
      <c r="G46" s="9">
        <f t="shared" si="18"/>
        <v>16</v>
      </c>
      <c r="H46" s="9">
        <f t="shared" si="18"/>
        <v>17</v>
      </c>
      <c r="I46" s="9">
        <f t="shared" si="18"/>
        <v>18</v>
      </c>
      <c r="J46" s="9">
        <f t="shared" si="18"/>
        <v>19</v>
      </c>
      <c r="K46" s="9">
        <f t="shared" si="18"/>
        <v>20</v>
      </c>
      <c r="L46" s="79"/>
      <c r="M46" s="79"/>
      <c r="N46" s="3144" t="s">
        <v>1234</v>
      </c>
      <c r="O46" s="3144"/>
      <c r="P46" s="79"/>
      <c r="Q46" s="79"/>
      <c r="R46" s="79"/>
      <c r="S46" s="79"/>
      <c r="T46" s="79"/>
      <c r="U46" s="79"/>
      <c r="V46" s="79"/>
      <c r="W46" s="79"/>
      <c r="X46" s="79"/>
      <c r="Y46" s="79"/>
      <c r="AA46" s="1415">
        <v>46</v>
      </c>
    </row>
    <row r="47" spans="1:27" ht="13.35" customHeight="1">
      <c r="A47" s="2916" t="s">
        <v>1339</v>
      </c>
      <c r="B47" s="2799">
        <f t="shared" ref="B47:K47" si="19">$B$15*(1+$B$6)^(B46-1)</f>
        <v>3755136.6906822491</v>
      </c>
      <c r="C47" s="2799">
        <f t="shared" si="19"/>
        <v>3830239.4244958935</v>
      </c>
      <c r="D47" s="2799">
        <f t="shared" si="19"/>
        <v>3906844.2129858118</v>
      </c>
      <c r="E47" s="2799">
        <f t="shared" si="19"/>
        <v>3984981.0972455279</v>
      </c>
      <c r="F47" s="2799">
        <f t="shared" si="19"/>
        <v>4064680.7191904387</v>
      </c>
      <c r="G47" s="2799">
        <f t="shared" si="19"/>
        <v>4145974.3335742466</v>
      </c>
      <c r="H47" s="2799">
        <f t="shared" si="19"/>
        <v>4228893.8202457326</v>
      </c>
      <c r="I47" s="2799">
        <f t="shared" si="19"/>
        <v>4313471.6966506476</v>
      </c>
      <c r="J47" s="2799">
        <f t="shared" si="19"/>
        <v>4399741.1305836597</v>
      </c>
      <c r="K47" s="2800">
        <f t="shared" si="19"/>
        <v>4487735.9531953325</v>
      </c>
      <c r="L47" s="79"/>
      <c r="M47" s="79"/>
      <c r="N47" s="3503"/>
      <c r="O47" s="3505"/>
      <c r="P47" s="79"/>
      <c r="Q47" s="79"/>
      <c r="R47" s="79"/>
      <c r="S47" s="79"/>
      <c r="T47" s="79"/>
      <c r="U47" s="79"/>
      <c r="V47" s="79"/>
      <c r="W47" s="79"/>
      <c r="X47" s="79"/>
      <c r="Y47" s="79"/>
      <c r="Z47" s="1413" t="s">
        <v>1366</v>
      </c>
      <c r="AA47" s="1415">
        <v>47</v>
      </c>
    </row>
    <row r="48" spans="1:27" ht="13.35" customHeight="1">
      <c r="A48" s="246" t="s">
        <v>1225</v>
      </c>
      <c r="B48" s="2801">
        <f t="shared" ref="B48:K48" si="20">$B$16*(1+$B$6)^(B46-1)</f>
        <v>75102.733813644983</v>
      </c>
      <c r="C48" s="2801">
        <f t="shared" si="20"/>
        <v>76604.788489917875</v>
      </c>
      <c r="D48" s="2801">
        <f t="shared" si="20"/>
        <v>78136.884259716244</v>
      </c>
      <c r="E48" s="2801">
        <f t="shared" si="20"/>
        <v>79699.621944910556</v>
      </c>
      <c r="F48" s="2801">
        <f t="shared" si="20"/>
        <v>81293.614383808774</v>
      </c>
      <c r="G48" s="2801">
        <f t="shared" si="20"/>
        <v>82919.486671484934</v>
      </c>
      <c r="H48" s="2801">
        <f t="shared" si="20"/>
        <v>84577.876404914641</v>
      </c>
      <c r="I48" s="2801">
        <f t="shared" si="20"/>
        <v>86269.433933012944</v>
      </c>
      <c r="J48" s="2801">
        <f t="shared" si="20"/>
        <v>87994.822611673197</v>
      </c>
      <c r="K48" s="2802">
        <f t="shared" si="20"/>
        <v>89754.719063906654</v>
      </c>
      <c r="L48" s="79"/>
      <c r="M48" s="79"/>
      <c r="N48" s="3500"/>
      <c r="O48" s="3502"/>
      <c r="P48" s="79"/>
      <c r="Q48" s="79"/>
      <c r="R48" s="79"/>
      <c r="S48" s="79"/>
      <c r="T48" s="79"/>
      <c r="U48" s="79"/>
      <c r="V48" s="79"/>
      <c r="W48" s="79"/>
      <c r="X48" s="79"/>
      <c r="Y48" s="79"/>
      <c r="Z48" s="1413" t="s">
        <v>1366</v>
      </c>
      <c r="AA48" s="1415">
        <v>48</v>
      </c>
    </row>
    <row r="49" spans="1:27" ht="13.35" customHeight="1">
      <c r="A49" s="246" t="s">
        <v>1342</v>
      </c>
      <c r="B49" s="2801">
        <f t="shared" ref="B49:K49" si="21">-(B47+B48)*$B$9</f>
        <v>-268116.75971471262</v>
      </c>
      <c r="C49" s="2801">
        <f t="shared" si="21"/>
        <v>-273479.09490900679</v>
      </c>
      <c r="D49" s="2801">
        <f t="shared" si="21"/>
        <v>-278948.67680718697</v>
      </c>
      <c r="E49" s="2801">
        <f t="shared" si="21"/>
        <v>-284527.65034333069</v>
      </c>
      <c r="F49" s="2801">
        <f t="shared" si="21"/>
        <v>-290218.20335019735</v>
      </c>
      <c r="G49" s="2801">
        <f t="shared" si="21"/>
        <v>-296022.56741720124</v>
      </c>
      <c r="H49" s="2801">
        <f t="shared" si="21"/>
        <v>-301943.01876554533</v>
      </c>
      <c r="I49" s="2801">
        <f t="shared" si="21"/>
        <v>-307981.87914085627</v>
      </c>
      <c r="J49" s="2801">
        <f t="shared" si="21"/>
        <v>-314141.51672367333</v>
      </c>
      <c r="K49" s="2802">
        <f t="shared" si="21"/>
        <v>-320424.34705814678</v>
      </c>
      <c r="L49" s="79"/>
      <c r="M49" s="79"/>
      <c r="N49" s="3500"/>
      <c r="O49" s="3502"/>
      <c r="P49" s="79"/>
      <c r="Q49" s="79"/>
      <c r="R49" s="79"/>
      <c r="S49" s="79"/>
      <c r="T49" s="79"/>
      <c r="U49" s="79"/>
      <c r="V49" s="79"/>
      <c r="W49" s="79"/>
      <c r="X49" s="79"/>
      <c r="Y49" s="79"/>
      <c r="Z49" s="1413" t="s">
        <v>1366</v>
      </c>
      <c r="AA49" s="1415">
        <v>49</v>
      </c>
    </row>
    <row r="50" spans="1:27" ht="13.35" customHeight="1">
      <c r="A50" s="246" t="s">
        <v>1345</v>
      </c>
      <c r="B50" s="2801">
        <f>'Part V-Revenues &amp; Expenses'!H194</f>
        <v>0</v>
      </c>
      <c r="C50" s="2801">
        <f>'Part V-Revenues &amp; Expenses'!I194</f>
        <v>0</v>
      </c>
      <c r="D50" s="2801">
        <f>'Part V-Revenues &amp; Expenses'!J194</f>
        <v>0</v>
      </c>
      <c r="E50" s="2801">
        <f>'Part V-Revenues &amp; Expenses'!K194</f>
        <v>0</v>
      </c>
      <c r="F50" s="2801">
        <f>'Part V-Revenues &amp; Expenses'!L194</f>
        <v>0</v>
      </c>
      <c r="G50" s="2801">
        <f>'Part V-Revenues &amp; Expenses'!M194</f>
        <v>0</v>
      </c>
      <c r="H50" s="2801">
        <f>'Part V-Revenues &amp; Expenses'!N194</f>
        <v>0</v>
      </c>
      <c r="I50" s="2801">
        <f>'Part V-Revenues &amp; Expenses'!O194</f>
        <v>0</v>
      </c>
      <c r="J50" s="2801">
        <f>'Part V-Revenues &amp; Expenses'!P194</f>
        <v>0</v>
      </c>
      <c r="K50" s="2802">
        <f>'Part V-Revenues &amp; Expenses'!Q194</f>
        <v>0</v>
      </c>
      <c r="L50" s="79"/>
      <c r="M50" s="79"/>
      <c r="N50" s="3500"/>
      <c r="O50" s="3502"/>
      <c r="P50" s="79"/>
      <c r="Q50" s="79"/>
      <c r="R50" s="79"/>
      <c r="S50" s="79"/>
      <c r="T50" s="79"/>
      <c r="U50" s="79"/>
      <c r="V50" s="79"/>
      <c r="W50" s="79"/>
      <c r="X50" s="79"/>
      <c r="Y50" s="79"/>
      <c r="Z50" s="1413" t="s">
        <v>1366</v>
      </c>
      <c r="AA50" s="1415">
        <v>50</v>
      </c>
    </row>
    <row r="51" spans="1:27" ht="13.35" customHeight="1">
      <c r="A51" s="246" t="s">
        <v>1346</v>
      </c>
      <c r="B51" s="2801">
        <f>'Part V-Revenues &amp; Expenses'!H198</f>
        <v>0</v>
      </c>
      <c r="C51" s="2801">
        <f>'Part V-Revenues &amp; Expenses'!I198</f>
        <v>0</v>
      </c>
      <c r="D51" s="2801">
        <f>'Part V-Revenues &amp; Expenses'!J198</f>
        <v>0</v>
      </c>
      <c r="E51" s="2801">
        <f>'Part V-Revenues &amp; Expenses'!K198</f>
        <v>0</v>
      </c>
      <c r="F51" s="2801">
        <f>'Part V-Revenues &amp; Expenses'!L198</f>
        <v>0</v>
      </c>
      <c r="G51" s="2801">
        <f>'Part V-Revenues &amp; Expenses'!M198</f>
        <v>0</v>
      </c>
      <c r="H51" s="2801">
        <f>'Part V-Revenues &amp; Expenses'!N198</f>
        <v>0</v>
      </c>
      <c r="I51" s="2801">
        <f>'Part V-Revenues &amp; Expenses'!O198</f>
        <v>0</v>
      </c>
      <c r="J51" s="2801">
        <f>'Part V-Revenues &amp; Expenses'!P198</f>
        <v>0</v>
      </c>
      <c r="K51" s="2802">
        <f>'Part V-Revenues &amp; Expenses'!Q198</f>
        <v>0</v>
      </c>
      <c r="L51" s="79"/>
      <c r="M51" s="79"/>
      <c r="N51" s="3500"/>
      <c r="O51" s="3502"/>
      <c r="P51" s="79"/>
      <c r="Q51" s="79"/>
      <c r="R51" s="79"/>
      <c r="S51" s="79"/>
      <c r="T51" s="79"/>
      <c r="U51" s="79"/>
      <c r="V51" s="79"/>
      <c r="W51" s="79"/>
      <c r="X51" s="79"/>
      <c r="Y51" s="79"/>
      <c r="Z51" s="1413" t="s">
        <v>1366</v>
      </c>
      <c r="AA51" s="1415">
        <v>51</v>
      </c>
    </row>
    <row r="52" spans="1:27" ht="13.35" customHeight="1">
      <c r="A52" s="246" t="s">
        <v>1347</v>
      </c>
      <c r="B52" s="2801">
        <f t="shared" ref="B52:K52" si="22">SUM(B47:B51)</f>
        <v>3562122.6647811811</v>
      </c>
      <c r="C52" s="2801">
        <f t="shared" si="22"/>
        <v>3633365.1180768046</v>
      </c>
      <c r="D52" s="2801">
        <f t="shared" si="22"/>
        <v>3706032.4204383409</v>
      </c>
      <c r="E52" s="2801">
        <f t="shared" si="22"/>
        <v>3780153.0688471077</v>
      </c>
      <c r="F52" s="2801">
        <f t="shared" si="22"/>
        <v>3855756.13022405</v>
      </c>
      <c r="G52" s="2801">
        <f t="shared" si="22"/>
        <v>3932871.2528285305</v>
      </c>
      <c r="H52" s="2801">
        <f t="shared" si="22"/>
        <v>4011528.6778851021</v>
      </c>
      <c r="I52" s="2801">
        <f t="shared" si="22"/>
        <v>4091759.2514428045</v>
      </c>
      <c r="J52" s="2801">
        <f t="shared" si="22"/>
        <v>4173594.4364716592</v>
      </c>
      <c r="K52" s="2802">
        <f t="shared" si="22"/>
        <v>4257066.3252010923</v>
      </c>
      <c r="L52" s="79"/>
      <c r="M52" s="79"/>
      <c r="N52" s="3500"/>
      <c r="O52" s="3502"/>
      <c r="P52" s="79"/>
      <c r="Q52" s="79"/>
      <c r="R52" s="79"/>
      <c r="S52" s="79"/>
      <c r="T52" s="79"/>
      <c r="U52" s="79"/>
      <c r="V52" s="79"/>
      <c r="W52" s="79"/>
      <c r="X52" s="79"/>
      <c r="Y52" s="79"/>
      <c r="Z52" s="1413" t="s">
        <v>1366</v>
      </c>
      <c r="AA52" s="1415">
        <v>52</v>
      </c>
    </row>
    <row r="53" spans="1:27" ht="13.35" customHeight="1">
      <c r="A53" s="246" t="s">
        <v>1348</v>
      </c>
      <c r="B53" s="2801">
        <f t="shared" ref="B53:K53" si="23">$B$21*(1+$B$7)^(B46-1)</f>
        <v>-1802300.7219271942</v>
      </c>
      <c r="C53" s="2801">
        <f t="shared" si="23"/>
        <v>-1856369.7435850101</v>
      </c>
      <c r="D53" s="2801">
        <f t="shared" si="23"/>
        <v>-1912060.8358925602</v>
      </c>
      <c r="E53" s="2801">
        <f t="shared" si="23"/>
        <v>-1969422.6609693367</v>
      </c>
      <c r="F53" s="2801">
        <f t="shared" si="23"/>
        <v>-2028505.3407984171</v>
      </c>
      <c r="G53" s="2801">
        <f t="shared" si="23"/>
        <v>-2089360.5010223698</v>
      </c>
      <c r="H53" s="2801">
        <f t="shared" si="23"/>
        <v>-2152041.3160530403</v>
      </c>
      <c r="I53" s="2801">
        <f t="shared" si="23"/>
        <v>-2216602.5555346315</v>
      </c>
      <c r="J53" s="2801">
        <f t="shared" si="23"/>
        <v>-2283100.6322006709</v>
      </c>
      <c r="K53" s="2802">
        <f t="shared" si="23"/>
        <v>-2351593.6511666905</v>
      </c>
      <c r="L53" s="79"/>
      <c r="M53" s="79"/>
      <c r="N53" s="3500"/>
      <c r="O53" s="3502"/>
      <c r="P53" s="79"/>
      <c r="Q53" s="79"/>
      <c r="R53" s="79"/>
      <c r="S53" s="79"/>
      <c r="T53" s="79"/>
      <c r="U53" s="79"/>
      <c r="V53" s="79"/>
      <c r="W53" s="79"/>
      <c r="X53" s="79"/>
      <c r="Y53" s="79"/>
      <c r="Z53" s="1413" t="s">
        <v>1366</v>
      </c>
      <c r="AA53" s="1415">
        <v>53</v>
      </c>
    </row>
    <row r="54" spans="1:27" ht="13.35" customHeight="1">
      <c r="A54" s="246" t="s">
        <v>1349</v>
      </c>
      <c r="B54" s="2801">
        <f>IF(AND('Part VI-Pro Forma'!$G$9="Yes",'Part VI-Pro Forma'!$G$10="Yes"),"Choose One!",IF('Part VI-Pro Forma'!$G$9="Yes",ROUND((-$K$9*(1+'Part VI-Pro Forma'!$B$7)^('Part VI-Pro Forma'!B46-1)),),IF('Part VI-Pro Forma'!$G$10="Yes",ROUND((-(SUM(B47:B50)*'Part VI-Pro Forma'!$K$10)),),"Choose mgt fee")))</f>
        <v>-195917</v>
      </c>
      <c r="C54" s="2801">
        <f>IF(AND('Part VI-Pro Forma'!$G$9="Yes",'Part VI-Pro Forma'!$G$10="Yes"),"Choose One!",IF('Part VI-Pro Forma'!$G$9="Yes",ROUND((-$K$9*(1+'Part VI-Pro Forma'!$B$7)^('Part VI-Pro Forma'!C46-1)),),IF('Part VI-Pro Forma'!$G$10="Yes",ROUND((-(SUM(C47:C50)*'Part VI-Pro Forma'!$K$10)),),"Choose mgt fee")))</f>
        <v>-199835</v>
      </c>
      <c r="D54" s="2801">
        <f>IF(AND('Part VI-Pro Forma'!$G$9="Yes",'Part VI-Pro Forma'!$G$10="Yes"),"Choose One!",IF('Part VI-Pro Forma'!$G$9="Yes",ROUND((-$K$9*(1+'Part VI-Pro Forma'!$B$7)^('Part VI-Pro Forma'!D46-1)),),IF('Part VI-Pro Forma'!$G$10="Yes",ROUND((-(SUM(D47:D50)*'Part VI-Pro Forma'!$K$10)),),"Choose mgt fee")))</f>
        <v>-203832</v>
      </c>
      <c r="E54" s="2801">
        <f>IF(AND('Part VI-Pro Forma'!$G$9="Yes",'Part VI-Pro Forma'!$G$10="Yes"),"Choose One!",IF('Part VI-Pro Forma'!$G$9="Yes",ROUND((-$K$9*(1+'Part VI-Pro Forma'!$B$7)^('Part VI-Pro Forma'!E46-1)),),IF('Part VI-Pro Forma'!$G$10="Yes",ROUND((-(SUM(E47:E50)*'Part VI-Pro Forma'!$K$10)),),"Choose mgt fee")))</f>
        <v>-207908</v>
      </c>
      <c r="F54" s="2801">
        <f>IF(AND('Part VI-Pro Forma'!$G$9="Yes",'Part VI-Pro Forma'!$G$10="Yes"),"Choose One!",IF('Part VI-Pro Forma'!$G$9="Yes",ROUND((-$K$9*(1+'Part VI-Pro Forma'!$B$7)^('Part VI-Pro Forma'!F46-1)),),IF('Part VI-Pro Forma'!$G$10="Yes",ROUND((-(SUM(F47:F50)*'Part VI-Pro Forma'!$K$10)),),"Choose mgt fee")))</f>
        <v>-212067</v>
      </c>
      <c r="G54" s="2801">
        <f>IF(AND('Part VI-Pro Forma'!$G$9="Yes",'Part VI-Pro Forma'!$G$10="Yes"),"Choose One!",IF('Part VI-Pro Forma'!$G$9="Yes",ROUND((-$K$9*(1+'Part VI-Pro Forma'!$B$7)^('Part VI-Pro Forma'!G46-1)),),IF('Part VI-Pro Forma'!$G$10="Yes",ROUND((-(SUM(G47:G50)*'Part VI-Pro Forma'!$K$10)),),"Choose mgt fee")))</f>
        <v>-216308</v>
      </c>
      <c r="H54" s="2801">
        <f>IF(AND('Part VI-Pro Forma'!$G$9="Yes",'Part VI-Pro Forma'!$G$10="Yes"),"Choose One!",IF('Part VI-Pro Forma'!$G$9="Yes",ROUND((-$K$9*(1+'Part VI-Pro Forma'!$B$7)^('Part VI-Pro Forma'!H46-1)),),IF('Part VI-Pro Forma'!$G$10="Yes",ROUND((-(SUM(H47:H50)*'Part VI-Pro Forma'!$K$10)),),"Choose mgt fee")))</f>
        <v>-220634</v>
      </c>
      <c r="I54" s="2801">
        <f>IF(AND('Part VI-Pro Forma'!$G$9="Yes",'Part VI-Pro Forma'!$G$10="Yes"),"Choose One!",IF('Part VI-Pro Forma'!$G$9="Yes",ROUND((-$K$9*(1+'Part VI-Pro Forma'!$B$7)^('Part VI-Pro Forma'!I46-1)),),IF('Part VI-Pro Forma'!$G$10="Yes",ROUND((-(SUM(I47:I50)*'Part VI-Pro Forma'!$K$10)),),"Choose mgt fee")))</f>
        <v>-225047</v>
      </c>
      <c r="J54" s="2801">
        <f>IF(AND('Part VI-Pro Forma'!$G$9="Yes",'Part VI-Pro Forma'!$G$10="Yes"),"Choose One!",IF('Part VI-Pro Forma'!$G$9="Yes",ROUND((-$K$9*(1+'Part VI-Pro Forma'!$B$7)^('Part VI-Pro Forma'!J46-1)),),IF('Part VI-Pro Forma'!$G$10="Yes",ROUND((-(SUM(J47:J50)*'Part VI-Pro Forma'!$K$10)),),"Choose mgt fee")))</f>
        <v>-229548</v>
      </c>
      <c r="K54" s="2802">
        <f>IF(AND('Part VI-Pro Forma'!$G$9="Yes",'Part VI-Pro Forma'!$G$10="Yes"),"Choose One!",IF('Part VI-Pro Forma'!$G$9="Yes",ROUND((-$K$9*(1+'Part VI-Pro Forma'!$B$7)^('Part VI-Pro Forma'!K46-1)),),IF('Part VI-Pro Forma'!$G$10="Yes",ROUND((-(SUM(K47:K50)*'Part VI-Pro Forma'!$K$10)),),"Choose mgt fee")))</f>
        <v>-234139</v>
      </c>
      <c r="L54" s="79"/>
      <c r="M54" s="79"/>
      <c r="N54" s="3500"/>
      <c r="O54" s="3502"/>
      <c r="P54" s="79"/>
      <c r="Q54" s="79"/>
      <c r="R54" s="79"/>
      <c r="S54" s="79"/>
      <c r="T54" s="79"/>
      <c r="U54" s="79"/>
      <c r="V54" s="79"/>
      <c r="W54" s="79"/>
      <c r="X54" s="79"/>
      <c r="Y54" s="79"/>
      <c r="Z54" s="1413" t="s">
        <v>1366</v>
      </c>
      <c r="AA54" s="1415">
        <v>54</v>
      </c>
    </row>
    <row r="55" spans="1:27" ht="13.35" customHeight="1">
      <c r="A55" s="246" t="s">
        <v>1350</v>
      </c>
      <c r="B55" s="2801">
        <f t="shared" ref="B55:K55" si="24">$B$23*(1+$B$8)^(B46-1)</f>
        <v>-93603.775821318079</v>
      </c>
      <c r="C55" s="2801">
        <f t="shared" si="24"/>
        <v>-96411.889095957624</v>
      </c>
      <c r="D55" s="2801">
        <f t="shared" si="24"/>
        <v>-99304.245768836336</v>
      </c>
      <c r="E55" s="2801">
        <f t="shared" si="24"/>
        <v>-102283.37314190142</v>
      </c>
      <c r="F55" s="2801">
        <f t="shared" si="24"/>
        <v>-105351.87433615848</v>
      </c>
      <c r="G55" s="2801">
        <f t="shared" si="24"/>
        <v>-108512.43056624325</v>
      </c>
      <c r="H55" s="2801">
        <f t="shared" si="24"/>
        <v>-111767.80348323051</v>
      </c>
      <c r="I55" s="2801">
        <f t="shared" si="24"/>
        <v>-115120.83758772744</v>
      </c>
      <c r="J55" s="2801">
        <f t="shared" si="24"/>
        <v>-118574.46271535926</v>
      </c>
      <c r="K55" s="2802">
        <f t="shared" si="24"/>
        <v>-122131.69659682004</v>
      </c>
      <c r="L55" s="79"/>
      <c r="M55" s="79"/>
      <c r="N55" s="3500"/>
      <c r="O55" s="3502"/>
      <c r="P55" s="79"/>
      <c r="Q55" s="60"/>
      <c r="R55" s="2803"/>
      <c r="S55" s="2803"/>
      <c r="T55" s="79"/>
      <c r="U55" s="79"/>
      <c r="V55" s="79"/>
      <c r="W55" s="79"/>
      <c r="X55" s="79"/>
      <c r="Y55" s="79"/>
      <c r="Z55" s="1413" t="s">
        <v>1366</v>
      </c>
      <c r="AA55" s="1415">
        <v>55</v>
      </c>
    </row>
    <row r="56" spans="1:27" ht="13.35" customHeight="1">
      <c r="A56" s="246" t="s">
        <v>1351</v>
      </c>
      <c r="B56" s="2804">
        <f>IF(B46&lt;=+'Part V-Revenues &amp; Expenses'!$N$251,-'Part V-Revenues &amp; Expenses'!$K$251,0)</f>
        <v>-10</v>
      </c>
      <c r="C56" s="2804">
        <f>IF(C46&lt;=+'Part V-Revenues &amp; Expenses'!$N$251,-'Part V-Revenues &amp; Expenses'!$K$251,0)</f>
        <v>-10</v>
      </c>
      <c r="D56" s="2804">
        <f>IF(D46&lt;=+'Part V-Revenues &amp; Expenses'!$N$251,-'Part V-Revenues &amp; Expenses'!$K$251,0)</f>
        <v>-10</v>
      </c>
      <c r="E56" s="2804">
        <f>IF(E46&lt;=+'Part V-Revenues &amp; Expenses'!$N$251,-'Part V-Revenues &amp; Expenses'!$K$251,0)</f>
        <v>-10</v>
      </c>
      <c r="F56" s="2804">
        <f>IF(F46&lt;=+'Part V-Revenues &amp; Expenses'!$N$251,-'Part V-Revenues &amp; Expenses'!$K$251,0)</f>
        <v>-10</v>
      </c>
      <c r="G56" s="2804">
        <f>IF(G46&lt;=+'Part V-Revenues &amp; Expenses'!$N$251,-'Part V-Revenues &amp; Expenses'!$K$251,0)</f>
        <v>-10</v>
      </c>
      <c r="H56" s="2804">
        <f>IF(H46&lt;=+'Part V-Revenues &amp; Expenses'!$N$251,-'Part V-Revenues &amp; Expenses'!$K$251,0)</f>
        <v>-10</v>
      </c>
      <c r="I56" s="2804">
        <f>IF(I46&lt;=+'Part V-Revenues &amp; Expenses'!$N$251,-'Part V-Revenues &amp; Expenses'!$K$251,0)</f>
        <v>-10</v>
      </c>
      <c r="J56" s="2804">
        <f>IF(J46&lt;=+'Part V-Revenues &amp; Expenses'!$N$251,-'Part V-Revenues &amp; Expenses'!$K$251,0)</f>
        <v>-10</v>
      </c>
      <c r="K56" s="2804">
        <f>IF(K46&lt;=+'Part V-Revenues &amp; Expenses'!$N$251,-'Part V-Revenues &amp; Expenses'!$K$251,0)</f>
        <v>-10</v>
      </c>
      <c r="L56" s="79"/>
      <c r="M56" s="79"/>
      <c r="N56" s="3500"/>
      <c r="O56" s="3502"/>
      <c r="P56" s="79"/>
      <c r="Q56" s="79"/>
      <c r="R56" s="79"/>
      <c r="S56" s="79"/>
      <c r="T56" s="79"/>
      <c r="U56" s="79"/>
      <c r="V56" s="79"/>
      <c r="W56" s="79"/>
      <c r="X56" s="79"/>
      <c r="Y56" s="79"/>
      <c r="Z56" s="1413" t="s">
        <v>1366</v>
      </c>
      <c r="AA56" s="1415">
        <v>56</v>
      </c>
    </row>
    <row r="57" spans="1:27" ht="13.35" customHeight="1">
      <c r="A57" s="246" t="s">
        <v>1352</v>
      </c>
      <c r="B57" s="2801">
        <f t="shared" ref="B57:K57" si="25">SUM(B52:B56)</f>
        <v>1470291.1670326688</v>
      </c>
      <c r="C57" s="2801">
        <f t="shared" si="25"/>
        <v>1480738.4853958369</v>
      </c>
      <c r="D57" s="2801">
        <f t="shared" si="25"/>
        <v>1490825.3387769444</v>
      </c>
      <c r="E57" s="2801">
        <f t="shared" si="25"/>
        <v>1500529.0347358696</v>
      </c>
      <c r="F57" s="2801">
        <f t="shared" si="25"/>
        <v>1509821.9150894745</v>
      </c>
      <c r="G57" s="2801">
        <f t="shared" si="25"/>
        <v>1518680.3212399175</v>
      </c>
      <c r="H57" s="2801">
        <f t="shared" si="25"/>
        <v>1527075.5583488313</v>
      </c>
      <c r="I57" s="2801">
        <f t="shared" si="25"/>
        <v>1534978.8583204455</v>
      </c>
      <c r="J57" s="2801">
        <f t="shared" si="25"/>
        <v>1542361.3415556292</v>
      </c>
      <c r="K57" s="2805">
        <f t="shared" si="25"/>
        <v>1549191.9774375816</v>
      </c>
      <c r="L57" s="79"/>
      <c r="M57" s="79"/>
      <c r="N57" s="3500"/>
      <c r="O57" s="3502"/>
      <c r="P57" s="79"/>
      <c r="Q57" s="79"/>
      <c r="R57" s="79"/>
      <c r="S57" s="79"/>
      <c r="T57" s="79"/>
      <c r="U57" s="79"/>
      <c r="V57" s="79"/>
      <c r="W57" s="79"/>
      <c r="X57" s="79"/>
      <c r="Y57" s="79"/>
      <c r="Z57" s="1413" t="s">
        <v>1366</v>
      </c>
      <c r="AA57" s="1415">
        <v>57</v>
      </c>
    </row>
    <row r="58" spans="1:27" ht="13.35" customHeight="1">
      <c r="A58" s="246" t="str">
        <f>$A26</f>
        <v>Mortgage A</v>
      </c>
      <c r="B58" s="2806">
        <f>IF('Part II-Sources of Funds'!$P$40="", 0,-'Part II-Sources of Funds'!$P$40)</f>
        <v>-1082324.8914344434</v>
      </c>
      <c r="C58" s="2806">
        <f>IF('Part II-Sources of Funds'!$P$40="", 0,-'Part II-Sources of Funds'!$P$40)</f>
        <v>-1082324.8914344434</v>
      </c>
      <c r="D58" s="2806">
        <f>IF('Part II-Sources of Funds'!$P$40="", 0,-'Part II-Sources of Funds'!$P$40)</f>
        <v>-1082324.8914344434</v>
      </c>
      <c r="E58" s="2806">
        <f>IF('Part II-Sources of Funds'!$P$40="", 0,-'Part II-Sources of Funds'!$P$40)</f>
        <v>-1082324.8914344434</v>
      </c>
      <c r="F58" s="2806">
        <f>IF('Part II-Sources of Funds'!$P$40="", 0,-'Part II-Sources of Funds'!$P$40)</f>
        <v>-1082324.8914344434</v>
      </c>
      <c r="G58" s="2806">
        <f>IF('Part II-Sources of Funds'!$P$40="", 0,-'Part II-Sources of Funds'!$P$40)</f>
        <v>-1082324.8914344434</v>
      </c>
      <c r="H58" s="2806">
        <f>IF('Part II-Sources of Funds'!$P$40="", 0,-'Part II-Sources of Funds'!$P$40)</f>
        <v>-1082324.8914344434</v>
      </c>
      <c r="I58" s="2806">
        <f>IF('Part II-Sources of Funds'!$P$40="", 0,-'Part II-Sources of Funds'!$P$40)</f>
        <v>-1082324.8914344434</v>
      </c>
      <c r="J58" s="2806">
        <f>IF('Part II-Sources of Funds'!$P$40="", 0,-'Part II-Sources of Funds'!$P$40)</f>
        <v>-1082324.8914344434</v>
      </c>
      <c r="K58" s="2806">
        <f>IF('Part II-Sources of Funds'!$P$40="", 0,-'Part II-Sources of Funds'!$P$40)</f>
        <v>-1082324.8914344434</v>
      </c>
      <c r="L58" s="79"/>
      <c r="M58" s="79"/>
      <c r="N58" s="3500"/>
      <c r="O58" s="3502"/>
      <c r="P58" s="79"/>
      <c r="Q58" s="79"/>
      <c r="R58" s="79"/>
      <c r="S58" s="79"/>
      <c r="T58" s="79"/>
      <c r="U58" s="79"/>
      <c r="V58" s="79"/>
      <c r="W58" s="79"/>
      <c r="X58" s="79"/>
      <c r="Y58" s="79"/>
      <c r="Z58" s="1413" t="s">
        <v>1366</v>
      </c>
      <c r="AA58" s="1415">
        <v>58</v>
      </c>
    </row>
    <row r="59" spans="1:27" ht="13.35" customHeight="1">
      <c r="A59" s="246" t="str">
        <f>$A27</f>
        <v>Mortgage B</v>
      </c>
      <c r="B59" s="2807">
        <f>-(B57+B58)*0.25</f>
        <v>-96991.568899556354</v>
      </c>
      <c r="C59" s="2807">
        <f t="shared" ref="C59" si="26">-(C57+C58)*0.25</f>
        <v>-99603.398490348365</v>
      </c>
      <c r="D59" s="2807">
        <f t="shared" ref="D59" si="27">-(D57+D58)*0.25</f>
        <v>-102125.11183562526</v>
      </c>
      <c r="E59" s="2807">
        <f t="shared" ref="E59" si="28">-(E57+E58)*0.25</f>
        <v>-104551.03582535655</v>
      </c>
      <c r="F59" s="2807">
        <f t="shared" ref="F59" si="29">-(F57+F58)*0.25</f>
        <v>-106874.25591375778</v>
      </c>
      <c r="G59" s="2807">
        <f t="shared" ref="G59" si="30">-(G57+G58)*0.25</f>
        <v>-109088.85745136853</v>
      </c>
      <c r="H59" s="2807">
        <f t="shared" ref="H59" si="31">-(H57+H58)*0.25</f>
        <v>-111187.66672859696</v>
      </c>
      <c r="I59" s="2807">
        <f t="shared" ref="I59" si="32">-(I57+I58)*0.25</f>
        <v>-113163.49172150053</v>
      </c>
      <c r="J59" s="2807">
        <f t="shared" ref="J59" si="33">-(J57+J58)*0.25</f>
        <v>-115009.11253029644</v>
      </c>
      <c r="K59" s="2807">
        <f t="shared" ref="K59" si="34">-(K57+K58)*0.25</f>
        <v>-116716.77150078455</v>
      </c>
      <c r="L59" s="79"/>
      <c r="M59" s="79"/>
      <c r="N59" s="3500"/>
      <c r="O59" s="3502"/>
      <c r="P59" s="79"/>
      <c r="Q59" s="79"/>
      <c r="R59" s="79"/>
      <c r="S59" s="79"/>
      <c r="T59" s="79"/>
      <c r="U59" s="79"/>
      <c r="V59" s="79"/>
      <c r="W59" s="79"/>
      <c r="X59" s="79"/>
      <c r="Y59" s="79"/>
      <c r="Z59" s="1413" t="s">
        <v>1366</v>
      </c>
      <c r="AA59" s="1415">
        <v>59</v>
      </c>
    </row>
    <row r="60" spans="1:27" ht="13.35" customHeight="1">
      <c r="A60" s="246" t="str">
        <f>$A28</f>
        <v>Mortgage C</v>
      </c>
      <c r="B60" s="2807">
        <f>IF('Part II-Sources of Funds'!$P$42="", 0,-'Part II-Sources of Funds'!$P$42)</f>
        <v>0</v>
      </c>
      <c r="C60" s="2807">
        <f>IF('Part II-Sources of Funds'!$P$42="", 0,-'Part II-Sources of Funds'!$P$42)</f>
        <v>0</v>
      </c>
      <c r="D60" s="2807">
        <f>IF('Part II-Sources of Funds'!$P$42="", 0,-'Part II-Sources of Funds'!$P$42)</f>
        <v>0</v>
      </c>
      <c r="E60" s="2807">
        <f>IF('Part II-Sources of Funds'!$P$42="", 0,-'Part II-Sources of Funds'!$P$42)</f>
        <v>0</v>
      </c>
      <c r="F60" s="2807">
        <f>IF('Part II-Sources of Funds'!$P$42="", 0,-'Part II-Sources of Funds'!$P$42)</f>
        <v>0</v>
      </c>
      <c r="G60" s="2807">
        <f>IF('Part II-Sources of Funds'!$P$42="", 0,-'Part II-Sources of Funds'!$P$42)</f>
        <v>0</v>
      </c>
      <c r="H60" s="2807">
        <f>IF('Part II-Sources of Funds'!$P$42="", 0,-'Part II-Sources of Funds'!$P$42)</f>
        <v>0</v>
      </c>
      <c r="I60" s="2807">
        <f>IF('Part II-Sources of Funds'!$P$42="", 0,-'Part II-Sources of Funds'!$P$42)</f>
        <v>0</v>
      </c>
      <c r="J60" s="2807">
        <f>IF('Part II-Sources of Funds'!$P$42="", 0,-'Part II-Sources of Funds'!$P$42)</f>
        <v>0</v>
      </c>
      <c r="K60" s="2807">
        <f>IF('Part II-Sources of Funds'!$P$42="", 0,-'Part II-Sources of Funds'!$P$42)</f>
        <v>0</v>
      </c>
      <c r="L60" s="79"/>
      <c r="M60" s="79"/>
      <c r="N60" s="3500"/>
      <c r="O60" s="3502"/>
      <c r="P60" s="79"/>
      <c r="Q60" s="79"/>
      <c r="R60" s="79"/>
      <c r="S60" s="79"/>
      <c r="T60" s="79"/>
      <c r="U60" s="79"/>
      <c r="V60" s="79"/>
      <c r="W60" s="79"/>
      <c r="X60" s="79"/>
      <c r="Y60" s="79"/>
      <c r="Z60" s="1413" t="s">
        <v>1366</v>
      </c>
      <c r="AA60" s="1415">
        <v>60</v>
      </c>
    </row>
    <row r="61" spans="1:27" ht="13.35" customHeight="1">
      <c r="A61" s="246" t="str">
        <f>$A29</f>
        <v>D/S Other Source,not DDF</v>
      </c>
      <c r="B61" s="2807">
        <f>IF('Part II-Sources of Funds'!$P$43="", 0,-'Part II-Sources of Funds'!$P$43)</f>
        <v>0</v>
      </c>
      <c r="C61" s="2807">
        <f>IF('Part II-Sources of Funds'!$P$43="", 0,-'Part II-Sources of Funds'!$P$43)</f>
        <v>0</v>
      </c>
      <c r="D61" s="2807">
        <f>IF('Part II-Sources of Funds'!$P$43="", 0,-'Part II-Sources of Funds'!$P$43)</f>
        <v>0</v>
      </c>
      <c r="E61" s="2807">
        <f>IF('Part II-Sources of Funds'!$P$43="", 0,-'Part II-Sources of Funds'!$P$43)</f>
        <v>0</v>
      </c>
      <c r="F61" s="2807">
        <f>IF('Part II-Sources of Funds'!$P$43="", 0,-'Part II-Sources of Funds'!$P$43)</f>
        <v>0</v>
      </c>
      <c r="G61" s="2807">
        <f>IF('Part II-Sources of Funds'!$P$43="", 0,-'Part II-Sources of Funds'!$P$43)</f>
        <v>0</v>
      </c>
      <c r="H61" s="2807">
        <f>IF('Part II-Sources of Funds'!$P$43="", 0,-'Part II-Sources of Funds'!$P$43)</f>
        <v>0</v>
      </c>
      <c r="I61" s="2807">
        <f>IF('Part II-Sources of Funds'!$P$43="", 0,-'Part II-Sources of Funds'!$P$43)</f>
        <v>0</v>
      </c>
      <c r="J61" s="2807">
        <f>IF('Part II-Sources of Funds'!$P$43="", 0,-'Part II-Sources of Funds'!$P$43)</f>
        <v>0</v>
      </c>
      <c r="K61" s="2807">
        <f>IF('Part II-Sources of Funds'!$P$43="", 0,-'Part II-Sources of Funds'!$P$43)</f>
        <v>0</v>
      </c>
      <c r="L61" s="79"/>
      <c r="M61" s="79"/>
      <c r="N61" s="3500"/>
      <c r="O61" s="3502"/>
      <c r="P61" s="79"/>
      <c r="Q61" s="79"/>
      <c r="R61" s="79"/>
      <c r="S61" s="79"/>
      <c r="T61" s="79"/>
      <c r="U61" s="79"/>
      <c r="V61" s="79"/>
      <c r="W61" s="79"/>
      <c r="X61" s="79"/>
      <c r="Y61" s="79"/>
      <c r="Z61" s="1413" t="s">
        <v>1366</v>
      </c>
      <c r="AA61" s="1415">
        <v>61</v>
      </c>
    </row>
    <row r="62" spans="1:27" ht="13.35" customHeight="1">
      <c r="A62" s="246" t="s">
        <v>1354</v>
      </c>
      <c r="B62" s="2808"/>
      <c r="C62" s="2808"/>
      <c r="D62" s="2808"/>
      <c r="E62" s="2808"/>
      <c r="F62" s="2808"/>
      <c r="G62" s="2808"/>
      <c r="H62" s="2808"/>
      <c r="I62" s="2808"/>
      <c r="J62" s="2808"/>
      <c r="K62" s="2808"/>
      <c r="L62" s="79"/>
      <c r="M62" s="79"/>
      <c r="N62" s="3500"/>
      <c r="O62" s="3502"/>
      <c r="P62" s="79"/>
      <c r="Q62" s="60"/>
      <c r="R62" s="2803"/>
      <c r="S62" s="79"/>
      <c r="T62" s="79"/>
      <c r="U62" s="79"/>
      <c r="V62" s="79"/>
      <c r="W62" s="79"/>
      <c r="X62" s="79"/>
      <c r="Y62" s="79"/>
      <c r="Z62" s="1413" t="s">
        <v>1366</v>
      </c>
      <c r="AA62" s="1415">
        <v>62</v>
      </c>
    </row>
    <row r="63" spans="1:27" ht="13.35" customHeight="1">
      <c r="A63" s="246" t="s">
        <v>1355</v>
      </c>
      <c r="B63" s="2807">
        <f>+K31</f>
        <v>-10000</v>
      </c>
      <c r="C63" s="2807">
        <f t="shared" ref="C63:K63" si="35">+B63</f>
        <v>-10000</v>
      </c>
      <c r="D63" s="2807">
        <f t="shared" si="35"/>
        <v>-10000</v>
      </c>
      <c r="E63" s="2807">
        <f t="shared" si="35"/>
        <v>-10000</v>
      </c>
      <c r="F63" s="2807">
        <f t="shared" si="35"/>
        <v>-10000</v>
      </c>
      <c r="G63" s="2807">
        <f t="shared" si="35"/>
        <v>-10000</v>
      </c>
      <c r="H63" s="2807">
        <f t="shared" si="35"/>
        <v>-10000</v>
      </c>
      <c r="I63" s="2807">
        <f t="shared" si="35"/>
        <v>-10000</v>
      </c>
      <c r="J63" s="2807">
        <f t="shared" si="35"/>
        <v>-10000</v>
      </c>
      <c r="K63" s="2807">
        <f t="shared" si="35"/>
        <v>-10000</v>
      </c>
      <c r="L63" s="79"/>
      <c r="M63" s="79"/>
      <c r="N63" s="3500"/>
      <c r="O63" s="3502"/>
      <c r="P63" s="79"/>
      <c r="Q63" s="79"/>
      <c r="R63" s="79"/>
      <c r="S63" s="79"/>
      <c r="T63" s="79"/>
      <c r="U63" s="79"/>
      <c r="V63" s="79"/>
      <c r="W63" s="79"/>
      <c r="X63" s="79"/>
      <c r="Y63" s="79"/>
      <c r="Z63" s="1413" t="s">
        <v>1366</v>
      </c>
      <c r="AA63" s="1415">
        <v>63</v>
      </c>
    </row>
    <row r="64" spans="1:27" ht="13.35" customHeight="1">
      <c r="A64" s="246" t="s">
        <v>1356</v>
      </c>
      <c r="B64" s="2810">
        <f>IF('Part II-Sources of Funds'!$P$45="", 0,-'Part II-Sources of Funds'!$P$45)</f>
        <v>0</v>
      </c>
      <c r="C64" s="2810">
        <f>IF('Part II-Sources of Funds'!$P$45="", 0,-'Part II-Sources of Funds'!$P$45)</f>
        <v>0</v>
      </c>
      <c r="D64" s="2810">
        <f>IF('Part II-Sources of Funds'!$P$45="", 0,-'Part II-Sources of Funds'!$P$45)</f>
        <v>0</v>
      </c>
      <c r="E64" s="2810">
        <f>IF('Part II-Sources of Funds'!$P$45="", 0,-'Part II-Sources of Funds'!$P$45)</f>
        <v>0</v>
      </c>
      <c r="F64" s="2810">
        <f>IF('Part II-Sources of Funds'!$P$45="", 0,-'Part II-Sources of Funds'!$P$45)</f>
        <v>0</v>
      </c>
      <c r="G64" s="2810"/>
      <c r="H64" s="2810"/>
      <c r="I64" s="2810"/>
      <c r="J64" s="2810"/>
      <c r="K64" s="2810"/>
      <c r="L64" s="79"/>
      <c r="M64" s="79"/>
      <c r="N64" s="3500"/>
      <c r="O64" s="3502"/>
      <c r="P64" s="79"/>
      <c r="Q64" s="79"/>
      <c r="R64" s="79"/>
      <c r="S64" s="79"/>
      <c r="T64" s="79"/>
      <c r="U64" s="79"/>
      <c r="V64" s="79"/>
      <c r="W64" s="79"/>
      <c r="X64" s="79"/>
      <c r="Y64" s="79"/>
      <c r="Z64" s="1413" t="s">
        <v>1366</v>
      </c>
      <c r="AA64" s="1415">
        <v>64</v>
      </c>
    </row>
    <row r="65" spans="1:27" ht="13.35" customHeight="1">
      <c r="A65" s="246" t="s">
        <v>1357</v>
      </c>
      <c r="B65" s="2801">
        <f t="shared" ref="B65:K65" si="36">SUM(B57:B64)</f>
        <v>280974.70669866906</v>
      </c>
      <c r="C65" s="2801">
        <f t="shared" si="36"/>
        <v>288810.1954710451</v>
      </c>
      <c r="D65" s="2801">
        <f t="shared" si="36"/>
        <v>296375.33550687577</v>
      </c>
      <c r="E65" s="2801">
        <f t="shared" si="36"/>
        <v>303653.10747606965</v>
      </c>
      <c r="F65" s="2801">
        <f t="shared" si="36"/>
        <v>310622.76774127333</v>
      </c>
      <c r="G65" s="2801">
        <f t="shared" si="36"/>
        <v>317266.57235410559</v>
      </c>
      <c r="H65" s="2801">
        <f t="shared" si="36"/>
        <v>323563.00018579088</v>
      </c>
      <c r="I65" s="2801">
        <f t="shared" si="36"/>
        <v>329490.47516450158</v>
      </c>
      <c r="J65" s="2801">
        <f t="shared" si="36"/>
        <v>335027.33759088931</v>
      </c>
      <c r="K65" s="2800">
        <f t="shared" si="36"/>
        <v>340150.31450235366</v>
      </c>
      <c r="L65" s="79"/>
      <c r="M65" s="79"/>
      <c r="N65" s="3500"/>
      <c r="O65" s="3502"/>
      <c r="P65" s="79"/>
      <c r="Q65" s="79"/>
      <c r="R65" s="79"/>
      <c r="S65" s="79"/>
      <c r="T65" s="79"/>
      <c r="U65" s="79"/>
      <c r="V65" s="79"/>
      <c r="W65" s="79"/>
      <c r="X65" s="79"/>
      <c r="Y65" s="79"/>
      <c r="Z65" s="1413" t="s">
        <v>1366</v>
      </c>
      <c r="AA65" s="1415">
        <v>65</v>
      </c>
    </row>
    <row r="66" spans="1:27" ht="13.35" customHeight="1">
      <c r="A66" s="246" t="str">
        <f>$A34</f>
        <v>DCR Mortgage A</v>
      </c>
      <c r="B66" s="2811">
        <f t="shared" ref="B66:K66" si="37">IF(B58=0,"",-B57/B58)</f>
        <v>1.3584563920395842</v>
      </c>
      <c r="C66" s="2811">
        <f t="shared" si="37"/>
        <v>1.3681090558985129</v>
      </c>
      <c r="D66" s="2811">
        <f t="shared" si="37"/>
        <v>1.3774286728277134</v>
      </c>
      <c r="E66" s="2811">
        <f t="shared" si="37"/>
        <v>1.3863942764424142</v>
      </c>
      <c r="F66" s="2811">
        <f t="shared" si="37"/>
        <v>1.3949803123241988</v>
      </c>
      <c r="G66" s="2811">
        <f t="shared" si="37"/>
        <v>1.4031649214194426</v>
      </c>
      <c r="H66" s="2811">
        <f t="shared" si="37"/>
        <v>1.410921591505619</v>
      </c>
      <c r="I66" s="2811">
        <f t="shared" si="37"/>
        <v>1.418223742674978</v>
      </c>
      <c r="J66" s="2811">
        <f t="shared" si="37"/>
        <v>1.4250446919976896</v>
      </c>
      <c r="K66" s="2812">
        <f t="shared" si="37"/>
        <v>1.4313557691391379</v>
      </c>
      <c r="L66" s="79"/>
      <c r="M66" s="79"/>
      <c r="N66" s="3500"/>
      <c r="O66" s="3502"/>
      <c r="P66" s="79"/>
      <c r="Q66" s="79"/>
      <c r="R66" s="79"/>
      <c r="S66" s="79"/>
      <c r="T66" s="79"/>
      <c r="U66" s="79"/>
      <c r="V66" s="79"/>
      <c r="W66" s="79"/>
      <c r="X66" s="79"/>
      <c r="Y66" s="79"/>
      <c r="Z66" s="1413" t="s">
        <v>1366</v>
      </c>
      <c r="AA66" s="1415">
        <v>66</v>
      </c>
    </row>
    <row r="67" spans="1:27" ht="13.35" customHeight="1">
      <c r="A67" s="246" t="str">
        <f>$A35</f>
        <v>DCR Mortgage B</v>
      </c>
      <c r="B67" s="2811">
        <f t="shared" ref="B67:K67" si="38">IF(B59=0,"",-(B57+B58)/B59)</f>
        <v>4</v>
      </c>
      <c r="C67" s="2811">
        <f t="shared" si="38"/>
        <v>4</v>
      </c>
      <c r="D67" s="2811">
        <f t="shared" si="38"/>
        <v>4</v>
      </c>
      <c r="E67" s="2811">
        <f t="shared" si="38"/>
        <v>4</v>
      </c>
      <c r="F67" s="2811">
        <f t="shared" si="38"/>
        <v>4</v>
      </c>
      <c r="G67" s="2811">
        <f t="shared" si="38"/>
        <v>4</v>
      </c>
      <c r="H67" s="2811">
        <f t="shared" si="38"/>
        <v>4</v>
      </c>
      <c r="I67" s="2811">
        <f t="shared" si="38"/>
        <v>4</v>
      </c>
      <c r="J67" s="2811">
        <f t="shared" si="38"/>
        <v>4</v>
      </c>
      <c r="K67" s="2812">
        <f t="shared" si="38"/>
        <v>4</v>
      </c>
      <c r="L67" s="79"/>
      <c r="M67" s="79"/>
      <c r="N67" s="3500"/>
      <c r="O67" s="3502"/>
      <c r="P67" s="79"/>
      <c r="Q67" s="79"/>
      <c r="R67" s="79"/>
      <c r="S67" s="79"/>
      <c r="T67" s="79"/>
      <c r="U67" s="79"/>
      <c r="V67" s="79"/>
      <c r="W67" s="79"/>
      <c r="X67" s="79"/>
      <c r="Y67" s="79"/>
      <c r="Z67" s="1413" t="s">
        <v>1366</v>
      </c>
      <c r="AA67" s="1415">
        <v>67</v>
      </c>
    </row>
    <row r="68" spans="1:27" ht="13.35" customHeight="1">
      <c r="A68" s="246" t="str">
        <f>$A36</f>
        <v>DCR Mortgage C</v>
      </c>
      <c r="B68" s="2811" t="str">
        <f t="shared" ref="B68:K68" si="39">IF(B60=0,"",-(B57+B58+B59)/B60)</f>
        <v/>
      </c>
      <c r="C68" s="2811" t="str">
        <f t="shared" si="39"/>
        <v/>
      </c>
      <c r="D68" s="2811" t="str">
        <f t="shared" si="39"/>
        <v/>
      </c>
      <c r="E68" s="2811" t="str">
        <f t="shared" si="39"/>
        <v/>
      </c>
      <c r="F68" s="2811" t="str">
        <f t="shared" si="39"/>
        <v/>
      </c>
      <c r="G68" s="2811" t="str">
        <f t="shared" si="39"/>
        <v/>
      </c>
      <c r="H68" s="2811" t="str">
        <f t="shared" si="39"/>
        <v/>
      </c>
      <c r="I68" s="2811" t="str">
        <f t="shared" si="39"/>
        <v/>
      </c>
      <c r="J68" s="2811" t="str">
        <f t="shared" si="39"/>
        <v/>
      </c>
      <c r="K68" s="2812" t="str">
        <f t="shared" si="39"/>
        <v/>
      </c>
      <c r="L68" s="79"/>
      <c r="M68" s="79"/>
      <c r="N68" s="3500"/>
      <c r="O68" s="3502"/>
      <c r="P68" s="79"/>
      <c r="Q68" s="79"/>
      <c r="R68" s="79"/>
      <c r="S68" s="79"/>
      <c r="T68" s="79"/>
      <c r="U68" s="79"/>
      <c r="V68" s="79"/>
      <c r="W68" s="79"/>
      <c r="X68" s="79"/>
      <c r="Y68" s="79"/>
      <c r="Z68" s="1413" t="s">
        <v>1366</v>
      </c>
      <c r="AA68" s="1415">
        <v>68</v>
      </c>
    </row>
    <row r="69" spans="1:27" ht="13.35" customHeight="1">
      <c r="A69" s="246" t="str">
        <f>$A37</f>
        <v>DCR Other Source</v>
      </c>
      <c r="B69" s="2811" t="str">
        <f t="shared" ref="B69:K69" si="40">IF(B61=0,"",-(B57+B58+B59+B60)/B61)</f>
        <v/>
      </c>
      <c r="C69" s="2811" t="str">
        <f t="shared" si="40"/>
        <v/>
      </c>
      <c r="D69" s="2811" t="str">
        <f t="shared" si="40"/>
        <v/>
      </c>
      <c r="E69" s="2811" t="str">
        <f t="shared" si="40"/>
        <v/>
      </c>
      <c r="F69" s="2811" t="str">
        <f t="shared" si="40"/>
        <v/>
      </c>
      <c r="G69" s="2811" t="str">
        <f t="shared" si="40"/>
        <v/>
      </c>
      <c r="H69" s="2811" t="str">
        <f t="shared" si="40"/>
        <v/>
      </c>
      <c r="I69" s="2811" t="str">
        <f t="shared" si="40"/>
        <v/>
      </c>
      <c r="J69" s="2811" t="str">
        <f t="shared" si="40"/>
        <v/>
      </c>
      <c r="K69" s="2812" t="str">
        <f t="shared" si="40"/>
        <v/>
      </c>
      <c r="L69" s="79"/>
      <c r="M69" s="79"/>
      <c r="N69" s="3500"/>
      <c r="O69" s="3502"/>
      <c r="P69" s="79"/>
      <c r="Q69" s="79"/>
      <c r="R69" s="79"/>
      <c r="S69" s="79"/>
      <c r="T69" s="79"/>
      <c r="U69" s="79"/>
      <c r="V69" s="79"/>
      <c r="W69" s="79"/>
      <c r="X69" s="79"/>
      <c r="Y69" s="79"/>
      <c r="Z69" s="1413" t="s">
        <v>1366</v>
      </c>
      <c r="AA69" s="1415">
        <v>69</v>
      </c>
    </row>
    <row r="70" spans="1:27" ht="13.35" customHeight="1">
      <c r="A70" s="246" t="s">
        <v>1359</v>
      </c>
      <c r="B70" s="2811">
        <f t="shared" ref="B70:K70" si="41">IF(AND(B58=0,B59=0,B60=0,B61=0),"",-B57/(B58+B59+B60+B61))</f>
        <v>1.2467316589613791</v>
      </c>
      <c r="C70" s="2811">
        <f t="shared" si="41"/>
        <v>1.2528158417208703</v>
      </c>
      <c r="D70" s="2811">
        <f t="shared" si="41"/>
        <v>1.258664641530689</v>
      </c>
      <c r="E70" s="2811">
        <f t="shared" si="41"/>
        <v>1.2642678145812734</v>
      </c>
      <c r="F70" s="2811">
        <f t="shared" si="41"/>
        <v>1.2696123424375396</v>
      </c>
      <c r="G70" s="2811">
        <f t="shared" si="41"/>
        <v>1.2746875908223816</v>
      </c>
      <c r="H70" s="2811">
        <f t="shared" si="41"/>
        <v>1.2794800925255321</v>
      </c>
      <c r="I70" s="2811">
        <f t="shared" si="41"/>
        <v>1.2839763898569121</v>
      </c>
      <c r="J70" s="2811">
        <f t="shared" si="41"/>
        <v>1.2881629824663778</v>
      </c>
      <c r="K70" s="2812">
        <f t="shared" si="41"/>
        <v>1.2920251441848927</v>
      </c>
      <c r="L70" s="79"/>
      <c r="M70" s="79"/>
      <c r="N70" s="3500"/>
      <c r="O70" s="3502"/>
      <c r="P70" s="79"/>
      <c r="Q70" s="79"/>
      <c r="R70" s="79"/>
      <c r="S70" s="79"/>
      <c r="T70" s="79"/>
      <c r="U70" s="79"/>
      <c r="V70" s="79"/>
      <c r="W70" s="79"/>
      <c r="X70" s="79"/>
      <c r="Y70" s="79"/>
      <c r="Z70" s="1413" t="s">
        <v>1366</v>
      </c>
      <c r="AA70" s="1415">
        <v>70</v>
      </c>
    </row>
    <row r="71" spans="1:27" ht="13.35" customHeight="1">
      <c r="A71" s="246" t="s">
        <v>1360</v>
      </c>
      <c r="B71" s="2813">
        <f t="shared" ref="B71:K71" si="42">IF(OR(B54="Choose mgt fee",B54="Choose One!"),"",(B47+B48+B49+B50+B51) / -(B53+B54+B55))</f>
        <v>1.7028807996357225</v>
      </c>
      <c r="C71" s="2813">
        <f t="shared" si="42"/>
        <v>1.6878830456455431</v>
      </c>
      <c r="D71" s="2813">
        <f t="shared" si="42"/>
        <v>1.673003477261183</v>
      </c>
      <c r="E71" s="2813">
        <f t="shared" si="42"/>
        <v>1.6582425850527327</v>
      </c>
      <c r="F71" s="2813">
        <f t="shared" si="42"/>
        <v>1.6435979071058193</v>
      </c>
      <c r="G71" s="2813">
        <f t="shared" si="42"/>
        <v>1.6290706306923599</v>
      </c>
      <c r="H71" s="2813">
        <f t="shared" si="42"/>
        <v>1.6146590945635602</v>
      </c>
      <c r="I71" s="2813">
        <f t="shared" si="42"/>
        <v>1.6003624191087018</v>
      </c>
      <c r="J71" s="2813">
        <f t="shared" si="42"/>
        <v>1.5861803754063091</v>
      </c>
      <c r="K71" s="2814">
        <f t="shared" si="42"/>
        <v>1.5721121069883375</v>
      </c>
      <c r="L71" s="79"/>
      <c r="M71" s="79"/>
      <c r="N71" s="3500"/>
      <c r="O71" s="3502"/>
      <c r="P71" s="79"/>
      <c r="Q71" s="79"/>
      <c r="R71" s="79"/>
      <c r="S71" s="79"/>
      <c r="T71" s="79"/>
      <c r="U71" s="79"/>
      <c r="V71" s="79"/>
      <c r="W71" s="79"/>
      <c r="X71" s="79"/>
      <c r="Y71" s="79"/>
      <c r="Z71" s="1413" t="s">
        <v>1366</v>
      </c>
      <c r="AA71" s="1415">
        <v>71</v>
      </c>
    </row>
    <row r="72" spans="1:27" ht="13.35" customHeight="1">
      <c r="A72" s="246" t="s">
        <v>1361</v>
      </c>
      <c r="B72" s="2815">
        <f>IF('Part II-Sources of Funds'!$I$40="","",-FV('Part II-Sources of Funds'!$K$40/12,12,B58/12,K40))</f>
        <v>13093506.380042939</v>
      </c>
      <c r="C72" s="2815">
        <f>IF('Part II-Sources of Funds'!$I$40="","",-FV('Part II-Sources of Funds'!$K$40/12,12,C58/12,B72))</f>
        <v>12955949.448067639</v>
      </c>
      <c r="D72" s="2815">
        <f>IF('Part II-Sources of Funds'!$I$40="","",-FV('Part II-Sources of Funds'!$K$40/12,12,D58/12,C72))</f>
        <v>12808081.482672969</v>
      </c>
      <c r="E72" s="2815">
        <f>IF('Part II-Sources of Funds'!$I$40="","",-FV('Part II-Sources of Funds'!$K$40/12,12,E58/12,D72))</f>
        <v>12649129.586349158</v>
      </c>
      <c r="F72" s="2815">
        <f>IF('Part II-Sources of Funds'!$I$40="","",-FV('Part II-Sources of Funds'!$K$40/12,12,F58/12,E72))</f>
        <v>12478262.926505024</v>
      </c>
      <c r="G72" s="2815">
        <f>IF('Part II-Sources of Funds'!$I$40="","",-FV('Part II-Sources of Funds'!$K$40/12,12,G58/12,F72))</f>
        <v>12294588.392752904</v>
      </c>
      <c r="H72" s="2815">
        <f>IF('Part II-Sources of Funds'!$I$40="","",-FV('Part II-Sources of Funds'!$K$40/12,12,H58/12,G72))</f>
        <v>12097145.928671069</v>
      </c>
      <c r="I72" s="2815">
        <f>IF('Part II-Sources of Funds'!$I$40="","",-FV('Part II-Sources of Funds'!$K$40/12,12,I58/12,H72))</f>
        <v>11884903.513642989</v>
      </c>
      <c r="J72" s="2815">
        <f>IF('Part II-Sources of Funds'!$I$40="","",-FV('Part II-Sources of Funds'!$K$40/12,12,J58/12,I72))</f>
        <v>11656751.768543812</v>
      </c>
      <c r="K72" s="2815">
        <f>IF('Part II-Sources of Funds'!$I$40="","",-FV('Part II-Sources of Funds'!$K$40/12,12,K58/12,J72))</f>
        <v>11411498.157078296</v>
      </c>
      <c r="L72" s="79"/>
      <c r="M72" s="79"/>
      <c r="N72" s="3500"/>
      <c r="O72" s="3502"/>
      <c r="P72" s="79"/>
      <c r="Q72" s="79"/>
      <c r="R72" s="79"/>
      <c r="S72" s="79"/>
      <c r="T72" s="79"/>
      <c r="U72" s="79"/>
      <c r="V72" s="79"/>
      <c r="W72" s="79"/>
      <c r="X72" s="79"/>
      <c r="Y72" s="79"/>
      <c r="Z72" s="1413" t="s">
        <v>1366</v>
      </c>
      <c r="AA72" s="1415">
        <v>72</v>
      </c>
    </row>
    <row r="73" spans="1:27" ht="13.35" customHeight="1">
      <c r="A73" s="246" t="s">
        <v>1362</v>
      </c>
      <c r="B73" s="2807">
        <f>IF('Part II-Sources of Funds'!$I$41="","",-FV('Part II-Sources of Funds'!$K$41/12,12,B59/12,K41))</f>
        <v>8282727.6078240909</v>
      </c>
      <c r="C73" s="2807">
        <f>IF('Part II-Sources of Funds'!$I$41="","",-FV('Part II-Sources of Funds'!$K$41/12,12,C59/12,B73))</f>
        <v>8265874.3808650328</v>
      </c>
      <c r="D73" s="2807">
        <f>IF('Part II-Sources of Funds'!$I$41="","",-FV('Part II-Sources of Funds'!$K$41/12,12,D59/12,C73))</f>
        <v>8246318.5436835876</v>
      </c>
      <c r="E73" s="2807">
        <f>IF('Part II-Sources of Funds'!$I$41="","",-FV('Part II-Sources of Funds'!$K$41/12,12,E59/12,D73))</f>
        <v>8224129.1755750896</v>
      </c>
      <c r="F73" s="2807">
        <f>IF('Part II-Sources of Funds'!$I$41="","",-FV('Part II-Sources of Funds'!$K$41/12,12,F59/12,E73))</f>
        <v>8199382.9961284231</v>
      </c>
      <c r="G73" s="2807">
        <f>IF('Part II-Sources of Funds'!$I$41="","",-FV('Part II-Sources of Funds'!$K$41/12,12,G59/12,F73))</f>
        <v>8172163.4374881759</v>
      </c>
      <c r="H73" s="2807">
        <f>IF('Part II-Sources of Funds'!$I$41="","",-FV('Part II-Sources of Funds'!$K$41/12,12,H59/12,G73))</f>
        <v>8142561.9766355939</v>
      </c>
      <c r="I73" s="2807">
        <f>IF('Part II-Sources of Funds'!$I$41="","",-FV('Part II-Sources of Funds'!$K$41/12,12,I59/12,H73))</f>
        <v>8110678.234605222</v>
      </c>
      <c r="J73" s="2807">
        <f>IF('Part II-Sources of Funds'!$I$41="","",-FV('Part II-Sources of Funds'!$K$41/12,12,J59/12,I73))</f>
        <v>8076620.0863037026</v>
      </c>
      <c r="K73" s="2807">
        <f>IF('Part II-Sources of Funds'!$I$41="","",-FV('Part II-Sources of Funds'!$K$41/12,12,K59/12,J73))</f>
        <v>8040504.2836538386</v>
      </c>
      <c r="L73" s="79"/>
      <c r="M73" s="79"/>
      <c r="N73" s="3500"/>
      <c r="O73" s="3502"/>
      <c r="P73" s="79"/>
      <c r="Q73" s="79"/>
      <c r="R73" s="79"/>
      <c r="S73" s="79"/>
      <c r="T73" s="79"/>
      <c r="U73" s="79"/>
      <c r="V73" s="79"/>
      <c r="W73" s="79"/>
      <c r="X73" s="79"/>
      <c r="Y73" s="79"/>
      <c r="Z73" s="1413" t="s">
        <v>1366</v>
      </c>
      <c r="AA73" s="1415">
        <v>73</v>
      </c>
    </row>
    <row r="74" spans="1:27" ht="13.35" customHeight="1">
      <c r="A74" s="246" t="s">
        <v>1363</v>
      </c>
      <c r="B74" s="2807" t="str">
        <f>IF('Part II-Sources of Funds'!$I$42="","",-FV('Part II-Sources of Funds'!$K$42/12,12,B60/12,K42))</f>
        <v/>
      </c>
      <c r="C74" s="2807" t="str">
        <f>IF('Part II-Sources of Funds'!$I$42="","",-FV('Part II-Sources of Funds'!$K$42/12,12,C60/12,B74))</f>
        <v/>
      </c>
      <c r="D74" s="2807" t="str">
        <f>IF('Part II-Sources of Funds'!$I$42="","",-FV('Part II-Sources of Funds'!$K$42/12,12,D60/12,C74))</f>
        <v/>
      </c>
      <c r="E74" s="2807" t="str">
        <f>IF('Part II-Sources of Funds'!$I$42="","",-FV('Part II-Sources of Funds'!$K$42/12,12,E60/12,D74))</f>
        <v/>
      </c>
      <c r="F74" s="2807" t="str">
        <f>IF('Part II-Sources of Funds'!$I$42="","",-FV('Part II-Sources of Funds'!$K$42/12,12,F60/12,E74))</f>
        <v/>
      </c>
      <c r="G74" s="2807" t="str">
        <f>IF('Part II-Sources of Funds'!$I$42="","",-FV('Part II-Sources of Funds'!$K$42/12,12,G60/12,F74))</f>
        <v/>
      </c>
      <c r="H74" s="2807" t="str">
        <f>IF('Part II-Sources of Funds'!$I$42="","",-FV('Part II-Sources of Funds'!$K$42/12,12,H60/12,G74))</f>
        <v/>
      </c>
      <c r="I74" s="2807" t="str">
        <f>IF('Part II-Sources of Funds'!$I$42="","",-FV('Part II-Sources of Funds'!$K$42/12,12,I60/12,H74))</f>
        <v/>
      </c>
      <c r="J74" s="2807" t="str">
        <f>IF('Part II-Sources of Funds'!$I$42="","",-FV('Part II-Sources of Funds'!$K$42/12,12,J60/12,I74))</f>
        <v/>
      </c>
      <c r="K74" s="2807" t="str">
        <f>IF('Part II-Sources of Funds'!$I$42="","",-FV('Part II-Sources of Funds'!$K$42/12,12,K60/12,J74))</f>
        <v/>
      </c>
      <c r="L74" s="79"/>
      <c r="M74" s="79"/>
      <c r="N74" s="3500"/>
      <c r="O74" s="3502"/>
      <c r="P74" s="79"/>
      <c r="Q74" s="79"/>
      <c r="R74" s="79"/>
      <c r="S74" s="79"/>
      <c r="T74" s="79"/>
      <c r="U74" s="79"/>
      <c r="V74" s="79"/>
      <c r="W74" s="79"/>
      <c r="X74" s="79"/>
      <c r="Y74" s="79"/>
      <c r="Z74" s="1413" t="s">
        <v>1366</v>
      </c>
      <c r="AA74" s="1415">
        <v>74</v>
      </c>
    </row>
    <row r="75" spans="1:27" ht="13.35" customHeight="1">
      <c r="A75" s="246" t="s">
        <v>1364</v>
      </c>
      <c r="B75" s="2807" t="str">
        <f>IF('Part II-Sources of Funds'!$I$43="","",-FV('Part II-Sources of Funds'!$K$43/12,12,B61/12,K43))</f>
        <v/>
      </c>
      <c r="C75" s="2807" t="str">
        <f>IF('Part II-Sources of Funds'!$I$43="","",-FV('Part II-Sources of Funds'!$K$43/12,12,C61/12,B75))</f>
        <v/>
      </c>
      <c r="D75" s="2807" t="str">
        <f>IF('Part II-Sources of Funds'!$I$43="","",-FV('Part II-Sources of Funds'!$K$43/12,12,D61/12,C75))</f>
        <v/>
      </c>
      <c r="E75" s="2807" t="str">
        <f>IF('Part II-Sources of Funds'!$I$43="","",-FV('Part II-Sources of Funds'!$K$43/12,12,E61/12,D75))</f>
        <v/>
      </c>
      <c r="F75" s="2807" t="str">
        <f>IF('Part II-Sources of Funds'!$I$43="","",-FV('Part II-Sources of Funds'!$K$43/12,12,F61/12,E75))</f>
        <v/>
      </c>
      <c r="G75" s="2807" t="str">
        <f>IF('Part II-Sources of Funds'!$I$43="","",-FV('Part II-Sources of Funds'!$K$43/12,12,G61/12,F75))</f>
        <v/>
      </c>
      <c r="H75" s="2807" t="str">
        <f>IF('Part II-Sources of Funds'!$I$43="","",-FV('Part II-Sources of Funds'!$K$43/12,12,H61/12,G75))</f>
        <v/>
      </c>
      <c r="I75" s="2807" t="str">
        <f>IF('Part II-Sources of Funds'!$I$43="","",-FV('Part II-Sources of Funds'!$K$43/12,12,I61/12,H75))</f>
        <v/>
      </c>
      <c r="J75" s="2807" t="str">
        <f>IF('Part II-Sources of Funds'!$I$43="","",-FV('Part II-Sources of Funds'!$K$43/12,12,J61/12,I75))</f>
        <v/>
      </c>
      <c r="K75" s="2807" t="str">
        <f>IF('Part II-Sources of Funds'!$I$43="","",-FV('Part II-Sources of Funds'!$K$43/12,12,K61/12,J75))</f>
        <v/>
      </c>
      <c r="L75" s="79"/>
      <c r="M75" s="79"/>
      <c r="N75" s="3500"/>
      <c r="O75" s="3502"/>
      <c r="P75" s="79"/>
      <c r="Q75" s="79"/>
      <c r="R75" s="79"/>
      <c r="S75" s="79"/>
      <c r="T75" s="79"/>
      <c r="U75" s="79"/>
      <c r="V75" s="79"/>
      <c r="W75" s="79"/>
      <c r="X75" s="79"/>
      <c r="Y75" s="79"/>
      <c r="Z75" s="1413" t="s">
        <v>1366</v>
      </c>
      <c r="AA75" s="1415">
        <v>75</v>
      </c>
    </row>
    <row r="76" spans="1:27" ht="13.35" customHeight="1">
      <c r="A76" s="246" t="s">
        <v>1365</v>
      </c>
      <c r="B76" s="2810">
        <f>IF('Part II-Sources of Funds'!$I$45="","",IF(-FV('Part II-Sources of Funds'!$K$45/12,12,B64/12,K44)&gt;0,-FV('Part II-Sources of Funds'!$K$45/12,12,B64/12,K44),0))</f>
        <v>0</v>
      </c>
      <c r="C76" s="2810">
        <f>IF('Part II-Sources of Funds'!$I$45="","",IF(-FV('Part II-Sources of Funds'!$K$45/12,12,C64/12,B76)&gt;0,-FV('Part II-Sources of Funds'!$K$45/12,12,C64/12,B76),0))</f>
        <v>0</v>
      </c>
      <c r="D76" s="2810">
        <f>IF('Part II-Sources of Funds'!$I$45="","",IF(-FV('Part II-Sources of Funds'!$K$45/12,12,D64/12,C76)&gt;0,-FV('Part II-Sources of Funds'!$K$45/12,12,D64/12,C76),0))</f>
        <v>0</v>
      </c>
      <c r="E76" s="2810">
        <f>IF('Part II-Sources of Funds'!$I$45="","",IF(-FV('Part II-Sources of Funds'!$K$45/12,12,E64/12,D76)&gt;0,-FV('Part II-Sources of Funds'!$K$45/12,12,E64/12,D76),0))</f>
        <v>0</v>
      </c>
      <c r="F76" s="2810">
        <f>IF('Part II-Sources of Funds'!$I$45="","",IF(-FV('Part II-Sources of Funds'!$K$45/12,12,F64/12,E76)&gt;0,-FV('Part II-Sources of Funds'!$K$45/12,12,F64/12,E76),0))</f>
        <v>0</v>
      </c>
      <c r="G76" s="2810">
        <f>IF('Part II-Sources of Funds'!$I$45="","",IF(-FV('Part II-Sources of Funds'!$K$45/12,12,G64/12,F76)&gt;0,-FV('Part II-Sources of Funds'!$K$45/12,12,G64/12,F76),0))</f>
        <v>0</v>
      </c>
      <c r="H76" s="2810" t="str">
        <f>IF('Part II-Sources of Funds'!$I$43="","",-FV('Part II-Sources of Funds'!$K$43/12,12,H62/12,G76))</f>
        <v/>
      </c>
      <c r="I76" s="2810" t="str">
        <f>IF('Part II-Sources of Funds'!$I$43="","",-FV('Part II-Sources of Funds'!$K$43/12,12,I62/12,H76))</f>
        <v/>
      </c>
      <c r="J76" s="2810" t="str">
        <f>IF('Part II-Sources of Funds'!$I$43="","",-FV('Part II-Sources of Funds'!$K$43/12,12,J62/12,I76))</f>
        <v/>
      </c>
      <c r="K76" s="2810" t="str">
        <f>IF('Part II-Sources of Funds'!$I$43="","",-FV('Part II-Sources of Funds'!$K$43/12,12,K62/12,J76))</f>
        <v/>
      </c>
      <c r="L76" s="79"/>
      <c r="M76" s="79"/>
      <c r="N76" s="3513"/>
      <c r="O76" s="3515"/>
      <c r="P76" s="79"/>
      <c r="Q76" s="79"/>
      <c r="R76" s="79"/>
      <c r="S76" s="79"/>
      <c r="T76" s="79"/>
      <c r="U76" s="79"/>
      <c r="V76" s="79"/>
      <c r="W76" s="79"/>
      <c r="X76" s="79"/>
      <c r="Y76" s="79"/>
      <c r="Z76" s="1413" t="s">
        <v>1366</v>
      </c>
      <c r="AA76" s="1415">
        <v>76</v>
      </c>
    </row>
    <row r="77" spans="1:27" ht="4.3499999999999996" customHeight="1">
      <c r="A77" s="79"/>
      <c r="B77" s="2816"/>
      <c r="C77" s="2816"/>
      <c r="D77" s="2816"/>
      <c r="E77" s="2816"/>
      <c r="F77" s="2816"/>
      <c r="G77" s="2816"/>
      <c r="H77" s="2816"/>
      <c r="I77" s="2816"/>
      <c r="J77" s="2816"/>
      <c r="K77" s="2816"/>
      <c r="L77" s="79"/>
      <c r="M77" s="79"/>
      <c r="N77" s="79"/>
      <c r="O77" s="79"/>
      <c r="P77" s="79"/>
      <c r="Q77" s="79"/>
      <c r="R77" s="79"/>
      <c r="S77" s="79"/>
      <c r="T77" s="79"/>
      <c r="U77" s="79"/>
      <c r="V77" s="79"/>
      <c r="W77" s="79"/>
      <c r="X77" s="79"/>
      <c r="Y77" s="79"/>
      <c r="AA77" s="1415">
        <v>77</v>
      </c>
    </row>
    <row r="78" spans="1:27" ht="14.65" customHeight="1">
      <c r="A78" s="7" t="s">
        <v>484</v>
      </c>
      <c r="B78" s="9">
        <f>K46+1</f>
        <v>21</v>
      </c>
      <c r="C78" s="9">
        <f t="shared" ref="C78:K78" si="43">B78+1</f>
        <v>22</v>
      </c>
      <c r="D78" s="9">
        <f t="shared" si="43"/>
        <v>23</v>
      </c>
      <c r="E78" s="9">
        <f t="shared" si="43"/>
        <v>24</v>
      </c>
      <c r="F78" s="9">
        <f t="shared" si="43"/>
        <v>25</v>
      </c>
      <c r="G78" s="9">
        <f t="shared" si="43"/>
        <v>26</v>
      </c>
      <c r="H78" s="9">
        <f t="shared" si="43"/>
        <v>27</v>
      </c>
      <c r="I78" s="9">
        <f t="shared" si="43"/>
        <v>28</v>
      </c>
      <c r="J78" s="9">
        <f t="shared" si="43"/>
        <v>29</v>
      </c>
      <c r="K78" s="9">
        <f t="shared" si="43"/>
        <v>30</v>
      </c>
      <c r="L78" s="79"/>
      <c r="M78" s="79"/>
      <c r="N78" s="3144" t="s">
        <v>1235</v>
      </c>
      <c r="O78" s="3144"/>
      <c r="P78" s="79"/>
      <c r="Q78" s="79"/>
      <c r="R78" s="79"/>
      <c r="S78" s="79"/>
      <c r="T78" s="79"/>
      <c r="U78" s="79"/>
      <c r="V78" s="79"/>
      <c r="W78" s="79"/>
      <c r="X78" s="79"/>
      <c r="Y78" s="79"/>
      <c r="AA78" s="1415">
        <v>78</v>
      </c>
    </row>
    <row r="79" spans="1:27" ht="13.35" customHeight="1">
      <c r="A79" s="2916" t="s">
        <v>1339</v>
      </c>
      <c r="B79" s="2799">
        <f t="shared" ref="B79:K79" si="44">$B$15*(1+$B$6)^(B78-1)</f>
        <v>4577490.6722592395</v>
      </c>
      <c r="C79" s="2799">
        <f t="shared" si="44"/>
        <v>4669040.4857044239</v>
      </c>
      <c r="D79" s="2799">
        <f t="shared" si="44"/>
        <v>4762421.295418513</v>
      </c>
      <c r="E79" s="2799">
        <f t="shared" si="44"/>
        <v>4857669.721326882</v>
      </c>
      <c r="F79" s="2799">
        <f t="shared" si="44"/>
        <v>4954823.1157534206</v>
      </c>
      <c r="G79" s="2799">
        <f t="shared" si="44"/>
        <v>5053919.5780684883</v>
      </c>
      <c r="H79" s="2799">
        <f t="shared" si="44"/>
        <v>5154997.9696298586</v>
      </c>
      <c r="I79" s="2799">
        <f t="shared" si="44"/>
        <v>5258097.9290224556</v>
      </c>
      <c r="J79" s="2799">
        <f t="shared" si="44"/>
        <v>5363259.8876029057</v>
      </c>
      <c r="K79" s="2800">
        <f t="shared" si="44"/>
        <v>5470525.0853549624</v>
      </c>
      <c r="L79" s="79"/>
      <c r="M79" s="79"/>
      <c r="N79" s="3503"/>
      <c r="O79" s="3505"/>
      <c r="P79" s="79"/>
      <c r="Q79" s="79"/>
      <c r="R79" s="79"/>
      <c r="S79" s="79"/>
      <c r="T79" s="79"/>
      <c r="U79" s="79"/>
      <c r="V79" s="79"/>
      <c r="W79" s="79"/>
      <c r="X79" s="79"/>
      <c r="Y79" s="79"/>
      <c r="Z79" s="1413" t="s">
        <v>1367</v>
      </c>
      <c r="AA79" s="1415">
        <v>79</v>
      </c>
    </row>
    <row r="80" spans="1:27" ht="13.35" customHeight="1">
      <c r="A80" s="246" t="s">
        <v>1225</v>
      </c>
      <c r="B80" s="2801">
        <f t="shared" ref="B80:K80" si="45">$B$16*(1+$B$6)^(B78-1)</f>
        <v>91549.813445184802</v>
      </c>
      <c r="C80" s="2801">
        <f t="shared" si="45"/>
        <v>93380.809714088493</v>
      </c>
      <c r="D80" s="2801">
        <f t="shared" si="45"/>
        <v>95248.425908370264</v>
      </c>
      <c r="E80" s="2801">
        <f t="shared" si="45"/>
        <v>97153.394426537649</v>
      </c>
      <c r="F80" s="2801">
        <f t="shared" si="45"/>
        <v>99096.462315068406</v>
      </c>
      <c r="G80" s="2801">
        <f t="shared" si="45"/>
        <v>101078.39156136978</v>
      </c>
      <c r="H80" s="2801">
        <f t="shared" si="45"/>
        <v>103099.95939259719</v>
      </c>
      <c r="I80" s="2801">
        <f t="shared" si="45"/>
        <v>105161.95858044911</v>
      </c>
      <c r="J80" s="2801">
        <f t="shared" si="45"/>
        <v>107265.19775205811</v>
      </c>
      <c r="K80" s="2802">
        <f t="shared" si="45"/>
        <v>109410.50170709926</v>
      </c>
      <c r="L80" s="79"/>
      <c r="M80" s="79"/>
      <c r="N80" s="3500"/>
      <c r="O80" s="3502"/>
      <c r="P80" s="79"/>
      <c r="Q80" s="79"/>
      <c r="R80" s="79"/>
      <c r="S80" s="79"/>
      <c r="T80" s="79"/>
      <c r="U80" s="79"/>
      <c r="V80" s="79"/>
      <c r="W80" s="79"/>
      <c r="X80" s="79"/>
      <c r="Y80" s="79"/>
      <c r="Z80" s="1413" t="s">
        <v>1367</v>
      </c>
      <c r="AA80" s="1415">
        <v>80</v>
      </c>
    </row>
    <row r="81" spans="1:27" ht="13.35" customHeight="1">
      <c r="A81" s="246" t="s">
        <v>1342</v>
      </c>
      <c r="B81" s="2801">
        <f t="shared" ref="B81:K81" si="46">-(B79+B80)*$B$9</f>
        <v>-326832.83399930969</v>
      </c>
      <c r="C81" s="2801">
        <f t="shared" si="46"/>
        <v>-333369.49067929585</v>
      </c>
      <c r="D81" s="2801">
        <f t="shared" si="46"/>
        <v>-340036.88049288181</v>
      </c>
      <c r="E81" s="2801">
        <f t="shared" si="46"/>
        <v>-346837.61810273939</v>
      </c>
      <c r="F81" s="2801">
        <f t="shared" si="46"/>
        <v>-353774.37046479428</v>
      </c>
      <c r="G81" s="2801">
        <f t="shared" si="46"/>
        <v>-360849.85787409008</v>
      </c>
      <c r="H81" s="2801">
        <f t="shared" si="46"/>
        <v>-368066.85503157193</v>
      </c>
      <c r="I81" s="2801">
        <f t="shared" si="46"/>
        <v>-375428.19213220337</v>
      </c>
      <c r="J81" s="2801">
        <f t="shared" si="46"/>
        <v>-382936.75597484753</v>
      </c>
      <c r="K81" s="2802">
        <f t="shared" si="46"/>
        <v>-390595.49109434435</v>
      </c>
      <c r="L81" s="79"/>
      <c r="M81" s="79"/>
      <c r="N81" s="3500"/>
      <c r="O81" s="3502"/>
      <c r="P81" s="79"/>
      <c r="Q81" s="79"/>
      <c r="R81" s="79"/>
      <c r="S81" s="79"/>
      <c r="T81" s="79"/>
      <c r="U81" s="79"/>
      <c r="V81" s="79"/>
      <c r="W81" s="79"/>
      <c r="X81" s="79"/>
      <c r="Y81" s="79"/>
      <c r="Z81" s="1413" t="s">
        <v>1367</v>
      </c>
      <c r="AA81" s="1415">
        <v>81</v>
      </c>
    </row>
    <row r="82" spans="1:27" ht="13.35" customHeight="1">
      <c r="A82" s="246" t="s">
        <v>1345</v>
      </c>
      <c r="B82" s="2801">
        <f>'Part V-Revenues &amp; Expenses'!H203</f>
        <v>0</v>
      </c>
      <c r="C82" s="2801">
        <f>'Part V-Revenues &amp; Expenses'!I203</f>
        <v>0</v>
      </c>
      <c r="D82" s="2801">
        <f>'Part V-Revenues &amp; Expenses'!J203</f>
        <v>0</v>
      </c>
      <c r="E82" s="2801">
        <f>'Part V-Revenues &amp; Expenses'!K203</f>
        <v>0</v>
      </c>
      <c r="F82" s="2801">
        <f>'Part V-Revenues &amp; Expenses'!L203</f>
        <v>0</v>
      </c>
      <c r="G82" s="2801">
        <f>'Part V-Revenues &amp; Expenses'!M203</f>
        <v>0</v>
      </c>
      <c r="H82" s="2801">
        <f>'Part V-Revenues &amp; Expenses'!N203</f>
        <v>0</v>
      </c>
      <c r="I82" s="2801">
        <f>'Part V-Revenues &amp; Expenses'!O203</f>
        <v>0</v>
      </c>
      <c r="J82" s="2801">
        <f>'Part V-Revenues &amp; Expenses'!P203</f>
        <v>0</v>
      </c>
      <c r="K82" s="2802">
        <f>'Part V-Revenues &amp; Expenses'!Q203</f>
        <v>0</v>
      </c>
      <c r="L82" s="79"/>
      <c r="M82" s="79"/>
      <c r="N82" s="3500"/>
      <c r="O82" s="3502"/>
      <c r="P82" s="79"/>
      <c r="Q82" s="79"/>
      <c r="R82" s="79"/>
      <c r="S82" s="79"/>
      <c r="T82" s="79"/>
      <c r="U82" s="79"/>
      <c r="V82" s="79"/>
      <c r="W82" s="79"/>
      <c r="X82" s="79"/>
      <c r="Y82" s="79"/>
      <c r="Z82" s="1413" t="s">
        <v>1367</v>
      </c>
      <c r="AA82" s="1415">
        <v>82</v>
      </c>
    </row>
    <row r="83" spans="1:27" ht="13.35" customHeight="1">
      <c r="A83" s="246" t="s">
        <v>1346</v>
      </c>
      <c r="B83" s="2801">
        <f>'Part V-Revenues &amp; Expenses'!H207</f>
        <v>0</v>
      </c>
      <c r="C83" s="2801">
        <f>'Part V-Revenues &amp; Expenses'!I207</f>
        <v>0</v>
      </c>
      <c r="D83" s="2801">
        <f>'Part V-Revenues &amp; Expenses'!J207</f>
        <v>0</v>
      </c>
      <c r="E83" s="2801">
        <f>'Part V-Revenues &amp; Expenses'!K207</f>
        <v>0</v>
      </c>
      <c r="F83" s="2801">
        <f>'Part V-Revenues &amp; Expenses'!L207</f>
        <v>0</v>
      </c>
      <c r="G83" s="2801">
        <f>'Part V-Revenues &amp; Expenses'!M207</f>
        <v>0</v>
      </c>
      <c r="H83" s="2801">
        <f>'Part V-Revenues &amp; Expenses'!N207</f>
        <v>0</v>
      </c>
      <c r="I83" s="2801">
        <f>'Part V-Revenues &amp; Expenses'!O207</f>
        <v>0</v>
      </c>
      <c r="J83" s="2801">
        <f>'Part V-Revenues &amp; Expenses'!P207</f>
        <v>0</v>
      </c>
      <c r="K83" s="2802">
        <f>'Part V-Revenues &amp; Expenses'!Q207</f>
        <v>0</v>
      </c>
      <c r="L83" s="79"/>
      <c r="M83" s="79"/>
      <c r="N83" s="3500"/>
      <c r="O83" s="3502"/>
      <c r="P83" s="79"/>
      <c r="Q83" s="79"/>
      <c r="R83" s="79"/>
      <c r="S83" s="79"/>
      <c r="T83" s="79"/>
      <c r="U83" s="79"/>
      <c r="V83" s="79"/>
      <c r="W83" s="79"/>
      <c r="X83" s="79"/>
      <c r="Y83" s="79"/>
      <c r="Z83" s="1413" t="s">
        <v>1367</v>
      </c>
      <c r="AA83" s="1415">
        <v>83</v>
      </c>
    </row>
    <row r="84" spans="1:27" ht="13.35" customHeight="1">
      <c r="A84" s="246" t="s">
        <v>1347</v>
      </c>
      <c r="B84" s="2801">
        <f t="shared" ref="B84:K84" si="47">SUM(B79:B83)</f>
        <v>4342207.6517051142</v>
      </c>
      <c r="C84" s="2801">
        <f t="shared" si="47"/>
        <v>4429051.8047392163</v>
      </c>
      <c r="D84" s="2801">
        <f t="shared" si="47"/>
        <v>4517632.8408340011</v>
      </c>
      <c r="E84" s="2801">
        <f t="shared" si="47"/>
        <v>4607985.4976506801</v>
      </c>
      <c r="F84" s="2801">
        <f t="shared" si="47"/>
        <v>4700145.2076036949</v>
      </c>
      <c r="G84" s="2801">
        <f t="shared" si="47"/>
        <v>4794148.1117557678</v>
      </c>
      <c r="H84" s="2801">
        <f t="shared" si="47"/>
        <v>4890031.0739908833</v>
      </c>
      <c r="I84" s="2801">
        <f t="shared" si="47"/>
        <v>4987831.6954707019</v>
      </c>
      <c r="J84" s="2801">
        <f t="shared" si="47"/>
        <v>5087588.3293801164</v>
      </c>
      <c r="K84" s="2802">
        <f t="shared" si="47"/>
        <v>5189340.0959677175</v>
      </c>
      <c r="L84" s="79"/>
      <c r="M84" s="79"/>
      <c r="N84" s="3500"/>
      <c r="O84" s="3502"/>
      <c r="P84" s="79"/>
      <c r="Q84" s="79"/>
      <c r="R84" s="79"/>
      <c r="S84" s="79"/>
      <c r="T84" s="79"/>
      <c r="U84" s="79"/>
      <c r="V84" s="79"/>
      <c r="W84" s="79"/>
      <c r="X84" s="79"/>
      <c r="Y84" s="79"/>
      <c r="Z84" s="1413" t="s">
        <v>1367</v>
      </c>
      <c r="AA84" s="1415">
        <v>84</v>
      </c>
    </row>
    <row r="85" spans="1:27" ht="13.35" customHeight="1">
      <c r="A85" s="246" t="s">
        <v>1348</v>
      </c>
      <c r="B85" s="2801">
        <f t="shared" ref="B85:K85" si="48">$B$21*(1+$B$7)^(B78-1)</f>
        <v>-2422141.4607016915</v>
      </c>
      <c r="C85" s="2801">
        <f t="shared" si="48"/>
        <v>-2494805.704522742</v>
      </c>
      <c r="D85" s="2801">
        <f t="shared" si="48"/>
        <v>-2569649.8756584241</v>
      </c>
      <c r="E85" s="2801">
        <f t="shared" si="48"/>
        <v>-2646739.3719281773</v>
      </c>
      <c r="F85" s="2801">
        <f t="shared" si="48"/>
        <v>-2726141.5530860219</v>
      </c>
      <c r="G85" s="2801">
        <f t="shared" si="48"/>
        <v>-2807925.7996786027</v>
      </c>
      <c r="H85" s="2801">
        <f t="shared" si="48"/>
        <v>-2892163.5736689614</v>
      </c>
      <c r="I85" s="2801">
        <f t="shared" si="48"/>
        <v>-2978928.4808790297</v>
      </c>
      <c r="J85" s="2801">
        <f t="shared" si="48"/>
        <v>-3068296.3353054007</v>
      </c>
      <c r="K85" s="2802">
        <f t="shared" si="48"/>
        <v>-3160345.2253645621</v>
      </c>
      <c r="L85" s="79"/>
      <c r="M85" s="79"/>
      <c r="N85" s="3500"/>
      <c r="O85" s="3502"/>
      <c r="P85" s="79"/>
      <c r="Q85" s="79"/>
      <c r="R85" s="79"/>
      <c r="S85" s="79"/>
      <c r="T85" s="79"/>
      <c r="U85" s="79"/>
      <c r="V85" s="79"/>
      <c r="W85" s="79"/>
      <c r="X85" s="79"/>
      <c r="Y85" s="79"/>
      <c r="Z85" s="1413" t="s">
        <v>1367</v>
      </c>
      <c r="AA85" s="1415">
        <v>85</v>
      </c>
    </row>
    <row r="86" spans="1:27" ht="13.35" customHeight="1">
      <c r="A86" s="246" t="s">
        <v>1349</v>
      </c>
      <c r="B86" s="2801">
        <f>IF(AND('Part VI-Pro Forma'!$G$9="Yes",'Part VI-Pro Forma'!$G$10="Yes"),"Choose One!",IF('Part VI-Pro Forma'!$G$9="Yes",ROUND((-$K$9*(1+'Part VI-Pro Forma'!$B$7)^('Part VI-Pro Forma'!B78-1)),),IF('Part VI-Pro Forma'!$G$10="Yes",ROUND((-(SUM(B79:B82)*'Part VI-Pro Forma'!$K$10)),),"Choose mgt fee")))</f>
        <v>-238821</v>
      </c>
      <c r="C86" s="2801">
        <f>IF(AND('Part VI-Pro Forma'!$G$9="Yes",'Part VI-Pro Forma'!$G$10="Yes"),"Choose One!",IF('Part VI-Pro Forma'!$G$9="Yes",ROUND((-$K$9*(1+'Part VI-Pro Forma'!$B$7)^('Part VI-Pro Forma'!C78-1)),),IF('Part VI-Pro Forma'!$G$10="Yes",ROUND((-(SUM(C79:C82)*'Part VI-Pro Forma'!$K$10)),),"Choose mgt fee")))</f>
        <v>-243598</v>
      </c>
      <c r="D86" s="2801">
        <f>IF(AND('Part VI-Pro Forma'!$G$9="Yes",'Part VI-Pro Forma'!$G$10="Yes"),"Choose One!",IF('Part VI-Pro Forma'!$G$9="Yes",ROUND((-$K$9*(1+'Part VI-Pro Forma'!$B$7)^('Part VI-Pro Forma'!D78-1)),),IF('Part VI-Pro Forma'!$G$10="Yes",ROUND((-(SUM(D79:D82)*'Part VI-Pro Forma'!$K$10)),),"Choose mgt fee")))</f>
        <v>-248470</v>
      </c>
      <c r="E86" s="2801">
        <f>IF(AND('Part VI-Pro Forma'!$G$9="Yes",'Part VI-Pro Forma'!$G$10="Yes"),"Choose One!",IF('Part VI-Pro Forma'!$G$9="Yes",ROUND((-$K$9*(1+'Part VI-Pro Forma'!$B$7)^('Part VI-Pro Forma'!E78-1)),),IF('Part VI-Pro Forma'!$G$10="Yes",ROUND((-(SUM(E79:E82)*'Part VI-Pro Forma'!$K$10)),),"Choose mgt fee")))</f>
        <v>-253439</v>
      </c>
      <c r="F86" s="2801">
        <f>IF(AND('Part VI-Pro Forma'!$G$9="Yes",'Part VI-Pro Forma'!$G$10="Yes"),"Choose One!",IF('Part VI-Pro Forma'!$G$9="Yes",ROUND((-$K$9*(1+'Part VI-Pro Forma'!$B$7)^('Part VI-Pro Forma'!F78-1)),),IF('Part VI-Pro Forma'!$G$10="Yes",ROUND((-(SUM(F79:F82)*'Part VI-Pro Forma'!$K$10)),),"Choose mgt fee")))</f>
        <v>-258508</v>
      </c>
      <c r="G86" s="2801">
        <f>IF(AND('Part VI-Pro Forma'!$G$9="Yes",'Part VI-Pro Forma'!$G$10="Yes"),"Choose One!",IF('Part VI-Pro Forma'!$G$9="Yes",ROUND((-$K$9*(1+'Part VI-Pro Forma'!$B$7)^('Part VI-Pro Forma'!G78-1)),),IF('Part VI-Pro Forma'!$G$10="Yes",ROUND((-(SUM(G79:G82)*'Part VI-Pro Forma'!$K$10)),),"Choose mgt fee")))</f>
        <v>-263678</v>
      </c>
      <c r="H86" s="2801">
        <f>IF(AND('Part VI-Pro Forma'!$G$9="Yes",'Part VI-Pro Forma'!$G$10="Yes"),"Choose One!",IF('Part VI-Pro Forma'!$G$9="Yes",ROUND((-$K$9*(1+'Part VI-Pro Forma'!$B$7)^('Part VI-Pro Forma'!H78-1)),),IF('Part VI-Pro Forma'!$G$10="Yes",ROUND((-(SUM(H79:H82)*'Part VI-Pro Forma'!$K$10)),),"Choose mgt fee")))</f>
        <v>-268952</v>
      </c>
      <c r="I86" s="2801">
        <f>IF(AND('Part VI-Pro Forma'!$G$9="Yes",'Part VI-Pro Forma'!$G$10="Yes"),"Choose One!",IF('Part VI-Pro Forma'!$G$9="Yes",ROUND((-$K$9*(1+'Part VI-Pro Forma'!$B$7)^('Part VI-Pro Forma'!I78-1)),),IF('Part VI-Pro Forma'!$G$10="Yes",ROUND((-(SUM(I79:I82)*'Part VI-Pro Forma'!$K$10)),),"Choose mgt fee")))</f>
        <v>-274331</v>
      </c>
      <c r="J86" s="2801">
        <f>IF(AND('Part VI-Pro Forma'!$G$9="Yes",'Part VI-Pro Forma'!$G$10="Yes"),"Choose One!",IF('Part VI-Pro Forma'!$G$9="Yes",ROUND((-$K$9*(1+'Part VI-Pro Forma'!$B$7)^('Part VI-Pro Forma'!J78-1)),),IF('Part VI-Pro Forma'!$G$10="Yes",ROUND((-(SUM(J79:J82)*'Part VI-Pro Forma'!$K$10)),),"Choose mgt fee")))</f>
        <v>-279817</v>
      </c>
      <c r="K86" s="2802">
        <f>IF(AND('Part VI-Pro Forma'!$G$9="Yes",'Part VI-Pro Forma'!$G$10="Yes"),"Choose One!",IF('Part VI-Pro Forma'!$G$9="Yes",ROUND((-$K$9*(1+'Part VI-Pro Forma'!$B$7)^('Part VI-Pro Forma'!K78-1)),),IF('Part VI-Pro Forma'!$G$10="Yes",ROUND((-(SUM(K79:K82)*'Part VI-Pro Forma'!$K$10)),),"Choose mgt fee")))</f>
        <v>-285414</v>
      </c>
      <c r="L86" s="79"/>
      <c r="M86" s="79"/>
      <c r="N86" s="3500"/>
      <c r="O86" s="3502"/>
      <c r="P86" s="79"/>
      <c r="Q86" s="79"/>
      <c r="R86" s="79"/>
      <c r="S86" s="79"/>
      <c r="T86" s="79"/>
      <c r="U86" s="79"/>
      <c r="V86" s="79"/>
      <c r="W86" s="79"/>
      <c r="X86" s="79"/>
      <c r="Y86" s="79"/>
      <c r="Z86" s="1413" t="s">
        <v>1367</v>
      </c>
      <c r="AA86" s="1415">
        <v>86</v>
      </c>
    </row>
    <row r="87" spans="1:27" ht="13.35" customHeight="1">
      <c r="A87" s="246" t="s">
        <v>1350</v>
      </c>
      <c r="B87" s="2801">
        <f t="shared" ref="B87:K87" si="49">$B$23*(1+$B$8)^(B78-1)</f>
        <v>-125795.64749472463</v>
      </c>
      <c r="C87" s="2801">
        <f t="shared" si="49"/>
        <v>-129569.51691956636</v>
      </c>
      <c r="D87" s="2801">
        <f t="shared" si="49"/>
        <v>-133456.60242715335</v>
      </c>
      <c r="E87" s="2801">
        <f t="shared" si="49"/>
        <v>-137460.30049996797</v>
      </c>
      <c r="F87" s="2801">
        <f t="shared" si="49"/>
        <v>-141584.10951496699</v>
      </c>
      <c r="G87" s="2801">
        <f t="shared" si="49"/>
        <v>-145831.632800416</v>
      </c>
      <c r="H87" s="2801">
        <f t="shared" si="49"/>
        <v>-150206.5817844285</v>
      </c>
      <c r="I87" s="2801">
        <f t="shared" si="49"/>
        <v>-154712.77923796134</v>
      </c>
      <c r="J87" s="2801">
        <f t="shared" si="49"/>
        <v>-159354.16261510018</v>
      </c>
      <c r="K87" s="2802">
        <f t="shared" si="49"/>
        <v>-164134.78749355316</v>
      </c>
      <c r="L87" s="79"/>
      <c r="M87" s="79"/>
      <c r="N87" s="3500"/>
      <c r="O87" s="3502"/>
      <c r="P87" s="79"/>
      <c r="Q87" s="60"/>
      <c r="R87" s="2803"/>
      <c r="S87" s="2803"/>
      <c r="T87" s="79"/>
      <c r="U87" s="79"/>
      <c r="V87" s="79"/>
      <c r="W87" s="79"/>
      <c r="X87" s="79"/>
      <c r="Y87" s="79"/>
      <c r="Z87" s="1413" t="s">
        <v>1367</v>
      </c>
      <c r="AA87" s="1415">
        <v>87</v>
      </c>
    </row>
    <row r="88" spans="1:27" ht="13.35" customHeight="1">
      <c r="A88" s="246" t="s">
        <v>1351</v>
      </c>
      <c r="B88" s="2804">
        <f>IF(B78&lt;=+'Part V-Revenues &amp; Expenses'!$N$251,-'Part V-Revenues &amp; Expenses'!$K$251,0)</f>
        <v>-10</v>
      </c>
      <c r="C88" s="2804">
        <f>IF(C78&lt;=+'Part V-Revenues &amp; Expenses'!$N$251,-'Part V-Revenues &amp; Expenses'!$K$251,0)</f>
        <v>-10</v>
      </c>
      <c r="D88" s="2804">
        <f>IF(D78&lt;=+'Part V-Revenues &amp; Expenses'!$N$251,-'Part V-Revenues &amp; Expenses'!$K$251,0)</f>
        <v>-10</v>
      </c>
      <c r="E88" s="2804">
        <f>IF(E78&lt;=+'Part V-Revenues &amp; Expenses'!$N$251,-'Part V-Revenues &amp; Expenses'!$K$251,0)</f>
        <v>-10</v>
      </c>
      <c r="F88" s="2804">
        <f>IF(F78&lt;=+'Part V-Revenues &amp; Expenses'!$N$251,-'Part V-Revenues &amp; Expenses'!$K$251,0)</f>
        <v>-10</v>
      </c>
      <c r="G88" s="2804">
        <f>IF(G78&lt;=+'Part V-Revenues &amp; Expenses'!$N$251,-'Part V-Revenues &amp; Expenses'!$K$251,0)</f>
        <v>-10</v>
      </c>
      <c r="H88" s="2804">
        <f>IF(H78&lt;=+'Part V-Revenues &amp; Expenses'!$N$251,-'Part V-Revenues &amp; Expenses'!$K$251,0)</f>
        <v>-10</v>
      </c>
      <c r="I88" s="2804">
        <f>IF(I78&lt;=+'Part V-Revenues &amp; Expenses'!$N$251,-'Part V-Revenues &amp; Expenses'!$K$251,0)</f>
        <v>-10</v>
      </c>
      <c r="J88" s="2804">
        <f>IF(J78&lt;=+'Part V-Revenues &amp; Expenses'!$N$251,-'Part V-Revenues &amp; Expenses'!$K$251,0)</f>
        <v>-10</v>
      </c>
      <c r="K88" s="2804">
        <f>IF(K78&lt;=+'Part V-Revenues &amp; Expenses'!$N$251,-'Part V-Revenues &amp; Expenses'!$K$251,0)</f>
        <v>-10</v>
      </c>
      <c r="L88" s="79"/>
      <c r="M88" s="79"/>
      <c r="N88" s="3500"/>
      <c r="O88" s="3502"/>
      <c r="P88" s="79"/>
      <c r="Q88" s="79"/>
      <c r="R88" s="79"/>
      <c r="S88" s="79"/>
      <c r="T88" s="79"/>
      <c r="U88" s="79"/>
      <c r="V88" s="79"/>
      <c r="W88" s="79"/>
      <c r="X88" s="79"/>
      <c r="Y88" s="79"/>
      <c r="Z88" s="1413" t="s">
        <v>1367</v>
      </c>
      <c r="AA88" s="1415">
        <v>88</v>
      </c>
    </row>
    <row r="89" spans="1:27" ht="13.35" customHeight="1">
      <c r="A89" s="246" t="s">
        <v>1352</v>
      </c>
      <c r="B89" s="2801">
        <f t="shared" ref="B89:K89" si="50">SUM(B84:B88)</f>
        <v>1555439.543508698</v>
      </c>
      <c r="C89" s="2801">
        <f t="shared" si="50"/>
        <v>1561068.5832969081</v>
      </c>
      <c r="D89" s="2801">
        <f t="shared" si="50"/>
        <v>1566046.3627484236</v>
      </c>
      <c r="E89" s="2801">
        <f t="shared" si="50"/>
        <v>1570336.8252225348</v>
      </c>
      <c r="F89" s="2801">
        <f t="shared" si="50"/>
        <v>1573901.5450027059</v>
      </c>
      <c r="G89" s="2801">
        <f t="shared" si="50"/>
        <v>1576702.679276749</v>
      </c>
      <c r="H89" s="2801">
        <f t="shared" si="50"/>
        <v>1578698.9185374933</v>
      </c>
      <c r="I89" s="2801">
        <f t="shared" si="50"/>
        <v>1579849.4353537108</v>
      </c>
      <c r="J89" s="2801">
        <f t="shared" si="50"/>
        <v>1580110.8314596156</v>
      </c>
      <c r="K89" s="2805">
        <f t="shared" si="50"/>
        <v>1579436.0831096021</v>
      </c>
      <c r="L89" s="79"/>
      <c r="M89" s="79"/>
      <c r="N89" s="3500"/>
      <c r="O89" s="3502"/>
      <c r="P89" s="79"/>
      <c r="Q89" s="79"/>
      <c r="R89" s="79"/>
      <c r="S89" s="79"/>
      <c r="T89" s="79"/>
      <c r="U89" s="79"/>
      <c r="V89" s="79"/>
      <c r="W89" s="79"/>
      <c r="X89" s="79"/>
      <c r="Y89" s="79"/>
      <c r="Z89" s="1413" t="s">
        <v>1367</v>
      </c>
      <c r="AA89" s="1415">
        <v>89</v>
      </c>
    </row>
    <row r="90" spans="1:27" ht="13.35" customHeight="1">
      <c r="A90" s="246" t="str">
        <f>$A58</f>
        <v>Mortgage A</v>
      </c>
      <c r="B90" s="2806">
        <f>IF('Part II-Sources of Funds'!$P$40="", 0,-'Part II-Sources of Funds'!$P$40)</f>
        <v>-1082324.8914344434</v>
      </c>
      <c r="C90" s="2806">
        <f>IF('Part II-Sources of Funds'!$P$40="", 0,-'Part II-Sources of Funds'!$P$40)</f>
        <v>-1082324.8914344434</v>
      </c>
      <c r="D90" s="2806">
        <f>IF('Part II-Sources of Funds'!$P$40="", 0,-'Part II-Sources of Funds'!$P$40)</f>
        <v>-1082324.8914344434</v>
      </c>
      <c r="E90" s="2806">
        <f>IF('Part II-Sources of Funds'!$P$40="", 0,-'Part II-Sources of Funds'!$P$40)</f>
        <v>-1082324.8914344434</v>
      </c>
      <c r="F90" s="2806">
        <f>IF('Part II-Sources of Funds'!$P$40="", 0,-'Part II-Sources of Funds'!$P$40)</f>
        <v>-1082324.8914344434</v>
      </c>
      <c r="G90" s="2806">
        <f>IF('Part II-Sources of Funds'!$P$40="", 0,-'Part II-Sources of Funds'!$P$40)</f>
        <v>-1082324.8914344434</v>
      </c>
      <c r="H90" s="2806">
        <f>IF('Part II-Sources of Funds'!$P$40="", 0,-'Part II-Sources of Funds'!$P$40)</f>
        <v>-1082324.8914344434</v>
      </c>
      <c r="I90" s="2806">
        <f>IF('Part II-Sources of Funds'!$P$40="", 0,-'Part II-Sources of Funds'!$P$40)</f>
        <v>-1082324.8914344434</v>
      </c>
      <c r="J90" s="2806">
        <f>IF('Part II-Sources of Funds'!$P$40="", 0,-'Part II-Sources of Funds'!$P$40)</f>
        <v>-1082324.8914344434</v>
      </c>
      <c r="K90" s="2806">
        <f>IF('Part II-Sources of Funds'!$P$40="", 0,-'Part II-Sources of Funds'!$P$40)</f>
        <v>-1082324.8914344434</v>
      </c>
      <c r="L90" s="79"/>
      <c r="M90" s="79"/>
      <c r="N90" s="3500"/>
      <c r="O90" s="3502"/>
      <c r="P90" s="79"/>
      <c r="Q90" s="79"/>
      <c r="R90" s="79"/>
      <c r="S90" s="79"/>
      <c r="T90" s="79"/>
      <c r="U90" s="79"/>
      <c r="V90" s="79"/>
      <c r="W90" s="79"/>
      <c r="X90" s="79"/>
      <c r="Y90" s="79"/>
      <c r="Z90" s="1413" t="s">
        <v>1367</v>
      </c>
      <c r="AA90" s="1415">
        <v>90</v>
      </c>
    </row>
    <row r="91" spans="1:27" ht="13.35" customHeight="1">
      <c r="A91" s="246" t="str">
        <f>$A59</f>
        <v>Mortgage B</v>
      </c>
      <c r="B91" s="2807">
        <f>-(B89+B90)*0.25</f>
        <v>-118278.66301856365</v>
      </c>
      <c r="C91" s="2807">
        <f t="shared" ref="C91" si="51">-(C89+C90)*0.25</f>
        <v>-119685.92296561616</v>
      </c>
      <c r="D91" s="2807">
        <f t="shared" ref="D91" si="52">-(D89+D90)*0.25</f>
        <v>-120930.36782849504</v>
      </c>
      <c r="E91" s="2807">
        <f t="shared" ref="E91" si="53">-(E89+E90)*0.25</f>
        <v>-122002.98344702285</v>
      </c>
      <c r="F91" s="2807">
        <f t="shared" ref="F91" si="54">-(F89+F90)*0.25</f>
        <v>-122894.16339206562</v>
      </c>
      <c r="G91" s="2807">
        <f t="shared" ref="G91" si="55">-(G89+G90)*0.25</f>
        <v>-123594.4469605764</v>
      </c>
      <c r="H91" s="2807">
        <f t="shared" ref="H91" si="56">-(H89+H90)*0.25</f>
        <v>-124093.50677576248</v>
      </c>
      <c r="I91" s="2807">
        <f t="shared" ref="I91" si="57">-(I89+I90)*0.25</f>
        <v>-124381.13597981684</v>
      </c>
      <c r="J91" s="2807">
        <f t="shared" ref="J91" si="58">-(J89+J90)*0.25</f>
        <v>-124446.48500629305</v>
      </c>
      <c r="K91" s="2807">
        <f t="shared" ref="K91" si="59">-(K89+K90)*0.25</f>
        <v>-124277.79791878967</v>
      </c>
      <c r="L91" s="79"/>
      <c r="M91" s="79"/>
      <c r="N91" s="3500"/>
      <c r="O91" s="3502"/>
      <c r="P91" s="79"/>
      <c r="Q91" s="79"/>
      <c r="R91" s="79"/>
      <c r="S91" s="79"/>
      <c r="T91" s="79"/>
      <c r="U91" s="79"/>
      <c r="V91" s="79"/>
      <c r="W91" s="79"/>
      <c r="X91" s="79"/>
      <c r="Y91" s="79"/>
      <c r="Z91" s="1413" t="s">
        <v>1367</v>
      </c>
      <c r="AA91" s="1415">
        <v>91</v>
      </c>
    </row>
    <row r="92" spans="1:27" ht="13.35" customHeight="1">
      <c r="A92" s="246" t="str">
        <f>$A60</f>
        <v>Mortgage C</v>
      </c>
      <c r="B92" s="2807">
        <f>IF('Part II-Sources of Funds'!$P$42="", 0,-'Part II-Sources of Funds'!$P$42)</f>
        <v>0</v>
      </c>
      <c r="C92" s="2807">
        <f>IF('Part II-Sources of Funds'!$P$42="", 0,-'Part II-Sources of Funds'!$P$42)</f>
        <v>0</v>
      </c>
      <c r="D92" s="2807">
        <f>IF('Part II-Sources of Funds'!$P$42="", 0,-'Part II-Sources of Funds'!$P$42)</f>
        <v>0</v>
      </c>
      <c r="E92" s="2807">
        <f>IF('Part II-Sources of Funds'!$P$42="", 0,-'Part II-Sources of Funds'!$P$42)</f>
        <v>0</v>
      </c>
      <c r="F92" s="2807">
        <f>IF('Part II-Sources of Funds'!$P$42="", 0,-'Part II-Sources of Funds'!$P$42)</f>
        <v>0</v>
      </c>
      <c r="G92" s="2807">
        <f>IF('Part II-Sources of Funds'!$P$42="", 0,-'Part II-Sources of Funds'!$P$42)</f>
        <v>0</v>
      </c>
      <c r="H92" s="2807">
        <f>IF('Part II-Sources of Funds'!$P$42="", 0,-'Part II-Sources of Funds'!$P$42)</f>
        <v>0</v>
      </c>
      <c r="I92" s="2807">
        <f>IF('Part II-Sources of Funds'!$P$42="", 0,-'Part II-Sources of Funds'!$P$42)</f>
        <v>0</v>
      </c>
      <c r="J92" s="2807">
        <f>IF('Part II-Sources of Funds'!$P$42="", 0,-'Part II-Sources of Funds'!$P$42)</f>
        <v>0</v>
      </c>
      <c r="K92" s="2807">
        <f>IF('Part II-Sources of Funds'!$P$42="", 0,-'Part II-Sources of Funds'!$P$42)</f>
        <v>0</v>
      </c>
      <c r="L92" s="79"/>
      <c r="M92" s="79"/>
      <c r="N92" s="3500"/>
      <c r="O92" s="3502"/>
      <c r="P92" s="79"/>
      <c r="Q92" s="79"/>
      <c r="R92" s="79"/>
      <c r="S92" s="79"/>
      <c r="T92" s="79"/>
      <c r="U92" s="79"/>
      <c r="V92" s="79"/>
      <c r="W92" s="79"/>
      <c r="X92" s="79"/>
      <c r="Y92" s="79"/>
      <c r="Z92" s="1413" t="s">
        <v>1367</v>
      </c>
      <c r="AA92" s="1415">
        <v>92</v>
      </c>
    </row>
    <row r="93" spans="1:27" ht="13.35" customHeight="1">
      <c r="A93" s="246" t="str">
        <f>$A61</f>
        <v>D/S Other Source,not DDF</v>
      </c>
      <c r="B93" s="2807">
        <f>IF('Part II-Sources of Funds'!$P$43="", 0,-'Part II-Sources of Funds'!$P$43)</f>
        <v>0</v>
      </c>
      <c r="C93" s="2807">
        <f>IF('Part II-Sources of Funds'!$P$43="", 0,-'Part II-Sources of Funds'!$P$43)</f>
        <v>0</v>
      </c>
      <c r="D93" s="2807">
        <f>IF('Part II-Sources of Funds'!$P$43="", 0,-'Part II-Sources of Funds'!$P$43)</f>
        <v>0</v>
      </c>
      <c r="E93" s="2807">
        <f>IF('Part II-Sources of Funds'!$P$43="", 0,-'Part II-Sources of Funds'!$P$43)</f>
        <v>0</v>
      </c>
      <c r="F93" s="2807">
        <f>IF('Part II-Sources of Funds'!$P$43="", 0,-'Part II-Sources of Funds'!$P$43)</f>
        <v>0</v>
      </c>
      <c r="G93" s="2807">
        <f>IF('Part II-Sources of Funds'!$P$43="", 0,-'Part II-Sources of Funds'!$P$43)</f>
        <v>0</v>
      </c>
      <c r="H93" s="2807">
        <f>IF('Part II-Sources of Funds'!$P$43="", 0,-'Part II-Sources of Funds'!$P$43)</f>
        <v>0</v>
      </c>
      <c r="I93" s="2807">
        <f>IF('Part II-Sources of Funds'!$P$43="", 0,-'Part II-Sources of Funds'!$P$43)</f>
        <v>0</v>
      </c>
      <c r="J93" s="2807">
        <f>IF('Part II-Sources of Funds'!$P$43="", 0,-'Part II-Sources of Funds'!$P$43)</f>
        <v>0</v>
      </c>
      <c r="K93" s="2807">
        <f>IF('Part II-Sources of Funds'!$P$43="", 0,-'Part II-Sources of Funds'!$P$43)</f>
        <v>0</v>
      </c>
      <c r="L93" s="79"/>
      <c r="M93" s="79"/>
      <c r="N93" s="3500"/>
      <c r="O93" s="3502"/>
      <c r="P93" s="79"/>
      <c r="Q93" s="79"/>
      <c r="R93" s="79"/>
      <c r="S93" s="79"/>
      <c r="T93" s="79"/>
      <c r="U93" s="79"/>
      <c r="V93" s="79"/>
      <c r="W93" s="79"/>
      <c r="X93" s="79"/>
      <c r="Y93" s="79"/>
      <c r="Z93" s="1413" t="s">
        <v>1367</v>
      </c>
      <c r="AA93" s="1415">
        <v>93</v>
      </c>
    </row>
    <row r="94" spans="1:27" ht="13.35" customHeight="1">
      <c r="A94" s="246" t="s">
        <v>1354</v>
      </c>
      <c r="B94" s="2808"/>
      <c r="C94" s="2808"/>
      <c r="D94" s="2808"/>
      <c r="E94" s="2808"/>
      <c r="F94" s="2808"/>
      <c r="G94" s="2808"/>
      <c r="H94" s="2808"/>
      <c r="I94" s="2808"/>
      <c r="J94" s="2808"/>
      <c r="K94" s="2808"/>
      <c r="L94" s="79"/>
      <c r="M94" s="79"/>
      <c r="N94" s="3500"/>
      <c r="O94" s="3502"/>
      <c r="P94" s="79"/>
      <c r="Q94" s="79"/>
      <c r="R94" s="79"/>
      <c r="S94" s="79"/>
      <c r="T94" s="79"/>
      <c r="U94" s="79"/>
      <c r="V94" s="79"/>
      <c r="W94" s="79"/>
      <c r="X94" s="79"/>
      <c r="Y94" s="79"/>
      <c r="Z94" s="1413" t="s">
        <v>1367</v>
      </c>
      <c r="AA94" s="1415">
        <v>94</v>
      </c>
    </row>
    <row r="95" spans="1:27" ht="13.35" customHeight="1">
      <c r="A95" s="246" t="s">
        <v>1355</v>
      </c>
      <c r="B95" s="2810">
        <f>+K63</f>
        <v>-10000</v>
      </c>
      <c r="C95" s="2810">
        <f t="shared" ref="C95:K95" si="60">+B95</f>
        <v>-10000</v>
      </c>
      <c r="D95" s="2810">
        <f t="shared" si="60"/>
        <v>-10000</v>
      </c>
      <c r="E95" s="2810">
        <f t="shared" si="60"/>
        <v>-10000</v>
      </c>
      <c r="F95" s="2810">
        <f t="shared" si="60"/>
        <v>-10000</v>
      </c>
      <c r="G95" s="2810">
        <f t="shared" si="60"/>
        <v>-10000</v>
      </c>
      <c r="H95" s="2810">
        <f t="shared" si="60"/>
        <v>-10000</v>
      </c>
      <c r="I95" s="2810">
        <f t="shared" si="60"/>
        <v>-10000</v>
      </c>
      <c r="J95" s="2810">
        <f t="shared" si="60"/>
        <v>-10000</v>
      </c>
      <c r="K95" s="2810">
        <f t="shared" si="60"/>
        <v>-10000</v>
      </c>
      <c r="L95" s="79"/>
      <c r="M95" s="79"/>
      <c r="N95" s="3500"/>
      <c r="O95" s="3502"/>
      <c r="P95" s="79"/>
      <c r="Q95" s="79"/>
      <c r="R95" s="79"/>
      <c r="S95" s="79"/>
      <c r="T95" s="79"/>
      <c r="U95" s="79"/>
      <c r="V95" s="79"/>
      <c r="W95" s="79"/>
      <c r="X95" s="79"/>
      <c r="Y95" s="79"/>
      <c r="Z95" s="1413" t="s">
        <v>1367</v>
      </c>
      <c r="AA95" s="1415">
        <v>95</v>
      </c>
    </row>
    <row r="96" spans="1:27" ht="13.35" customHeight="1">
      <c r="A96" s="246" t="s">
        <v>1357</v>
      </c>
      <c r="B96" s="2801">
        <f t="shared" ref="B96:K96" si="61">SUM(B89:B95)</f>
        <v>344835.98905569094</v>
      </c>
      <c r="C96" s="2801">
        <f t="shared" si="61"/>
        <v>349057.76889684849</v>
      </c>
      <c r="D96" s="2801">
        <f t="shared" si="61"/>
        <v>352791.10348548513</v>
      </c>
      <c r="E96" s="2801">
        <f t="shared" si="61"/>
        <v>356008.95034106856</v>
      </c>
      <c r="F96" s="2801">
        <f t="shared" si="61"/>
        <v>358682.49017619685</v>
      </c>
      <c r="G96" s="2801">
        <f t="shared" si="61"/>
        <v>360783.34088172921</v>
      </c>
      <c r="H96" s="2801">
        <f t="shared" si="61"/>
        <v>362280.52032728744</v>
      </c>
      <c r="I96" s="2801">
        <f t="shared" si="61"/>
        <v>363143.40793945052</v>
      </c>
      <c r="J96" s="2801">
        <f t="shared" si="61"/>
        <v>363339.45501887915</v>
      </c>
      <c r="K96" s="2802">
        <f t="shared" si="61"/>
        <v>362833.39375636901</v>
      </c>
      <c r="L96" s="79"/>
      <c r="M96" s="79"/>
      <c r="N96" s="3500"/>
      <c r="O96" s="3502"/>
      <c r="P96" s="79"/>
      <c r="Q96" s="79"/>
      <c r="R96" s="79"/>
      <c r="S96" s="79"/>
      <c r="T96" s="79"/>
      <c r="U96" s="79"/>
      <c r="V96" s="79"/>
      <c r="W96" s="79"/>
      <c r="X96" s="79"/>
      <c r="Y96" s="79"/>
      <c r="Z96" s="1413" t="s">
        <v>1367</v>
      </c>
      <c r="AA96" s="1415">
        <v>96</v>
      </c>
    </row>
    <row r="97" spans="1:27" ht="13.35" customHeight="1">
      <c r="A97" s="246" t="str">
        <f>$A66</f>
        <v>DCR Mortgage A</v>
      </c>
      <c r="B97" s="2811">
        <f t="shared" ref="B97:K97" si="62">IF(B90=0,"",-B89/B90)</f>
        <v>1.4371281265158922</v>
      </c>
      <c r="C97" s="2811">
        <f t="shared" si="62"/>
        <v>1.4423290045819501</v>
      </c>
      <c r="D97" s="2811">
        <f t="shared" si="62"/>
        <v>1.4469281591342569</v>
      </c>
      <c r="E97" s="2811">
        <f t="shared" si="62"/>
        <v>1.450892276108805</v>
      </c>
      <c r="F97" s="2811">
        <f t="shared" si="62"/>
        <v>1.4541858525648048</v>
      </c>
      <c r="G97" s="2811">
        <f t="shared" si="62"/>
        <v>1.4567739241283542</v>
      </c>
      <c r="H97" s="2811">
        <f t="shared" si="62"/>
        <v>1.4586183234178305</v>
      </c>
      <c r="I97" s="2811">
        <f t="shared" si="62"/>
        <v>1.4596813284594061</v>
      </c>
      <c r="J97" s="2811">
        <f t="shared" si="62"/>
        <v>1.4599228419901153</v>
      </c>
      <c r="K97" s="2812">
        <f t="shared" si="62"/>
        <v>1.4592994170320888</v>
      </c>
      <c r="L97" s="79"/>
      <c r="M97" s="79"/>
      <c r="N97" s="3500"/>
      <c r="O97" s="3502"/>
      <c r="P97" s="79"/>
      <c r="Q97" s="79"/>
      <c r="R97" s="79"/>
      <c r="S97" s="79"/>
      <c r="T97" s="79"/>
      <c r="U97" s="79"/>
      <c r="V97" s="79"/>
      <c r="W97" s="79"/>
      <c r="X97" s="79"/>
      <c r="Y97" s="79"/>
      <c r="Z97" s="1413" t="s">
        <v>1367</v>
      </c>
      <c r="AA97" s="1415">
        <v>97</v>
      </c>
    </row>
    <row r="98" spans="1:27" ht="13.35" customHeight="1">
      <c r="A98" s="246" t="str">
        <f>$A67</f>
        <v>DCR Mortgage B</v>
      </c>
      <c r="B98" s="2811">
        <f t="shared" ref="B98:K98" si="63">IF(B91=0,"",-(B89+B90)/B91)</f>
        <v>4</v>
      </c>
      <c r="C98" s="2811">
        <f t="shared" si="63"/>
        <v>4</v>
      </c>
      <c r="D98" s="2811">
        <f t="shared" si="63"/>
        <v>4</v>
      </c>
      <c r="E98" s="2811">
        <f t="shared" si="63"/>
        <v>4</v>
      </c>
      <c r="F98" s="2811">
        <f t="shared" si="63"/>
        <v>4</v>
      </c>
      <c r="G98" s="2811">
        <f t="shared" si="63"/>
        <v>4</v>
      </c>
      <c r="H98" s="2811">
        <f t="shared" si="63"/>
        <v>4</v>
      </c>
      <c r="I98" s="2811">
        <f t="shared" si="63"/>
        <v>4</v>
      </c>
      <c r="J98" s="2811">
        <f t="shared" si="63"/>
        <v>4</v>
      </c>
      <c r="K98" s="2812">
        <f t="shared" si="63"/>
        <v>4</v>
      </c>
      <c r="L98" s="79"/>
      <c r="M98" s="79"/>
      <c r="N98" s="3500"/>
      <c r="O98" s="3502"/>
      <c r="P98" s="79"/>
      <c r="Q98" s="79"/>
      <c r="R98" s="79"/>
      <c r="S98" s="79"/>
      <c r="T98" s="79"/>
      <c r="U98" s="79"/>
      <c r="V98" s="79"/>
      <c r="W98" s="79"/>
      <c r="X98" s="79"/>
      <c r="Y98" s="79"/>
      <c r="Z98" s="1413" t="s">
        <v>1367</v>
      </c>
      <c r="AA98" s="1415">
        <v>98</v>
      </c>
    </row>
    <row r="99" spans="1:27" ht="13.35" customHeight="1">
      <c r="A99" s="246" t="str">
        <f>$A68</f>
        <v>DCR Mortgage C</v>
      </c>
      <c r="B99" s="2811" t="str">
        <f t="shared" ref="B99:K99" si="64">IF(B92=0,"",-(B89+B90+B91)/B92)</f>
        <v/>
      </c>
      <c r="C99" s="2811" t="str">
        <f t="shared" si="64"/>
        <v/>
      </c>
      <c r="D99" s="2811" t="str">
        <f t="shared" si="64"/>
        <v/>
      </c>
      <c r="E99" s="2811" t="str">
        <f t="shared" si="64"/>
        <v/>
      </c>
      <c r="F99" s="2811" t="str">
        <f t="shared" si="64"/>
        <v/>
      </c>
      <c r="G99" s="2811" t="str">
        <f t="shared" si="64"/>
        <v/>
      </c>
      <c r="H99" s="2811" t="str">
        <f t="shared" si="64"/>
        <v/>
      </c>
      <c r="I99" s="2811" t="str">
        <f t="shared" si="64"/>
        <v/>
      </c>
      <c r="J99" s="2811" t="str">
        <f t="shared" si="64"/>
        <v/>
      </c>
      <c r="K99" s="2812" t="str">
        <f t="shared" si="64"/>
        <v/>
      </c>
      <c r="L99" s="79"/>
      <c r="M99" s="79"/>
      <c r="N99" s="3500"/>
      <c r="O99" s="3502"/>
      <c r="P99" s="79"/>
      <c r="Q99" s="79"/>
      <c r="R99" s="79"/>
      <c r="S99" s="79"/>
      <c r="T99" s="79"/>
      <c r="U99" s="79"/>
      <c r="V99" s="79"/>
      <c r="W99" s="79"/>
      <c r="X99" s="79"/>
      <c r="Y99" s="79"/>
      <c r="Z99" s="1413" t="s">
        <v>1367</v>
      </c>
      <c r="AA99" s="1415">
        <v>99</v>
      </c>
    </row>
    <row r="100" spans="1:27" ht="13.35" customHeight="1">
      <c r="A100" s="246" t="str">
        <f>$A69</f>
        <v>DCR Other Source</v>
      </c>
      <c r="B100" s="2811" t="str">
        <f t="shared" ref="B100:K100" si="65">IF(B93=0,"",-(B89+B90+B91+B92)/B93)</f>
        <v/>
      </c>
      <c r="C100" s="2811" t="str">
        <f t="shared" si="65"/>
        <v/>
      </c>
      <c r="D100" s="2811" t="str">
        <f t="shared" si="65"/>
        <v/>
      </c>
      <c r="E100" s="2811" t="str">
        <f t="shared" si="65"/>
        <v/>
      </c>
      <c r="F100" s="2811" t="str">
        <f t="shared" si="65"/>
        <v/>
      </c>
      <c r="G100" s="2811" t="str">
        <f t="shared" si="65"/>
        <v/>
      </c>
      <c r="H100" s="2811" t="str">
        <f t="shared" si="65"/>
        <v/>
      </c>
      <c r="I100" s="2811" t="str">
        <f t="shared" si="65"/>
        <v/>
      </c>
      <c r="J100" s="2811" t="str">
        <f t="shared" si="65"/>
        <v/>
      </c>
      <c r="K100" s="2812" t="str">
        <f t="shared" si="65"/>
        <v/>
      </c>
      <c r="L100" s="79"/>
      <c r="M100" s="79"/>
      <c r="N100" s="3500"/>
      <c r="O100" s="3502"/>
      <c r="P100" s="79"/>
      <c r="Q100" s="79"/>
      <c r="R100" s="79"/>
      <c r="S100" s="79"/>
      <c r="T100" s="79"/>
      <c r="U100" s="79"/>
      <c r="V100" s="79"/>
      <c r="W100" s="79"/>
      <c r="X100" s="79"/>
      <c r="Y100" s="79"/>
      <c r="Z100" s="1413" t="s">
        <v>1367</v>
      </c>
      <c r="AA100" s="1415">
        <v>100</v>
      </c>
    </row>
    <row r="101" spans="1:27" ht="13.35" customHeight="1">
      <c r="A101" s="246" t="s">
        <v>1359</v>
      </c>
      <c r="B101" s="2811">
        <f t="shared" ref="B101:K101" si="66">IF(AND(B90=0,B91=0,B92=0,B93=0),"",-B89/(B90+B91+B92+B93))</f>
        <v>1.2955480081160959</v>
      </c>
      <c r="C101" s="2811">
        <f t="shared" si="66"/>
        <v>1.2987142583039564</v>
      </c>
      <c r="D101" s="2811">
        <f t="shared" si="66"/>
        <v>1.3015080139418755</v>
      </c>
      <c r="E101" s="2811">
        <f t="shared" si="66"/>
        <v>1.3039113832494262</v>
      </c>
      <c r="F101" s="2811">
        <f t="shared" si="66"/>
        <v>1.3059049628362114</v>
      </c>
      <c r="G101" s="2811">
        <f t="shared" si="66"/>
        <v>1.3074694376949056</v>
      </c>
      <c r="H101" s="2811">
        <f t="shared" si="66"/>
        <v>1.3085832584114998</v>
      </c>
      <c r="I101" s="2811">
        <f t="shared" si="66"/>
        <v>1.3092247817300005</v>
      </c>
      <c r="J101" s="2811">
        <f t="shared" si="66"/>
        <v>1.3093704924623006</v>
      </c>
      <c r="K101" s="2812">
        <f t="shared" si="66"/>
        <v>1.3089943334671466</v>
      </c>
      <c r="L101" s="79"/>
      <c r="M101" s="79"/>
      <c r="N101" s="3500"/>
      <c r="O101" s="3502"/>
      <c r="P101" s="79"/>
      <c r="Q101" s="79"/>
      <c r="R101" s="79"/>
      <c r="S101" s="79"/>
      <c r="T101" s="79"/>
      <c r="U101" s="79"/>
      <c r="V101" s="79"/>
      <c r="W101" s="79"/>
      <c r="X101" s="79"/>
      <c r="Y101" s="79"/>
      <c r="Z101" s="1413" t="s">
        <v>1367</v>
      </c>
      <c r="AA101" s="1415">
        <v>101</v>
      </c>
    </row>
    <row r="102" spans="1:27" ht="13.35" customHeight="1">
      <c r="A102" s="246" t="s">
        <v>1360</v>
      </c>
      <c r="B102" s="2813">
        <f>IF(OR(B86="Choose mgt fee",B86="Choose One!"),"",(B79+B80+B81+B82+B83) / -(B85+B86+B87))</f>
        <v>1.5581573581624499</v>
      </c>
      <c r="C102" s="2813">
        <f t="shared" ref="C102:K102" si="67">IF(OR(C86="Choose mgt fee",C86="Choose One!"),"",(C79+C80+C81+C82+C83) / -(C85+C86+C87))</f>
        <v>1.5443142117316699</v>
      </c>
      <c r="D102" s="2813">
        <f t="shared" si="67"/>
        <v>1.5305830204217454</v>
      </c>
      <c r="E102" s="2813">
        <f t="shared" si="67"/>
        <v>1.5169630079693692</v>
      </c>
      <c r="F102" s="2813">
        <f t="shared" si="67"/>
        <v>1.5034529452584904</v>
      </c>
      <c r="G102" s="2813">
        <f t="shared" si="67"/>
        <v>1.4900526249447994</v>
      </c>
      <c r="H102" s="2813">
        <f t="shared" si="67"/>
        <v>1.4767608962291785</v>
      </c>
      <c r="I102" s="2813">
        <f t="shared" si="67"/>
        <v>1.4635775513323799</v>
      </c>
      <c r="J102" s="2813">
        <f t="shared" si="67"/>
        <v>1.4505019169518845</v>
      </c>
      <c r="K102" s="2814">
        <f t="shared" si="67"/>
        <v>1.4375325362694191</v>
      </c>
      <c r="L102" s="79"/>
      <c r="M102" s="79"/>
      <c r="N102" s="3500"/>
      <c r="O102" s="3502"/>
      <c r="P102" s="79"/>
      <c r="Q102" s="79"/>
      <c r="R102" s="79"/>
      <c r="S102" s="79"/>
      <c r="T102" s="79"/>
      <c r="U102" s="79"/>
      <c r="V102" s="79"/>
      <c r="W102" s="79"/>
      <c r="X102" s="79"/>
      <c r="Y102" s="79"/>
      <c r="Z102" s="1413" t="s">
        <v>1367</v>
      </c>
      <c r="AA102" s="1415">
        <v>102</v>
      </c>
    </row>
    <row r="103" spans="1:27" ht="13.35" customHeight="1">
      <c r="A103" s="246" t="s">
        <v>1361</v>
      </c>
      <c r="B103" s="2815">
        <f>IF('Part II-Sources of Funds'!$I$40="","",-FV('Part II-Sources of Funds'!$K$40/12,12,B90/12,K72))</f>
        <v>11147860.752460893</v>
      </c>
      <c r="C103" s="2815">
        <f>IF('Part II-Sources of Funds'!$I$40="","",-FV('Part II-Sources of Funds'!$K$40/12,12,C90/12,B103))</f>
        <v>10864461.536856793</v>
      </c>
      <c r="D103" s="2815">
        <f>IF('Part II-Sources of Funds'!$I$40="","",-FV('Part II-Sources of Funds'!$K$40/12,12,D90/12,C103))</f>
        <v>10559819.198560469</v>
      </c>
      <c r="E103" s="2815">
        <f>IF('Part II-Sources of Funds'!$I$40="","",-FV('Part II-Sources of Funds'!$K$40/12,12,E90/12,D103))</f>
        <v>10232341.389263</v>
      </c>
      <c r="F103" s="2815">
        <f>IF('Part II-Sources of Funds'!$I$40="","",-FV('Part II-Sources of Funds'!$K$40/12,12,F90/12,E103))</f>
        <v>9880316.4009373281</v>
      </c>
      <c r="G103" s="2815">
        <f>IF('Part II-Sources of Funds'!$I$40="","",-FV('Part II-Sources of Funds'!$K$40/12,12,G90/12,F103))</f>
        <v>9501904.2188370004</v>
      </c>
      <c r="H103" s="2815">
        <f>IF('Part II-Sources of Funds'!$I$40="","",-FV('Part II-Sources of Funds'!$K$40/12,12,H90/12,G103))</f>
        <v>9095126.9038429428</v>
      </c>
      <c r="I103" s="2815">
        <f>IF('Part II-Sources of Funds'!$I$40="","",-FV('Part II-Sources of Funds'!$K$40/12,12,I90/12,H103))</f>
        <v>8657858.2538873106</v>
      </c>
      <c r="J103" s="2815">
        <f>IF('Part II-Sources of Funds'!$I$40="","",-FV('Part II-Sources of Funds'!$K$40/12,12,J90/12,I103))</f>
        <v>8187812.6904152827</v>
      </c>
      <c r="K103" s="2815">
        <f>IF('Part II-Sources of Funds'!$I$40="","",-FV('Part II-Sources of Funds'!$K$40/12,12,K90/12,J103))</f>
        <v>7682533.3117949432</v>
      </c>
      <c r="L103" s="79"/>
      <c r="M103" s="79"/>
      <c r="N103" s="3500"/>
      <c r="O103" s="3502"/>
      <c r="P103" s="79"/>
      <c r="Q103" s="79"/>
      <c r="R103" s="79"/>
      <c r="S103" s="79"/>
      <c r="T103" s="79"/>
      <c r="U103" s="79"/>
      <c r="V103" s="79"/>
      <c r="W103" s="79"/>
      <c r="X103" s="79"/>
      <c r="Y103" s="79"/>
      <c r="Z103" s="1413" t="s">
        <v>1367</v>
      </c>
      <c r="AA103" s="1415">
        <v>103</v>
      </c>
    </row>
    <row r="104" spans="1:27" ht="13.35" customHeight="1">
      <c r="A104" s="246" t="s">
        <v>1362</v>
      </c>
      <c r="B104" s="2807">
        <f>IF('Part II-Sources of Funds'!$I$41="","",-FV('Part II-Sources of Funds'!$K$41/12,12,B91/12,K73))</f>
        <v>8002456.592953383</v>
      </c>
      <c r="C104" s="2807">
        <f>IF('Part II-Sources of Funds'!$I$41="","",-FV('Part II-Sources of Funds'!$K$41/12,12,C91/12,B104))</f>
        <v>7962612.9488016842</v>
      </c>
      <c r="D104" s="2807">
        <f>IF('Part II-Sources of Funds'!$I$41="","",-FV('Part II-Sources of Funds'!$K$41/12,12,D91/12,C104))</f>
        <v>7921118.8725173613</v>
      </c>
      <c r="E104" s="2807">
        <f>IF('Part II-Sources of Funds'!$I$41="","",-FV('Part II-Sources of Funds'!$K$41/12,12,E91/12,D104))</f>
        <v>7878130.402910565</v>
      </c>
      <c r="F104" s="2807">
        <f>IF('Part II-Sources of Funds'!$I$41="","",-FV('Part II-Sources of Funds'!$K$41/12,12,F91/12,E104))</f>
        <v>7833814.7969323657</v>
      </c>
      <c r="G104" s="2807">
        <f>IF('Part II-Sources of Funds'!$I$41="","",-FV('Part II-Sources of Funds'!$K$41/12,12,G91/12,F104))</f>
        <v>7788350.4959758986</v>
      </c>
      <c r="H104" s="2807">
        <f>IF('Part II-Sources of Funds'!$I$41="","",-FV('Part II-Sources of Funds'!$K$41/12,12,H91/12,G104))</f>
        <v>7741928.1088918867</v>
      </c>
      <c r="I104" s="2807">
        <f>IF('Part II-Sources of Funds'!$I$41="","",-FV('Part II-Sources of Funds'!$K$41/12,12,I91/12,H104))</f>
        <v>7694750.413149545</v>
      </c>
      <c r="J104" s="2807">
        <f>IF('Part II-Sources of Funds'!$I$41="","",-FV('Part II-Sources of Funds'!$K$41/12,12,J91/12,I104))</f>
        <v>7647033.1227446301</v>
      </c>
      <c r="K104" s="2807">
        <f>IF('Part II-Sources of Funds'!$I$41="","",-FV('Part II-Sources of Funds'!$K$41/12,12,K91/12,J104))</f>
        <v>7599005.9286949877</v>
      </c>
      <c r="L104" s="79"/>
      <c r="M104" s="79"/>
      <c r="N104" s="3500"/>
      <c r="O104" s="3502"/>
      <c r="P104" s="79"/>
      <c r="Q104" s="79"/>
      <c r="R104" s="79"/>
      <c r="S104" s="79"/>
      <c r="T104" s="79"/>
      <c r="U104" s="79"/>
      <c r="V104" s="79"/>
      <c r="W104" s="79"/>
      <c r="X104" s="79"/>
      <c r="Y104" s="79"/>
      <c r="Z104" s="1413" t="s">
        <v>1367</v>
      </c>
      <c r="AA104" s="1415">
        <v>104</v>
      </c>
    </row>
    <row r="105" spans="1:27" ht="13.35" customHeight="1">
      <c r="A105" s="246" t="s">
        <v>1363</v>
      </c>
      <c r="B105" s="2807" t="str">
        <f>IF('Part II-Sources of Funds'!$I$42="","",-FV('Part II-Sources of Funds'!$K$42/12,12,B92/12,K74))</f>
        <v/>
      </c>
      <c r="C105" s="2807" t="str">
        <f>IF('Part II-Sources of Funds'!$I$42="","",-FV('Part II-Sources of Funds'!$K$42/12,12,C92/12,B105))</f>
        <v/>
      </c>
      <c r="D105" s="2807" t="str">
        <f>IF('Part II-Sources of Funds'!$I$42="","",-FV('Part II-Sources of Funds'!$K$42/12,12,D92/12,C105))</f>
        <v/>
      </c>
      <c r="E105" s="2807" t="str">
        <f>IF('Part II-Sources of Funds'!$I$42="","",-FV('Part II-Sources of Funds'!$K$42/12,12,E92/12,D105))</f>
        <v/>
      </c>
      <c r="F105" s="2807" t="str">
        <f>IF('Part II-Sources of Funds'!$I$42="","",-FV('Part II-Sources of Funds'!$K$42/12,12,F92/12,E105))</f>
        <v/>
      </c>
      <c r="G105" s="2807" t="str">
        <f>IF('Part II-Sources of Funds'!$I$42="","",-FV('Part II-Sources of Funds'!$K$42/12,12,G92/12,F105))</f>
        <v/>
      </c>
      <c r="H105" s="2807" t="str">
        <f>IF('Part II-Sources of Funds'!$I$42="","",-FV('Part II-Sources of Funds'!$K$42/12,12,H92/12,G105))</f>
        <v/>
      </c>
      <c r="I105" s="2807" t="str">
        <f>IF('Part II-Sources of Funds'!$I$42="","",-FV('Part II-Sources of Funds'!$K$42/12,12,I92/12,H105))</f>
        <v/>
      </c>
      <c r="J105" s="2807" t="str">
        <f>IF('Part II-Sources of Funds'!$I$42="","",-FV('Part II-Sources of Funds'!$K$42/12,12,J92/12,I105))</f>
        <v/>
      </c>
      <c r="K105" s="2807" t="str">
        <f>IF('Part II-Sources of Funds'!$I$42="","",-FV('Part II-Sources of Funds'!$K$42/12,12,K92/12,J105))</f>
        <v/>
      </c>
      <c r="L105" s="79"/>
      <c r="M105" s="79"/>
      <c r="N105" s="3500"/>
      <c r="O105" s="3502"/>
      <c r="P105" s="79"/>
      <c r="Q105" s="79"/>
      <c r="R105" s="79"/>
      <c r="S105" s="79"/>
      <c r="T105" s="79"/>
      <c r="U105" s="79"/>
      <c r="V105" s="79"/>
      <c r="W105" s="79"/>
      <c r="X105" s="79"/>
      <c r="Y105" s="79"/>
      <c r="Z105" s="1413" t="s">
        <v>1367</v>
      </c>
      <c r="AA105" s="1415">
        <v>105</v>
      </c>
    </row>
    <row r="106" spans="1:27" ht="13.35" customHeight="1">
      <c r="A106" s="246" t="s">
        <v>1364</v>
      </c>
      <c r="B106" s="2810" t="str">
        <f>IF('Part II-Sources of Funds'!$I$43="","",-FV('Part II-Sources of Funds'!$K$43/12,12,B93/12,K75))</f>
        <v/>
      </c>
      <c r="C106" s="2810" t="str">
        <f>IF('Part II-Sources of Funds'!$I$43="","",-FV('Part II-Sources of Funds'!$K$43/12,12,C93/12,B106))</f>
        <v/>
      </c>
      <c r="D106" s="2810" t="str">
        <f>IF('Part II-Sources of Funds'!$I$43="","",-FV('Part II-Sources of Funds'!$K$43/12,12,D93/12,C106))</f>
        <v/>
      </c>
      <c r="E106" s="2810" t="str">
        <f>IF('Part II-Sources of Funds'!$I$43="","",-FV('Part II-Sources of Funds'!$K$43/12,12,E93/12,D106))</f>
        <v/>
      </c>
      <c r="F106" s="2810" t="str">
        <f>IF('Part II-Sources of Funds'!$I$43="","",-FV('Part II-Sources of Funds'!$K$43/12,12,F93/12,E106))</f>
        <v/>
      </c>
      <c r="G106" s="2810" t="str">
        <f>IF('Part II-Sources of Funds'!$I$43="","",-FV('Part II-Sources of Funds'!$K$43/12,12,G93/12,F106))</f>
        <v/>
      </c>
      <c r="H106" s="2810" t="str">
        <f>IF('Part II-Sources of Funds'!$I$43="","",-FV('Part II-Sources of Funds'!$K$43/12,12,H93/12,G106))</f>
        <v/>
      </c>
      <c r="I106" s="2810" t="str">
        <f>IF('Part II-Sources of Funds'!$I$43="","",-FV('Part II-Sources of Funds'!$K$43/12,12,I93/12,H106))</f>
        <v/>
      </c>
      <c r="J106" s="2810" t="str">
        <f>IF('Part II-Sources of Funds'!$I$43="","",-FV('Part II-Sources of Funds'!$K$43/12,12,J93/12,I106))</f>
        <v/>
      </c>
      <c r="K106" s="2810" t="str">
        <f>IF('Part II-Sources of Funds'!$I$43="","",-FV('Part II-Sources of Funds'!$K$43/12,12,K93/12,J106))</f>
        <v/>
      </c>
      <c r="L106" s="79"/>
      <c r="M106" s="79"/>
      <c r="N106" s="3513"/>
      <c r="O106" s="3515"/>
      <c r="P106" s="79"/>
      <c r="Q106" s="79"/>
      <c r="R106" s="79"/>
      <c r="S106" s="79"/>
      <c r="T106" s="79"/>
      <c r="U106" s="79"/>
      <c r="V106" s="79"/>
      <c r="W106" s="79"/>
      <c r="X106" s="79"/>
      <c r="Y106" s="79"/>
      <c r="Z106" s="1413" t="s">
        <v>1367</v>
      </c>
      <c r="AA106" s="1415">
        <v>106</v>
      </c>
    </row>
    <row r="107" spans="1:27" ht="4.3499999999999996" customHeight="1">
      <c r="A107" s="79"/>
      <c r="B107" s="2816"/>
      <c r="C107" s="2816"/>
      <c r="D107" s="2816"/>
      <c r="E107" s="2816"/>
      <c r="F107" s="2816"/>
      <c r="G107" s="2816"/>
      <c r="H107" s="2816"/>
      <c r="I107" s="2816"/>
      <c r="J107" s="2816"/>
      <c r="K107" s="2816"/>
      <c r="L107" s="79"/>
      <c r="M107" s="79"/>
      <c r="N107" s="79"/>
      <c r="O107" s="79"/>
      <c r="P107" s="79"/>
      <c r="Q107" s="79"/>
      <c r="R107" s="79"/>
      <c r="S107" s="79"/>
      <c r="T107" s="79"/>
      <c r="U107" s="79"/>
      <c r="V107" s="79"/>
      <c r="W107" s="79"/>
      <c r="X107" s="79"/>
      <c r="Y107" s="79"/>
      <c r="AA107" s="1415">
        <v>107</v>
      </c>
    </row>
    <row r="108" spans="1:27" ht="14.65" customHeight="1">
      <c r="A108" s="7" t="s">
        <v>484</v>
      </c>
      <c r="B108" s="9">
        <f>K78+1</f>
        <v>31</v>
      </c>
      <c r="C108" s="9">
        <f>B108+1</f>
        <v>32</v>
      </c>
      <c r="D108" s="9">
        <f>C108+1</f>
        <v>33</v>
      </c>
      <c r="E108" s="9">
        <f>D108+1</f>
        <v>34</v>
      </c>
      <c r="F108" s="9">
        <f>E108+1</f>
        <v>35</v>
      </c>
      <c r="G108" s="2816"/>
      <c r="H108" s="2816"/>
      <c r="I108" s="2816"/>
      <c r="J108" s="2816"/>
      <c r="K108" s="2816"/>
      <c r="L108" s="79"/>
      <c r="M108" s="79"/>
      <c r="N108" s="3144" t="s">
        <v>1368</v>
      </c>
      <c r="O108" s="3144"/>
      <c r="P108" s="79"/>
      <c r="Q108" s="79"/>
      <c r="R108" s="79"/>
      <c r="S108" s="79"/>
      <c r="T108" s="79"/>
      <c r="U108" s="79"/>
      <c r="V108" s="79"/>
      <c r="W108" s="79"/>
      <c r="X108" s="79"/>
      <c r="Y108" s="79"/>
      <c r="AA108" s="1415">
        <v>108</v>
      </c>
    </row>
    <row r="109" spans="1:27" ht="13.35" customHeight="1">
      <c r="A109" s="2916" t="s">
        <v>1339</v>
      </c>
      <c r="B109" s="2799">
        <f>$B$15*(1+$B$6)^(B108-1)</f>
        <v>5579935.5870620627</v>
      </c>
      <c r="C109" s="2799">
        <f>$B$15*(1+$B$6)^(C108-1)</f>
        <v>5691534.2988033025</v>
      </c>
      <c r="D109" s="2799">
        <f>$B$15*(1+$B$6)^(D108-1)</f>
        <v>5805364.98477937</v>
      </c>
      <c r="E109" s="2799">
        <f>$B$15*(1+$B$6)^(E108-1)</f>
        <v>5921472.2844749577</v>
      </c>
      <c r="F109" s="2800">
        <f>$B$15*(1+$B$6)^(F108-1)</f>
        <v>6039901.7301644562</v>
      </c>
      <c r="G109" s="2816"/>
      <c r="H109" s="2816"/>
      <c r="I109" s="2816"/>
      <c r="J109" s="2816"/>
      <c r="K109" s="2816"/>
      <c r="L109" s="79"/>
      <c r="M109" s="79"/>
      <c r="N109" s="3503"/>
      <c r="O109" s="3505"/>
      <c r="P109" s="79"/>
      <c r="Q109" s="79"/>
      <c r="R109" s="79"/>
      <c r="S109" s="79"/>
      <c r="T109" s="79"/>
      <c r="U109" s="79"/>
      <c r="V109" s="79"/>
      <c r="W109" s="79"/>
      <c r="X109" s="79"/>
      <c r="Y109" s="79"/>
      <c r="Z109" s="1413" t="s">
        <v>1369</v>
      </c>
      <c r="AA109" s="1415">
        <v>109</v>
      </c>
    </row>
    <row r="110" spans="1:27" ht="13.35" customHeight="1">
      <c r="A110" s="246" t="s">
        <v>1225</v>
      </c>
      <c r="B110" s="2801">
        <f>$B$16*(1+$B$6)^(B108-1)</f>
        <v>111598.71174124125</v>
      </c>
      <c r="C110" s="2801">
        <f>$B$16*(1+$B$6)^(C108-1)</f>
        <v>113830.68597606604</v>
      </c>
      <c r="D110" s="2801">
        <f>$B$16*(1+$B$6)^(D108-1)</f>
        <v>116107.2996955874</v>
      </c>
      <c r="E110" s="2801">
        <f>$B$16*(1+$B$6)^(E108-1)</f>
        <v>118429.44568949915</v>
      </c>
      <c r="F110" s="2802">
        <f>$B$16*(1+$B$6)^(F108-1)</f>
        <v>120798.03460328912</v>
      </c>
      <c r="G110" s="2816"/>
      <c r="H110" s="2816"/>
      <c r="I110" s="2816"/>
      <c r="J110" s="2816"/>
      <c r="K110" s="2816"/>
      <c r="L110" s="79"/>
      <c r="M110" s="79"/>
      <c r="N110" s="3500"/>
      <c r="O110" s="3502"/>
      <c r="P110" s="79"/>
      <c r="Q110" s="79"/>
      <c r="R110" s="79"/>
      <c r="S110" s="79"/>
      <c r="T110" s="79"/>
      <c r="U110" s="79"/>
      <c r="V110" s="79"/>
      <c r="W110" s="79"/>
      <c r="X110" s="79"/>
      <c r="Y110" s="79"/>
      <c r="Z110" s="1413" t="s">
        <v>1369</v>
      </c>
      <c r="AA110" s="1415">
        <v>110</v>
      </c>
    </row>
    <row r="111" spans="1:27" ht="13.35" customHeight="1">
      <c r="A111" s="246" t="s">
        <v>1342</v>
      </c>
      <c r="B111" s="2801">
        <f>-(B109+B110)*$B$9</f>
        <v>-398407.40091623133</v>
      </c>
      <c r="C111" s="2801">
        <f>-(C109+C110)*$B$9</f>
        <v>-406375.54893455579</v>
      </c>
      <c r="D111" s="2801">
        <f>-(D109+D110)*$B$9</f>
        <v>-414503.05991324707</v>
      </c>
      <c r="E111" s="2801">
        <f>-(E109+E110)*$B$9</f>
        <v>-422793.12111151201</v>
      </c>
      <c r="F111" s="2802">
        <f>-(F109+F110)*$B$9</f>
        <v>-431248.98353374226</v>
      </c>
      <c r="G111" s="2816"/>
      <c r="H111" s="2816"/>
      <c r="I111" s="2816"/>
      <c r="J111" s="2816"/>
      <c r="K111" s="2816"/>
      <c r="L111" s="79"/>
      <c r="M111" s="79"/>
      <c r="N111" s="3500"/>
      <c r="O111" s="3502"/>
      <c r="P111" s="79"/>
      <c r="Q111" s="79"/>
      <c r="R111" s="79"/>
      <c r="S111" s="79"/>
      <c r="T111" s="79"/>
      <c r="U111" s="79"/>
      <c r="V111" s="79"/>
      <c r="W111" s="79"/>
      <c r="X111" s="79"/>
      <c r="Y111" s="79"/>
      <c r="Z111" s="1413" t="s">
        <v>1369</v>
      </c>
      <c r="AA111" s="1415">
        <v>111</v>
      </c>
    </row>
    <row r="112" spans="1:27" ht="13.35" customHeight="1">
      <c r="A112" s="246" t="s">
        <v>1345</v>
      </c>
      <c r="B112" s="2801">
        <f>'Part V-Revenues &amp; Expenses'!H212</f>
        <v>0</v>
      </c>
      <c r="C112" s="2801">
        <f>'Part V-Revenues &amp; Expenses'!I212</f>
        <v>0</v>
      </c>
      <c r="D112" s="2801">
        <f>'Part V-Revenues &amp; Expenses'!J212</f>
        <v>0</v>
      </c>
      <c r="E112" s="2801">
        <f>'Part V-Revenues &amp; Expenses'!K212</f>
        <v>0</v>
      </c>
      <c r="F112" s="2802">
        <f>'Part V-Revenues &amp; Expenses'!L212</f>
        <v>0</v>
      </c>
      <c r="G112" s="2816"/>
      <c r="H112" s="2816"/>
      <c r="I112" s="2816"/>
      <c r="J112" s="2816"/>
      <c r="K112" s="2816"/>
      <c r="L112" s="79"/>
      <c r="M112" s="79"/>
      <c r="N112" s="3500"/>
      <c r="O112" s="3502"/>
      <c r="P112" s="79"/>
      <c r="Q112" s="79"/>
      <c r="R112" s="79"/>
      <c r="S112" s="79"/>
      <c r="T112" s="79"/>
      <c r="U112" s="79"/>
      <c r="V112" s="79"/>
      <c r="W112" s="79"/>
      <c r="X112" s="79"/>
      <c r="Y112" s="79"/>
      <c r="Z112" s="1413" t="s">
        <v>1369</v>
      </c>
      <c r="AA112" s="1415">
        <v>112</v>
      </c>
    </row>
    <row r="113" spans="1:27" ht="13.35" customHeight="1">
      <c r="A113" s="246" t="s">
        <v>1346</v>
      </c>
      <c r="B113" s="2801">
        <f>'Part V-Revenues &amp; Expenses'!H216</f>
        <v>0</v>
      </c>
      <c r="C113" s="2801">
        <f>'Part V-Revenues &amp; Expenses'!I216</f>
        <v>0</v>
      </c>
      <c r="D113" s="2801">
        <f>'Part V-Revenues &amp; Expenses'!J216</f>
        <v>0</v>
      </c>
      <c r="E113" s="2801">
        <f>'Part V-Revenues &amp; Expenses'!K216</f>
        <v>0</v>
      </c>
      <c r="F113" s="2802">
        <f>'Part V-Revenues &amp; Expenses'!L216</f>
        <v>0</v>
      </c>
      <c r="G113" s="2816"/>
      <c r="H113" s="2816"/>
      <c r="I113" s="2816"/>
      <c r="J113" s="2816"/>
      <c r="K113" s="2816"/>
      <c r="L113" s="79"/>
      <c r="M113" s="79"/>
      <c r="N113" s="3500"/>
      <c r="O113" s="3502"/>
      <c r="P113" s="79"/>
      <c r="Q113" s="79"/>
      <c r="R113" s="79"/>
      <c r="S113" s="79"/>
      <c r="T113" s="79"/>
      <c r="U113" s="79"/>
      <c r="V113" s="79"/>
      <c r="W113" s="79"/>
      <c r="X113" s="79"/>
      <c r="Y113" s="79"/>
      <c r="Z113" s="1413" t="s">
        <v>1369</v>
      </c>
      <c r="AA113" s="1415">
        <v>113</v>
      </c>
    </row>
    <row r="114" spans="1:27" ht="13.35" customHeight="1">
      <c r="A114" s="246" t="s">
        <v>1347</v>
      </c>
      <c r="B114" s="2801">
        <f>SUM(B109:B113)</f>
        <v>5293126.8978870735</v>
      </c>
      <c r="C114" s="2801">
        <f>SUM(C109:C113)</f>
        <v>5398989.4358448125</v>
      </c>
      <c r="D114" s="2801">
        <f>SUM(D109:D113)</f>
        <v>5506969.2245617108</v>
      </c>
      <c r="E114" s="2801">
        <f>SUM(E109:E113)</f>
        <v>5617108.6090529449</v>
      </c>
      <c r="F114" s="2802">
        <f>SUM(F109:F113)</f>
        <v>5729450.7812340036</v>
      </c>
      <c r="G114" s="2816"/>
      <c r="H114" s="2816"/>
      <c r="I114" s="2816"/>
      <c r="J114" s="2816"/>
      <c r="K114" s="2816"/>
      <c r="L114" s="79"/>
      <c r="M114" s="79"/>
      <c r="N114" s="3500"/>
      <c r="O114" s="3502"/>
      <c r="P114" s="79"/>
      <c r="Q114" s="79"/>
      <c r="R114" s="79"/>
      <c r="S114" s="79"/>
      <c r="T114" s="79"/>
      <c r="U114" s="79"/>
      <c r="V114" s="79"/>
      <c r="W114" s="79"/>
      <c r="X114" s="79"/>
      <c r="Y114" s="79"/>
      <c r="Z114" s="1413" t="s">
        <v>1369</v>
      </c>
      <c r="AA114" s="1415">
        <v>114</v>
      </c>
    </row>
    <row r="115" spans="1:27" ht="13.35" customHeight="1">
      <c r="A115" s="246" t="s">
        <v>1348</v>
      </c>
      <c r="B115" s="2801">
        <f>$B$21*(1+$B$7)^(B108-1)</f>
        <v>-3255155.5821254994</v>
      </c>
      <c r="C115" s="2801">
        <f>$B$21*(1+$B$7)^(C108-1)</f>
        <v>-3352810.2495892649</v>
      </c>
      <c r="D115" s="2801">
        <f>$B$21*(1+$B$7)^(D108-1)</f>
        <v>-3453394.5570769422</v>
      </c>
      <c r="E115" s="2801">
        <f>$B$21*(1+$B$7)^(E108-1)</f>
        <v>-3556996.3937892504</v>
      </c>
      <c r="F115" s="2802">
        <f>$B$21*(1+$B$7)^(F108-1)</f>
        <v>-3663706.2856029272</v>
      </c>
      <c r="G115" s="2816"/>
      <c r="H115" s="2816"/>
      <c r="I115" s="2816"/>
      <c r="J115" s="2816"/>
      <c r="K115" s="2816"/>
      <c r="L115" s="79"/>
      <c r="M115" s="79"/>
      <c r="N115" s="3500"/>
      <c r="O115" s="3502"/>
      <c r="P115" s="79"/>
      <c r="Q115" s="79"/>
      <c r="R115" s="79"/>
      <c r="S115" s="79"/>
      <c r="T115" s="79"/>
      <c r="U115" s="79"/>
      <c r="V115" s="79"/>
      <c r="W115" s="79"/>
      <c r="X115" s="79"/>
      <c r="Y115" s="79"/>
      <c r="Z115" s="1413" t="s">
        <v>1369</v>
      </c>
      <c r="AA115" s="1415">
        <v>115</v>
      </c>
    </row>
    <row r="116" spans="1:27" ht="13.35" customHeight="1">
      <c r="A116" s="246" t="s">
        <v>1349</v>
      </c>
      <c r="B116" s="2801">
        <f>IF(AND('Part VI-Pro Forma'!$G$9="Yes",'Part VI-Pro Forma'!$G$10="Yes"),"Choose One!",IF('Part VI-Pro Forma'!$G$9="Yes",ROUND((-$K$9*(1+'Part VI-Pro Forma'!$B$7)^('Part VI-Pro Forma'!B108-1)),),IF('Part VI-Pro Forma'!$G$10="Yes",ROUND((-(SUM(B109:B112)*'Part VI-Pro Forma'!$K$10)),),"Choose mgt fee")))</f>
        <v>-291122</v>
      </c>
      <c r="C116" s="2801">
        <f>IF(AND('Part VI-Pro Forma'!$G$9="Yes",'Part VI-Pro Forma'!$G$10="Yes"),"Choose One!",IF('Part VI-Pro Forma'!$G$9="Yes",ROUND((-$K$9*(1+'Part VI-Pro Forma'!$B$7)^('Part VI-Pro Forma'!C108-1)),),IF('Part VI-Pro Forma'!$G$10="Yes",ROUND((-(SUM(C109:C112)*'Part VI-Pro Forma'!$K$10)),),"Choose mgt fee")))</f>
        <v>-296944</v>
      </c>
      <c r="D116" s="2801">
        <f>IF(AND('Part VI-Pro Forma'!$G$9="Yes",'Part VI-Pro Forma'!$G$10="Yes"),"Choose One!",IF('Part VI-Pro Forma'!$G$9="Yes",ROUND((-$K$9*(1+'Part VI-Pro Forma'!$B$7)^('Part VI-Pro Forma'!D108-1)),),IF('Part VI-Pro Forma'!$G$10="Yes",ROUND((-(SUM(D109:D112)*'Part VI-Pro Forma'!$K$10)),),"Choose mgt fee")))</f>
        <v>-302883</v>
      </c>
      <c r="E116" s="2801">
        <f>IF(AND('Part VI-Pro Forma'!$G$9="Yes",'Part VI-Pro Forma'!$G$10="Yes"),"Choose One!",IF('Part VI-Pro Forma'!$G$9="Yes",ROUND((-$K$9*(1+'Part VI-Pro Forma'!$B$7)^('Part VI-Pro Forma'!E108-1)),),IF('Part VI-Pro Forma'!$G$10="Yes",ROUND((-(SUM(E109:E112)*'Part VI-Pro Forma'!$K$10)),),"Choose mgt fee")))</f>
        <v>-308941</v>
      </c>
      <c r="F116" s="2802">
        <f>IF(AND('Part VI-Pro Forma'!$G$9="Yes",'Part VI-Pro Forma'!$G$10="Yes"),"Choose One!",IF('Part VI-Pro Forma'!$G$9="Yes",ROUND((-$K$9*(1+'Part VI-Pro Forma'!$B$7)^('Part VI-Pro Forma'!F108-1)),),IF('Part VI-Pro Forma'!$G$10="Yes",ROUND((-(SUM(F109:F112)*'Part VI-Pro Forma'!$K$10)),),"Choose mgt fee")))</f>
        <v>-315120</v>
      </c>
      <c r="G116" s="2816"/>
      <c r="H116" s="2816"/>
      <c r="I116" s="2816"/>
      <c r="J116" s="2816"/>
      <c r="K116" s="2816"/>
      <c r="L116" s="79"/>
      <c r="M116" s="79"/>
      <c r="N116" s="3500"/>
      <c r="O116" s="3502"/>
      <c r="P116" s="79"/>
      <c r="Q116" s="79"/>
      <c r="R116" s="79"/>
      <c r="S116" s="79"/>
      <c r="T116" s="79"/>
      <c r="U116" s="79"/>
      <c r="V116" s="79"/>
      <c r="W116" s="79"/>
      <c r="X116" s="79"/>
      <c r="Y116" s="79"/>
      <c r="Z116" s="1413" t="s">
        <v>1369</v>
      </c>
      <c r="AA116" s="1415">
        <v>116</v>
      </c>
    </row>
    <row r="117" spans="1:27" ht="13.35" customHeight="1">
      <c r="A117" s="246" t="s">
        <v>1350</v>
      </c>
      <c r="B117" s="2801">
        <f>$B$23*(1+$B$8)^(B108-1)</f>
        <v>-169058.83111835975</v>
      </c>
      <c r="C117" s="2801">
        <f>$B$23*(1+$B$8)^(C108-1)</f>
        <v>-174130.59605191057</v>
      </c>
      <c r="D117" s="2801">
        <f>$B$23*(1+$B$8)^(D108-1)</f>
        <v>-179354.51393346785</v>
      </c>
      <c r="E117" s="2801">
        <f>$B$23*(1+$B$8)^(E108-1)</f>
        <v>-184735.14935147189</v>
      </c>
      <c r="F117" s="2802">
        <f>$B$23*(1+$B$8)^(F108-1)</f>
        <v>-190277.20383201604</v>
      </c>
      <c r="G117" s="2816"/>
      <c r="H117" s="2816"/>
      <c r="I117" s="2816"/>
      <c r="J117" s="2816"/>
      <c r="K117" s="2816"/>
      <c r="L117" s="79"/>
      <c r="M117" s="79"/>
      <c r="N117" s="3500"/>
      <c r="O117" s="3502"/>
      <c r="P117" s="79"/>
      <c r="Q117" s="60">
        <v>10</v>
      </c>
      <c r="R117" s="2803">
        <f>-SUM(B123:K123)</f>
        <v>0</v>
      </c>
      <c r="S117" s="2803">
        <f>SUM(B124:K124)+R117</f>
        <v>0</v>
      </c>
      <c r="T117" s="79"/>
      <c r="U117" s="79"/>
      <c r="V117" s="79"/>
      <c r="W117" s="79"/>
      <c r="X117" s="79"/>
      <c r="Y117" s="79"/>
      <c r="Z117" s="1413" t="s">
        <v>1369</v>
      </c>
      <c r="AA117" s="1415">
        <v>117</v>
      </c>
    </row>
    <row r="118" spans="1:27" ht="13.35" customHeight="1">
      <c r="A118" s="246" t="s">
        <v>1351</v>
      </c>
      <c r="B118" s="2804">
        <f>IF(B108&lt;=+'Part V-Revenues &amp; Expenses'!$N$251,-'Part V-Revenues &amp; Expenses'!$K$251,0)</f>
        <v>-10</v>
      </c>
      <c r="C118" s="2804">
        <f>IF(C108&lt;=+'Part V-Revenues &amp; Expenses'!$N$251,-'Part V-Revenues &amp; Expenses'!$K$251,0)</f>
        <v>-10</v>
      </c>
      <c r="D118" s="2804">
        <f>IF(D108&lt;=+'Part V-Revenues &amp; Expenses'!$N$251,-'Part V-Revenues &amp; Expenses'!$K$251,0)</f>
        <v>-10</v>
      </c>
      <c r="E118" s="2804">
        <f>IF(E108&lt;=+'Part V-Revenues &amp; Expenses'!$N$251,-'Part V-Revenues &amp; Expenses'!$K$251,0)</f>
        <v>-10</v>
      </c>
      <c r="F118" s="2804">
        <f>IF(F108&lt;=+'Part V-Revenues &amp; Expenses'!$N$251,-'Part V-Revenues &amp; Expenses'!$K$251,0)</f>
        <v>-10</v>
      </c>
      <c r="G118" s="2816"/>
      <c r="H118" s="2816"/>
      <c r="I118" s="2816"/>
      <c r="J118" s="2816"/>
      <c r="K118" s="2816"/>
      <c r="L118" s="79"/>
      <c r="M118" s="79"/>
      <c r="N118" s="3500"/>
      <c r="O118" s="3502"/>
      <c r="P118" s="79"/>
      <c r="Q118" s="79"/>
      <c r="R118" s="79"/>
      <c r="S118" s="79"/>
      <c r="T118" s="79"/>
      <c r="U118" s="79"/>
      <c r="V118" s="79"/>
      <c r="W118" s="79"/>
      <c r="X118" s="79"/>
      <c r="Y118" s="79"/>
      <c r="Z118" s="1413" t="s">
        <v>1369</v>
      </c>
      <c r="AA118" s="1415">
        <v>118</v>
      </c>
    </row>
    <row r="119" spans="1:27" ht="13.35" customHeight="1">
      <c r="A119" s="246" t="s">
        <v>1352</v>
      </c>
      <c r="B119" s="2801">
        <f>SUM(B114:B118)</f>
        <v>1577780.4846432144</v>
      </c>
      <c r="C119" s="2801">
        <f>SUM(C114:C118)</f>
        <v>1575094.590203637</v>
      </c>
      <c r="D119" s="2801">
        <f>SUM(D114:D118)</f>
        <v>1571327.1535513008</v>
      </c>
      <c r="E119" s="2801">
        <f>SUM(E114:E118)</f>
        <v>1566426.0659122227</v>
      </c>
      <c r="F119" s="2805">
        <f>SUM(F114:F118)</f>
        <v>1560337.2917990603</v>
      </c>
      <c r="G119" s="2816"/>
      <c r="H119" s="2816"/>
      <c r="I119" s="2816"/>
      <c r="J119" s="2816"/>
      <c r="K119" s="2816"/>
      <c r="L119" s="79"/>
      <c r="M119" s="79"/>
      <c r="N119" s="3500"/>
      <c r="O119" s="3502"/>
      <c r="P119" s="79"/>
      <c r="Q119" s="79"/>
      <c r="R119" s="79"/>
      <c r="S119" s="79"/>
      <c r="T119" s="79"/>
      <c r="U119" s="79"/>
      <c r="V119" s="79"/>
      <c r="W119" s="79"/>
      <c r="X119" s="79"/>
      <c r="Y119" s="79"/>
      <c r="Z119" s="1413" t="s">
        <v>1369</v>
      </c>
      <c r="AA119" s="1415">
        <v>119</v>
      </c>
    </row>
    <row r="120" spans="1:27" ht="13.35" customHeight="1">
      <c r="A120" s="246" t="str">
        <f>$A90</f>
        <v>Mortgage A</v>
      </c>
      <c r="B120" s="2806">
        <f>IF('Part II-Sources of Funds'!$P$40="", 0,-'Part II-Sources of Funds'!$P$40)</f>
        <v>-1082324.8914344434</v>
      </c>
      <c r="C120" s="2806">
        <f>IF('Part II-Sources of Funds'!$P$40="", 0,-'Part II-Sources of Funds'!$P$40)</f>
        <v>-1082324.8914344434</v>
      </c>
      <c r="D120" s="2806">
        <f>IF('Part II-Sources of Funds'!$P$40="", 0,-'Part II-Sources of Funds'!$P$40)</f>
        <v>-1082324.8914344434</v>
      </c>
      <c r="E120" s="2806">
        <f>IF('Part II-Sources of Funds'!$P$40="", 0,-'Part II-Sources of Funds'!$P$40)</f>
        <v>-1082324.8914344434</v>
      </c>
      <c r="F120" s="2806">
        <f>IF('Part II-Sources of Funds'!$P$40="", 0,-'Part II-Sources of Funds'!$P$40)</f>
        <v>-1082324.8914344434</v>
      </c>
      <c r="G120" s="2816"/>
      <c r="H120" s="2816"/>
      <c r="I120" s="2816"/>
      <c r="J120" s="2816"/>
      <c r="K120" s="2816"/>
      <c r="L120" s="79"/>
      <c r="M120" s="79"/>
      <c r="N120" s="3500"/>
      <c r="O120" s="3502"/>
      <c r="P120" s="79"/>
      <c r="Q120" s="79"/>
      <c r="R120" s="79"/>
      <c r="S120" s="79"/>
      <c r="T120" s="79"/>
      <c r="U120" s="79"/>
      <c r="V120" s="79"/>
      <c r="W120" s="79"/>
      <c r="X120" s="79"/>
      <c r="Y120" s="79"/>
      <c r="Z120" s="1413" t="s">
        <v>1369</v>
      </c>
      <c r="AA120" s="1415">
        <v>120</v>
      </c>
    </row>
    <row r="121" spans="1:27" ht="13.35" customHeight="1">
      <c r="A121" s="246" t="str">
        <f>$A91</f>
        <v>Mortgage B</v>
      </c>
      <c r="B121" s="2807">
        <f>-(B119+B120)*0.25</f>
        <v>-123863.89830219274</v>
      </c>
      <c r="C121" s="2807">
        <f t="shared" ref="C121:F121" si="68">-(C119+C120)*0.25</f>
        <v>-123192.4246922984</v>
      </c>
      <c r="D121" s="2807">
        <f t="shared" si="68"/>
        <v>-122250.56552921433</v>
      </c>
      <c r="E121" s="2807">
        <f t="shared" si="68"/>
        <v>-121025.29361944483</v>
      </c>
      <c r="F121" s="2807">
        <f t="shared" si="68"/>
        <v>-119503.10009115422</v>
      </c>
      <c r="G121" s="2816"/>
      <c r="H121" s="2816"/>
      <c r="I121" s="2816"/>
      <c r="J121" s="2816"/>
      <c r="K121" s="2816"/>
      <c r="L121" s="79"/>
      <c r="M121" s="79"/>
      <c r="N121" s="3500"/>
      <c r="O121" s="3502"/>
      <c r="P121" s="79"/>
      <c r="Q121" s="79"/>
      <c r="R121" s="79"/>
      <c r="S121" s="79"/>
      <c r="T121" s="79"/>
      <c r="U121" s="79"/>
      <c r="V121" s="79"/>
      <c r="W121" s="79"/>
      <c r="X121" s="79"/>
      <c r="Y121" s="79"/>
      <c r="Z121" s="1413" t="s">
        <v>1369</v>
      </c>
      <c r="AA121" s="1415">
        <v>121</v>
      </c>
    </row>
    <row r="122" spans="1:27" ht="13.35" customHeight="1">
      <c r="A122" s="246" t="str">
        <f>$A92</f>
        <v>Mortgage C</v>
      </c>
      <c r="B122" s="2807">
        <f>IF('Part II-Sources of Funds'!$P$42="", 0,-'Part II-Sources of Funds'!$P$42)</f>
        <v>0</v>
      </c>
      <c r="C122" s="2807">
        <f>IF('Part II-Sources of Funds'!$P$42="", 0,-'Part II-Sources of Funds'!$P$42)</f>
        <v>0</v>
      </c>
      <c r="D122" s="2807">
        <f>IF('Part II-Sources of Funds'!$P$42="", 0,-'Part II-Sources of Funds'!$P$42)</f>
        <v>0</v>
      </c>
      <c r="E122" s="2807">
        <f>IF('Part II-Sources of Funds'!$P$42="", 0,-'Part II-Sources of Funds'!$P$42)</f>
        <v>0</v>
      </c>
      <c r="F122" s="2807">
        <f>IF('Part II-Sources of Funds'!$P$42="", 0,-'Part II-Sources of Funds'!$P$42)</f>
        <v>0</v>
      </c>
      <c r="G122" s="2816"/>
      <c r="H122" s="2816"/>
      <c r="I122" s="2816"/>
      <c r="J122" s="2816"/>
      <c r="K122" s="2816"/>
      <c r="L122" s="79"/>
      <c r="M122" s="79"/>
      <c r="N122" s="3500"/>
      <c r="O122" s="3502"/>
      <c r="P122" s="79"/>
      <c r="Q122" s="79"/>
      <c r="R122" s="79"/>
      <c r="S122" s="79"/>
      <c r="T122" s="79"/>
      <c r="U122" s="79"/>
      <c r="V122" s="79"/>
      <c r="W122" s="79"/>
      <c r="X122" s="79"/>
      <c r="Y122" s="79"/>
      <c r="Z122" s="1413" t="s">
        <v>1369</v>
      </c>
      <c r="AA122" s="1415">
        <v>122</v>
      </c>
    </row>
    <row r="123" spans="1:27" ht="13.35" customHeight="1">
      <c r="A123" s="246" t="str">
        <f>$A93</f>
        <v>D/S Other Source,not DDF</v>
      </c>
      <c r="B123" s="2807">
        <f>IF('Part II-Sources of Funds'!$P$43="", 0,-'Part II-Sources of Funds'!$P$43)</f>
        <v>0</v>
      </c>
      <c r="C123" s="2807">
        <f>IF('Part II-Sources of Funds'!$P$43="", 0,-'Part II-Sources of Funds'!$P$43)</f>
        <v>0</v>
      </c>
      <c r="D123" s="2807">
        <f>IF('Part II-Sources of Funds'!$P$43="", 0,-'Part II-Sources of Funds'!$P$43)</f>
        <v>0</v>
      </c>
      <c r="E123" s="2807">
        <f>IF('Part II-Sources of Funds'!$P$43="", 0,-'Part II-Sources of Funds'!$P$43)</f>
        <v>0</v>
      </c>
      <c r="F123" s="2807">
        <f>IF('Part II-Sources of Funds'!$P$43="", 0,-'Part II-Sources of Funds'!$P$43)</f>
        <v>0</v>
      </c>
      <c r="G123" s="2816"/>
      <c r="H123" s="2816"/>
      <c r="I123" s="2816"/>
      <c r="J123" s="2816"/>
      <c r="K123" s="2816"/>
      <c r="L123" s="79"/>
      <c r="M123" s="79"/>
      <c r="N123" s="3500"/>
      <c r="O123" s="3502"/>
      <c r="P123" s="79"/>
      <c r="Q123" s="79"/>
      <c r="R123" s="79"/>
      <c r="S123" s="79"/>
      <c r="T123" s="79"/>
      <c r="U123" s="79"/>
      <c r="V123" s="79"/>
      <c r="W123" s="79"/>
      <c r="X123" s="79"/>
      <c r="Y123" s="79"/>
      <c r="Z123" s="1413" t="s">
        <v>1369</v>
      </c>
      <c r="AA123" s="1415">
        <v>123</v>
      </c>
    </row>
    <row r="124" spans="1:27" ht="13.35" customHeight="1">
      <c r="A124" s="246" t="s">
        <v>1354</v>
      </c>
      <c r="B124" s="2808"/>
      <c r="C124" s="2808"/>
      <c r="D124" s="2808"/>
      <c r="E124" s="2808"/>
      <c r="F124" s="2808"/>
      <c r="G124" s="2816"/>
      <c r="H124" s="2816"/>
      <c r="I124" s="2816"/>
      <c r="J124" s="2816"/>
      <c r="K124" s="2816"/>
      <c r="L124" s="79"/>
      <c r="M124" s="79"/>
      <c r="N124" s="3500"/>
      <c r="O124" s="3502"/>
      <c r="P124" s="79"/>
      <c r="Q124" s="79"/>
      <c r="R124" s="79"/>
      <c r="S124" s="79"/>
      <c r="T124" s="79"/>
      <c r="U124" s="79"/>
      <c r="V124" s="79"/>
      <c r="W124" s="79"/>
      <c r="X124" s="79"/>
      <c r="Y124" s="79"/>
      <c r="Z124" s="1413" t="s">
        <v>1369</v>
      </c>
      <c r="AA124" s="1415">
        <v>124</v>
      </c>
    </row>
    <row r="125" spans="1:27" ht="13.35" customHeight="1">
      <c r="A125" s="246" t="s">
        <v>1355</v>
      </c>
      <c r="B125" s="2810">
        <f>+K95</f>
        <v>-10000</v>
      </c>
      <c r="C125" s="2810">
        <f>+B125</f>
        <v>-10000</v>
      </c>
      <c r="D125" s="2810">
        <f>+C125</f>
        <v>-10000</v>
      </c>
      <c r="E125" s="2810">
        <f>+D125</f>
        <v>-10000</v>
      </c>
      <c r="F125" s="2810">
        <f>+E125</f>
        <v>-10000</v>
      </c>
      <c r="G125" s="2816"/>
      <c r="H125" s="2816"/>
      <c r="I125" s="2816"/>
      <c r="J125" s="2816"/>
      <c r="K125" s="2816"/>
      <c r="L125" s="79"/>
      <c r="M125" s="79"/>
      <c r="N125" s="3500"/>
      <c r="O125" s="3502"/>
      <c r="P125" s="79"/>
      <c r="Q125" s="79"/>
      <c r="R125" s="79"/>
      <c r="S125" s="79"/>
      <c r="T125" s="79"/>
      <c r="U125" s="79"/>
      <c r="V125" s="79"/>
      <c r="W125" s="79"/>
      <c r="X125" s="79"/>
      <c r="Y125" s="79"/>
      <c r="Z125" s="1413" t="s">
        <v>1369</v>
      </c>
      <c r="AA125" s="1415">
        <v>125</v>
      </c>
    </row>
    <row r="126" spans="1:27" ht="13.35" customHeight="1">
      <c r="A126" s="246" t="s">
        <v>1357</v>
      </c>
      <c r="B126" s="2801">
        <f>SUM(B119:B125)</f>
        <v>361591.69490657822</v>
      </c>
      <c r="C126" s="2801">
        <f>SUM(C119:C125)</f>
        <v>359577.27407689521</v>
      </c>
      <c r="D126" s="2801">
        <f>SUM(D119:D125)</f>
        <v>356751.696587643</v>
      </c>
      <c r="E126" s="2801">
        <f>SUM(E119:E125)</f>
        <v>353075.88085833448</v>
      </c>
      <c r="F126" s="2802">
        <f>SUM(F119:F125)</f>
        <v>348509.30027346266</v>
      </c>
      <c r="G126" s="2816"/>
      <c r="H126" s="2816"/>
      <c r="I126" s="2816"/>
      <c r="J126" s="2816"/>
      <c r="K126" s="2816"/>
      <c r="L126" s="79"/>
      <c r="M126" s="79"/>
      <c r="N126" s="3500"/>
      <c r="O126" s="3502"/>
      <c r="P126" s="79"/>
      <c r="Q126" s="79"/>
      <c r="R126" s="79"/>
      <c r="S126" s="79"/>
      <c r="T126" s="79"/>
      <c r="U126" s="79"/>
      <c r="V126" s="79"/>
      <c r="W126" s="79"/>
      <c r="X126" s="79"/>
      <c r="Y126" s="79"/>
      <c r="Z126" s="1413" t="s">
        <v>1369</v>
      </c>
      <c r="AA126" s="1415">
        <v>126</v>
      </c>
    </row>
    <row r="127" spans="1:27" ht="13.35" customHeight="1">
      <c r="A127" s="246" t="str">
        <f>$A97</f>
        <v>DCR Mortgage A</v>
      </c>
      <c r="B127" s="2811">
        <f>IF(B120=0,"",-B119/B120)</f>
        <v>1.457769748372068</v>
      </c>
      <c r="C127" s="2811">
        <f>IF(C120=0,"",-C119/C120)</f>
        <v>1.4552881511540481</v>
      </c>
      <c r="D127" s="2811">
        <f>IF(D120=0,"",-D119/D120)</f>
        <v>1.4518072770818062</v>
      </c>
      <c r="E127" s="2811">
        <f>IF(E120=0,"",-E119/E120)</f>
        <v>1.4472789809316711</v>
      </c>
      <c r="F127" s="2812">
        <f>IF(F120=0,"",-F119/F120)</f>
        <v>1.4416533373182336</v>
      </c>
      <c r="G127" s="2816"/>
      <c r="H127" s="2816"/>
      <c r="I127" s="2816"/>
      <c r="J127" s="2816"/>
      <c r="K127" s="2816"/>
      <c r="L127" s="79"/>
      <c r="M127" s="79"/>
      <c r="N127" s="3500"/>
      <c r="O127" s="3502"/>
      <c r="P127" s="79"/>
      <c r="Q127" s="79"/>
      <c r="R127" s="79"/>
      <c r="S127" s="79"/>
      <c r="T127" s="79"/>
      <c r="U127" s="79"/>
      <c r="V127" s="79"/>
      <c r="W127" s="79"/>
      <c r="X127" s="79"/>
      <c r="Y127" s="79"/>
      <c r="Z127" s="1413" t="s">
        <v>1369</v>
      </c>
      <c r="AA127" s="1415">
        <v>127</v>
      </c>
    </row>
    <row r="128" spans="1:27" ht="13.35" customHeight="1">
      <c r="A128" s="246" t="str">
        <f>$A98</f>
        <v>DCR Mortgage B</v>
      </c>
      <c r="B128" s="2811">
        <f>IF(B121=0,"",-(B119+B120)/B121)</f>
        <v>4</v>
      </c>
      <c r="C128" s="2811">
        <f>IF(C121=0,"",-(C119+C120)/C121)</f>
        <v>4</v>
      </c>
      <c r="D128" s="2811">
        <f>IF(D121=0,"",-(D119+D120)/D121)</f>
        <v>4</v>
      </c>
      <c r="E128" s="2811">
        <f>IF(E121=0,"",-(E119+E120)/E121)</f>
        <v>4</v>
      </c>
      <c r="F128" s="2812">
        <f>IF(F121=0,"",-(F119+F120)/F121)</f>
        <v>4</v>
      </c>
      <c r="G128" s="2816"/>
      <c r="H128" s="2816"/>
      <c r="I128" s="2816"/>
      <c r="J128" s="2816"/>
      <c r="K128" s="2816"/>
      <c r="L128" s="79"/>
      <c r="M128" s="79"/>
      <c r="N128" s="3500"/>
      <c r="O128" s="3502"/>
      <c r="P128" s="79"/>
      <c r="Q128" s="79"/>
      <c r="R128" s="79"/>
      <c r="S128" s="79"/>
      <c r="T128" s="79"/>
      <c r="U128" s="79"/>
      <c r="V128" s="79"/>
      <c r="W128" s="79"/>
      <c r="X128" s="79"/>
      <c r="Y128" s="79"/>
      <c r="Z128" s="1413" t="s">
        <v>1369</v>
      </c>
      <c r="AA128" s="1415">
        <v>128</v>
      </c>
    </row>
    <row r="129" spans="1:27" ht="13.35" customHeight="1">
      <c r="A129" s="246" t="str">
        <f>$A99</f>
        <v>DCR Mortgage C</v>
      </c>
      <c r="B129" s="2811" t="str">
        <f>IF(B122=0,"",-(B119+B120+B121)/B122)</f>
        <v/>
      </c>
      <c r="C129" s="2811" t="str">
        <f>IF(C122=0,"",-(C119+C120+C121)/C122)</f>
        <v/>
      </c>
      <c r="D129" s="2811" t="str">
        <f>IF(D122=0,"",-(D119+D120+D121)/D122)</f>
        <v/>
      </c>
      <c r="E129" s="2811" t="str">
        <f>IF(E122=0,"",-(E119+E120+E121)/E122)</f>
        <v/>
      </c>
      <c r="F129" s="2812" t="str">
        <f>IF(F122=0,"",-(F119+F120+F121)/F122)</f>
        <v/>
      </c>
      <c r="G129" s="2816"/>
      <c r="H129" s="2816"/>
      <c r="I129" s="2816"/>
      <c r="J129" s="2816"/>
      <c r="K129" s="2816"/>
      <c r="L129" s="79"/>
      <c r="M129" s="79"/>
      <c r="N129" s="3500"/>
      <c r="O129" s="3502"/>
      <c r="P129" s="79"/>
      <c r="Q129" s="79"/>
      <c r="R129" s="79"/>
      <c r="S129" s="79"/>
      <c r="T129" s="79"/>
      <c r="U129" s="79"/>
      <c r="V129" s="79"/>
      <c r="W129" s="79"/>
      <c r="X129" s="79"/>
      <c r="Y129" s="79"/>
      <c r="Z129" s="1413" t="s">
        <v>1369</v>
      </c>
      <c r="AA129" s="1415">
        <v>129</v>
      </c>
    </row>
    <row r="130" spans="1:27" ht="13.35" customHeight="1">
      <c r="A130" s="246" t="str">
        <f>$A100</f>
        <v>DCR Other Source</v>
      </c>
      <c r="B130" s="2811" t="str">
        <f>IF(B123=0,"",-(B119+B120+B121+B122)/B123)</f>
        <v/>
      </c>
      <c r="C130" s="2811" t="str">
        <f>IF(C123=0,"",-(C119+C120+C121+C122)/C123)</f>
        <v/>
      </c>
      <c r="D130" s="2811" t="str">
        <f>IF(D123=0,"",-(D119+D120+D121+D122)/D123)</f>
        <v/>
      </c>
      <c r="E130" s="2811" t="str">
        <f>IF(E123=0,"",-(E119+E120+E121+E122)/E123)</f>
        <v/>
      </c>
      <c r="F130" s="2812" t="str">
        <f>IF(F123=0,"",-(F119+F120+F121+F122)/F123)</f>
        <v/>
      </c>
      <c r="G130" s="2816"/>
      <c r="H130" s="2816"/>
      <c r="I130" s="2816"/>
      <c r="J130" s="2816"/>
      <c r="K130" s="2816"/>
      <c r="L130" s="79"/>
      <c r="M130" s="79"/>
      <c r="N130" s="3500"/>
      <c r="O130" s="3502"/>
      <c r="P130" s="79"/>
      <c r="Q130" s="79"/>
      <c r="R130" s="79"/>
      <c r="S130" s="79"/>
      <c r="T130" s="79"/>
      <c r="U130" s="79"/>
      <c r="V130" s="79"/>
      <c r="W130" s="79"/>
      <c r="X130" s="79"/>
      <c r="Y130" s="79"/>
      <c r="Z130" s="1413" t="s">
        <v>1369</v>
      </c>
      <c r="AA130" s="1415">
        <v>130</v>
      </c>
    </row>
    <row r="131" spans="1:27" ht="13.35" customHeight="1">
      <c r="A131" s="246" t="s">
        <v>1359</v>
      </c>
      <c r="B131" s="2811">
        <f>IF(AND(B120=0,B121=0,B122=0,B123=0),"",-B119/(B120+B121+B122+B123))</f>
        <v>1.3080709239452581</v>
      </c>
      <c r="C131" s="2811">
        <f>IF(AND(C120=0,C121=0,C122=0,C123=0),"",-C119/(C120+C121+C122+C123))</f>
        <v>1.3065715184119675</v>
      </c>
      <c r="D131" s="2811">
        <f>IF(AND(D120=0,D121=0,D122=0,D123=0),"",-D119/(D120+D121+D122+D123))</f>
        <v>1.3044655230749134</v>
      </c>
      <c r="E131" s="2811">
        <f>IF(AND(E120=0,E121=0,E122=0,E123=0),"",-E119/(E120+E121+E122+E123))</f>
        <v>1.3017208833869713</v>
      </c>
      <c r="F131" s="2812">
        <f>IF(AND(F120=0,F121=0,F122=0,F123=0),"",-F119/(F120+F121+F122+F123))</f>
        <v>1.2983033369179326</v>
      </c>
      <c r="G131" s="2816"/>
      <c r="H131" s="2816"/>
      <c r="I131" s="2816"/>
      <c r="J131" s="2816"/>
      <c r="K131" s="2816"/>
      <c r="L131" s="79"/>
      <c r="M131" s="79"/>
      <c r="N131" s="3500"/>
      <c r="O131" s="3502"/>
      <c r="P131" s="79"/>
      <c r="Q131" s="79"/>
      <c r="R131" s="79"/>
      <c r="S131" s="79"/>
      <c r="T131" s="79"/>
      <c r="U131" s="79"/>
      <c r="V131" s="79"/>
      <c r="W131" s="79"/>
      <c r="X131" s="79"/>
      <c r="Y131" s="79"/>
      <c r="Z131" s="1413" t="s">
        <v>1369</v>
      </c>
      <c r="AA131" s="1415">
        <v>131</v>
      </c>
    </row>
    <row r="132" spans="1:27" ht="13.35" customHeight="1">
      <c r="A132" s="246" t="s">
        <v>1360</v>
      </c>
      <c r="B132" s="2813">
        <f>IF(OR(B116="Choose mgt fee",B116="Choose One!"),"",(B109+B110+B111+B112+B113) / -(B115+B116+B117))</f>
        <v>1.4246696151172071</v>
      </c>
      <c r="C132" s="2813">
        <f>IF(OR(C116="Choose mgt fee",C116="Choose One!"),"",(C109+C110+C111+C112+C113) / -(C115+C116+C117))</f>
        <v>1.4119121400842105</v>
      </c>
      <c r="D132" s="2813">
        <f>IF(OR(D116="Choose mgt fee",D116="Choose One!"),"",(D109+D110+D111+D112+D113) / -(D115+D116+D117))</f>
        <v>1.399259159697793</v>
      </c>
      <c r="E132" s="2813">
        <f>IF(OR(E116="Choose mgt fee",E116="Choose One!"),"",(E109+E110+E111+E112+E113) / -(E115+E116+E117))</f>
        <v>1.3867101201662857</v>
      </c>
      <c r="F132" s="2817">
        <f>IF(OR(F116="Choose mgt fee",F116="Choose One!"),"",(F109+F110+F111+F112+F113) / -(F115+F116+F117))</f>
        <v>1.3742644661503813</v>
      </c>
      <c r="G132" s="2816"/>
      <c r="H132" s="2816"/>
      <c r="I132" s="2816"/>
      <c r="J132" s="2816"/>
      <c r="K132" s="2816"/>
      <c r="L132" s="79"/>
      <c r="M132" s="79"/>
      <c r="N132" s="3500"/>
      <c r="O132" s="3502"/>
      <c r="P132" s="79"/>
      <c r="Q132" s="79"/>
      <c r="R132" s="79"/>
      <c r="S132" s="79"/>
      <c r="T132" s="79"/>
      <c r="U132" s="79"/>
      <c r="V132" s="79"/>
      <c r="W132" s="79"/>
      <c r="X132" s="79"/>
      <c r="Y132" s="79"/>
      <c r="Z132" s="1413" t="s">
        <v>1369</v>
      </c>
      <c r="AA132" s="1415">
        <v>132</v>
      </c>
    </row>
    <row r="133" spans="1:27" ht="13.35" customHeight="1">
      <c r="A133" s="246" t="s">
        <v>1361</v>
      </c>
      <c r="B133" s="2815">
        <f>IF('Part II-Sources of Funds'!$I$40="","",-FV('Part II-Sources of Funds'!$K$40/12,12,B120/12,K103))</f>
        <v>7139379.051231117</v>
      </c>
      <c r="C133" s="2815">
        <f>IF('Part II-Sources of Funds'!$I$40="","",-FV('Part II-Sources of Funds'!$K$40/12,12,C120/12,B133))</f>
        <v>6555510.8720582863</v>
      </c>
      <c r="D133" s="2815">
        <f>IF('Part II-Sources of Funds'!$I$40="","",-FV('Part II-Sources of Funds'!$K$40/12,12,D120/12,C133))</f>
        <v>5927876.928256169</v>
      </c>
      <c r="E133" s="2815">
        <f>IF('Part II-Sources of Funds'!$I$40="","",-FV('Part II-Sources of Funds'!$K$40/12,12,E120/12,D133))</f>
        <v>5253196.6126228124</v>
      </c>
      <c r="F133" s="2815">
        <f>IF('Part II-Sources of Funds'!$I$40="","",-FV('Part II-Sources of Funds'!$K$40/12,12,F120/12,E133))</f>
        <v>4527943.4092258951</v>
      </c>
      <c r="G133" s="2816"/>
      <c r="H133" s="2816"/>
      <c r="I133" s="2816"/>
      <c r="J133" s="2816"/>
      <c r="K133" s="2816"/>
      <c r="L133" s="79"/>
      <c r="M133" s="79"/>
      <c r="N133" s="3500"/>
      <c r="O133" s="3502"/>
      <c r="P133" s="79"/>
      <c r="Q133" s="79"/>
      <c r="R133" s="79"/>
      <c r="S133" s="79"/>
      <c r="T133" s="79"/>
      <c r="U133" s="79"/>
      <c r="V133" s="79"/>
      <c r="W133" s="79"/>
      <c r="X133" s="79"/>
      <c r="Y133" s="79"/>
      <c r="Z133" s="1413" t="s">
        <v>1369</v>
      </c>
      <c r="AA133" s="1415">
        <v>133</v>
      </c>
    </row>
    <row r="134" spans="1:27" ht="13.35" customHeight="1">
      <c r="A134" s="246" t="s">
        <v>1362</v>
      </c>
      <c r="B134" s="2807">
        <f>IF('Part II-Sources of Funds'!$I$41="","",-FV('Part II-Sources of Funds'!$K$41/12,12,B121/12,K104))</f>
        <v>7550912.0572683569</v>
      </c>
      <c r="C134" s="2807">
        <f>IF('Part II-Sources of Funds'!$I$41="","",-FV('Part II-Sources of Funds'!$K$41/12,12,C121/12,B134))</f>
        <v>7503009.5964526385</v>
      </c>
      <c r="D134" s="2807">
        <f>IF('Part II-Sources of Funds'!$I$41="","",-FV('Part II-Sources of Funds'!$K$41/12,12,D121/12,C134))</f>
        <v>7455572.0974205229</v>
      </c>
      <c r="E134" s="2807">
        <f>IF('Part II-Sources of Funds'!$I$41="","",-FV('Part II-Sources of Funds'!$K$41/12,12,E121/12,D134))</f>
        <v>7408888.9464967158</v>
      </c>
      <c r="F134" s="2807">
        <f>IF('Part II-Sources of Funds'!$I$41="","",-FV('Part II-Sources of Funds'!$K$41/12,12,F121/12,E134))</f>
        <v>7363266.00812943</v>
      </c>
      <c r="G134" s="2816"/>
      <c r="H134" s="2816"/>
      <c r="I134" s="2816"/>
      <c r="J134" s="2816"/>
      <c r="K134" s="2816"/>
      <c r="L134" s="79"/>
      <c r="M134" s="79"/>
      <c r="N134" s="3500"/>
      <c r="O134" s="3502"/>
      <c r="P134" s="79"/>
      <c r="Q134" s="79"/>
      <c r="R134" s="79"/>
      <c r="S134" s="79"/>
      <c r="T134" s="79"/>
      <c r="U134" s="79"/>
      <c r="V134" s="79"/>
      <c r="W134" s="79"/>
      <c r="X134" s="79"/>
      <c r="Y134" s="79"/>
      <c r="Z134" s="1413" t="s">
        <v>1369</v>
      </c>
      <c r="AA134" s="1415">
        <v>134</v>
      </c>
    </row>
    <row r="135" spans="1:27" ht="13.35" customHeight="1">
      <c r="A135" s="246" t="s">
        <v>1363</v>
      </c>
      <c r="B135" s="2807" t="str">
        <f>IF('Part II-Sources of Funds'!$I$42="","",-FV('Part II-Sources of Funds'!$K$42/12,12,B122/12,K105))</f>
        <v/>
      </c>
      <c r="C135" s="2807" t="str">
        <f>IF('Part II-Sources of Funds'!$I$42="","",-FV('Part II-Sources of Funds'!$K$42/12,12,C122/12,B135))</f>
        <v/>
      </c>
      <c r="D135" s="2807" t="str">
        <f>IF('Part II-Sources of Funds'!$I$42="","",-FV('Part II-Sources of Funds'!$K$42/12,12,D122/12,C135))</f>
        <v/>
      </c>
      <c r="E135" s="2807" t="str">
        <f>IF('Part II-Sources of Funds'!$I$42="","",-FV('Part II-Sources of Funds'!$K$42/12,12,E122/12,D135))</f>
        <v/>
      </c>
      <c r="F135" s="2807" t="str">
        <f>IF('Part II-Sources of Funds'!$I$42="","",-FV('Part II-Sources of Funds'!$K$42/12,12,F122/12,E135))</f>
        <v/>
      </c>
      <c r="G135" s="2816"/>
      <c r="H135" s="2816"/>
      <c r="I135" s="2816"/>
      <c r="J135" s="2816"/>
      <c r="K135" s="2816"/>
      <c r="L135" s="79"/>
      <c r="M135" s="79"/>
      <c r="N135" s="3500"/>
      <c r="O135" s="3502"/>
      <c r="P135" s="79"/>
      <c r="Q135" s="79"/>
      <c r="R135" s="79"/>
      <c r="S135" s="79"/>
      <c r="T135" s="79"/>
      <c r="U135" s="79"/>
      <c r="V135" s="79"/>
      <c r="W135" s="79"/>
      <c r="X135" s="79"/>
      <c r="Y135" s="79"/>
      <c r="Z135" s="1413" t="s">
        <v>1369</v>
      </c>
      <c r="AA135" s="1415">
        <v>135</v>
      </c>
    </row>
    <row r="136" spans="1:27" ht="13.35" customHeight="1">
      <c r="A136" s="2818" t="s">
        <v>1364</v>
      </c>
      <c r="B136" s="2810" t="str">
        <f>IF('Part II-Sources of Funds'!$I$43="","",-FV('Part II-Sources of Funds'!$K$43/12,12,B123/12,K106))</f>
        <v/>
      </c>
      <c r="C136" s="2810" t="str">
        <f>IF('Part II-Sources of Funds'!$I$43="","",-FV('Part II-Sources of Funds'!$K$43/12,12,C123/12,B136))</f>
        <v/>
      </c>
      <c r="D136" s="2810" t="str">
        <f>IF('Part II-Sources of Funds'!$I$43="","",-FV('Part II-Sources of Funds'!$K$43/12,12,D123/12,C136))</f>
        <v/>
      </c>
      <c r="E136" s="2810" t="str">
        <f>IF('Part II-Sources of Funds'!$I$43="","",-FV('Part II-Sources of Funds'!$K$43/12,12,E123/12,D136))</f>
        <v/>
      </c>
      <c r="F136" s="2810" t="str">
        <f>IF('Part II-Sources of Funds'!$I$43="","",-FV('Part II-Sources of Funds'!$K$43/12,12,F123/12,E136))</f>
        <v/>
      </c>
      <c r="G136" s="2816"/>
      <c r="H136" s="2816"/>
      <c r="I136" s="2816"/>
      <c r="J136" s="2816"/>
      <c r="K136" s="2816"/>
      <c r="L136" s="79"/>
      <c r="M136" s="79"/>
      <c r="N136" s="3513"/>
      <c r="O136" s="3515"/>
      <c r="P136" s="79"/>
      <c r="Q136" s="79"/>
      <c r="R136" s="79"/>
      <c r="S136" s="79"/>
      <c r="T136" s="79"/>
      <c r="U136" s="79"/>
      <c r="V136" s="79"/>
      <c r="W136" s="79"/>
      <c r="X136" s="79"/>
      <c r="Y136" s="79"/>
      <c r="Z136" s="1413" t="s">
        <v>1369</v>
      </c>
      <c r="AA136" s="1415">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1370</v>
      </c>
      <c r="B138" s="7"/>
      <c r="C138" s="79"/>
      <c r="D138" s="79"/>
      <c r="E138" s="79"/>
      <c r="F138" s="79"/>
      <c r="G138" s="7" t="s">
        <v>1371</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3015" t="s">
        <v>1372</v>
      </c>
      <c r="B140" s="3610"/>
      <c r="C140" s="3610"/>
      <c r="D140" s="3610"/>
      <c r="E140" s="3610"/>
      <c r="F140" s="3611"/>
      <c r="G140" s="3612"/>
      <c r="H140" s="3613"/>
      <c r="I140" s="3613"/>
      <c r="J140" s="3613"/>
      <c r="K140" s="3614"/>
      <c r="L140" s="79"/>
      <c r="M140" s="79"/>
      <c r="N140" s="3249" t="s">
        <v>297</v>
      </c>
      <c r="O140" s="3249"/>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414"/>
      <c r="AA145" s="1416"/>
    </row>
    <row r="146" spans="12:27" s="1" customFormat="1" ht="12" customHeight="1">
      <c r="L146" s="79"/>
      <c r="M146" s="79"/>
      <c r="N146" s="79"/>
      <c r="O146" s="79"/>
      <c r="P146" s="45"/>
      <c r="Q146" s="45"/>
      <c r="R146" s="45"/>
      <c r="S146" s="45"/>
      <c r="T146" s="45"/>
      <c r="U146" s="45"/>
      <c r="V146" s="45"/>
      <c r="W146" s="45"/>
      <c r="X146" s="45"/>
      <c r="Y146" s="45"/>
      <c r="Z146" s="1414"/>
      <c r="AA146" s="1416"/>
    </row>
    <row r="147" spans="12:27" s="1" customFormat="1" ht="12" customHeight="1">
      <c r="L147" s="79"/>
      <c r="M147" s="79"/>
      <c r="N147" s="79"/>
      <c r="O147" s="79"/>
      <c r="P147" s="45"/>
      <c r="Q147" s="79"/>
      <c r="R147" s="79"/>
      <c r="S147" s="45"/>
      <c r="T147" s="45"/>
      <c r="U147" s="45"/>
      <c r="V147" s="45"/>
      <c r="W147" s="45"/>
      <c r="X147" s="45"/>
      <c r="Y147" s="45"/>
      <c r="Z147" s="1414"/>
      <c r="AA147" s="1416"/>
    </row>
    <row r="148" spans="12:27" s="1" customFormat="1" ht="12" customHeight="1">
      <c r="L148" s="79"/>
      <c r="M148" s="79"/>
      <c r="N148" s="79"/>
      <c r="O148" s="79"/>
      <c r="P148" s="45"/>
      <c r="Q148" s="45"/>
      <c r="R148" s="45"/>
      <c r="S148" s="79"/>
      <c r="T148" s="45"/>
      <c r="U148" s="45"/>
      <c r="V148" s="45"/>
      <c r="W148" s="45"/>
      <c r="X148" s="45"/>
      <c r="Y148" s="45"/>
      <c r="Z148" s="1414"/>
      <c r="AA148" s="1416"/>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414"/>
      <c r="AA150" s="1416"/>
    </row>
    <row r="151" spans="12:27" s="1" customFormat="1" ht="12" customHeight="1">
      <c r="L151" s="79"/>
      <c r="M151" s="79"/>
      <c r="N151" s="79"/>
      <c r="O151" s="79"/>
      <c r="P151" s="45"/>
      <c r="Q151" s="45"/>
      <c r="R151" s="45"/>
      <c r="S151" s="79"/>
      <c r="T151" s="45"/>
      <c r="U151" s="45"/>
      <c r="V151" s="45"/>
      <c r="W151" s="45"/>
      <c r="X151" s="45"/>
      <c r="Y151" s="45"/>
      <c r="Z151" s="1414"/>
      <c r="AA151" s="1416"/>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414"/>
      <c r="AA153" s="1416"/>
    </row>
    <row r="154" spans="12:27" s="1" customFormat="1" ht="12" customHeight="1">
      <c r="L154" s="79"/>
      <c r="M154" s="79"/>
      <c r="N154" s="79"/>
      <c r="O154" s="79"/>
      <c r="P154" s="45"/>
      <c r="Q154" s="45"/>
      <c r="R154" s="45"/>
      <c r="S154" s="45"/>
      <c r="T154" s="45"/>
      <c r="U154" s="45"/>
      <c r="V154" s="45"/>
      <c r="W154" s="45"/>
      <c r="X154" s="45"/>
      <c r="Y154" s="45"/>
      <c r="Z154" s="1414"/>
      <c r="AA154" s="1416"/>
    </row>
    <row r="155" spans="12:27" s="1" customFormat="1" ht="12" customHeight="1">
      <c r="L155" s="79"/>
      <c r="M155" s="79"/>
      <c r="N155" s="79"/>
      <c r="O155" s="79"/>
      <c r="P155" s="45"/>
      <c r="Q155" s="45"/>
      <c r="R155" s="45"/>
      <c r="S155" s="45"/>
      <c r="T155" s="45"/>
      <c r="U155" s="45"/>
      <c r="V155" s="45"/>
      <c r="W155" s="45"/>
      <c r="X155" s="45"/>
      <c r="Y155" s="45"/>
      <c r="Z155" s="1414"/>
      <c r="AA155" s="1416"/>
    </row>
    <row r="156" spans="12:27" s="1" customFormat="1" ht="12" customHeight="1">
      <c r="L156" s="79"/>
      <c r="M156" s="79"/>
      <c r="N156" s="79"/>
      <c r="O156" s="79"/>
      <c r="P156" s="45"/>
      <c r="Q156" s="45"/>
      <c r="R156" s="45"/>
      <c r="S156" s="45"/>
      <c r="T156" s="45"/>
      <c r="U156" s="45"/>
      <c r="V156" s="45"/>
      <c r="W156" s="45"/>
      <c r="X156" s="45"/>
      <c r="Y156" s="45"/>
      <c r="Z156" s="1414"/>
      <c r="AA156" s="1416"/>
    </row>
    <row r="157" spans="12:27" s="1" customFormat="1" ht="12" customHeight="1">
      <c r="L157" s="79"/>
      <c r="M157" s="79"/>
      <c r="N157" s="79"/>
      <c r="O157" s="79"/>
      <c r="P157" s="45"/>
      <c r="Q157" s="45"/>
      <c r="R157" s="45"/>
      <c r="S157" s="45"/>
      <c r="T157" s="45"/>
      <c r="U157" s="45"/>
      <c r="V157" s="45"/>
      <c r="W157" s="45"/>
      <c r="X157" s="45"/>
      <c r="Y157" s="45"/>
      <c r="Z157" s="1414"/>
      <c r="AA157" s="1416"/>
    </row>
    <row r="158" spans="12:27" s="1" customFormat="1" ht="12" customHeight="1">
      <c r="L158" s="79"/>
      <c r="M158" s="79"/>
      <c r="N158" s="79"/>
      <c r="O158" s="79"/>
      <c r="P158" s="45"/>
      <c r="Q158" s="79"/>
      <c r="R158" s="79"/>
      <c r="S158" s="45"/>
      <c r="T158" s="45"/>
      <c r="U158" s="45"/>
      <c r="V158" s="45"/>
      <c r="W158" s="45"/>
      <c r="X158" s="45"/>
      <c r="Y158" s="45"/>
      <c r="Z158" s="1414"/>
      <c r="AA158" s="1416"/>
    </row>
    <row r="159" spans="12:27" s="1" customFormat="1" ht="12" customHeight="1">
      <c r="L159" s="79"/>
      <c r="M159" s="79"/>
      <c r="N159" s="79"/>
      <c r="O159" s="79"/>
      <c r="P159" s="45"/>
      <c r="Q159" s="45"/>
      <c r="R159" s="45"/>
      <c r="S159" s="79"/>
      <c r="T159" s="45"/>
      <c r="U159" s="45"/>
      <c r="V159" s="45"/>
      <c r="W159" s="45"/>
      <c r="X159" s="45"/>
      <c r="Y159" s="45"/>
      <c r="Z159" s="1414"/>
      <c r="AA159" s="1416"/>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414"/>
      <c r="AA161" s="1416"/>
    </row>
    <row r="162" spans="12:27" s="1" customFormat="1" ht="12" customHeight="1">
      <c r="L162" s="79"/>
      <c r="M162" s="79"/>
      <c r="N162" s="79"/>
      <c r="O162" s="79"/>
      <c r="P162" s="45"/>
      <c r="Q162" s="45"/>
      <c r="R162" s="45"/>
      <c r="S162" s="45"/>
      <c r="T162" s="45"/>
      <c r="U162" s="45"/>
      <c r="V162" s="45"/>
      <c r="W162" s="45"/>
      <c r="X162" s="45"/>
      <c r="Y162" s="45"/>
      <c r="Z162" s="1414"/>
      <c r="AA162" s="1416"/>
    </row>
    <row r="163" spans="12:27" s="1" customFormat="1" ht="12" customHeight="1">
      <c r="L163" s="79"/>
      <c r="M163" s="79"/>
      <c r="N163" s="79"/>
      <c r="O163" s="79"/>
      <c r="P163" s="45"/>
      <c r="Q163" s="45"/>
      <c r="R163" s="45"/>
      <c r="S163" s="45"/>
      <c r="T163" s="45"/>
      <c r="U163" s="45"/>
      <c r="V163" s="45"/>
      <c r="W163" s="45"/>
      <c r="X163" s="45"/>
      <c r="Y163" s="45"/>
      <c r="Z163" s="1414"/>
      <c r="AA163" s="1416"/>
    </row>
    <row r="164" spans="12:27" s="1" customFormat="1" ht="12" customHeight="1">
      <c r="L164" s="79"/>
      <c r="M164" s="79"/>
      <c r="N164" s="79"/>
      <c r="O164" s="79"/>
      <c r="P164" s="45"/>
      <c r="Q164" s="45"/>
      <c r="R164" s="45"/>
      <c r="S164" s="45"/>
      <c r="T164" s="45"/>
      <c r="U164" s="45"/>
      <c r="V164" s="45"/>
      <c r="W164" s="45"/>
      <c r="X164" s="45"/>
      <c r="Y164" s="45"/>
      <c r="Z164" s="1414"/>
      <c r="AA164" s="1416"/>
    </row>
    <row r="165" spans="12:27" s="1" customFormat="1" ht="12" customHeight="1">
      <c r="L165" s="79"/>
      <c r="M165" s="79"/>
      <c r="N165" s="79"/>
      <c r="O165" s="79"/>
      <c r="P165" s="45"/>
      <c r="Q165" s="45"/>
      <c r="R165" s="45"/>
      <c r="S165" s="45"/>
      <c r="T165" s="45"/>
      <c r="U165" s="45"/>
      <c r="V165" s="45"/>
      <c r="W165" s="45"/>
      <c r="X165" s="45"/>
      <c r="Y165" s="45"/>
      <c r="Z165" s="1414"/>
      <c r="AA165" s="1416"/>
    </row>
    <row r="166" spans="12:27" s="1" customFormat="1" ht="12" customHeight="1">
      <c r="L166" s="79"/>
      <c r="M166" s="79"/>
      <c r="N166" s="79"/>
      <c r="O166" s="79"/>
      <c r="P166" s="45"/>
      <c r="Q166" s="45"/>
      <c r="R166" s="45"/>
      <c r="S166" s="45"/>
      <c r="T166" s="45"/>
      <c r="U166" s="45"/>
      <c r="V166" s="45"/>
      <c r="W166" s="45"/>
      <c r="X166" s="45"/>
      <c r="Y166" s="45"/>
      <c r="Z166" s="1414"/>
      <c r="AA166" s="1416"/>
    </row>
    <row r="167" spans="12:27" s="1" customFormat="1" ht="12" customHeight="1">
      <c r="L167" s="79"/>
      <c r="M167" s="79"/>
      <c r="N167" s="79"/>
      <c r="O167" s="79"/>
      <c r="P167" s="45"/>
      <c r="Q167" s="45"/>
      <c r="R167" s="45"/>
      <c r="S167" s="45"/>
      <c r="T167" s="45"/>
      <c r="U167" s="45"/>
      <c r="V167" s="45"/>
      <c r="W167" s="45"/>
      <c r="X167" s="45"/>
      <c r="Y167" s="45"/>
      <c r="Z167" s="1414"/>
      <c r="AA167" s="1416"/>
    </row>
    <row r="168" spans="12:27" s="1" customFormat="1" ht="12" customHeight="1">
      <c r="L168" s="79"/>
      <c r="M168" s="79"/>
      <c r="N168" s="79"/>
      <c r="O168" s="79"/>
      <c r="P168" s="45"/>
      <c r="Q168" s="45"/>
      <c r="R168" s="45"/>
      <c r="S168" s="45"/>
      <c r="T168" s="45"/>
      <c r="U168" s="45"/>
      <c r="V168" s="45"/>
      <c r="W168" s="45"/>
      <c r="X168" s="45"/>
      <c r="Y168" s="45"/>
      <c r="Z168" s="1414"/>
      <c r="AA168" s="1416"/>
    </row>
    <row r="169" spans="12:27" s="1" customFormat="1" ht="12" customHeight="1">
      <c r="L169" s="79"/>
      <c r="M169" s="79"/>
      <c r="N169" s="79"/>
      <c r="O169" s="79"/>
      <c r="P169" s="45"/>
      <c r="Q169" s="45"/>
      <c r="R169" s="45"/>
      <c r="S169" s="45"/>
      <c r="T169" s="45"/>
      <c r="U169" s="45"/>
      <c r="V169" s="45"/>
      <c r="W169" s="45"/>
      <c r="X169" s="45"/>
      <c r="Y169" s="45"/>
      <c r="Z169" s="1414"/>
      <c r="AA169" s="1416"/>
    </row>
    <row r="170" spans="12:27" s="1" customFormat="1" ht="12" customHeight="1">
      <c r="L170" s="79"/>
      <c r="M170" s="79"/>
      <c r="N170" s="79"/>
      <c r="O170" s="79"/>
      <c r="P170" s="45"/>
      <c r="Q170" s="79"/>
      <c r="R170" s="79"/>
      <c r="S170" s="45"/>
      <c r="T170" s="45"/>
      <c r="U170" s="45"/>
      <c r="V170" s="45"/>
      <c r="W170" s="45"/>
      <c r="X170" s="45"/>
      <c r="Y170" s="45"/>
      <c r="Z170" s="1414"/>
      <c r="AA170" s="1416"/>
    </row>
    <row r="171" spans="12:27" s="1" customFormat="1" ht="12" customHeight="1">
      <c r="L171" s="79"/>
      <c r="M171" s="79"/>
      <c r="N171" s="79"/>
      <c r="O171" s="79"/>
      <c r="P171" s="45"/>
      <c r="Q171" s="79"/>
      <c r="R171" s="79"/>
      <c r="S171" s="79"/>
      <c r="T171" s="45"/>
      <c r="U171" s="45"/>
      <c r="V171" s="45"/>
      <c r="W171" s="45"/>
      <c r="X171" s="45"/>
      <c r="Y171" s="45"/>
      <c r="Z171" s="1414"/>
      <c r="AA171" s="1416"/>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50" zoomScaleNormal="100" workbookViewId="0">
      <selection activeCell="A59" sqref="A59:Q59"/>
    </sheetView>
  </sheetViews>
  <sheetFormatPr defaultRowHeight="20.25" customHeight="1"/>
  <cols>
    <col min="1" max="1" width="5.85546875" style="1695" customWidth="1"/>
    <col min="2" max="2" width="3.7109375" style="1695" customWidth="1"/>
    <col min="3" max="3" width="2.140625" style="1695" customWidth="1"/>
    <col min="4" max="10" width="8.85546875" style="1695" customWidth="1"/>
    <col min="11" max="11" width="7.5703125" style="1695" customWidth="1"/>
    <col min="12" max="14" width="9.140625" style="1695"/>
    <col min="15" max="16" width="9.42578125" style="1695" customWidth="1"/>
    <col min="17" max="17" width="9.140625" style="1695"/>
    <col min="18" max="28" width="9.140625" style="2588"/>
    <col min="29" max="16384" width="9.140625" style="1698"/>
  </cols>
  <sheetData>
    <row r="1" spans="1:28" s="1676" customFormat="1" ht="12.75">
      <c r="A1" s="3615" t="str">
        <f>CONCATENATE("PART SEVEN - THRESHOLD CRITERIA","  -  ",'Part I-Project Identification'!$O$7," ",'Part I-Project Identification'!$F$25,", ",'Part I-Project Identification'!F26,", ",'Part I-Project Identification'!J26," County")</f>
        <v>PART SEVEN - THRESHOLD CRITERIA  -  2023-5 Ashley Collegetown Phase I, Atlanta, Fulton County</v>
      </c>
      <c r="B1" s="3615"/>
      <c r="C1" s="3615"/>
      <c r="D1" s="3615"/>
      <c r="E1" s="3615"/>
      <c r="F1" s="3615"/>
      <c r="G1" s="3615"/>
      <c r="H1" s="3615"/>
      <c r="I1" s="3615"/>
      <c r="J1" s="3615"/>
      <c r="K1" s="3615"/>
      <c r="L1" s="3615"/>
      <c r="M1" s="3615"/>
      <c r="N1" s="3615"/>
      <c r="O1" s="3615"/>
      <c r="P1" s="3615"/>
      <c r="Q1" s="3615"/>
      <c r="R1" s="2585"/>
      <c r="S1" s="2585"/>
      <c r="T1" s="2585"/>
      <c r="U1" s="2585"/>
      <c r="V1" s="2585"/>
      <c r="W1" s="2585"/>
      <c r="X1" s="2585"/>
      <c r="Y1" s="2585"/>
      <c r="Z1" s="2585"/>
      <c r="AA1" s="2585"/>
      <c r="AB1" s="2585"/>
    </row>
    <row r="2" spans="1:28" s="1676" customFormat="1" ht="12.75">
      <c r="R2" s="2585"/>
      <c r="S2" s="2585"/>
      <c r="T2" s="2585"/>
      <c r="U2" s="2585"/>
      <c r="V2" s="2585"/>
      <c r="W2" s="2585"/>
      <c r="X2" s="2585"/>
      <c r="Y2" s="2585"/>
      <c r="Z2" s="2585"/>
      <c r="AA2" s="2585"/>
      <c r="AB2" s="2585"/>
    </row>
    <row r="3" spans="1:28" s="1676" customFormat="1" ht="12.75">
      <c r="A3" s="361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16"/>
      <c r="C3" s="3616"/>
      <c r="D3" s="3616"/>
      <c r="E3" s="3616"/>
      <c r="F3" s="3616"/>
      <c r="G3" s="3616"/>
      <c r="H3" s="361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16"/>
      <c r="J3" s="3616"/>
      <c r="K3" s="3616"/>
      <c r="L3" s="3616"/>
      <c r="M3" s="3616"/>
      <c r="N3" s="3616"/>
      <c r="O3" s="1677"/>
      <c r="P3" s="3617" t="s">
        <v>1373</v>
      </c>
      <c r="Q3" s="3619" t="s">
        <v>1374</v>
      </c>
      <c r="R3" s="2585"/>
      <c r="S3" s="2585"/>
      <c r="T3" s="2585"/>
      <c r="U3" s="2585"/>
      <c r="V3" s="2585"/>
      <c r="W3" s="2585"/>
      <c r="X3" s="2585"/>
      <c r="Y3" s="2585"/>
      <c r="Z3" s="2585"/>
      <c r="AA3" s="2585"/>
      <c r="AB3" s="2585"/>
    </row>
    <row r="4" spans="1:28" s="1676" customFormat="1" ht="12.75">
      <c r="A4" s="1678"/>
      <c r="B4" s="3621"/>
      <c r="C4" s="3621"/>
      <c r="D4" s="3621"/>
      <c r="E4" s="1678"/>
      <c r="F4" s="1678"/>
      <c r="G4" s="1678"/>
      <c r="H4" s="1678"/>
      <c r="I4" s="1677"/>
      <c r="J4" s="1679"/>
      <c r="K4" s="1678"/>
      <c r="L4" s="1678"/>
      <c r="M4" s="1678"/>
      <c r="N4" s="1678"/>
      <c r="O4" s="1677"/>
      <c r="P4" s="3617"/>
      <c r="Q4" s="3619"/>
      <c r="R4" s="2585"/>
      <c r="S4" s="2585"/>
      <c r="T4" s="2585"/>
      <c r="U4" s="2585"/>
      <c r="V4" s="2585"/>
      <c r="W4" s="2585"/>
      <c r="X4" s="2585"/>
      <c r="Y4" s="2585"/>
      <c r="Z4" s="2585"/>
      <c r="AA4" s="2585"/>
      <c r="AB4" s="2585"/>
    </row>
    <row r="5" spans="1:28" s="1676" customFormat="1" ht="12.75">
      <c r="A5" s="1677"/>
      <c r="B5" s="1677"/>
      <c r="C5" s="1677"/>
      <c r="D5" s="1677"/>
      <c r="E5" s="3622" t="str">
        <f>'Part I-Project Identification'!$A$6</f>
        <v>Sept 2023</v>
      </c>
      <c r="F5" s="3622"/>
      <c r="G5" s="3622"/>
      <c r="H5" s="3622"/>
      <c r="I5" s="3622"/>
      <c r="J5" s="1679"/>
      <c r="K5" s="1678"/>
      <c r="L5" s="1678"/>
      <c r="M5" s="1678"/>
      <c r="N5" s="1678"/>
      <c r="O5" s="1677"/>
      <c r="P5" s="3618"/>
      <c r="Q5" s="3620"/>
      <c r="R5" s="2585"/>
      <c r="S5" s="2585"/>
      <c r="T5" s="2585"/>
      <c r="U5" s="2585"/>
      <c r="V5" s="2585"/>
      <c r="W5" s="2585"/>
      <c r="X5" s="2585"/>
      <c r="Y5" s="2585"/>
      <c r="Z5" s="2585"/>
      <c r="AA5" s="2585"/>
      <c r="AB5" s="2585"/>
    </row>
    <row r="6" spans="1:28" s="1676" customFormat="1" ht="12.75">
      <c r="A6" s="1677"/>
      <c r="B6" s="1677"/>
      <c r="C6" s="1677"/>
      <c r="D6" s="1677"/>
      <c r="E6" s="1680"/>
      <c r="F6" s="1680"/>
      <c r="G6" s="1680"/>
      <c r="H6" s="1680"/>
      <c r="I6" s="1680"/>
      <c r="J6" s="1679"/>
      <c r="K6" s="1677"/>
      <c r="L6" s="1681"/>
      <c r="M6" s="1679"/>
      <c r="N6" s="1678"/>
      <c r="O6" s="1677"/>
      <c r="P6" s="1682"/>
      <c r="Q6" s="1682"/>
      <c r="R6" s="2585"/>
      <c r="S6" s="2585"/>
      <c r="T6" s="2585"/>
      <c r="U6" s="2585"/>
      <c r="V6" s="2585"/>
      <c r="W6" s="2585"/>
      <c r="X6" s="2585"/>
      <c r="Y6" s="2585"/>
      <c r="Z6" s="2585"/>
      <c r="AA6" s="2585"/>
      <c r="AB6" s="2585"/>
    </row>
    <row r="7" spans="1:28" s="1676" customFormat="1" ht="37.5" customHeight="1">
      <c r="A7" s="3626" t="s">
        <v>1375</v>
      </c>
      <c r="B7" s="3626"/>
      <c r="C7" s="3626"/>
      <c r="D7" s="3626"/>
      <c r="E7" s="3626"/>
      <c r="F7" s="3626"/>
      <c r="G7" s="3626"/>
      <c r="H7" s="3626"/>
      <c r="I7" s="3626"/>
      <c r="J7" s="3626"/>
      <c r="K7" s="3626"/>
      <c r="L7" s="3626"/>
      <c r="M7" s="3626"/>
      <c r="N7" s="3626"/>
      <c r="O7" s="3626"/>
      <c r="P7" s="3626"/>
      <c r="Q7" s="3626"/>
      <c r="R7" s="2585"/>
      <c r="S7" s="2585"/>
      <c r="T7" s="2585"/>
      <c r="U7" s="2585"/>
      <c r="V7" s="2585"/>
      <c r="W7" s="2585"/>
      <c r="X7" s="2585"/>
      <c r="Y7" s="2585"/>
      <c r="Z7" s="2585"/>
      <c r="AA7" s="2585"/>
      <c r="AB7" s="2585"/>
    </row>
    <row r="8" spans="1:28" s="1676" customFormat="1" ht="12.75">
      <c r="A8" s="1677"/>
      <c r="B8" s="1677"/>
      <c r="C8" s="1677"/>
      <c r="D8" s="1677"/>
      <c r="E8" s="1680"/>
      <c r="F8" s="1680"/>
      <c r="G8" s="1680"/>
      <c r="H8" s="1680"/>
      <c r="I8" s="1680"/>
      <c r="J8" s="1679"/>
      <c r="K8" s="1677"/>
      <c r="L8" s="1681"/>
      <c r="M8" s="1679"/>
      <c r="N8" s="1678"/>
      <c r="O8" s="1677"/>
      <c r="P8" s="1682"/>
      <c r="Q8" s="1682"/>
      <c r="R8" s="2585"/>
      <c r="S8" s="2585"/>
      <c r="T8" s="2585"/>
      <c r="U8" s="2585"/>
      <c r="V8" s="2585"/>
      <c r="W8" s="2585"/>
      <c r="X8" s="2585"/>
      <c r="Y8" s="2585"/>
      <c r="Z8" s="2585"/>
      <c r="AA8" s="2585"/>
      <c r="AB8" s="2585"/>
    </row>
    <row r="9" spans="1:28" s="1687" customFormat="1" ht="18" customHeight="1">
      <c r="A9" s="1683" t="s">
        <v>1376</v>
      </c>
      <c r="B9" s="1684"/>
      <c r="C9" s="1684"/>
      <c r="D9" s="1684"/>
      <c r="E9" s="1684"/>
      <c r="F9" s="1684"/>
      <c r="G9" s="1684"/>
      <c r="H9" s="1684"/>
      <c r="I9" s="1685"/>
      <c r="J9" s="1685"/>
      <c r="K9" s="1686"/>
      <c r="L9" s="1686"/>
      <c r="M9" s="1686"/>
      <c r="N9" s="1686"/>
      <c r="O9" s="1686"/>
      <c r="P9" s="3627"/>
      <c r="Q9" s="3628"/>
      <c r="R9" s="2586"/>
      <c r="S9" s="2586"/>
      <c r="T9" s="2586"/>
      <c r="U9" s="2586"/>
      <c r="V9" s="2586"/>
      <c r="W9" s="2586"/>
      <c r="X9" s="2586"/>
      <c r="Y9" s="2586"/>
      <c r="Z9" s="2586"/>
      <c r="AA9" s="2586"/>
      <c r="AB9" s="2586"/>
    </row>
    <row r="10" spans="1:28" s="1687" customFormat="1" ht="15">
      <c r="A10" s="1688" t="s">
        <v>1377</v>
      </c>
      <c r="B10" s="1684"/>
      <c r="C10" s="1684"/>
      <c r="D10" s="1684"/>
      <c r="E10" s="1684"/>
      <c r="F10" s="1684"/>
      <c r="G10" s="1684"/>
      <c r="H10" s="1689"/>
      <c r="I10" s="1690"/>
      <c r="J10" s="1690"/>
      <c r="K10" s="1689"/>
      <c r="L10" s="1689"/>
      <c r="M10" s="1691"/>
      <c r="N10" s="1691"/>
      <c r="O10" s="1684"/>
      <c r="P10" s="1684"/>
      <c r="Q10" s="1684"/>
      <c r="R10" s="2586"/>
      <c r="S10" s="2586"/>
      <c r="T10" s="2586"/>
      <c r="U10" s="2586"/>
      <c r="V10" s="2586"/>
      <c r="W10" s="2586"/>
      <c r="X10" s="2586"/>
      <c r="Y10" s="2586"/>
      <c r="Z10" s="2586"/>
      <c r="AA10" s="2586"/>
      <c r="AB10" s="2586"/>
    </row>
    <row r="11" spans="1:28" s="1687" customFormat="1" ht="14.25">
      <c r="A11" s="3629" t="s">
        <v>1378</v>
      </c>
      <c r="B11" s="3630"/>
      <c r="C11" s="3630"/>
      <c r="D11" s="3630"/>
      <c r="E11" s="3630"/>
      <c r="F11" s="3630"/>
      <c r="G11" s="3630"/>
      <c r="H11" s="3630"/>
      <c r="I11" s="3630"/>
      <c r="J11" s="3630"/>
      <c r="K11" s="3630"/>
      <c r="L11" s="3630"/>
      <c r="M11" s="3630"/>
      <c r="N11" s="3630"/>
      <c r="O11" s="3630"/>
      <c r="P11" s="3630"/>
      <c r="Q11" s="3631"/>
      <c r="R11" s="2586"/>
      <c r="S11" s="2586"/>
      <c r="T11" s="2586"/>
      <c r="U11" s="2586"/>
      <c r="V11" s="2586"/>
      <c r="W11" s="2586"/>
      <c r="X11" s="2586"/>
      <c r="Y11" s="2586"/>
      <c r="Z11" s="2586"/>
      <c r="AA11" s="2586"/>
      <c r="AB11" s="2586"/>
    </row>
    <row r="12" spans="1:28" s="1687" customFormat="1" ht="14.25">
      <c r="A12" s="3623" t="s">
        <v>1379</v>
      </c>
      <c r="B12" s="3624"/>
      <c r="C12" s="3624"/>
      <c r="D12" s="3624"/>
      <c r="E12" s="3624"/>
      <c r="F12" s="3624"/>
      <c r="G12" s="3624"/>
      <c r="H12" s="3624"/>
      <c r="I12" s="3624"/>
      <c r="J12" s="3624"/>
      <c r="K12" s="3624"/>
      <c r="L12" s="3624"/>
      <c r="M12" s="3624"/>
      <c r="N12" s="3624"/>
      <c r="O12" s="3624"/>
      <c r="P12" s="3624"/>
      <c r="Q12" s="3625"/>
      <c r="R12" s="2586"/>
      <c r="S12" s="2586"/>
      <c r="T12" s="2586"/>
      <c r="U12" s="2586"/>
      <c r="V12" s="2586"/>
      <c r="W12" s="2586"/>
      <c r="X12" s="2586"/>
      <c r="Y12" s="2586"/>
      <c r="Z12" s="2586"/>
      <c r="AA12" s="2586"/>
      <c r="AB12" s="2586"/>
    </row>
    <row r="13" spans="1:28" s="1687" customFormat="1" ht="14.25">
      <c r="A13" s="3623" t="s">
        <v>1380</v>
      </c>
      <c r="B13" s="3624"/>
      <c r="C13" s="3624"/>
      <c r="D13" s="3624"/>
      <c r="E13" s="3624"/>
      <c r="F13" s="3624"/>
      <c r="G13" s="3624"/>
      <c r="H13" s="3624"/>
      <c r="I13" s="3624"/>
      <c r="J13" s="3624"/>
      <c r="K13" s="3624"/>
      <c r="L13" s="3624"/>
      <c r="M13" s="3624"/>
      <c r="N13" s="3624"/>
      <c r="O13" s="3624"/>
      <c r="P13" s="3624"/>
      <c r="Q13" s="3625"/>
      <c r="R13" s="2586"/>
      <c r="S13" s="2586"/>
      <c r="T13" s="2586"/>
      <c r="U13" s="2586"/>
      <c r="V13" s="2586"/>
      <c r="W13" s="2586"/>
      <c r="X13" s="2586"/>
      <c r="Y13" s="2586"/>
      <c r="Z13" s="2586"/>
      <c r="AA13" s="2586"/>
      <c r="AB13" s="2586"/>
    </row>
    <row r="14" spans="1:28" s="1687" customFormat="1" ht="14.25">
      <c r="A14" s="3623" t="s">
        <v>1381</v>
      </c>
      <c r="B14" s="3624"/>
      <c r="C14" s="3624"/>
      <c r="D14" s="3624"/>
      <c r="E14" s="3624"/>
      <c r="F14" s="3624"/>
      <c r="G14" s="3624"/>
      <c r="H14" s="3624"/>
      <c r="I14" s="3624"/>
      <c r="J14" s="3624"/>
      <c r="K14" s="3624"/>
      <c r="L14" s="3624"/>
      <c r="M14" s="3624"/>
      <c r="N14" s="3624"/>
      <c r="O14" s="3624"/>
      <c r="P14" s="3624"/>
      <c r="Q14" s="3625"/>
      <c r="R14" s="2586"/>
      <c r="S14" s="2586"/>
      <c r="T14" s="2586"/>
      <c r="U14" s="2586"/>
      <c r="V14" s="2586"/>
      <c r="W14" s="2586"/>
      <c r="X14" s="2586"/>
      <c r="Y14" s="2586"/>
      <c r="Z14" s="2586"/>
      <c r="AA14" s="2586"/>
      <c r="AB14" s="2586"/>
    </row>
    <row r="15" spans="1:28" s="1687" customFormat="1" ht="14.25">
      <c r="A15" s="3623" t="s">
        <v>1382</v>
      </c>
      <c r="B15" s="3624"/>
      <c r="C15" s="3624"/>
      <c r="D15" s="3624"/>
      <c r="E15" s="3624"/>
      <c r="F15" s="3624"/>
      <c r="G15" s="3624"/>
      <c r="H15" s="3624"/>
      <c r="I15" s="3624"/>
      <c r="J15" s="3624"/>
      <c r="K15" s="3624"/>
      <c r="L15" s="3624"/>
      <c r="M15" s="3624"/>
      <c r="N15" s="3624"/>
      <c r="O15" s="3624"/>
      <c r="P15" s="3624"/>
      <c r="Q15" s="3625"/>
      <c r="R15" s="2586"/>
      <c r="S15" s="2586"/>
      <c r="T15" s="2586"/>
      <c r="U15" s="2586"/>
      <c r="V15" s="2586"/>
      <c r="W15" s="2586"/>
      <c r="X15" s="2586"/>
      <c r="Y15" s="2586"/>
      <c r="Z15" s="2586"/>
      <c r="AA15" s="2586"/>
      <c r="AB15" s="2586"/>
    </row>
    <row r="16" spans="1:28" s="1687" customFormat="1" ht="14.25">
      <c r="A16" s="3623" t="s">
        <v>1383</v>
      </c>
      <c r="B16" s="3624"/>
      <c r="C16" s="3624"/>
      <c r="D16" s="3624"/>
      <c r="E16" s="3624"/>
      <c r="F16" s="3624"/>
      <c r="G16" s="3624"/>
      <c r="H16" s="3624"/>
      <c r="I16" s="3624"/>
      <c r="J16" s="3624"/>
      <c r="K16" s="3624"/>
      <c r="L16" s="3624"/>
      <c r="M16" s="3624"/>
      <c r="N16" s="3624"/>
      <c r="O16" s="3624"/>
      <c r="P16" s="3624"/>
      <c r="Q16" s="3625"/>
      <c r="R16" s="2586"/>
      <c r="S16" s="2586"/>
      <c r="T16" s="2586"/>
      <c r="U16" s="2586"/>
      <c r="V16" s="2586"/>
      <c r="W16" s="2586"/>
      <c r="X16" s="2586"/>
      <c r="Y16" s="2586"/>
      <c r="Z16" s="2586"/>
      <c r="AA16" s="2586"/>
      <c r="AB16" s="2586"/>
    </row>
    <row r="17" spans="1:28" s="1687" customFormat="1" ht="14.25">
      <c r="A17" s="3623" t="s">
        <v>1384</v>
      </c>
      <c r="B17" s="3624"/>
      <c r="C17" s="3624"/>
      <c r="D17" s="3624"/>
      <c r="E17" s="3624"/>
      <c r="F17" s="3624"/>
      <c r="G17" s="3624"/>
      <c r="H17" s="3624"/>
      <c r="I17" s="3624"/>
      <c r="J17" s="3624"/>
      <c r="K17" s="3624"/>
      <c r="L17" s="3624"/>
      <c r="M17" s="3624"/>
      <c r="N17" s="3624"/>
      <c r="O17" s="3624"/>
      <c r="P17" s="3624"/>
      <c r="Q17" s="3625"/>
      <c r="R17" s="2586"/>
      <c r="S17" s="2586"/>
      <c r="T17" s="2586"/>
      <c r="U17" s="2586"/>
      <c r="V17" s="2586"/>
      <c r="W17" s="2586"/>
      <c r="X17" s="2586"/>
      <c r="Y17" s="2586"/>
      <c r="Z17" s="2586"/>
      <c r="AA17" s="2586"/>
      <c r="AB17" s="2586"/>
    </row>
    <row r="18" spans="1:28" s="1687" customFormat="1" ht="14.25">
      <c r="A18" s="3623" t="s">
        <v>1385</v>
      </c>
      <c r="B18" s="3624"/>
      <c r="C18" s="3624"/>
      <c r="D18" s="3624"/>
      <c r="E18" s="3624"/>
      <c r="F18" s="3624"/>
      <c r="G18" s="3624"/>
      <c r="H18" s="3624"/>
      <c r="I18" s="3624"/>
      <c r="J18" s="3624"/>
      <c r="K18" s="3624"/>
      <c r="L18" s="3624"/>
      <c r="M18" s="3624"/>
      <c r="N18" s="3624"/>
      <c r="O18" s="3624"/>
      <c r="P18" s="3624"/>
      <c r="Q18" s="3625"/>
      <c r="R18" s="2586"/>
      <c r="S18" s="2586"/>
      <c r="T18" s="2586"/>
      <c r="U18" s="2586"/>
      <c r="V18" s="2586"/>
      <c r="W18" s="2586"/>
      <c r="X18" s="2586"/>
      <c r="Y18" s="2586"/>
      <c r="Z18" s="2586"/>
      <c r="AA18" s="2586"/>
      <c r="AB18" s="2586"/>
    </row>
    <row r="19" spans="1:28" s="1687" customFormat="1" ht="14.25">
      <c r="A19" s="3623" t="s">
        <v>1386</v>
      </c>
      <c r="B19" s="3624"/>
      <c r="C19" s="3624"/>
      <c r="D19" s="3624"/>
      <c r="E19" s="3624"/>
      <c r="F19" s="3624"/>
      <c r="G19" s="3624"/>
      <c r="H19" s="3624"/>
      <c r="I19" s="3624"/>
      <c r="J19" s="3624"/>
      <c r="K19" s="3624"/>
      <c r="L19" s="3624"/>
      <c r="M19" s="3624"/>
      <c r="N19" s="3624"/>
      <c r="O19" s="3624"/>
      <c r="P19" s="3624"/>
      <c r="Q19" s="3625"/>
      <c r="R19" s="2586"/>
      <c r="S19" s="2586"/>
      <c r="T19" s="2586"/>
      <c r="U19" s="2586"/>
      <c r="V19" s="2586"/>
      <c r="W19" s="2586"/>
      <c r="X19" s="2586"/>
      <c r="Y19" s="2586"/>
      <c r="Z19" s="2586"/>
      <c r="AA19" s="2586"/>
      <c r="AB19" s="2586"/>
    </row>
    <row r="20" spans="1:28" s="1687" customFormat="1" ht="14.25">
      <c r="A20" s="3623" t="s">
        <v>1387</v>
      </c>
      <c r="B20" s="3624"/>
      <c r="C20" s="3624"/>
      <c r="D20" s="3624"/>
      <c r="E20" s="3624"/>
      <c r="F20" s="3624"/>
      <c r="G20" s="3624"/>
      <c r="H20" s="3624"/>
      <c r="I20" s="3624"/>
      <c r="J20" s="3624"/>
      <c r="K20" s="3624"/>
      <c r="L20" s="3624"/>
      <c r="M20" s="3624"/>
      <c r="N20" s="3624"/>
      <c r="O20" s="3624"/>
      <c r="P20" s="3624"/>
      <c r="Q20" s="3625"/>
      <c r="R20" s="2586"/>
      <c r="S20" s="2586"/>
      <c r="T20" s="2586"/>
      <c r="U20" s="2586"/>
      <c r="V20" s="2586"/>
      <c r="W20" s="2586"/>
      <c r="X20" s="2586"/>
      <c r="Y20" s="2586"/>
      <c r="Z20" s="2586"/>
      <c r="AA20" s="2586"/>
      <c r="AB20" s="2586"/>
    </row>
    <row r="21" spans="1:28" s="1687" customFormat="1" ht="14.25">
      <c r="A21" s="3623" t="s">
        <v>1388</v>
      </c>
      <c r="B21" s="3624"/>
      <c r="C21" s="3624"/>
      <c r="D21" s="3624"/>
      <c r="E21" s="3624"/>
      <c r="F21" s="3624"/>
      <c r="G21" s="3624"/>
      <c r="H21" s="3624"/>
      <c r="I21" s="3624"/>
      <c r="J21" s="3624"/>
      <c r="K21" s="3624"/>
      <c r="L21" s="3624"/>
      <c r="M21" s="3624"/>
      <c r="N21" s="3624"/>
      <c r="O21" s="3624"/>
      <c r="P21" s="3624"/>
      <c r="Q21" s="3625"/>
      <c r="R21" s="2586"/>
      <c r="S21" s="2586"/>
      <c r="T21" s="2586"/>
      <c r="U21" s="2586"/>
      <c r="V21" s="2586"/>
      <c r="W21" s="2586"/>
      <c r="X21" s="2586"/>
      <c r="Y21" s="2586"/>
      <c r="Z21" s="2586"/>
      <c r="AA21" s="2586"/>
      <c r="AB21" s="2586"/>
    </row>
    <row r="22" spans="1:28" s="1687" customFormat="1" ht="14.25">
      <c r="A22" s="3623" t="s">
        <v>1389</v>
      </c>
      <c r="B22" s="3624"/>
      <c r="C22" s="3624"/>
      <c r="D22" s="3624"/>
      <c r="E22" s="3624"/>
      <c r="F22" s="3624"/>
      <c r="G22" s="3624"/>
      <c r="H22" s="3624"/>
      <c r="I22" s="3624"/>
      <c r="J22" s="3624"/>
      <c r="K22" s="3624"/>
      <c r="L22" s="3624"/>
      <c r="M22" s="3624"/>
      <c r="N22" s="3624"/>
      <c r="O22" s="3624"/>
      <c r="P22" s="3624"/>
      <c r="Q22" s="3625"/>
      <c r="R22" s="2586"/>
      <c r="S22" s="2586"/>
      <c r="T22" s="2586"/>
      <c r="U22" s="2586"/>
      <c r="V22" s="2586"/>
      <c r="W22" s="2586"/>
      <c r="X22" s="2586"/>
      <c r="Y22" s="2586"/>
      <c r="Z22" s="2586"/>
      <c r="AA22" s="2586"/>
      <c r="AB22" s="2586"/>
    </row>
    <row r="23" spans="1:28" s="1687" customFormat="1" ht="14.25">
      <c r="A23" s="3623" t="s">
        <v>1390</v>
      </c>
      <c r="B23" s="3624"/>
      <c r="C23" s="3624"/>
      <c r="D23" s="3624"/>
      <c r="E23" s="3624"/>
      <c r="F23" s="3624"/>
      <c r="G23" s="3624"/>
      <c r="H23" s="3624"/>
      <c r="I23" s="3624"/>
      <c r="J23" s="3624"/>
      <c r="K23" s="3624"/>
      <c r="L23" s="3624"/>
      <c r="M23" s="3624"/>
      <c r="N23" s="3624"/>
      <c r="O23" s="3624"/>
      <c r="P23" s="3624"/>
      <c r="Q23" s="3625"/>
      <c r="R23" s="2586"/>
      <c r="S23" s="2586"/>
      <c r="T23" s="2586"/>
      <c r="U23" s="2586"/>
      <c r="V23" s="2586"/>
      <c r="W23" s="2586"/>
      <c r="X23" s="2586"/>
      <c r="Y23" s="2586"/>
      <c r="Z23" s="2586"/>
      <c r="AA23" s="2586"/>
      <c r="AB23" s="2586"/>
    </row>
    <row r="24" spans="1:28" s="1687" customFormat="1" ht="14.25">
      <c r="A24" s="3623" t="s">
        <v>1391</v>
      </c>
      <c r="B24" s="3624"/>
      <c r="C24" s="3624"/>
      <c r="D24" s="3624"/>
      <c r="E24" s="3624"/>
      <c r="F24" s="3624"/>
      <c r="G24" s="3624"/>
      <c r="H24" s="3624"/>
      <c r="I24" s="3624"/>
      <c r="J24" s="3624"/>
      <c r="K24" s="3624"/>
      <c r="L24" s="3624"/>
      <c r="M24" s="3624"/>
      <c r="N24" s="3624"/>
      <c r="O24" s="3624"/>
      <c r="P24" s="3624"/>
      <c r="Q24" s="3625"/>
      <c r="R24" s="2586"/>
      <c r="S24" s="2586"/>
      <c r="T24" s="2586"/>
      <c r="U24" s="2586"/>
      <c r="V24" s="2586"/>
      <c r="W24" s="2586"/>
      <c r="X24" s="2586"/>
      <c r="Y24" s="2586"/>
      <c r="Z24" s="2586"/>
      <c r="AA24" s="2586"/>
      <c r="AB24" s="2586"/>
    </row>
    <row r="25" spans="1:28" s="1687" customFormat="1" ht="14.25">
      <c r="A25" s="3623" t="s">
        <v>1392</v>
      </c>
      <c r="B25" s="3624"/>
      <c r="C25" s="3624"/>
      <c r="D25" s="3624"/>
      <c r="E25" s="3624"/>
      <c r="F25" s="3624"/>
      <c r="G25" s="3624"/>
      <c r="H25" s="3624"/>
      <c r="I25" s="3624"/>
      <c r="J25" s="3624"/>
      <c r="K25" s="3624"/>
      <c r="L25" s="3624"/>
      <c r="M25" s="3624"/>
      <c r="N25" s="3624"/>
      <c r="O25" s="3624"/>
      <c r="P25" s="3624"/>
      <c r="Q25" s="3625"/>
      <c r="R25" s="2586"/>
      <c r="S25" s="2586"/>
      <c r="T25" s="2586"/>
      <c r="U25" s="2586"/>
      <c r="V25" s="2586"/>
      <c r="W25" s="2586"/>
      <c r="X25" s="2586"/>
      <c r="Y25" s="2586"/>
      <c r="Z25" s="2586"/>
      <c r="AA25" s="2586"/>
      <c r="AB25" s="2586"/>
    </row>
    <row r="26" spans="1:28" s="1687" customFormat="1" ht="14.25">
      <c r="A26" s="3623" t="s">
        <v>1393</v>
      </c>
      <c r="B26" s="3624"/>
      <c r="C26" s="3624"/>
      <c r="D26" s="3624"/>
      <c r="E26" s="3624"/>
      <c r="F26" s="3624"/>
      <c r="G26" s="3624"/>
      <c r="H26" s="3624"/>
      <c r="I26" s="3624"/>
      <c r="J26" s="3624"/>
      <c r="K26" s="3624"/>
      <c r="L26" s="3624"/>
      <c r="M26" s="3624"/>
      <c r="N26" s="3624"/>
      <c r="O26" s="3624"/>
      <c r="P26" s="3624"/>
      <c r="Q26" s="3625"/>
      <c r="R26" s="2586"/>
      <c r="S26" s="2586"/>
      <c r="T26" s="2586"/>
      <c r="U26" s="2586"/>
      <c r="V26" s="2586"/>
      <c r="W26" s="2586"/>
      <c r="X26" s="2586"/>
      <c r="Y26" s="2586"/>
      <c r="Z26" s="2586"/>
      <c r="AA26" s="2586"/>
      <c r="AB26" s="2586"/>
    </row>
    <row r="27" spans="1:28" s="1687" customFormat="1" ht="14.25">
      <c r="A27" s="3623" t="s">
        <v>1394</v>
      </c>
      <c r="B27" s="3624"/>
      <c r="C27" s="3624"/>
      <c r="D27" s="3624"/>
      <c r="E27" s="3624"/>
      <c r="F27" s="3624"/>
      <c r="G27" s="3624"/>
      <c r="H27" s="3624"/>
      <c r="I27" s="3624"/>
      <c r="J27" s="3624"/>
      <c r="K27" s="3624"/>
      <c r="L27" s="3624"/>
      <c r="M27" s="3624"/>
      <c r="N27" s="3624"/>
      <c r="O27" s="3624"/>
      <c r="P27" s="3624"/>
      <c r="Q27" s="3625"/>
      <c r="R27" s="2586"/>
      <c r="S27" s="2586"/>
      <c r="T27" s="2586"/>
      <c r="U27" s="2586"/>
      <c r="V27" s="2586"/>
      <c r="W27" s="2586"/>
      <c r="X27" s="2586"/>
      <c r="Y27" s="2586"/>
      <c r="Z27" s="2586"/>
      <c r="AA27" s="2586"/>
      <c r="AB27" s="2586"/>
    </row>
    <row r="28" spans="1:28" s="1687" customFormat="1" ht="14.25">
      <c r="A28" s="3632" t="s">
        <v>1395</v>
      </c>
      <c r="B28" s="3633"/>
      <c r="C28" s="3633"/>
      <c r="D28" s="3633"/>
      <c r="E28" s="3633"/>
      <c r="F28" s="3633"/>
      <c r="G28" s="3633"/>
      <c r="H28" s="3633"/>
      <c r="I28" s="3633"/>
      <c r="J28" s="3633"/>
      <c r="K28" s="3633"/>
      <c r="L28" s="3633"/>
      <c r="M28" s="3633"/>
      <c r="N28" s="3633"/>
      <c r="O28" s="3633"/>
      <c r="P28" s="3633"/>
      <c r="Q28" s="3634"/>
      <c r="R28" s="2586"/>
      <c r="S28" s="2586"/>
      <c r="T28" s="2586"/>
      <c r="U28" s="2586"/>
      <c r="V28" s="2586"/>
      <c r="W28" s="2586"/>
      <c r="X28" s="2586"/>
      <c r="Y28" s="2586"/>
      <c r="Z28" s="2586"/>
      <c r="AA28" s="2586"/>
      <c r="AB28" s="2586"/>
    </row>
    <row r="29" spans="1:28" s="1687" customFormat="1" ht="14.25">
      <c r="A29" s="1684"/>
      <c r="B29" s="1684"/>
      <c r="C29" s="1684"/>
      <c r="D29" s="1684"/>
      <c r="E29" s="1684"/>
      <c r="F29" s="1684"/>
      <c r="G29" s="1684"/>
      <c r="H29" s="1684"/>
      <c r="I29" s="1684"/>
      <c r="J29" s="1684"/>
      <c r="K29" s="1684"/>
      <c r="L29" s="1684"/>
      <c r="M29" s="1684"/>
      <c r="N29" s="1684"/>
      <c r="O29" s="1684"/>
      <c r="P29" s="1684"/>
      <c r="Q29" s="1684"/>
      <c r="R29" s="2586"/>
      <c r="S29" s="2586"/>
      <c r="T29" s="2586"/>
      <c r="U29" s="2586"/>
      <c r="V29" s="2586"/>
      <c r="W29" s="2586"/>
      <c r="X29" s="2586"/>
      <c r="Y29" s="2586"/>
      <c r="Z29" s="2586"/>
      <c r="AA29" s="2586"/>
      <c r="AB29" s="2586"/>
    </row>
    <row r="30" spans="1:28" s="1693" customFormat="1" ht="18" customHeight="1">
      <c r="A30" s="1692"/>
      <c r="B30" s="1692"/>
      <c r="C30" s="1692"/>
      <c r="D30" s="1692"/>
      <c r="E30" s="1692"/>
      <c r="F30" s="1692"/>
      <c r="G30" s="1692"/>
      <c r="H30" s="1692"/>
      <c r="I30" s="1692"/>
      <c r="J30" s="1692"/>
      <c r="K30" s="1692"/>
      <c r="L30" s="1692"/>
      <c r="M30" s="1692"/>
      <c r="N30" s="1692"/>
      <c r="O30" s="1692"/>
      <c r="P30" s="1692"/>
      <c r="Q30" s="1692"/>
      <c r="R30" s="2587"/>
      <c r="S30" s="2587"/>
      <c r="T30" s="2587"/>
      <c r="U30" s="2587"/>
      <c r="V30" s="2587"/>
      <c r="W30" s="2587"/>
      <c r="X30" s="2587"/>
      <c r="Y30" s="2587"/>
      <c r="Z30" s="2587"/>
      <c r="AA30" s="2587"/>
      <c r="AB30" s="2587"/>
    </row>
    <row r="31" spans="1:28" ht="20.25" customHeight="1">
      <c r="A31" s="1707" t="s">
        <v>25</v>
      </c>
      <c r="B31" s="1694" t="s">
        <v>1396</v>
      </c>
      <c r="C31" s="1694"/>
      <c r="D31" s="1694"/>
      <c r="E31" s="1694"/>
      <c r="F31" s="1694"/>
      <c r="G31" s="1694"/>
      <c r="I31" s="1696"/>
      <c r="J31" s="1696"/>
      <c r="K31" s="1696"/>
      <c r="L31" s="1691"/>
      <c r="M31" s="1691"/>
      <c r="O31" s="1697" t="s">
        <v>1397</v>
      </c>
      <c r="P31" s="3635"/>
      <c r="Q31" s="3636"/>
    </row>
    <row r="32" spans="1:28" ht="20.25" customHeight="1">
      <c r="B32" s="1699" t="s">
        <v>1398</v>
      </c>
      <c r="C32" s="1699"/>
      <c r="D32" s="1699"/>
      <c r="E32" s="1699"/>
      <c r="F32" s="1699"/>
      <c r="G32" s="1696"/>
      <c r="H32" s="1696"/>
      <c r="I32" s="1696"/>
      <c r="J32" s="1696"/>
      <c r="K32" s="1691"/>
      <c r="L32" s="1691"/>
      <c r="M32" s="1691"/>
      <c r="N32" s="1691"/>
      <c r="O32" s="1691"/>
      <c r="P32" s="1691"/>
    </row>
    <row r="33" spans="1:28" ht="20.25" customHeight="1">
      <c r="A33" s="3637"/>
      <c r="B33" s="3637"/>
      <c r="C33" s="3637"/>
      <c r="D33" s="3637"/>
      <c r="E33" s="3637"/>
      <c r="F33" s="3637"/>
      <c r="G33" s="3637"/>
      <c r="H33" s="3637"/>
      <c r="I33" s="3637"/>
      <c r="J33" s="3637"/>
      <c r="K33" s="3637"/>
      <c r="L33" s="3637"/>
      <c r="M33" s="3637"/>
      <c r="N33" s="3637"/>
      <c r="O33" s="3637"/>
      <c r="P33" s="3637"/>
      <c r="Q33" s="3638"/>
    </row>
    <row r="34" spans="1:28" ht="20.25" customHeight="1">
      <c r="B34" s="1699" t="s">
        <v>1399</v>
      </c>
      <c r="C34" s="1700"/>
      <c r="D34" s="1701"/>
      <c r="E34" s="1701"/>
      <c r="F34" s="1701"/>
      <c r="G34" s="1701"/>
      <c r="H34" s="1701"/>
      <c r="I34" s="1701"/>
      <c r="J34" s="1701"/>
      <c r="K34" s="1701"/>
      <c r="L34" s="1701"/>
      <c r="M34" s="1701"/>
      <c r="N34" s="1701"/>
      <c r="O34" s="1701"/>
      <c r="P34" s="1701"/>
    </row>
    <row r="35" spans="1:28" ht="20.25" customHeight="1">
      <c r="A35" s="3639"/>
      <c r="B35" s="3639"/>
      <c r="C35" s="3639"/>
      <c r="D35" s="3639"/>
      <c r="E35" s="3639"/>
      <c r="F35" s="3639"/>
      <c r="G35" s="3639"/>
      <c r="H35" s="3639"/>
      <c r="I35" s="3639"/>
      <c r="J35" s="3639"/>
      <c r="K35" s="3639"/>
      <c r="L35" s="3639"/>
      <c r="M35" s="3639"/>
      <c r="N35" s="3639"/>
      <c r="O35" s="3639"/>
      <c r="P35" s="3639"/>
      <c r="Q35" s="3639"/>
    </row>
    <row r="36" spans="1:28" s="1706" customFormat="1" ht="20.25" customHeight="1">
      <c r="A36" s="1702"/>
      <c r="B36" s="1703"/>
      <c r="C36" s="1704"/>
      <c r="D36" s="1704"/>
      <c r="E36" s="1704"/>
      <c r="F36" s="1704"/>
      <c r="G36" s="1704"/>
      <c r="H36" s="1704"/>
      <c r="I36" s="1704"/>
      <c r="J36" s="1704"/>
      <c r="K36" s="1704"/>
      <c r="L36" s="1704"/>
      <c r="M36" s="1704"/>
      <c r="N36" s="1704"/>
      <c r="O36" s="1704"/>
      <c r="P36" s="1704"/>
      <c r="Q36" s="1705"/>
      <c r="R36" s="2589"/>
      <c r="S36" s="2589"/>
      <c r="T36" s="2589"/>
      <c r="U36" s="2589"/>
      <c r="V36" s="2589"/>
      <c r="W36" s="2589"/>
      <c r="X36" s="2589"/>
      <c r="Y36" s="2589"/>
      <c r="Z36" s="2589"/>
      <c r="AA36" s="2589"/>
      <c r="AB36" s="2589"/>
    </row>
    <row r="37" spans="1:28" ht="20.25" customHeight="1">
      <c r="B37" s="1696"/>
      <c r="C37" s="1701"/>
      <c r="D37" s="1701"/>
      <c r="E37" s="1701"/>
      <c r="F37" s="1701"/>
      <c r="G37" s="1701"/>
      <c r="H37" s="1701"/>
      <c r="I37" s="1701"/>
      <c r="J37" s="1701"/>
      <c r="K37" s="1701"/>
      <c r="L37" s="1701"/>
      <c r="M37" s="1701"/>
      <c r="N37" s="1701"/>
      <c r="O37" s="1701"/>
      <c r="P37" s="1701"/>
      <c r="Q37" s="1691"/>
    </row>
    <row r="38" spans="1:28" ht="20.25" customHeight="1">
      <c r="A38" s="1707" t="s">
        <v>31</v>
      </c>
      <c r="B38" s="1694" t="s">
        <v>1400</v>
      </c>
      <c r="C38" s="1694"/>
      <c r="D38" s="1694"/>
      <c r="E38" s="1701"/>
      <c r="F38" s="1701"/>
      <c r="G38" s="1708"/>
      <c r="O38" s="1697" t="s">
        <v>1397</v>
      </c>
      <c r="P38" s="3640"/>
      <c r="Q38" s="3641"/>
    </row>
    <row r="39" spans="1:28" ht="20.25" customHeight="1">
      <c r="A39" s="1707"/>
      <c r="B39" s="3653" t="s">
        <v>1401</v>
      </c>
      <c r="C39" s="3653"/>
      <c r="D39" s="3653"/>
      <c r="E39" s="3653"/>
      <c r="F39" s="3653"/>
      <c r="G39" s="3653"/>
      <c r="H39" s="3653"/>
      <c r="I39" s="3653"/>
      <c r="J39" s="3653"/>
      <c r="K39" s="3653"/>
      <c r="L39" s="3653"/>
      <c r="M39" s="3653"/>
      <c r="N39" s="3653"/>
      <c r="O39" s="3653"/>
      <c r="P39" s="3654" t="s">
        <v>1402</v>
      </c>
      <c r="Q39" s="3655"/>
    </row>
    <row r="40" spans="1:28" ht="20.25" customHeight="1">
      <c r="B40" s="1710" t="s">
        <v>1403</v>
      </c>
      <c r="D40" s="1710"/>
      <c r="E40" s="1710"/>
      <c r="F40" s="1710"/>
      <c r="G40" s="1710"/>
      <c r="H40" s="1708"/>
      <c r="I40" s="1696"/>
      <c r="J40" s="1696"/>
    </row>
    <row r="41" spans="1:28" ht="20.25" customHeight="1">
      <c r="A41" s="3656"/>
      <c r="B41" s="3657"/>
      <c r="C41" s="3657"/>
      <c r="D41" s="3657"/>
      <c r="E41" s="3657"/>
      <c r="F41" s="3657"/>
      <c r="G41" s="3657"/>
      <c r="H41" s="3657"/>
      <c r="I41" s="3657"/>
      <c r="J41" s="3657"/>
      <c r="K41" s="3657"/>
      <c r="L41" s="3657"/>
      <c r="M41" s="3657"/>
      <c r="N41" s="3657"/>
      <c r="O41" s="3657"/>
      <c r="P41" s="3657"/>
      <c r="Q41" s="3658"/>
    </row>
    <row r="42" spans="1:28" ht="20.25" customHeight="1">
      <c r="A42" s="1691"/>
      <c r="B42" s="1699" t="s">
        <v>1399</v>
      </c>
      <c r="C42" s="1691"/>
      <c r="D42" s="1691"/>
      <c r="E42" s="1691"/>
      <c r="F42" s="1691"/>
      <c r="G42" s="1691"/>
      <c r="H42" s="1691"/>
      <c r="I42" s="1701"/>
      <c r="J42" s="1701"/>
      <c r="K42" s="1701"/>
      <c r="L42" s="1701"/>
      <c r="M42" s="1701"/>
      <c r="N42" s="1701"/>
      <c r="O42" s="1701"/>
      <c r="P42" s="1701"/>
      <c r="Q42" s="1691"/>
    </row>
    <row r="43" spans="1:28" ht="20.25" customHeight="1">
      <c r="A43" s="3639"/>
      <c r="B43" s="3639"/>
      <c r="C43" s="3639"/>
      <c r="D43" s="3639"/>
      <c r="E43" s="3639"/>
      <c r="F43" s="3639"/>
      <c r="G43" s="3639"/>
      <c r="H43" s="3639"/>
      <c r="I43" s="3639"/>
      <c r="J43" s="3639"/>
      <c r="K43" s="3639"/>
      <c r="L43" s="3639"/>
      <c r="M43" s="3639"/>
      <c r="N43" s="3639"/>
      <c r="O43" s="3639"/>
      <c r="P43" s="3639"/>
      <c r="Q43" s="3639"/>
    </row>
    <row r="44" spans="1:28" ht="20.25" customHeight="1">
      <c r="A44" s="1691"/>
      <c r="B44" s="1701"/>
      <c r="C44" s="1701"/>
      <c r="D44" s="1701"/>
      <c r="E44" s="1701"/>
      <c r="F44" s="1701"/>
      <c r="G44" s="1701"/>
      <c r="H44" s="1701"/>
      <c r="I44" s="1701"/>
      <c r="J44" s="1701"/>
      <c r="K44" s="1701"/>
      <c r="L44" s="1701"/>
      <c r="M44" s="1701"/>
      <c r="N44" s="1701"/>
      <c r="O44" s="1701"/>
      <c r="P44" s="1701"/>
      <c r="Q44" s="1691"/>
    </row>
    <row r="45" spans="1:28" s="1715" customFormat="1" ht="20.25" customHeight="1">
      <c r="A45" s="1711"/>
      <c r="B45" s="1712"/>
      <c r="C45" s="1713"/>
      <c r="D45" s="1713"/>
      <c r="E45" s="1713"/>
      <c r="F45" s="1713"/>
      <c r="G45" s="1713"/>
      <c r="H45" s="1713"/>
      <c r="I45" s="1713"/>
      <c r="J45" s="1713"/>
      <c r="K45" s="1713"/>
      <c r="L45" s="1713"/>
      <c r="M45" s="1713"/>
      <c r="N45" s="1713"/>
      <c r="O45" s="1713"/>
      <c r="P45" s="1713"/>
      <c r="Q45" s="1714"/>
      <c r="R45" s="2590"/>
      <c r="S45" s="2590"/>
      <c r="T45" s="2590"/>
      <c r="U45" s="2590"/>
      <c r="V45" s="2590"/>
      <c r="W45" s="2590"/>
      <c r="X45" s="2590"/>
      <c r="Y45" s="2590"/>
      <c r="Z45" s="2590"/>
      <c r="AA45" s="2590"/>
      <c r="AB45" s="2590"/>
    </row>
    <row r="46" spans="1:28" ht="20.25" customHeight="1">
      <c r="A46" s="1707" t="s">
        <v>50</v>
      </c>
      <c r="B46" s="1707" t="s">
        <v>1404</v>
      </c>
      <c r="C46" s="1707"/>
      <c r="D46" s="1701"/>
      <c r="E46" s="1701"/>
      <c r="F46" s="1701"/>
      <c r="G46" s="1701"/>
      <c r="H46" s="1701"/>
      <c r="I46" s="1701"/>
      <c r="J46" s="1701"/>
      <c r="L46" s="1716"/>
      <c r="M46" s="1717"/>
      <c r="O46" s="1697" t="s">
        <v>1397</v>
      </c>
      <c r="P46" s="3640"/>
      <c r="Q46" s="3644"/>
    </row>
    <row r="47" spans="1:28" ht="20.25" customHeight="1">
      <c r="A47" s="1718"/>
      <c r="B47" s="1708" t="s">
        <v>1405</v>
      </c>
      <c r="C47" s="1707"/>
      <c r="D47" s="1701"/>
      <c r="E47" s="1701"/>
      <c r="F47" s="1701"/>
      <c r="G47" s="1701"/>
      <c r="H47" s="1701"/>
      <c r="I47" s="1701"/>
      <c r="J47" s="1701"/>
      <c r="L47" s="1716"/>
      <c r="M47" s="1717"/>
      <c r="O47" s="1697"/>
      <c r="P47" s="3654" t="s">
        <v>1402</v>
      </c>
      <c r="Q47" s="3655"/>
    </row>
    <row r="48" spans="1:28" ht="20.25" customHeight="1">
      <c r="B48" s="1710" t="s">
        <v>1403</v>
      </c>
      <c r="D48" s="1710"/>
      <c r="E48" s="1710"/>
      <c r="F48" s="1710"/>
      <c r="G48" s="1710"/>
      <c r="H48" s="1708"/>
      <c r="I48" s="1696"/>
      <c r="J48" s="1696"/>
      <c r="K48" s="1699" t="s">
        <v>1399</v>
      </c>
      <c r="L48" s="1691"/>
      <c r="M48" s="1691"/>
      <c r="N48" s="1691"/>
      <c r="O48" s="1691"/>
      <c r="P48" s="1691"/>
      <c r="Q48" s="1691"/>
    </row>
    <row r="49" spans="1:28" ht="20.25" customHeight="1">
      <c r="A49" s="3637" t="s">
        <v>7086</v>
      </c>
      <c r="B49" s="3637"/>
      <c r="C49" s="3637"/>
      <c r="D49" s="3637"/>
      <c r="E49" s="3637"/>
      <c r="F49" s="3637"/>
      <c r="G49" s="3637"/>
      <c r="H49" s="3637"/>
      <c r="I49" s="3637"/>
      <c r="J49" s="3637"/>
      <c r="K49" s="3642"/>
      <c r="L49" s="3642"/>
      <c r="M49" s="3642"/>
      <c r="N49" s="3642"/>
      <c r="O49" s="3642"/>
      <c r="P49" s="3642"/>
      <c r="Q49" s="3643"/>
    </row>
    <row r="50" spans="1:28" ht="20.25" customHeight="1">
      <c r="A50" s="1691"/>
      <c r="B50" s="1696"/>
      <c r="C50" s="1701"/>
      <c r="D50" s="1701"/>
      <c r="E50" s="1701"/>
      <c r="F50" s="1701"/>
      <c r="G50" s="1701"/>
      <c r="H50" s="1701"/>
      <c r="I50" s="1701"/>
      <c r="J50" s="1701"/>
      <c r="K50" s="1701"/>
      <c r="L50" s="1701"/>
      <c r="M50" s="1701"/>
      <c r="N50" s="1701"/>
      <c r="O50" s="1701"/>
      <c r="P50" s="1701"/>
      <c r="Q50" s="1691"/>
    </row>
    <row r="51" spans="1:28" s="1715" customFormat="1" ht="20.25" customHeight="1">
      <c r="A51" s="1714"/>
      <c r="B51" s="1712"/>
      <c r="C51" s="1713"/>
      <c r="D51" s="1713"/>
      <c r="E51" s="1713"/>
      <c r="F51" s="1713"/>
      <c r="G51" s="1713"/>
      <c r="H51" s="1713"/>
      <c r="I51" s="1713"/>
      <c r="J51" s="1713"/>
      <c r="K51" s="1713"/>
      <c r="L51" s="1713"/>
      <c r="M51" s="1713"/>
      <c r="N51" s="1713"/>
      <c r="O51" s="1713"/>
      <c r="P51" s="1713"/>
      <c r="Q51" s="1714"/>
      <c r="R51" s="2590"/>
      <c r="S51" s="2590"/>
      <c r="T51" s="2590"/>
      <c r="U51" s="2590"/>
      <c r="V51" s="2590"/>
      <c r="W51" s="2590"/>
      <c r="X51" s="2590"/>
      <c r="Y51" s="2590"/>
      <c r="Z51" s="2590"/>
      <c r="AA51" s="2590"/>
      <c r="AB51" s="2590"/>
    </row>
    <row r="52" spans="1:28" ht="20.25" customHeight="1">
      <c r="A52" s="1707" t="s">
        <v>66</v>
      </c>
      <c r="B52" s="1707" t="s">
        <v>1406</v>
      </c>
      <c r="C52" s="1707"/>
      <c r="D52" s="1701"/>
      <c r="E52" s="1701"/>
      <c r="F52" s="1701"/>
      <c r="G52" s="1701"/>
      <c r="H52" s="1719"/>
      <c r="J52" s="1718"/>
      <c r="K52" s="1685"/>
      <c r="L52" s="1718"/>
      <c r="M52" s="1720"/>
      <c r="O52" s="1697" t="s">
        <v>1397</v>
      </c>
      <c r="P52" s="3640"/>
      <c r="Q52" s="3644"/>
    </row>
    <row r="53" spans="1:28" ht="33" customHeight="1">
      <c r="A53" s="1718"/>
      <c r="B53" s="3645" t="s">
        <v>1407</v>
      </c>
      <c r="C53" s="3645"/>
      <c r="D53" s="3645"/>
      <c r="E53" s="3645"/>
      <c r="F53" s="3645"/>
      <c r="G53" s="3645"/>
      <c r="H53" s="3646"/>
      <c r="I53" s="3647" t="s">
        <v>7071</v>
      </c>
      <c r="J53" s="3648"/>
      <c r="K53" s="3648"/>
      <c r="L53" s="3648"/>
      <c r="M53" s="3648"/>
      <c r="N53" s="3648"/>
      <c r="O53" s="3648"/>
      <c r="P53" s="3648"/>
      <c r="Q53" s="3649"/>
    </row>
    <row r="54" spans="1:28" ht="20.25" customHeight="1">
      <c r="A54" s="1718"/>
      <c r="B54" s="1695" t="s">
        <v>1408</v>
      </c>
      <c r="D54" s="1721"/>
      <c r="E54" s="1721"/>
      <c r="F54" s="1721"/>
      <c r="I54" s="3650">
        <v>0.95399999999999996</v>
      </c>
      <c r="J54" s="3651"/>
      <c r="K54" s="3652"/>
      <c r="L54" s="1709"/>
      <c r="M54" s="1722"/>
      <c r="N54" s="1722"/>
      <c r="O54" s="1722"/>
      <c r="P54" s="1722"/>
      <c r="Q54" s="1691"/>
    </row>
    <row r="55" spans="1:28" ht="20.25" customHeight="1">
      <c r="A55" s="1718"/>
      <c r="B55" s="1695" t="s">
        <v>1409</v>
      </c>
      <c r="D55" s="1721"/>
      <c r="E55" s="1721"/>
      <c r="F55" s="1721"/>
      <c r="H55" s="1709" t="s">
        <v>1410</v>
      </c>
      <c r="I55" s="3650">
        <v>1.7999999999999999E-2</v>
      </c>
      <c r="J55" s="3651"/>
      <c r="K55" s="3652"/>
      <c r="L55" s="1723"/>
      <c r="M55" s="1724" t="s">
        <v>1411</v>
      </c>
      <c r="N55" s="3650">
        <v>3.5000000000000003E-2</v>
      </c>
      <c r="O55" s="3652"/>
      <c r="P55" s="1698"/>
      <c r="Q55" s="1698"/>
    </row>
    <row r="56" spans="1:28" ht="20.25" customHeight="1">
      <c r="B56" s="1725" t="s">
        <v>1403</v>
      </c>
      <c r="D56" s="1725"/>
      <c r="E56" s="1725"/>
      <c r="F56" s="1725"/>
      <c r="G56" s="1725"/>
      <c r="H56" s="1708"/>
      <c r="I56" s="1696"/>
      <c r="J56" s="1696"/>
      <c r="K56" s="1696"/>
      <c r="L56" s="1691"/>
      <c r="M56" s="1691"/>
      <c r="N56" s="1691"/>
      <c r="O56" s="1691"/>
      <c r="P56" s="1691"/>
      <c r="Q56" s="1691"/>
    </row>
    <row r="57" spans="1:28" ht="60" customHeight="1">
      <c r="A57" s="3637" t="s">
        <v>7091</v>
      </c>
      <c r="B57" s="3637"/>
      <c r="C57" s="3637"/>
      <c r="D57" s="3637"/>
      <c r="E57" s="3637"/>
      <c r="F57" s="3637"/>
      <c r="G57" s="3637"/>
      <c r="H57" s="3637"/>
      <c r="I57" s="3637"/>
      <c r="J57" s="3637"/>
      <c r="K57" s="3637"/>
      <c r="L57" s="3637"/>
      <c r="M57" s="3637"/>
      <c r="N57" s="3637"/>
      <c r="O57" s="3637"/>
      <c r="P57" s="3637"/>
      <c r="Q57" s="3638"/>
    </row>
    <row r="58" spans="1:28" ht="20.25" customHeight="1">
      <c r="B58" s="1699" t="s">
        <v>1399</v>
      </c>
      <c r="C58" s="1700"/>
      <c r="D58" s="1701"/>
      <c r="E58" s="1701"/>
      <c r="F58" s="1701"/>
      <c r="G58" s="1701"/>
      <c r="H58" s="1701"/>
      <c r="I58" s="1701"/>
      <c r="J58" s="1701"/>
      <c r="K58" s="1701"/>
      <c r="L58" s="1701"/>
      <c r="M58" s="1701"/>
      <c r="N58" s="1701"/>
      <c r="O58" s="1701"/>
      <c r="P58" s="1701"/>
      <c r="Q58" s="1701"/>
    </row>
    <row r="59" spans="1:28" ht="20.25" customHeight="1">
      <c r="A59" s="3642"/>
      <c r="B59" s="3642"/>
      <c r="C59" s="3642"/>
      <c r="D59" s="3642"/>
      <c r="E59" s="3642"/>
      <c r="F59" s="3642"/>
      <c r="G59" s="3642"/>
      <c r="H59" s="3642"/>
      <c r="I59" s="3642"/>
      <c r="J59" s="3642"/>
      <c r="K59" s="3642"/>
      <c r="L59" s="3642"/>
      <c r="M59" s="3642"/>
      <c r="N59" s="3642"/>
      <c r="O59" s="3642"/>
      <c r="P59" s="3642"/>
      <c r="Q59" s="3643"/>
    </row>
    <row r="60" spans="1:28" ht="20.25" customHeight="1">
      <c r="A60" s="1701"/>
      <c r="B60" s="1701"/>
      <c r="C60" s="1701"/>
      <c r="D60" s="1701"/>
      <c r="E60" s="1701"/>
      <c r="F60" s="1701"/>
      <c r="G60" s="1701"/>
      <c r="H60" s="1701"/>
      <c r="I60" s="1701"/>
      <c r="J60" s="1701"/>
      <c r="K60" s="1701"/>
      <c r="L60" s="1701"/>
      <c r="M60" s="1701"/>
      <c r="N60" s="1701"/>
      <c r="O60" s="1701"/>
      <c r="P60" s="1701"/>
      <c r="Q60" s="1701"/>
    </row>
    <row r="61" spans="1:28" s="1715" customFormat="1" ht="20.25" customHeight="1">
      <c r="A61" s="1713"/>
      <c r="B61" s="1713"/>
      <c r="C61" s="1713"/>
      <c r="D61" s="1713"/>
      <c r="E61" s="1713"/>
      <c r="F61" s="1713"/>
      <c r="G61" s="1713"/>
      <c r="H61" s="1713"/>
      <c r="I61" s="1713"/>
      <c r="J61" s="1713"/>
      <c r="K61" s="1713"/>
      <c r="L61" s="1713"/>
      <c r="M61" s="1713"/>
      <c r="N61" s="1713"/>
      <c r="O61" s="1713"/>
      <c r="P61" s="1713"/>
      <c r="Q61" s="1713"/>
      <c r="R61" s="2590"/>
      <c r="S61" s="2590"/>
      <c r="T61" s="2590"/>
      <c r="U61" s="2590"/>
      <c r="V61" s="2590"/>
      <c r="W61" s="2590"/>
      <c r="X61" s="2590"/>
      <c r="Y61" s="2590"/>
      <c r="Z61" s="2590"/>
      <c r="AA61" s="2590"/>
      <c r="AB61" s="2590"/>
    </row>
    <row r="62" spans="1:28" ht="20.25" customHeight="1">
      <c r="A62" s="1707" t="s">
        <v>75</v>
      </c>
      <c r="B62" s="1707" t="s">
        <v>1412</v>
      </c>
      <c r="C62" s="1707"/>
      <c r="D62" s="1701"/>
      <c r="E62" s="1701"/>
      <c r="F62" s="1701"/>
      <c r="G62" s="1701"/>
      <c r="H62" s="1701"/>
      <c r="I62" s="1701"/>
      <c r="J62" s="1701"/>
      <c r="K62" s="1701"/>
      <c r="L62" s="1701"/>
      <c r="M62" s="1701"/>
      <c r="O62" s="1697" t="s">
        <v>1397</v>
      </c>
      <c r="P62" s="3668"/>
      <c r="Q62" s="3669"/>
    </row>
    <row r="63" spans="1:28" ht="20.25" customHeight="1">
      <c r="A63" s="1718"/>
      <c r="B63" s="1695" t="s">
        <v>1413</v>
      </c>
      <c r="I63" s="1727"/>
      <c r="J63" s="3670"/>
      <c r="K63" s="3670"/>
      <c r="L63" s="3670"/>
      <c r="M63" s="3670"/>
      <c r="N63" s="3670"/>
      <c r="O63" s="3670"/>
      <c r="P63" s="3670"/>
      <c r="Q63" s="3671"/>
    </row>
    <row r="64" spans="1:28" ht="20.25" customHeight="1">
      <c r="A64" s="1718"/>
      <c r="B64" s="1695" t="s">
        <v>1414</v>
      </c>
      <c r="O64" s="1709"/>
      <c r="P64" s="1730"/>
      <c r="Q64" s="1731"/>
    </row>
    <row r="65" spans="1:28" ht="33" customHeight="1">
      <c r="B65" s="1707"/>
      <c r="C65" s="3645" t="s">
        <v>1415</v>
      </c>
      <c r="D65" s="3645"/>
      <c r="E65" s="3645"/>
      <c r="F65" s="3645"/>
      <c r="G65" s="3645"/>
      <c r="H65" s="3645"/>
      <c r="I65" s="3645"/>
      <c r="J65" s="3645"/>
      <c r="K65" s="3645"/>
      <c r="L65" s="3645"/>
      <c r="M65" s="3645"/>
      <c r="N65" s="3645"/>
      <c r="O65" s="3645"/>
      <c r="P65" s="1730"/>
      <c r="Q65" s="1731"/>
    </row>
    <row r="66" spans="1:28" ht="33" customHeight="1">
      <c r="A66" s="1718"/>
      <c r="B66" s="1707"/>
      <c r="C66" s="3645" t="s">
        <v>1416</v>
      </c>
      <c r="D66" s="3645"/>
      <c r="E66" s="3645"/>
      <c r="F66" s="3645"/>
      <c r="G66" s="3645"/>
      <c r="H66" s="3645"/>
      <c r="I66" s="3645"/>
      <c r="J66" s="3645"/>
      <c r="K66" s="3645"/>
      <c r="L66" s="3645"/>
      <c r="M66" s="3645"/>
      <c r="N66" s="3645"/>
      <c r="O66" s="3645"/>
      <c r="P66" s="1732"/>
      <c r="Q66" s="1733"/>
    </row>
    <row r="67" spans="1:28" ht="20.25" customHeight="1">
      <c r="B67" s="1725" t="s">
        <v>1398</v>
      </c>
      <c r="D67" s="1725"/>
      <c r="E67" s="1725"/>
      <c r="F67" s="1725"/>
      <c r="G67" s="1725"/>
      <c r="H67" s="1708"/>
      <c r="I67" s="1696"/>
      <c r="J67" s="1696"/>
      <c r="K67" s="1696"/>
      <c r="L67" s="1691"/>
      <c r="M67" s="1691"/>
      <c r="N67" s="1691"/>
      <c r="O67" s="1691"/>
      <c r="P67" s="1691"/>
      <c r="Q67" s="1691"/>
    </row>
    <row r="68" spans="1:28" ht="20.25" customHeight="1">
      <c r="A68" s="3656" t="s">
        <v>7085</v>
      </c>
      <c r="B68" s="3659"/>
      <c r="C68" s="3659"/>
      <c r="D68" s="3659"/>
      <c r="E68" s="3659"/>
      <c r="F68" s="3659"/>
      <c r="G68" s="3659"/>
      <c r="H68" s="3659"/>
      <c r="I68" s="3659"/>
      <c r="J68" s="3659"/>
      <c r="K68" s="3659"/>
      <c r="L68" s="3659"/>
      <c r="M68" s="3659"/>
      <c r="N68" s="3659"/>
      <c r="O68" s="3659"/>
      <c r="P68" s="3659"/>
      <c r="Q68" s="3660"/>
    </row>
    <row r="69" spans="1:28" ht="20.25" customHeight="1">
      <c r="B69" s="1699" t="s">
        <v>1399</v>
      </c>
      <c r="C69" s="1700"/>
      <c r="D69" s="1701"/>
      <c r="E69" s="1701"/>
      <c r="F69" s="1701"/>
      <c r="G69" s="1701"/>
      <c r="H69" s="1701"/>
      <c r="I69" s="1701"/>
      <c r="J69" s="1701"/>
      <c r="K69" s="1701"/>
      <c r="L69" s="1701"/>
      <c r="M69" s="1701"/>
      <c r="N69" s="1701"/>
      <c r="O69" s="1701"/>
      <c r="P69" s="1701"/>
      <c r="Q69" s="1701"/>
    </row>
    <row r="70" spans="1:28" ht="20.25" customHeight="1">
      <c r="A70" s="3661"/>
      <c r="B70" s="3662"/>
      <c r="C70" s="3662"/>
      <c r="D70" s="3662"/>
      <c r="E70" s="3662"/>
      <c r="F70" s="3662"/>
      <c r="G70" s="3662"/>
      <c r="H70" s="3662"/>
      <c r="I70" s="3662"/>
      <c r="J70" s="3662"/>
      <c r="K70" s="3662"/>
      <c r="L70" s="3662"/>
      <c r="M70" s="3662"/>
      <c r="N70" s="3662"/>
      <c r="O70" s="3662"/>
      <c r="P70" s="3662"/>
      <c r="Q70" s="3663"/>
    </row>
    <row r="72" spans="1:28" s="1715" customFormat="1" ht="20.25" customHeight="1">
      <c r="A72" s="1711"/>
      <c r="B72" s="1711"/>
      <c r="C72" s="1711"/>
      <c r="D72" s="1711"/>
      <c r="E72" s="1711"/>
      <c r="F72" s="1711"/>
      <c r="G72" s="1711"/>
      <c r="H72" s="1711"/>
      <c r="I72" s="1711"/>
      <c r="J72" s="1711"/>
      <c r="K72" s="1711"/>
      <c r="L72" s="1711"/>
      <c r="M72" s="1711"/>
      <c r="N72" s="1711"/>
      <c r="O72" s="1711"/>
      <c r="P72" s="1711"/>
      <c r="Q72" s="1711"/>
      <c r="R72" s="2590"/>
      <c r="S72" s="2590"/>
      <c r="T72" s="2590"/>
      <c r="U72" s="2590"/>
      <c r="V72" s="2590"/>
      <c r="W72" s="2590"/>
      <c r="X72" s="2590"/>
      <c r="Y72" s="2590"/>
      <c r="Z72" s="2590"/>
      <c r="AA72" s="2590"/>
      <c r="AB72" s="2590"/>
    </row>
    <row r="73" spans="1:28" ht="20.25" customHeight="1">
      <c r="A73" s="1707" t="s">
        <v>77</v>
      </c>
      <c r="B73" s="1707" t="s">
        <v>1417</v>
      </c>
      <c r="C73" s="1708"/>
      <c r="D73" s="1701"/>
      <c r="E73" s="1701"/>
      <c r="F73" s="1701"/>
      <c r="G73" s="1701"/>
      <c r="H73" s="1701"/>
      <c r="I73" s="1701"/>
      <c r="J73" s="1701"/>
      <c r="K73" s="1701"/>
      <c r="L73" s="1701"/>
      <c r="M73" s="1701"/>
      <c r="N73" s="1734"/>
      <c r="O73" s="1697" t="s">
        <v>1397</v>
      </c>
      <c r="P73" s="3640"/>
      <c r="Q73" s="3644"/>
    </row>
    <row r="74" spans="1:28" ht="32.25" customHeight="1">
      <c r="A74" s="1718"/>
      <c r="B74" s="3645" t="s">
        <v>1418</v>
      </c>
      <c r="C74" s="3645"/>
      <c r="D74" s="3645"/>
      <c r="E74" s="3645"/>
      <c r="F74" s="3645"/>
      <c r="G74" s="3645"/>
      <c r="H74" s="3645"/>
      <c r="I74" s="3645"/>
      <c r="J74" s="3645"/>
      <c r="K74" s="3646"/>
      <c r="L74" s="3664" t="s">
        <v>7072</v>
      </c>
      <c r="M74" s="3665"/>
      <c r="N74" s="3665"/>
      <c r="O74" s="3665"/>
      <c r="P74" s="3666"/>
      <c r="Q74" s="3667"/>
    </row>
    <row r="75" spans="1:28" ht="20.25" customHeight="1">
      <c r="B75" s="1695" t="s">
        <v>1419</v>
      </c>
      <c r="C75" s="1698"/>
      <c r="O75" s="1709"/>
      <c r="P75" s="1735" t="s">
        <v>63</v>
      </c>
      <c r="Q75" s="1726"/>
    </row>
    <row r="76" spans="1:28" ht="20.25" customHeight="1">
      <c r="A76" s="1718"/>
      <c r="B76" s="1695" t="s">
        <v>1420</v>
      </c>
      <c r="D76" s="1721"/>
      <c r="E76" s="1721"/>
      <c r="F76" s="1721"/>
      <c r="G76" s="1721"/>
      <c r="H76" s="1721"/>
      <c r="K76" s="1721"/>
      <c r="L76" s="1701"/>
      <c r="O76" s="1709"/>
      <c r="P76" s="1732" t="s">
        <v>63</v>
      </c>
      <c r="Q76" s="1733"/>
    </row>
    <row r="77" spans="1:28" ht="20.25" customHeight="1">
      <c r="A77" s="1718"/>
      <c r="B77" s="1695" t="s">
        <v>1421</v>
      </c>
      <c r="D77" s="1721"/>
      <c r="E77" s="1721"/>
      <c r="F77" s="1721"/>
      <c r="G77" s="1721"/>
      <c r="H77" s="1721"/>
      <c r="K77" s="1721"/>
      <c r="L77" s="1701"/>
      <c r="M77" s="1701"/>
      <c r="N77" s="1701"/>
      <c r="O77" s="1709"/>
    </row>
    <row r="78" spans="1:28" ht="20.25" customHeight="1">
      <c r="A78" s="1718"/>
      <c r="B78" s="1707"/>
      <c r="C78" s="1695" t="s">
        <v>1422</v>
      </c>
      <c r="E78" s="1721"/>
      <c r="F78" s="1721"/>
      <c r="G78" s="1721"/>
      <c r="H78" s="1721"/>
      <c r="K78" s="1721"/>
      <c r="L78" s="1701"/>
      <c r="M78" s="1701"/>
      <c r="O78" s="1709"/>
      <c r="P78" s="1735" t="s">
        <v>63</v>
      </c>
      <c r="Q78" s="1726"/>
    </row>
    <row r="79" spans="1:28" ht="20.25" customHeight="1">
      <c r="A79" s="1718"/>
      <c r="B79" s="1707"/>
      <c r="C79" s="1695" t="s">
        <v>1423</v>
      </c>
      <c r="E79" s="1721"/>
      <c r="F79" s="1721"/>
      <c r="G79" s="1721"/>
      <c r="K79" s="1721"/>
      <c r="L79" s="1701"/>
      <c r="M79" s="1701"/>
      <c r="O79" s="1709"/>
      <c r="P79" s="1728" t="s">
        <v>63</v>
      </c>
      <c r="Q79" s="1729"/>
    </row>
    <row r="80" spans="1:28" s="1746" customFormat="1" ht="20.25" customHeight="1">
      <c r="A80" s="1736"/>
      <c r="B80" s="1737"/>
      <c r="C80" s="1737"/>
      <c r="D80" s="1688" t="s">
        <v>1424</v>
      </c>
      <c r="E80" s="1738"/>
      <c r="F80" s="1738"/>
      <c r="G80" s="1688"/>
      <c r="H80" s="1688"/>
      <c r="I80" s="1739"/>
      <c r="J80" s="1740"/>
      <c r="K80" s="1741"/>
      <c r="L80" s="1742"/>
      <c r="M80" s="1742"/>
      <c r="N80" s="1740"/>
      <c r="O80" s="1743"/>
      <c r="P80" s="1744" t="s">
        <v>63</v>
      </c>
      <c r="Q80" s="1745"/>
      <c r="R80" s="2591"/>
      <c r="S80" s="2591"/>
      <c r="T80" s="2591"/>
      <c r="U80" s="2591"/>
      <c r="V80" s="2591"/>
      <c r="W80" s="2591"/>
      <c r="X80" s="2591"/>
      <c r="Y80" s="2591"/>
      <c r="Z80" s="2591"/>
      <c r="AA80" s="2591"/>
      <c r="AB80" s="2591"/>
    </row>
    <row r="81" spans="1:28" ht="20.25" customHeight="1">
      <c r="A81" s="1718"/>
      <c r="B81" s="1707"/>
      <c r="C81" s="1695" t="s">
        <v>1425</v>
      </c>
      <c r="E81" s="1721"/>
      <c r="F81" s="1721"/>
      <c r="G81" s="1721"/>
      <c r="K81" s="1721"/>
      <c r="L81" s="1701"/>
      <c r="M81" s="1701"/>
      <c r="O81" s="1709"/>
      <c r="P81" s="1732" t="s">
        <v>63</v>
      </c>
      <c r="Q81" s="1733"/>
    </row>
    <row r="82" spans="1:28" ht="32.25" customHeight="1">
      <c r="A82" s="1718"/>
      <c r="B82" s="3673" t="s">
        <v>1426</v>
      </c>
      <c r="C82" s="3673"/>
      <c r="D82" s="3673"/>
      <c r="E82" s="3673"/>
      <c r="F82" s="3673"/>
      <c r="G82" s="3673"/>
      <c r="H82" s="3673"/>
      <c r="I82" s="3673"/>
      <c r="J82" s="3673"/>
      <c r="K82" s="3673"/>
      <c r="L82" s="3673"/>
      <c r="M82" s="3673"/>
      <c r="N82" s="3673"/>
      <c r="O82" s="3673"/>
      <c r="P82" s="3673"/>
      <c r="Q82" s="3673"/>
    </row>
    <row r="83" spans="1:28" ht="32.25" customHeight="1">
      <c r="B83" s="3670" t="s">
        <v>7073</v>
      </c>
      <c r="C83" s="3670"/>
      <c r="D83" s="3670"/>
      <c r="E83" s="3670"/>
      <c r="F83" s="3670"/>
      <c r="G83" s="3670"/>
      <c r="H83" s="3670"/>
      <c r="I83" s="3670"/>
      <c r="J83" s="3670"/>
      <c r="K83" s="3670"/>
      <c r="L83" s="3670"/>
      <c r="M83" s="3670"/>
      <c r="N83" s="3670"/>
      <c r="O83" s="3670"/>
      <c r="P83" s="3670"/>
      <c r="Q83" s="3671"/>
    </row>
    <row r="84" spans="1:28" ht="20.25" customHeight="1">
      <c r="B84" s="1725" t="s">
        <v>1403</v>
      </c>
      <c r="D84" s="1725"/>
      <c r="E84" s="1725"/>
      <c r="F84" s="1725"/>
      <c r="G84" s="1725"/>
      <c r="H84" s="1708"/>
      <c r="I84" s="1696"/>
      <c r="J84" s="1696"/>
      <c r="K84" s="1696"/>
      <c r="L84" s="1691"/>
      <c r="M84" s="1691"/>
      <c r="N84" s="1691"/>
      <c r="O84" s="1691"/>
      <c r="P84" s="1691"/>
      <c r="Q84" s="1691"/>
    </row>
    <row r="85" spans="1:28" ht="20.25" customHeight="1">
      <c r="A85" s="3637" t="s">
        <v>7076</v>
      </c>
      <c r="B85" s="3637"/>
      <c r="C85" s="3637"/>
      <c r="D85" s="3637"/>
      <c r="E85" s="3637"/>
      <c r="F85" s="3637"/>
      <c r="G85" s="3637"/>
      <c r="H85" s="3637"/>
      <c r="I85" s="3637"/>
      <c r="J85" s="3637"/>
      <c r="K85" s="3637"/>
      <c r="L85" s="3637"/>
      <c r="M85" s="3637"/>
      <c r="N85" s="3637"/>
      <c r="O85" s="3637"/>
      <c r="P85" s="3637"/>
      <c r="Q85" s="3638"/>
    </row>
    <row r="86" spans="1:28" ht="20.25" customHeight="1">
      <c r="B86" s="1699" t="s">
        <v>1399</v>
      </c>
      <c r="C86" s="1700"/>
      <c r="D86" s="1701"/>
      <c r="E86" s="1701"/>
      <c r="F86" s="1701"/>
      <c r="G86" s="1701"/>
      <c r="H86" s="1701"/>
      <c r="I86" s="1701"/>
      <c r="J86" s="1701"/>
      <c r="K86" s="1701"/>
      <c r="L86" s="1701"/>
      <c r="M86" s="1701"/>
      <c r="N86" s="1701"/>
      <c r="O86" s="1701"/>
      <c r="P86" s="1701"/>
      <c r="Q86" s="1701"/>
    </row>
    <row r="87" spans="1:28" ht="20.25" customHeight="1">
      <c r="A87" s="3642"/>
      <c r="B87" s="3642"/>
      <c r="C87" s="3642"/>
      <c r="D87" s="3642"/>
      <c r="E87" s="3642"/>
      <c r="F87" s="3642"/>
      <c r="G87" s="3642"/>
      <c r="H87" s="3642"/>
      <c r="I87" s="3642"/>
      <c r="J87" s="3642"/>
      <c r="K87" s="3642"/>
      <c r="L87" s="3642"/>
      <c r="M87" s="3642"/>
      <c r="N87" s="3642"/>
      <c r="O87" s="3642"/>
      <c r="P87" s="3642"/>
      <c r="Q87" s="3643"/>
    </row>
    <row r="88" spans="1:28" ht="11.25" customHeight="1">
      <c r="A88" s="1691"/>
      <c r="B88" s="1696"/>
      <c r="C88" s="1701"/>
      <c r="D88" s="1701"/>
      <c r="E88" s="1701"/>
      <c r="F88" s="1701"/>
      <c r="G88" s="1701"/>
      <c r="H88" s="1701"/>
      <c r="I88" s="1701"/>
      <c r="J88" s="1701"/>
      <c r="K88" s="1701"/>
      <c r="L88" s="1701"/>
      <c r="M88" s="1701"/>
      <c r="N88" s="1701"/>
      <c r="O88" s="1701"/>
      <c r="P88" s="1701"/>
      <c r="Q88" s="1691"/>
    </row>
    <row r="89" spans="1:28" s="1715" customFormat="1" ht="11.25" customHeight="1">
      <c r="A89" s="1714"/>
      <c r="B89" s="1712"/>
      <c r="C89" s="1713"/>
      <c r="D89" s="1713"/>
      <c r="E89" s="1713"/>
      <c r="F89" s="1713"/>
      <c r="G89" s="1713"/>
      <c r="H89" s="1713"/>
      <c r="I89" s="1713"/>
      <c r="J89" s="1713"/>
      <c r="K89" s="1713"/>
      <c r="L89" s="1713"/>
      <c r="M89" s="1713"/>
      <c r="N89" s="1713"/>
      <c r="O89" s="1713"/>
      <c r="P89" s="1713"/>
      <c r="Q89" s="1714"/>
      <c r="R89" s="2590"/>
      <c r="S89" s="2590"/>
      <c r="T89" s="2590"/>
      <c r="U89" s="2590"/>
      <c r="V89" s="2590"/>
      <c r="W89" s="2590"/>
      <c r="X89" s="2590"/>
      <c r="Y89" s="2590"/>
      <c r="Z89" s="2590"/>
      <c r="AA89" s="2590"/>
      <c r="AB89" s="2590"/>
    </row>
    <row r="90" spans="1:28" ht="20.25" customHeight="1">
      <c r="A90" s="1707" t="s">
        <v>1427</v>
      </c>
      <c r="B90" s="1707" t="s">
        <v>1428</v>
      </c>
      <c r="C90" s="1707"/>
      <c r="D90" s="1701"/>
      <c r="E90" s="1701"/>
      <c r="F90" s="1701"/>
      <c r="G90" s="1701"/>
      <c r="H90" s="1701"/>
      <c r="I90" s="1701"/>
      <c r="J90" s="1701"/>
      <c r="K90" s="1701"/>
      <c r="N90" s="1734"/>
      <c r="O90" s="1697" t="s">
        <v>1397</v>
      </c>
      <c r="P90" s="3640"/>
      <c r="Q90" s="3644"/>
    </row>
    <row r="91" spans="1:28" ht="20.25" customHeight="1">
      <c r="A91" s="1718"/>
      <c r="B91" s="1695" t="s">
        <v>1429</v>
      </c>
      <c r="F91" s="1776" t="str">
        <f>IF(L91="Ground lease/Option","Ground lease/Option:","")</f>
        <v/>
      </c>
      <c r="H91" s="1778" t="str">
        <f>IF(L91="Ground lease/Option","Annual Pymt:","")</f>
        <v/>
      </c>
      <c r="I91" s="1779" t="str">
        <f>IF(M131="Ground lease/Option",'Part V-Revenues &amp; Expenses'!$K$251,"")</f>
        <v/>
      </c>
      <c r="J91" s="1777" t="str">
        <f>IF(L91="Ground lease/Option","Term (yrs):","")</f>
        <v/>
      </c>
      <c r="K91" s="2583" t="str">
        <f>IF(M131="Ground lease/Option",'Part V-Revenues &amp; Expenses'!$N$251,"")</f>
        <v/>
      </c>
      <c r="L91" s="3674" t="s">
        <v>1430</v>
      </c>
      <c r="M91" s="3675"/>
      <c r="N91" s="3676"/>
      <c r="O91" s="3640" t="s">
        <v>712</v>
      </c>
      <c r="P91" s="3677"/>
      <c r="Q91" s="3678"/>
    </row>
    <row r="92" spans="1:28" ht="20.25" customHeight="1">
      <c r="A92" s="1718"/>
      <c r="B92" s="1695" t="s">
        <v>1431</v>
      </c>
      <c r="G92" s="3670" t="s">
        <v>7074</v>
      </c>
      <c r="H92" s="3670"/>
      <c r="I92" s="3670"/>
      <c r="J92" s="3670"/>
      <c r="K92" s="3670"/>
      <c r="L92" s="3670"/>
      <c r="M92" s="3670"/>
      <c r="N92" s="3670"/>
      <c r="O92" s="3670"/>
      <c r="P92" s="3670"/>
      <c r="Q92" s="3671"/>
    </row>
    <row r="93" spans="1:28" ht="20.25" customHeight="1">
      <c r="B93" s="1725" t="s">
        <v>1403</v>
      </c>
      <c r="D93" s="1725"/>
      <c r="E93" s="1725"/>
      <c r="F93" s="1725"/>
      <c r="G93" s="1725"/>
      <c r="H93" s="1708"/>
      <c r="I93" s="1696"/>
      <c r="J93" s="1696"/>
      <c r="K93" s="1696"/>
      <c r="L93" s="1691"/>
      <c r="M93" s="1691"/>
      <c r="N93" s="1691"/>
      <c r="O93" s="1691"/>
      <c r="P93" s="1691"/>
      <c r="Q93" s="1691"/>
    </row>
    <row r="94" spans="1:28" ht="20.25" customHeight="1">
      <c r="A94" s="3637" t="s">
        <v>7075</v>
      </c>
      <c r="B94" s="3637"/>
      <c r="C94" s="3637"/>
      <c r="D94" s="3637"/>
      <c r="E94" s="3637"/>
      <c r="F94" s="3637"/>
      <c r="G94" s="3637"/>
      <c r="H94" s="3637"/>
      <c r="I94" s="3637"/>
      <c r="J94" s="3637"/>
      <c r="K94" s="3637"/>
      <c r="L94" s="3637"/>
      <c r="M94" s="3637"/>
      <c r="N94" s="3637"/>
      <c r="O94" s="3637"/>
      <c r="P94" s="3637"/>
      <c r="Q94" s="3672"/>
    </row>
    <row r="95" spans="1:28" ht="20.25" customHeight="1">
      <c r="B95" s="1699" t="s">
        <v>1399</v>
      </c>
      <c r="C95" s="1700"/>
      <c r="D95" s="1701"/>
      <c r="E95" s="1701"/>
      <c r="F95" s="1701"/>
      <c r="G95" s="1701"/>
      <c r="H95" s="1701"/>
      <c r="I95" s="1701"/>
      <c r="J95" s="1701"/>
      <c r="K95" s="1701"/>
      <c r="L95" s="1701"/>
      <c r="M95" s="1701"/>
      <c r="N95" s="1701"/>
      <c r="O95" s="1701"/>
      <c r="P95" s="1701"/>
      <c r="Q95" s="1701"/>
    </row>
    <row r="96" spans="1:28" ht="20.25" customHeight="1">
      <c r="A96" s="3642"/>
      <c r="B96" s="3642"/>
      <c r="C96" s="3642"/>
      <c r="D96" s="3642"/>
      <c r="E96" s="3642"/>
      <c r="F96" s="3642"/>
      <c r="G96" s="3642"/>
      <c r="H96" s="3642"/>
      <c r="I96" s="3642"/>
      <c r="J96" s="3642"/>
      <c r="K96" s="3642"/>
      <c r="L96" s="3642"/>
      <c r="M96" s="3642"/>
      <c r="N96" s="3642"/>
      <c r="O96" s="3642"/>
      <c r="P96" s="3642"/>
      <c r="Q96" s="3639"/>
    </row>
    <row r="97" spans="1:28" ht="11.25" customHeight="1">
      <c r="A97" s="1691"/>
      <c r="B97" s="1696"/>
      <c r="C97" s="1701"/>
      <c r="D97" s="1701"/>
      <c r="E97" s="1701"/>
      <c r="F97" s="1701"/>
      <c r="G97" s="1701"/>
      <c r="H97" s="1701"/>
      <c r="I97" s="1701"/>
      <c r="J97" s="1701"/>
      <c r="K97" s="1701"/>
      <c r="L97" s="1701"/>
      <c r="M97" s="1701"/>
      <c r="Q97" s="1691"/>
    </row>
    <row r="98" spans="1:28" s="1715" customFormat="1" ht="11.25" customHeight="1">
      <c r="A98" s="1714"/>
      <c r="B98" s="1712"/>
      <c r="C98" s="1713"/>
      <c r="D98" s="1713"/>
      <c r="E98" s="1713"/>
      <c r="F98" s="1713"/>
      <c r="G98" s="1713"/>
      <c r="H98" s="1713"/>
      <c r="I98" s="1713"/>
      <c r="J98" s="1713"/>
      <c r="K98" s="1713"/>
      <c r="L98" s="1713"/>
      <c r="M98" s="1713"/>
      <c r="N98" s="1711"/>
      <c r="O98" s="1711"/>
      <c r="P98" s="1711"/>
      <c r="Q98" s="1714"/>
      <c r="R98" s="2590"/>
      <c r="S98" s="2590"/>
      <c r="T98" s="2590"/>
      <c r="U98" s="2590"/>
      <c r="V98" s="2590"/>
      <c r="W98" s="2590"/>
      <c r="X98" s="2590"/>
      <c r="Y98" s="2590"/>
      <c r="Z98" s="2590"/>
      <c r="AA98" s="2590"/>
      <c r="AB98" s="2590"/>
    </row>
    <row r="99" spans="1:28" ht="20.25" customHeight="1">
      <c r="A99" s="1707" t="s">
        <v>1432</v>
      </c>
      <c r="B99" s="1707" t="s">
        <v>1433</v>
      </c>
      <c r="C99" s="1707"/>
      <c r="D99" s="1701"/>
      <c r="E99" s="1701"/>
      <c r="F99" s="1701"/>
      <c r="G99" s="1701"/>
      <c r="H99" s="1701"/>
      <c r="I99" s="1701"/>
      <c r="J99" s="1701"/>
      <c r="K99" s="1701"/>
      <c r="L99" s="1701"/>
      <c r="M99" s="1701"/>
      <c r="O99" s="1697" t="s">
        <v>1397</v>
      </c>
      <c r="P99" s="3640"/>
      <c r="Q99" s="3644"/>
    </row>
    <row r="100" spans="1:28" ht="20.25" customHeight="1">
      <c r="B100" s="1725" t="s">
        <v>1403</v>
      </c>
      <c r="D100" s="1725"/>
      <c r="E100" s="1725"/>
      <c r="F100" s="1725"/>
      <c r="G100" s="1725"/>
      <c r="H100" s="1708"/>
      <c r="I100" s="1696"/>
      <c r="J100" s="1696"/>
      <c r="K100" s="1696"/>
      <c r="L100" s="1691"/>
      <c r="M100" s="1691"/>
      <c r="N100" s="1691"/>
      <c r="O100" s="1691"/>
      <c r="P100" s="1691"/>
      <c r="Q100" s="1691"/>
    </row>
    <row r="101" spans="1:28" ht="20.25" customHeight="1">
      <c r="A101" s="3637" t="s">
        <v>7064</v>
      </c>
      <c r="B101" s="3637"/>
      <c r="C101" s="3637"/>
      <c r="D101" s="3637"/>
      <c r="E101" s="3637"/>
      <c r="F101" s="3637"/>
      <c r="G101" s="3637"/>
      <c r="H101" s="3637"/>
      <c r="I101" s="3637"/>
      <c r="J101" s="3637"/>
      <c r="K101" s="3637"/>
      <c r="L101" s="3637"/>
      <c r="M101" s="3637"/>
      <c r="N101" s="3637"/>
      <c r="O101" s="3637"/>
      <c r="P101" s="3637"/>
      <c r="Q101" s="3672"/>
    </row>
    <row r="102" spans="1:28" ht="20.25" customHeight="1">
      <c r="B102" s="1699" t="s">
        <v>1399</v>
      </c>
      <c r="C102" s="1700"/>
      <c r="D102" s="1701"/>
      <c r="E102" s="1701"/>
      <c r="F102" s="1701"/>
      <c r="G102" s="1701"/>
      <c r="H102" s="1701"/>
      <c r="I102" s="1701"/>
      <c r="J102" s="1701"/>
      <c r="K102" s="1701"/>
      <c r="L102" s="1701"/>
      <c r="M102" s="1701"/>
      <c r="N102" s="1701"/>
      <c r="O102" s="1701"/>
      <c r="P102" s="1701"/>
      <c r="Q102" s="1701"/>
    </row>
    <row r="103" spans="1:28" ht="20.25" customHeight="1">
      <c r="A103" s="3642"/>
      <c r="B103" s="3642"/>
      <c r="C103" s="3642"/>
      <c r="D103" s="3642"/>
      <c r="E103" s="3642"/>
      <c r="F103" s="3642"/>
      <c r="G103" s="3642"/>
      <c r="H103" s="3642"/>
      <c r="I103" s="3642"/>
      <c r="J103" s="3642"/>
      <c r="K103" s="3642"/>
      <c r="L103" s="3642"/>
      <c r="M103" s="3642"/>
      <c r="N103" s="3642"/>
      <c r="O103" s="3642"/>
      <c r="P103" s="3642"/>
      <c r="Q103" s="3639"/>
    </row>
    <row r="104" spans="1:28" ht="11.25" customHeight="1">
      <c r="B104" s="1696"/>
      <c r="C104" s="1701"/>
      <c r="D104" s="1701"/>
      <c r="E104" s="1701"/>
      <c r="F104" s="1701"/>
      <c r="G104" s="1701"/>
      <c r="H104" s="1701"/>
      <c r="I104" s="1701"/>
      <c r="J104" s="1701"/>
      <c r="K104" s="1701"/>
      <c r="L104" s="1701"/>
      <c r="M104" s="1701"/>
      <c r="N104" s="1701"/>
      <c r="O104" s="1701"/>
      <c r="P104" s="1701"/>
      <c r="Q104" s="1691"/>
    </row>
    <row r="105" spans="1:28" s="1715" customFormat="1" ht="11.25" customHeight="1">
      <c r="A105" s="1711"/>
      <c r="B105" s="1712"/>
      <c r="C105" s="1713"/>
      <c r="D105" s="1713"/>
      <c r="E105" s="1713"/>
      <c r="F105" s="1713"/>
      <c r="G105" s="1713"/>
      <c r="H105" s="1713"/>
      <c r="I105" s="1713"/>
      <c r="J105" s="1713"/>
      <c r="K105" s="1713"/>
      <c r="L105" s="1713"/>
      <c r="M105" s="1713"/>
      <c r="N105" s="1713"/>
      <c r="O105" s="1713"/>
      <c r="P105" s="1713"/>
      <c r="Q105" s="1714"/>
      <c r="R105" s="2590"/>
      <c r="S105" s="2590"/>
      <c r="T105" s="2590"/>
      <c r="U105" s="2590"/>
      <c r="V105" s="2590"/>
      <c r="W105" s="2590"/>
      <c r="X105" s="2590"/>
      <c r="Y105" s="2590"/>
      <c r="Z105" s="2590"/>
      <c r="AA105" s="2590"/>
      <c r="AB105" s="2590"/>
    </row>
    <row r="106" spans="1:28" ht="20.25" customHeight="1">
      <c r="A106" s="1707" t="s">
        <v>1434</v>
      </c>
      <c r="B106" s="3679" t="s">
        <v>1435</v>
      </c>
      <c r="C106" s="3679"/>
      <c r="D106" s="3679"/>
      <c r="N106" s="1734"/>
      <c r="O106" s="1697" t="s">
        <v>1397</v>
      </c>
      <c r="P106" s="3640"/>
      <c r="Q106" s="3644"/>
    </row>
    <row r="107" spans="1:28" ht="20.25" customHeight="1">
      <c r="B107" s="1725" t="s">
        <v>1403</v>
      </c>
      <c r="D107" s="1725"/>
      <c r="E107" s="1725"/>
      <c r="F107" s="1725"/>
      <c r="G107" s="1725"/>
      <c r="H107" s="1708"/>
      <c r="I107" s="1696"/>
      <c r="J107" s="1696"/>
      <c r="K107" s="1696"/>
      <c r="L107" s="1691"/>
      <c r="M107" s="1691"/>
      <c r="N107" s="1691"/>
      <c r="O107" s="1691"/>
      <c r="P107" s="1691"/>
      <c r="Q107" s="1691"/>
    </row>
    <row r="108" spans="1:28" ht="20.25" customHeight="1">
      <c r="A108" s="3637" t="s">
        <v>7064</v>
      </c>
      <c r="B108" s="3637"/>
      <c r="C108" s="3637"/>
      <c r="D108" s="3637"/>
      <c r="E108" s="3637"/>
      <c r="F108" s="3637"/>
      <c r="G108" s="3637"/>
      <c r="H108" s="3637"/>
      <c r="I108" s="3637"/>
      <c r="J108" s="3637"/>
      <c r="K108" s="3637"/>
      <c r="L108" s="3637"/>
      <c r="M108" s="3637"/>
      <c r="N108" s="3637"/>
      <c r="O108" s="3637"/>
      <c r="P108" s="3637"/>
      <c r="Q108" s="3672"/>
    </row>
    <row r="109" spans="1:28" ht="20.25" customHeight="1">
      <c r="B109" s="1699" t="s">
        <v>1399</v>
      </c>
      <c r="C109" s="1700"/>
      <c r="D109" s="1701"/>
      <c r="E109" s="1701"/>
      <c r="F109" s="1701"/>
      <c r="G109" s="1701"/>
      <c r="H109" s="1701"/>
      <c r="I109" s="1701"/>
      <c r="J109" s="1701"/>
      <c r="K109" s="1701"/>
      <c r="L109" s="1701"/>
      <c r="M109" s="1701"/>
      <c r="N109" s="1701"/>
      <c r="O109" s="1701"/>
      <c r="P109" s="1701"/>
      <c r="Q109" s="1701"/>
    </row>
    <row r="110" spans="1:28" ht="20.25" customHeight="1">
      <c r="A110" s="3642"/>
      <c r="B110" s="3642"/>
      <c r="C110" s="3642"/>
      <c r="D110" s="3642"/>
      <c r="E110" s="3642"/>
      <c r="F110" s="3642"/>
      <c r="G110" s="3642"/>
      <c r="H110" s="3642"/>
      <c r="I110" s="3642"/>
      <c r="J110" s="3642"/>
      <c r="K110" s="3642"/>
      <c r="L110" s="3642"/>
      <c r="M110" s="3642"/>
      <c r="N110" s="3642"/>
      <c r="O110" s="3642"/>
      <c r="P110" s="3642"/>
      <c r="Q110" s="3639"/>
    </row>
    <row r="111" spans="1:28" ht="11.25" customHeight="1">
      <c r="A111" s="1691"/>
      <c r="B111" s="1696"/>
      <c r="C111" s="1701"/>
      <c r="D111" s="1701"/>
      <c r="E111" s="1701"/>
      <c r="F111" s="1701"/>
      <c r="G111" s="1701"/>
      <c r="H111" s="1701"/>
      <c r="I111" s="1701"/>
      <c r="J111" s="1701"/>
      <c r="K111" s="1701"/>
      <c r="L111" s="1701"/>
      <c r="M111" s="1701"/>
      <c r="N111" s="1701"/>
      <c r="O111" s="1701"/>
      <c r="P111" s="1701"/>
      <c r="Q111" s="1691"/>
    </row>
    <row r="112" spans="1:28" s="1715" customFormat="1" ht="11.25" customHeight="1">
      <c r="A112" s="1714"/>
      <c r="B112" s="1712"/>
      <c r="C112" s="1713"/>
      <c r="D112" s="1713"/>
      <c r="E112" s="1713"/>
      <c r="F112" s="1713"/>
      <c r="G112" s="1713"/>
      <c r="H112" s="1713"/>
      <c r="I112" s="1713"/>
      <c r="J112" s="1713"/>
      <c r="K112" s="1713"/>
      <c r="L112" s="1713"/>
      <c r="M112" s="1713"/>
      <c r="N112" s="1713"/>
      <c r="O112" s="1713"/>
      <c r="P112" s="1713"/>
      <c r="Q112" s="1714"/>
      <c r="R112" s="2590"/>
      <c r="S112" s="2590"/>
      <c r="T112" s="2590"/>
      <c r="U112" s="2590"/>
      <c r="V112" s="2590"/>
      <c r="W112" s="2590"/>
      <c r="X112" s="2590"/>
      <c r="Y112" s="2590"/>
      <c r="Z112" s="2590"/>
      <c r="AA112" s="2590"/>
      <c r="AB112" s="2590"/>
    </row>
    <row r="113" spans="1:28" ht="20.25" customHeight="1">
      <c r="A113" s="1707" t="s">
        <v>1436</v>
      </c>
      <c r="B113" s="1707" t="s">
        <v>1437</v>
      </c>
      <c r="C113" s="1707"/>
      <c r="D113" s="1701"/>
      <c r="E113" s="1701"/>
      <c r="G113" s="1701"/>
      <c r="J113" s="1721"/>
      <c r="K113" s="1721"/>
      <c r="L113" s="1721"/>
      <c r="M113" s="1721"/>
      <c r="N113" s="1734"/>
      <c r="O113" s="1697" t="s">
        <v>1397</v>
      </c>
      <c r="P113" s="3668"/>
      <c r="Q113" s="3669"/>
    </row>
    <row r="114" spans="1:28" ht="20.25" customHeight="1">
      <c r="A114" s="1718"/>
      <c r="B114" s="1695" t="s">
        <v>1438</v>
      </c>
      <c r="H114" s="1695" t="s">
        <v>1439</v>
      </c>
      <c r="J114" s="3683" t="s">
        <v>1440</v>
      </c>
      <c r="K114" s="3684"/>
      <c r="L114" s="3684"/>
      <c r="M114" s="3684"/>
      <c r="N114" s="3684"/>
      <c r="O114" s="3684"/>
      <c r="P114" s="3684"/>
      <c r="Q114" s="3685"/>
    </row>
    <row r="115" spans="1:28" ht="20.25" customHeight="1">
      <c r="A115" s="1718"/>
      <c r="B115" s="1718"/>
      <c r="H115" s="1695" t="s">
        <v>1441</v>
      </c>
      <c r="J115" s="3680" t="s">
        <v>1442</v>
      </c>
      <c r="K115" s="3681"/>
      <c r="L115" s="3681"/>
      <c r="M115" s="3681"/>
      <c r="N115" s="3681"/>
      <c r="O115" s="3681"/>
      <c r="P115" s="3681"/>
      <c r="Q115" s="3682"/>
    </row>
    <row r="116" spans="1:28" ht="20.25" customHeight="1">
      <c r="A116" s="1718"/>
      <c r="B116" s="1725" t="s">
        <v>1403</v>
      </c>
      <c r="C116" s="1747"/>
      <c r="D116" s="1747"/>
      <c r="E116" s="1747"/>
      <c r="F116" s="1747"/>
      <c r="H116" s="1698"/>
      <c r="I116" s="1698"/>
      <c r="J116" s="1698"/>
      <c r="K116" s="1698"/>
      <c r="L116" s="1698"/>
      <c r="M116" s="1698"/>
      <c r="N116" s="1698"/>
      <c r="O116" s="1698"/>
      <c r="P116" s="1698"/>
      <c r="Q116" s="1698"/>
    </row>
    <row r="117" spans="1:28" ht="20.25" customHeight="1">
      <c r="A117" s="3637" t="s">
        <v>7064</v>
      </c>
      <c r="B117" s="3637"/>
      <c r="C117" s="3637"/>
      <c r="D117" s="3637"/>
      <c r="E117" s="3637"/>
      <c r="F117" s="3637"/>
      <c r="G117" s="3637"/>
      <c r="H117" s="3637"/>
      <c r="I117" s="3637"/>
      <c r="J117" s="3637"/>
      <c r="K117" s="3637"/>
      <c r="L117" s="3637"/>
      <c r="M117" s="3637"/>
      <c r="N117" s="3637"/>
      <c r="O117" s="3637"/>
      <c r="P117" s="3637"/>
      <c r="Q117" s="3672"/>
    </row>
    <row r="118" spans="1:28" ht="20.25" customHeight="1">
      <c r="B118" s="1699" t="s">
        <v>1399</v>
      </c>
      <c r="C118" s="1700"/>
      <c r="D118" s="1701"/>
      <c r="E118" s="1701"/>
      <c r="F118" s="1701"/>
      <c r="G118" s="1701"/>
      <c r="H118" s="1701"/>
      <c r="I118" s="1701"/>
      <c r="J118" s="1701"/>
      <c r="K118" s="1701"/>
      <c r="L118" s="1701"/>
      <c r="M118" s="1701"/>
      <c r="N118" s="1701"/>
      <c r="O118" s="1701"/>
      <c r="P118" s="1701"/>
      <c r="Q118" s="1701"/>
    </row>
    <row r="119" spans="1:28" ht="20.25" customHeight="1">
      <c r="A119" s="3642"/>
      <c r="B119" s="3642"/>
      <c r="C119" s="3642"/>
      <c r="D119" s="3642"/>
      <c r="E119" s="3642"/>
      <c r="F119" s="3642"/>
      <c r="G119" s="3642"/>
      <c r="H119" s="3642"/>
      <c r="I119" s="3642"/>
      <c r="J119" s="3642"/>
      <c r="K119" s="3642"/>
      <c r="L119" s="3642"/>
      <c r="M119" s="3642"/>
      <c r="N119" s="3642"/>
      <c r="O119" s="3642"/>
      <c r="P119" s="3642"/>
      <c r="Q119" s="3643"/>
    </row>
    <row r="120" spans="1:28" ht="12.75" customHeight="1">
      <c r="B120" s="1696"/>
      <c r="C120" s="1701"/>
      <c r="D120" s="1701"/>
      <c r="E120" s="1701"/>
      <c r="F120" s="1701"/>
      <c r="G120" s="1701"/>
      <c r="H120" s="1701"/>
      <c r="I120" s="1701"/>
      <c r="J120" s="1701"/>
      <c r="K120" s="1701"/>
      <c r="L120" s="1701"/>
      <c r="M120" s="1701"/>
      <c r="Q120" s="1691"/>
    </row>
    <row r="121" spans="1:28" s="1715" customFormat="1" ht="12.75" customHeight="1">
      <c r="A121" s="1711"/>
      <c r="B121" s="1712"/>
      <c r="C121" s="1713"/>
      <c r="D121" s="1713"/>
      <c r="E121" s="1713"/>
      <c r="F121" s="1713"/>
      <c r="G121" s="1713"/>
      <c r="H121" s="1713"/>
      <c r="I121" s="1713"/>
      <c r="J121" s="1713"/>
      <c r="K121" s="1713"/>
      <c r="L121" s="1713"/>
      <c r="M121" s="1713"/>
      <c r="N121" s="1711"/>
      <c r="O121" s="1711"/>
      <c r="P121" s="1711"/>
      <c r="Q121" s="1714"/>
      <c r="R121" s="2590"/>
      <c r="S121" s="2590"/>
      <c r="T121" s="2590"/>
      <c r="U121" s="2590"/>
      <c r="V121" s="2590"/>
      <c r="W121" s="2590"/>
      <c r="X121" s="2590"/>
      <c r="Y121" s="2590"/>
      <c r="Z121" s="2590"/>
      <c r="AA121" s="2590"/>
      <c r="AB121" s="2590"/>
    </row>
    <row r="122" spans="1:28" ht="20.25" customHeight="1">
      <c r="A122" s="1707" t="s">
        <v>1443</v>
      </c>
      <c r="B122" s="1694" t="s">
        <v>1444</v>
      </c>
      <c r="C122" s="1694"/>
      <c r="D122" s="1694"/>
      <c r="E122" s="1694"/>
      <c r="F122" s="1694"/>
      <c r="G122" s="1701"/>
      <c r="H122" s="1701"/>
      <c r="J122" s="1701"/>
      <c r="K122" s="1701"/>
      <c r="L122" s="1701"/>
      <c r="M122" s="1701"/>
      <c r="N122" s="1734"/>
      <c r="O122" s="1697" t="s">
        <v>1397</v>
      </c>
      <c r="P122" s="3640"/>
      <c r="Q122" s="3644"/>
    </row>
    <row r="123" spans="1:28" ht="20.25" customHeight="1">
      <c r="A123" s="1718"/>
      <c r="B123" s="1695" t="s">
        <v>1445</v>
      </c>
      <c r="H123" s="1695" t="s">
        <v>1446</v>
      </c>
      <c r="J123" s="3683" t="s">
        <v>1447</v>
      </c>
      <c r="K123" s="3684"/>
      <c r="L123" s="3684"/>
      <c r="M123" s="3684"/>
      <c r="N123" s="3684"/>
      <c r="O123" s="3684"/>
      <c r="P123" s="3684"/>
      <c r="Q123" s="3685"/>
      <c r="R123" s="1748"/>
    </row>
    <row r="124" spans="1:28" ht="20.25" customHeight="1">
      <c r="A124" s="1747"/>
      <c r="B124" s="1718"/>
      <c r="H124" s="1695" t="s">
        <v>1448</v>
      </c>
      <c r="J124" s="3680" t="s">
        <v>1447</v>
      </c>
      <c r="K124" s="3681"/>
      <c r="L124" s="3681"/>
      <c r="M124" s="3681"/>
      <c r="N124" s="3681"/>
      <c r="O124" s="3681"/>
      <c r="P124" s="3681"/>
      <c r="Q124" s="3682"/>
      <c r="R124" s="1748"/>
    </row>
    <row r="125" spans="1:28" ht="20.25" customHeight="1">
      <c r="B125" s="1725" t="s">
        <v>1403</v>
      </c>
      <c r="D125" s="1725"/>
      <c r="E125" s="1725"/>
      <c r="F125" s="1725"/>
      <c r="G125" s="1725"/>
      <c r="H125" s="1708"/>
      <c r="I125" s="1696"/>
      <c r="J125" s="1696"/>
      <c r="K125" s="1696"/>
      <c r="L125" s="1691"/>
      <c r="M125" s="1691"/>
      <c r="N125" s="1691"/>
      <c r="O125" s="1691"/>
      <c r="P125" s="1691"/>
      <c r="Q125" s="1691"/>
    </row>
    <row r="126" spans="1:28" ht="20.25" customHeight="1">
      <c r="A126" s="3637" t="s">
        <v>7064</v>
      </c>
      <c r="B126" s="3637"/>
      <c r="C126" s="3637"/>
      <c r="D126" s="3637"/>
      <c r="E126" s="3637"/>
      <c r="F126" s="3637"/>
      <c r="G126" s="3637"/>
      <c r="H126" s="3637"/>
      <c r="I126" s="3637"/>
      <c r="J126" s="3637"/>
      <c r="K126" s="3637"/>
      <c r="L126" s="3637"/>
      <c r="M126" s="3637"/>
      <c r="N126" s="3637"/>
      <c r="O126" s="3637"/>
      <c r="P126" s="3637"/>
      <c r="Q126" s="3672"/>
    </row>
    <row r="127" spans="1:28" ht="20.25" customHeight="1">
      <c r="B127" s="1699" t="s">
        <v>1399</v>
      </c>
      <c r="C127" s="1700"/>
      <c r="D127" s="1701"/>
      <c r="E127" s="1701"/>
      <c r="F127" s="1701"/>
      <c r="G127" s="1701"/>
      <c r="H127" s="1701"/>
      <c r="I127" s="1701"/>
      <c r="J127" s="1701"/>
      <c r="K127" s="1701"/>
      <c r="L127" s="1701"/>
      <c r="M127" s="1701"/>
      <c r="N127" s="1701"/>
      <c r="O127" s="1701"/>
      <c r="P127" s="1701"/>
      <c r="Q127" s="1701"/>
    </row>
    <row r="128" spans="1:28" ht="20.25" customHeight="1">
      <c r="A128" s="3642"/>
      <c r="B128" s="3642"/>
      <c r="C128" s="3642"/>
      <c r="D128" s="3642"/>
      <c r="E128" s="3642"/>
      <c r="F128" s="3642"/>
      <c r="G128" s="3642"/>
      <c r="H128" s="3642"/>
      <c r="I128" s="3642"/>
      <c r="J128" s="3642"/>
      <c r="K128" s="3642"/>
      <c r="L128" s="3642"/>
      <c r="M128" s="3642"/>
      <c r="N128" s="3642"/>
      <c r="O128" s="3642"/>
      <c r="P128" s="3642"/>
      <c r="Q128" s="3643"/>
    </row>
    <row r="129" spans="1:28" ht="11.25" customHeight="1">
      <c r="A129" s="1691"/>
      <c r="B129" s="1696"/>
      <c r="C129" s="1701"/>
      <c r="D129" s="1701"/>
      <c r="E129" s="1701"/>
      <c r="F129" s="1701"/>
      <c r="G129" s="1701"/>
      <c r="H129" s="1701"/>
      <c r="I129" s="1701"/>
      <c r="J129" s="1701"/>
      <c r="K129" s="1701"/>
      <c r="L129" s="1701"/>
      <c r="M129" s="1701"/>
      <c r="Q129" s="1691"/>
    </row>
    <row r="130" spans="1:28" s="1715" customFormat="1" ht="11.25" customHeight="1">
      <c r="A130" s="1714"/>
      <c r="B130" s="1712"/>
      <c r="C130" s="1713"/>
      <c r="D130" s="1713"/>
      <c r="E130" s="1713"/>
      <c r="F130" s="1713"/>
      <c r="G130" s="1713"/>
      <c r="H130" s="1713"/>
      <c r="I130" s="1713"/>
      <c r="J130" s="1713"/>
      <c r="K130" s="1713"/>
      <c r="L130" s="1713"/>
      <c r="M130" s="1713"/>
      <c r="N130" s="1711"/>
      <c r="O130" s="1711"/>
      <c r="P130" s="1711"/>
      <c r="Q130" s="1714"/>
      <c r="R130" s="2590"/>
      <c r="S130" s="2590"/>
      <c r="T130" s="2590"/>
      <c r="U130" s="2590"/>
      <c r="V130" s="2590"/>
      <c r="W130" s="2590"/>
      <c r="X130" s="2590"/>
      <c r="Y130" s="2590"/>
      <c r="Z130" s="2590"/>
      <c r="AA130" s="2590"/>
      <c r="AB130" s="2590"/>
    </row>
    <row r="131" spans="1:28" ht="20.25" customHeight="1">
      <c r="A131" s="1707" t="s">
        <v>1449</v>
      </c>
      <c r="B131" s="1707" t="s">
        <v>1450</v>
      </c>
      <c r="C131" s="1707"/>
      <c r="D131" s="1701"/>
      <c r="E131" s="1701"/>
      <c r="F131" s="1701"/>
      <c r="G131" s="1701"/>
      <c r="H131" s="1701"/>
      <c r="I131" s="1701"/>
      <c r="J131" s="1701"/>
      <c r="K131" s="1701"/>
      <c r="L131" s="1701"/>
      <c r="M131" s="1701"/>
      <c r="O131" s="1697" t="s">
        <v>1397</v>
      </c>
      <c r="P131" s="3640"/>
      <c r="Q131" s="3644"/>
    </row>
    <row r="132" spans="1:28" ht="31.5" customHeight="1">
      <c r="A132" s="1698"/>
      <c r="B132" s="3645" t="s">
        <v>1451</v>
      </c>
      <c r="C132" s="3645"/>
      <c r="D132" s="3645"/>
      <c r="E132" s="3645"/>
      <c r="F132" s="3645"/>
      <c r="G132" s="3645"/>
      <c r="H132" s="3645"/>
      <c r="I132" s="3645"/>
      <c r="J132" s="3645"/>
      <c r="K132" s="3645"/>
      <c r="L132" s="3645"/>
      <c r="M132" s="3645"/>
      <c r="N132" s="3645"/>
      <c r="O132" s="3646"/>
      <c r="P132" s="3654" t="s">
        <v>1402</v>
      </c>
      <c r="Q132" s="3655"/>
    </row>
    <row r="133" spans="1:28" ht="20.25" customHeight="1">
      <c r="A133" s="1718" t="s">
        <v>194</v>
      </c>
      <c r="B133" s="1695" t="s">
        <v>1452</v>
      </c>
      <c r="O133" s="1709"/>
      <c r="P133" s="1698"/>
      <c r="Q133" s="1698"/>
    </row>
    <row r="134" spans="1:28" ht="20.25" customHeight="1">
      <c r="A134" s="1718"/>
      <c r="B134" s="1708"/>
      <c r="C134" s="1695" t="s">
        <v>1453</v>
      </c>
      <c r="J134" s="1709"/>
      <c r="K134" s="1698"/>
      <c r="L134" s="1698"/>
      <c r="M134" s="3686" t="s">
        <v>7077</v>
      </c>
      <c r="N134" s="3687"/>
      <c r="O134" s="3687"/>
      <c r="P134" s="3687"/>
      <c r="Q134" s="3688"/>
    </row>
    <row r="135" spans="1:28" ht="20.25" customHeight="1">
      <c r="A135" s="1718"/>
      <c r="B135" s="1708"/>
      <c r="C135" s="1708" t="s">
        <v>1454</v>
      </c>
      <c r="E135" s="1708"/>
      <c r="F135" s="1708"/>
      <c r="G135" s="1708"/>
      <c r="H135" s="1708"/>
      <c r="J135" s="1709"/>
      <c r="K135" s="1698"/>
      <c r="L135" s="1698"/>
      <c r="M135" s="3689" t="s">
        <v>7078</v>
      </c>
      <c r="N135" s="3690"/>
      <c r="O135" s="3690"/>
      <c r="P135" s="3690"/>
      <c r="Q135" s="3691"/>
    </row>
    <row r="136" spans="1:28" ht="20.25" customHeight="1">
      <c r="A136" s="1718"/>
      <c r="B136" s="1708"/>
      <c r="C136" s="3692" t="s">
        <v>1455</v>
      </c>
      <c r="D136" s="3693"/>
      <c r="E136" s="3693"/>
      <c r="F136" s="3693"/>
      <c r="G136" s="3693"/>
      <c r="H136" s="3693"/>
      <c r="I136" s="3693"/>
      <c r="J136" s="3693"/>
      <c r="K136" s="3693"/>
      <c r="L136" s="3693"/>
      <c r="M136" s="3694"/>
      <c r="N136" s="3694"/>
      <c r="O136" s="3694"/>
      <c r="P136" s="3694"/>
      <c r="Q136" s="3695"/>
    </row>
    <row r="137" spans="1:28" ht="20.25" customHeight="1">
      <c r="A137" s="1718"/>
      <c r="B137" s="1708"/>
      <c r="C137" s="1708" t="s">
        <v>1456</v>
      </c>
      <c r="E137" s="1708"/>
      <c r="F137" s="1708"/>
      <c r="G137" s="1708"/>
      <c r="H137" s="1708"/>
      <c r="J137" s="1709"/>
      <c r="K137" s="1698"/>
      <c r="L137" s="1698"/>
      <c r="M137" s="3680" t="s">
        <v>7079</v>
      </c>
      <c r="N137" s="3681"/>
      <c r="O137" s="3681"/>
      <c r="P137" s="3681"/>
      <c r="Q137" s="3682"/>
    </row>
    <row r="138" spans="1:28" ht="20.25" customHeight="1">
      <c r="A138" s="1718" t="s">
        <v>206</v>
      </c>
      <c r="B138" s="3645" t="s">
        <v>1457</v>
      </c>
      <c r="C138" s="3645"/>
      <c r="D138" s="3645"/>
      <c r="E138" s="3645"/>
      <c r="F138" s="3645"/>
      <c r="G138" s="3645"/>
      <c r="H138" s="3645"/>
      <c r="I138" s="3645"/>
      <c r="J138" s="3645"/>
      <c r="K138" s="3645"/>
      <c r="L138" s="3645"/>
      <c r="M138" s="3645"/>
      <c r="N138" s="3645"/>
      <c r="O138" s="1709"/>
      <c r="P138" s="1749"/>
      <c r="Q138" s="1691"/>
    </row>
    <row r="139" spans="1:28" ht="48" customHeight="1">
      <c r="A139" s="1736"/>
      <c r="B139" s="1701"/>
      <c r="C139" s="3645" t="s">
        <v>1458</v>
      </c>
      <c r="D139" s="3645"/>
      <c r="E139" s="3645"/>
      <c r="F139" s="3645"/>
      <c r="G139" s="3645"/>
      <c r="H139" s="3645"/>
      <c r="I139" s="3645"/>
      <c r="J139" s="3645"/>
      <c r="K139" s="3645"/>
      <c r="L139" s="3645"/>
      <c r="M139" s="3645"/>
      <c r="N139" s="3645"/>
      <c r="O139" s="3645"/>
      <c r="P139" s="1749"/>
      <c r="Q139" s="1691"/>
    </row>
    <row r="140" spans="1:28" ht="15.75" customHeight="1">
      <c r="A140" s="1691"/>
      <c r="B140" s="1743" t="s">
        <v>1459</v>
      </c>
      <c r="C140" s="3701" t="s">
        <v>1589</v>
      </c>
      <c r="D140" s="3702"/>
      <c r="E140" s="3702"/>
      <c r="F140" s="3702"/>
      <c r="G140" s="3702"/>
      <c r="H140" s="3703"/>
      <c r="I140" s="1698"/>
      <c r="J140" s="3713" t="s">
        <v>1461</v>
      </c>
      <c r="K140" s="3714"/>
      <c r="L140" s="3714"/>
      <c r="M140" s="3714"/>
      <c r="N140" s="3714"/>
      <c r="O140" s="3714"/>
      <c r="P140" s="3714"/>
      <c r="Q140" s="3715"/>
    </row>
    <row r="141" spans="1:28" ht="15.75" customHeight="1">
      <c r="A141" s="1691"/>
      <c r="B141" s="1743" t="s">
        <v>1462</v>
      </c>
      <c r="C141" s="3704" t="s">
        <v>1644</v>
      </c>
      <c r="D141" s="3705"/>
      <c r="E141" s="3705"/>
      <c r="F141" s="3705"/>
      <c r="G141" s="3705"/>
      <c r="H141" s="3706"/>
      <c r="I141" s="1698"/>
      <c r="J141" s="3710" t="s">
        <v>1461</v>
      </c>
      <c r="K141" s="3711"/>
      <c r="L141" s="3711"/>
      <c r="M141" s="3711"/>
      <c r="N141" s="3711"/>
      <c r="O141" s="3711"/>
      <c r="P141" s="3711"/>
      <c r="Q141" s="3712"/>
    </row>
    <row r="142" spans="1:28" ht="15.75" customHeight="1">
      <c r="A142" s="1691"/>
      <c r="B142" s="1743" t="s">
        <v>1463</v>
      </c>
      <c r="C142" s="3704" t="s">
        <v>1646</v>
      </c>
      <c r="D142" s="3705"/>
      <c r="E142" s="3705"/>
      <c r="F142" s="3705"/>
      <c r="G142" s="3705"/>
      <c r="H142" s="3706"/>
      <c r="I142" s="1698"/>
      <c r="J142" s="3710" t="s">
        <v>1461</v>
      </c>
      <c r="K142" s="3711"/>
      <c r="L142" s="3711"/>
      <c r="M142" s="3711"/>
      <c r="N142" s="3711"/>
      <c r="O142" s="3711"/>
      <c r="P142" s="3711"/>
      <c r="Q142" s="3712"/>
    </row>
    <row r="143" spans="1:28" ht="15.75" customHeight="1">
      <c r="A143" s="1691"/>
      <c r="B143" s="1743" t="s">
        <v>1464</v>
      </c>
      <c r="C143" s="3696" t="s">
        <v>1642</v>
      </c>
      <c r="D143" s="3697"/>
      <c r="E143" s="3697"/>
      <c r="F143" s="3697"/>
      <c r="G143" s="3697"/>
      <c r="H143" s="3698"/>
      <c r="I143" s="1698"/>
      <c r="J143" s="3707" t="s">
        <v>1461</v>
      </c>
      <c r="K143" s="3708"/>
      <c r="L143" s="3708"/>
      <c r="M143" s="3708"/>
      <c r="N143" s="3708"/>
      <c r="O143" s="3708"/>
      <c r="P143" s="3708"/>
      <c r="Q143" s="3709"/>
    </row>
    <row r="144" spans="1:28" ht="20.25" customHeight="1">
      <c r="B144" s="1710" t="s">
        <v>1403</v>
      </c>
      <c r="D144" s="1710"/>
      <c r="E144" s="1710"/>
      <c r="F144" s="1710"/>
      <c r="G144" s="1710"/>
      <c r="H144" s="1708"/>
      <c r="I144" s="1696"/>
      <c r="J144" s="1696"/>
      <c r="K144" s="1696"/>
      <c r="L144" s="1691"/>
      <c r="M144" s="1691"/>
      <c r="N144" s="1691"/>
      <c r="O144" s="1691"/>
      <c r="P144" s="1698"/>
      <c r="Q144" s="1698"/>
    </row>
    <row r="145" spans="1:28" ht="33" customHeight="1">
      <c r="A145" s="3637" t="s">
        <v>7080</v>
      </c>
      <c r="B145" s="3637"/>
      <c r="C145" s="3637"/>
      <c r="D145" s="3637"/>
      <c r="E145" s="3637"/>
      <c r="F145" s="3637"/>
      <c r="G145" s="3637"/>
      <c r="H145" s="3637"/>
      <c r="I145" s="3637"/>
      <c r="J145" s="3637"/>
      <c r="K145" s="3637"/>
      <c r="L145" s="3637"/>
      <c r="M145" s="3637"/>
      <c r="N145" s="3637"/>
      <c r="O145" s="3637"/>
      <c r="P145" s="3637"/>
      <c r="Q145" s="3672"/>
    </row>
    <row r="146" spans="1:28" ht="20.25" customHeight="1">
      <c r="B146" s="1699" t="s">
        <v>1399</v>
      </c>
      <c r="C146" s="1700"/>
      <c r="D146" s="1701"/>
      <c r="E146" s="1701"/>
      <c r="F146" s="1701"/>
      <c r="G146" s="1701"/>
      <c r="H146" s="1701"/>
      <c r="I146" s="1701"/>
      <c r="J146" s="1701"/>
      <c r="K146" s="1701"/>
      <c r="L146" s="1701"/>
      <c r="M146" s="1701"/>
      <c r="N146" s="1701"/>
      <c r="O146" s="1701"/>
      <c r="P146" s="1701"/>
      <c r="Q146" s="1701"/>
    </row>
    <row r="147" spans="1:28" ht="20.25" customHeight="1">
      <c r="A147" s="3642"/>
      <c r="B147" s="3642"/>
      <c r="C147" s="3642"/>
      <c r="D147" s="3642"/>
      <c r="E147" s="3642"/>
      <c r="F147" s="3642"/>
      <c r="G147" s="3642"/>
      <c r="H147" s="3642"/>
      <c r="I147" s="3642"/>
      <c r="J147" s="3642"/>
      <c r="K147" s="3642"/>
      <c r="L147" s="3642"/>
      <c r="M147" s="3642"/>
      <c r="N147" s="3642"/>
      <c r="O147" s="3642"/>
      <c r="P147" s="3642"/>
      <c r="Q147" s="3639"/>
    </row>
    <row r="148" spans="1:28" ht="6.75" customHeight="1">
      <c r="A148" s="1691"/>
      <c r="B148" s="1696"/>
      <c r="C148" s="1701"/>
      <c r="D148" s="1701"/>
      <c r="E148" s="1701"/>
      <c r="F148" s="1701"/>
      <c r="G148" s="1701"/>
      <c r="H148" s="1701"/>
      <c r="I148" s="1701"/>
      <c r="J148" s="1701"/>
      <c r="K148" s="1701"/>
      <c r="L148" s="1701"/>
      <c r="M148" s="1701"/>
      <c r="Q148" s="1691"/>
    </row>
    <row r="149" spans="1:28" s="1715" customFormat="1" ht="12" customHeight="1">
      <c r="A149" s="1714"/>
      <c r="B149" s="1712"/>
      <c r="C149" s="1713"/>
      <c r="D149" s="1713"/>
      <c r="E149" s="1713"/>
      <c r="F149" s="1713"/>
      <c r="G149" s="1713"/>
      <c r="H149" s="1713"/>
      <c r="I149" s="1713"/>
      <c r="J149" s="1713"/>
      <c r="K149" s="1713"/>
      <c r="L149" s="1713"/>
      <c r="M149" s="1713"/>
      <c r="N149" s="1711"/>
      <c r="O149" s="1711"/>
      <c r="P149" s="1711"/>
      <c r="Q149" s="1714"/>
      <c r="R149" s="2590"/>
      <c r="S149" s="2590"/>
      <c r="T149" s="2590"/>
      <c r="U149" s="2590"/>
      <c r="V149" s="2590"/>
      <c r="W149" s="2590"/>
      <c r="X149" s="2590"/>
      <c r="Y149" s="2590"/>
      <c r="Z149" s="2590"/>
      <c r="AA149" s="2590"/>
      <c r="AB149" s="2590"/>
    </row>
    <row r="150" spans="1:28" ht="20.25" customHeight="1">
      <c r="A150" s="1707" t="s">
        <v>1465</v>
      </c>
      <c r="B150" s="1694" t="s">
        <v>1466</v>
      </c>
      <c r="C150" s="1694"/>
      <c r="D150" s="1694"/>
      <c r="E150" s="1694"/>
      <c r="F150" s="1694"/>
      <c r="G150" s="1694"/>
      <c r="H150" s="1701"/>
      <c r="I150" s="1701"/>
      <c r="J150" s="1701"/>
      <c r="K150" s="1701"/>
      <c r="L150" s="1750"/>
      <c r="M150" s="1751"/>
      <c r="O150" s="1697" t="s">
        <v>1397</v>
      </c>
      <c r="P150" s="3668"/>
      <c r="Q150" s="3669"/>
    </row>
    <row r="151" spans="1:28" ht="20.25" customHeight="1">
      <c r="A151" s="1698"/>
      <c r="B151" s="1695" t="s">
        <v>1467</v>
      </c>
      <c r="C151" s="1698"/>
      <c r="D151" s="1698"/>
      <c r="E151" s="1698"/>
      <c r="F151" s="1698"/>
      <c r="G151" s="1698"/>
      <c r="H151" s="1698"/>
      <c r="I151" s="1698"/>
      <c r="J151" s="1698"/>
      <c r="K151" s="1698"/>
      <c r="L151" s="1698"/>
      <c r="M151" s="1698"/>
      <c r="N151" s="1696"/>
      <c r="O151" s="1698"/>
      <c r="P151" s="3699"/>
      <c r="Q151" s="3700"/>
    </row>
    <row r="152" spans="1:28" ht="20.25" customHeight="1">
      <c r="A152" s="1718"/>
      <c r="B152" s="1695" t="s">
        <v>1468</v>
      </c>
      <c r="G152" s="1698"/>
      <c r="H152" s="3723" t="s">
        <v>712</v>
      </c>
      <c r="I152" s="3724"/>
      <c r="J152" s="3724"/>
      <c r="K152" s="3724"/>
      <c r="L152" s="3724"/>
      <c r="M152" s="3724"/>
      <c r="N152" s="3724"/>
      <c r="O152" s="3724"/>
      <c r="P152" s="3725"/>
      <c r="Q152" s="3726"/>
      <c r="R152" s="1727"/>
    </row>
    <row r="153" spans="1:28" ht="20.25" customHeight="1">
      <c r="A153" s="1718"/>
      <c r="B153" s="1695" t="s">
        <v>1469</v>
      </c>
      <c r="G153" s="1698"/>
      <c r="H153" s="3727"/>
      <c r="I153" s="3728"/>
      <c r="J153" s="3728"/>
      <c r="K153" s="3728"/>
      <c r="L153" s="3728"/>
      <c r="M153" s="3728"/>
      <c r="N153" s="3728"/>
      <c r="O153" s="3728"/>
      <c r="P153" s="3728"/>
      <c r="Q153" s="3729"/>
      <c r="R153" s="1727"/>
    </row>
    <row r="154" spans="1:28" ht="20.25" customHeight="1">
      <c r="B154" s="1725" t="s">
        <v>1403</v>
      </c>
      <c r="D154" s="1725"/>
      <c r="E154" s="1725"/>
      <c r="F154" s="1725"/>
      <c r="G154" s="1725"/>
      <c r="H154" s="1708"/>
      <c r="I154" s="1696"/>
      <c r="J154" s="1696"/>
      <c r="K154" s="1696"/>
      <c r="L154" s="1691"/>
      <c r="M154" s="1691"/>
      <c r="N154" s="1691"/>
      <c r="O154" s="1691"/>
      <c r="P154" s="1691"/>
      <c r="Q154" s="1691"/>
    </row>
    <row r="155" spans="1:28" ht="20.25" customHeight="1">
      <c r="A155" s="3637" t="s">
        <v>7085</v>
      </c>
      <c r="B155" s="3637"/>
      <c r="C155" s="3637"/>
      <c r="D155" s="3637"/>
      <c r="E155" s="3637"/>
      <c r="F155" s="3637"/>
      <c r="G155" s="3637"/>
      <c r="H155" s="3637"/>
      <c r="I155" s="3637"/>
      <c r="J155" s="3637"/>
      <c r="K155" s="3637"/>
      <c r="L155" s="3637"/>
      <c r="M155" s="3637"/>
      <c r="N155" s="3637"/>
      <c r="O155" s="3637"/>
      <c r="P155" s="3637"/>
      <c r="Q155" s="3672"/>
    </row>
    <row r="156" spans="1:28" ht="20.25" customHeight="1">
      <c r="B156" s="1699" t="s">
        <v>1399</v>
      </c>
      <c r="C156" s="1700"/>
      <c r="D156" s="1701"/>
      <c r="E156" s="1701"/>
      <c r="F156" s="1701"/>
      <c r="G156" s="1701"/>
      <c r="H156" s="1701"/>
      <c r="I156" s="1701"/>
      <c r="J156" s="1701"/>
      <c r="K156" s="1701"/>
      <c r="L156" s="1701"/>
      <c r="M156" s="1701"/>
      <c r="N156" s="1701"/>
      <c r="O156" s="1701"/>
      <c r="P156" s="1701"/>
      <c r="Q156" s="1701"/>
    </row>
    <row r="157" spans="1:28" ht="20.25" customHeight="1">
      <c r="A157" s="3642"/>
      <c r="B157" s="3642"/>
      <c r="C157" s="3642"/>
      <c r="D157" s="3642"/>
      <c r="E157" s="3642"/>
      <c r="F157" s="3642"/>
      <c r="G157" s="3642"/>
      <c r="H157" s="3642"/>
      <c r="I157" s="3642"/>
      <c r="J157" s="3642"/>
      <c r="K157" s="3642"/>
      <c r="L157" s="3642"/>
      <c r="M157" s="3642"/>
      <c r="N157" s="3642"/>
      <c r="O157" s="3642"/>
      <c r="P157" s="3642"/>
      <c r="Q157" s="3639"/>
    </row>
    <row r="158" spans="1:28" ht="15" customHeight="1">
      <c r="A158" s="1691"/>
      <c r="B158" s="1696"/>
      <c r="C158" s="1701"/>
      <c r="D158" s="1701"/>
      <c r="E158" s="1701"/>
      <c r="F158" s="1701"/>
      <c r="G158" s="1701"/>
      <c r="H158" s="1701"/>
      <c r="I158" s="1701"/>
      <c r="J158" s="1701"/>
      <c r="K158" s="1701"/>
      <c r="L158" s="1701"/>
      <c r="M158" s="1701"/>
      <c r="Q158" s="1691"/>
    </row>
    <row r="159" spans="1:28" s="1715" customFormat="1" ht="15" customHeight="1">
      <c r="A159" s="1714"/>
      <c r="B159" s="1712"/>
      <c r="C159" s="1713"/>
      <c r="D159" s="1713"/>
      <c r="E159" s="1713"/>
      <c r="F159" s="1713"/>
      <c r="G159" s="1713"/>
      <c r="H159" s="1713"/>
      <c r="I159" s="1713"/>
      <c r="J159" s="1713"/>
      <c r="K159" s="1713"/>
      <c r="L159" s="1713"/>
      <c r="M159" s="1713"/>
      <c r="N159" s="1711"/>
      <c r="O159" s="1711"/>
      <c r="P159" s="1711"/>
      <c r="Q159" s="1714"/>
      <c r="R159" s="2590"/>
      <c r="S159" s="2590"/>
      <c r="T159" s="2590"/>
      <c r="U159" s="2590"/>
      <c r="V159" s="2590"/>
      <c r="W159" s="2590"/>
      <c r="X159" s="2590"/>
      <c r="Y159" s="2590"/>
      <c r="Z159" s="2590"/>
      <c r="AA159" s="2590"/>
      <c r="AB159" s="2590"/>
    </row>
    <row r="160" spans="1:28" ht="20.25" customHeight="1">
      <c r="A160" s="1707" t="s">
        <v>1470</v>
      </c>
      <c r="B160" s="1694" t="s">
        <v>1471</v>
      </c>
      <c r="C160" s="1694"/>
      <c r="D160" s="1694"/>
      <c r="E160" s="1694"/>
      <c r="F160" s="1694"/>
      <c r="G160" s="1694"/>
      <c r="H160" s="1701"/>
      <c r="I160" s="1701"/>
      <c r="J160" s="1701"/>
      <c r="K160" s="1701"/>
      <c r="L160" s="1701"/>
      <c r="M160" s="1701"/>
      <c r="O160" s="1697" t="s">
        <v>1397</v>
      </c>
      <c r="P160" s="3640"/>
      <c r="Q160" s="3644"/>
    </row>
    <row r="161" spans="1:28" ht="20.25" customHeight="1">
      <c r="B161" s="1725" t="s">
        <v>1403</v>
      </c>
      <c r="D161" s="1725"/>
      <c r="E161" s="1725"/>
      <c r="F161" s="1725"/>
      <c r="G161" s="1725"/>
      <c r="H161" s="1708"/>
      <c r="I161" s="1696"/>
      <c r="J161" s="1696"/>
      <c r="K161" s="1696"/>
      <c r="L161" s="1691"/>
      <c r="M161" s="1691"/>
      <c r="N161" s="1691"/>
      <c r="O161" s="1691"/>
      <c r="P161" s="1691"/>
      <c r="Q161" s="1691"/>
    </row>
    <row r="162" spans="1:28" ht="20.25" customHeight="1">
      <c r="A162" s="3637" t="s">
        <v>7081</v>
      </c>
      <c r="B162" s="3637"/>
      <c r="C162" s="3637"/>
      <c r="D162" s="3637"/>
      <c r="E162" s="3637"/>
      <c r="F162" s="3637"/>
      <c r="G162" s="3637"/>
      <c r="H162" s="3637"/>
      <c r="I162" s="3637"/>
      <c r="J162" s="3637"/>
      <c r="K162" s="3637"/>
      <c r="L162" s="3637"/>
      <c r="M162" s="3637"/>
      <c r="N162" s="3637"/>
      <c r="O162" s="3637"/>
      <c r="P162" s="3637"/>
      <c r="Q162" s="3672"/>
    </row>
    <row r="163" spans="1:28" ht="20.25" customHeight="1">
      <c r="B163" s="1699" t="s">
        <v>1399</v>
      </c>
      <c r="C163" s="1700"/>
      <c r="D163" s="1701"/>
      <c r="E163" s="1701"/>
      <c r="F163" s="1701"/>
      <c r="G163" s="1701"/>
      <c r="H163" s="1701"/>
      <c r="I163" s="1701"/>
      <c r="J163" s="1701"/>
      <c r="K163" s="1701"/>
      <c r="L163" s="1701"/>
      <c r="M163" s="1701"/>
      <c r="N163" s="1701"/>
      <c r="O163" s="1701"/>
      <c r="P163" s="1701"/>
      <c r="Q163" s="1701"/>
    </row>
    <row r="164" spans="1:28" ht="20.25" customHeight="1">
      <c r="A164" s="3642"/>
      <c r="B164" s="3642"/>
      <c r="C164" s="3642"/>
      <c r="D164" s="3642"/>
      <c r="E164" s="3642"/>
      <c r="F164" s="3642"/>
      <c r="G164" s="3642"/>
      <c r="H164" s="3642"/>
      <c r="I164" s="3642"/>
      <c r="J164" s="3642"/>
      <c r="K164" s="3642"/>
      <c r="L164" s="3642"/>
      <c r="M164" s="3642"/>
      <c r="N164" s="3642"/>
      <c r="O164" s="3642"/>
      <c r="P164" s="3642"/>
      <c r="Q164" s="3639"/>
    </row>
    <row r="165" spans="1:28" ht="14.25" customHeight="1"/>
    <row r="166" spans="1:28" s="1715" customFormat="1" ht="14.25" customHeight="1">
      <c r="A166" s="1711"/>
      <c r="B166" s="1711"/>
      <c r="C166" s="1711"/>
      <c r="D166" s="1711"/>
      <c r="E166" s="1711"/>
      <c r="F166" s="1711"/>
      <c r="G166" s="1711"/>
      <c r="H166" s="1711"/>
      <c r="I166" s="1711"/>
      <c r="J166" s="1711"/>
      <c r="K166" s="1711"/>
      <c r="L166" s="1711"/>
      <c r="M166" s="1711"/>
      <c r="N166" s="1711"/>
      <c r="O166" s="1711"/>
      <c r="P166" s="1711"/>
      <c r="Q166" s="1711"/>
      <c r="R166" s="2590"/>
      <c r="S166" s="2590"/>
      <c r="T166" s="2590"/>
      <c r="U166" s="2590"/>
      <c r="V166" s="2590"/>
      <c r="W166" s="2590"/>
      <c r="X166" s="2590"/>
      <c r="Y166" s="2590"/>
      <c r="Z166" s="2590"/>
      <c r="AA166" s="2590"/>
      <c r="AB166" s="2590"/>
    </row>
    <row r="167" spans="1:28" ht="20.25" customHeight="1">
      <c r="A167" s="1707" t="s">
        <v>1472</v>
      </c>
      <c r="B167" s="1707" t="s">
        <v>1473</v>
      </c>
      <c r="C167" s="1707"/>
      <c r="D167" s="1701"/>
      <c r="E167" s="1701"/>
      <c r="F167" s="1701"/>
      <c r="G167" s="1701"/>
      <c r="H167" s="1701"/>
      <c r="I167" s="1701"/>
      <c r="J167" s="1701"/>
      <c r="K167" s="1701"/>
      <c r="L167" s="1701"/>
      <c r="M167" s="1701"/>
      <c r="O167" s="1697" t="s">
        <v>1397</v>
      </c>
      <c r="P167" s="3640"/>
      <c r="Q167" s="3644"/>
    </row>
    <row r="168" spans="1:28" ht="20.25" customHeight="1">
      <c r="A168" s="1718" t="s">
        <v>194</v>
      </c>
      <c r="B168" s="1694" t="s">
        <v>1474</v>
      </c>
      <c r="G168" s="1698"/>
      <c r="J168" s="1698"/>
      <c r="K168" s="1698"/>
      <c r="L168" s="1698"/>
      <c r="M168" s="1698"/>
      <c r="N168" s="1698"/>
      <c r="O168" s="1709"/>
      <c r="P168" s="1698"/>
      <c r="Q168" s="1698"/>
    </row>
    <row r="169" spans="1:28" ht="33" customHeight="1">
      <c r="B169" s="3720" t="s">
        <v>1475</v>
      </c>
      <c r="C169" s="3720"/>
      <c r="D169" s="3720"/>
      <c r="E169" s="3720"/>
      <c r="F169" s="3720"/>
      <c r="G169" s="3720"/>
      <c r="H169" s="3720"/>
      <c r="I169" s="3720"/>
      <c r="J169" s="3720"/>
      <c r="K169" s="3720"/>
      <c r="L169" s="3720"/>
      <c r="M169" s="3720"/>
      <c r="N169" s="3720"/>
      <c r="O169" s="3730"/>
      <c r="P169" s="3716"/>
      <c r="Q169" s="3717"/>
    </row>
    <row r="170" spans="1:28" ht="20.25" customHeight="1">
      <c r="A170" s="1718" t="s">
        <v>206</v>
      </c>
      <c r="B170" s="1694" t="s">
        <v>1476</v>
      </c>
      <c r="G170" s="1698"/>
      <c r="H170" s="3718" t="s">
        <v>1477</v>
      </c>
      <c r="I170" s="3718"/>
      <c r="J170" s="3718"/>
      <c r="K170" s="3718"/>
      <c r="L170" s="3718"/>
      <c r="M170" s="3718"/>
      <c r="N170" s="3718"/>
      <c r="O170" s="3718"/>
      <c r="P170" s="3719"/>
      <c r="Q170" s="3719"/>
    </row>
    <row r="171" spans="1:28" ht="20.25" customHeight="1">
      <c r="A171" s="1718" t="s">
        <v>227</v>
      </c>
      <c r="B171" s="1694" t="s">
        <v>1478</v>
      </c>
      <c r="G171" s="1698"/>
      <c r="J171" s="1698"/>
      <c r="K171" s="1698"/>
      <c r="L171" s="1698"/>
      <c r="M171" s="1698"/>
      <c r="N171" s="1698"/>
      <c r="O171" s="1698"/>
      <c r="P171" s="1698"/>
      <c r="Q171" s="1698"/>
    </row>
    <row r="172" spans="1:28" ht="33" customHeight="1">
      <c r="A172" s="1718"/>
      <c r="B172" s="3720" t="s">
        <v>1479</v>
      </c>
      <c r="C172" s="3720"/>
      <c r="D172" s="3720"/>
      <c r="E172" s="3720"/>
      <c r="F172" s="3720"/>
      <c r="G172" s="3720"/>
      <c r="H172" s="3720"/>
      <c r="I172" s="3720"/>
      <c r="J172" s="3720"/>
      <c r="K172" s="3720"/>
      <c r="L172" s="3720"/>
      <c r="M172" s="3720"/>
      <c r="N172" s="2084" t="s">
        <v>1480</v>
      </c>
      <c r="O172" s="1743" t="s">
        <v>227</v>
      </c>
      <c r="P172" s="3721"/>
      <c r="Q172" s="3722"/>
    </row>
    <row r="173" spans="1:28" ht="20.25" customHeight="1">
      <c r="B173" s="1725" t="s">
        <v>1403</v>
      </c>
      <c r="M173" s="1696"/>
      <c r="N173" s="1696"/>
      <c r="O173" s="1752"/>
      <c r="P173" s="1691"/>
    </row>
    <row r="174" spans="1:28" ht="20.25" customHeight="1">
      <c r="A174" s="3637" t="s">
        <v>7085</v>
      </c>
      <c r="B174" s="3637"/>
      <c r="C174" s="3637"/>
      <c r="D174" s="3637"/>
      <c r="E174" s="3637"/>
      <c r="F174" s="3637"/>
      <c r="G174" s="3637"/>
      <c r="H174" s="3637"/>
      <c r="I174" s="3637"/>
      <c r="J174" s="3637"/>
      <c r="K174" s="3637"/>
      <c r="L174" s="3637"/>
      <c r="M174" s="3637"/>
      <c r="N174" s="3637"/>
      <c r="O174" s="3637"/>
      <c r="P174" s="3637"/>
      <c r="Q174" s="3672"/>
    </row>
    <row r="175" spans="1:28" ht="20.25" customHeight="1">
      <c r="B175" s="1699" t="s">
        <v>1399</v>
      </c>
      <c r="C175" s="1700"/>
      <c r="D175" s="1701"/>
      <c r="E175" s="1701"/>
      <c r="F175" s="1701"/>
      <c r="G175" s="1701"/>
      <c r="H175" s="1701"/>
      <c r="I175" s="1701"/>
      <c r="J175" s="1701"/>
      <c r="K175" s="1701"/>
      <c r="L175" s="1701"/>
      <c r="M175" s="1701"/>
      <c r="N175" s="1701"/>
      <c r="O175" s="1701"/>
      <c r="P175" s="1701"/>
      <c r="Q175" s="1701"/>
    </row>
    <row r="176" spans="1:28" ht="20.25" customHeight="1">
      <c r="A176" s="3642"/>
      <c r="B176" s="3642"/>
      <c r="C176" s="3642"/>
      <c r="D176" s="3642"/>
      <c r="E176" s="3642"/>
      <c r="F176" s="3642"/>
      <c r="G176" s="3642"/>
      <c r="H176" s="3642"/>
      <c r="I176" s="3642"/>
      <c r="J176" s="3642"/>
      <c r="K176" s="3642"/>
      <c r="L176" s="3642"/>
      <c r="M176" s="3642"/>
      <c r="N176" s="3642"/>
      <c r="O176" s="3642"/>
      <c r="P176" s="3642"/>
      <c r="Q176" s="3643"/>
    </row>
    <row r="177" spans="1:28" ht="10.5" customHeight="1">
      <c r="F177" s="1691"/>
      <c r="G177" s="1691"/>
      <c r="H177" s="1691"/>
      <c r="I177" s="1691"/>
      <c r="J177" s="1708"/>
      <c r="K177" s="1708"/>
      <c r="L177" s="1708"/>
      <c r="M177" s="1696"/>
      <c r="N177" s="1691"/>
      <c r="O177" s="1691"/>
      <c r="P177" s="1752"/>
    </row>
    <row r="178" spans="1:28" s="1715" customFormat="1" ht="10.5" customHeight="1">
      <c r="A178" s="1711"/>
      <c r="B178" s="1711"/>
      <c r="C178" s="1711"/>
      <c r="D178" s="1711"/>
      <c r="E178" s="1711"/>
      <c r="F178" s="1714"/>
      <c r="G178" s="1714"/>
      <c r="H178" s="1714"/>
      <c r="I178" s="1714"/>
      <c r="J178" s="1753"/>
      <c r="K178" s="1753"/>
      <c r="L178" s="1753"/>
      <c r="M178" s="1712"/>
      <c r="N178" s="1714"/>
      <c r="O178" s="1714"/>
      <c r="P178" s="1754"/>
      <c r="Q178" s="1711"/>
      <c r="R178" s="2590"/>
      <c r="S178" s="2590"/>
      <c r="T178" s="2590"/>
      <c r="U178" s="2590"/>
      <c r="V178" s="2590"/>
      <c r="W178" s="2590"/>
      <c r="X178" s="2590"/>
      <c r="Y178" s="2590"/>
      <c r="Z178" s="2590"/>
      <c r="AA178" s="2590"/>
      <c r="AB178" s="2590"/>
    </row>
    <row r="179" spans="1:28" ht="20.25" customHeight="1">
      <c r="A179" s="1707" t="s">
        <v>1481</v>
      </c>
      <c r="B179" s="1707" t="s">
        <v>1482</v>
      </c>
      <c r="C179" s="1755"/>
      <c r="D179" s="1755"/>
      <c r="E179" s="1701"/>
      <c r="F179" s="1701"/>
      <c r="G179" s="1701"/>
      <c r="H179" s="1701"/>
      <c r="I179" s="1701"/>
      <c r="J179" s="1701"/>
      <c r="K179" s="1701"/>
      <c r="L179" s="1701"/>
      <c r="M179" s="1701"/>
      <c r="O179" s="1697" t="s">
        <v>1397</v>
      </c>
      <c r="P179" s="3668"/>
      <c r="Q179" s="3737"/>
    </row>
    <row r="180" spans="1:28" ht="20.25" customHeight="1">
      <c r="A180" s="1698"/>
      <c r="B180" s="1695" t="s">
        <v>1467</v>
      </c>
      <c r="C180" s="1698"/>
      <c r="D180" s="1698"/>
      <c r="E180" s="1698"/>
      <c r="F180" s="1698"/>
      <c r="G180" s="1698"/>
      <c r="H180" s="1698"/>
      <c r="I180" s="1698"/>
      <c r="J180" s="1698"/>
      <c r="K180" s="1698"/>
      <c r="L180" s="1698"/>
      <c r="M180" s="1698"/>
      <c r="N180" s="1696"/>
      <c r="O180" s="1698"/>
      <c r="P180" s="3699"/>
      <c r="Q180" s="3732"/>
    </row>
    <row r="181" spans="1:28" ht="33.75" customHeight="1">
      <c r="A181" s="1698"/>
      <c r="B181" s="3645" t="s">
        <v>1483</v>
      </c>
      <c r="C181" s="3645"/>
      <c r="D181" s="3645"/>
      <c r="E181" s="3645"/>
      <c r="F181" s="3645"/>
      <c r="G181" s="3645"/>
      <c r="H181" s="3645"/>
      <c r="I181" s="3645"/>
      <c r="J181" s="3645"/>
      <c r="K181" s="3645"/>
      <c r="L181" s="3645"/>
      <c r="M181" s="3645"/>
      <c r="N181" s="3645"/>
      <c r="O181" s="3645"/>
      <c r="P181" s="3735"/>
      <c r="Q181" s="3738"/>
    </row>
    <row r="182" spans="1:28" ht="12" customHeight="1">
      <c r="A182" s="1698"/>
      <c r="C182" s="1698"/>
      <c r="D182" s="1698"/>
      <c r="E182" s="1698"/>
      <c r="F182" s="1698"/>
      <c r="G182" s="1698"/>
      <c r="H182" s="1698"/>
      <c r="I182" s="1698"/>
      <c r="J182" s="1698"/>
      <c r="K182" s="1698"/>
      <c r="L182" s="3731" t="s">
        <v>1484</v>
      </c>
      <c r="M182" s="3731"/>
      <c r="N182" s="1696"/>
      <c r="O182" s="1698"/>
      <c r="P182" s="1749"/>
      <c r="Q182" s="1691"/>
    </row>
    <row r="183" spans="1:28" ht="20.25" customHeight="1">
      <c r="A183" s="1718" t="s">
        <v>206</v>
      </c>
      <c r="B183" s="1707" t="s">
        <v>1485</v>
      </c>
      <c r="D183" s="1756"/>
      <c r="E183" s="1756"/>
      <c r="F183" s="1756"/>
      <c r="G183" s="1756"/>
      <c r="H183" s="1756"/>
      <c r="I183" s="1756"/>
      <c r="J183" s="1756"/>
      <c r="K183" s="1756"/>
      <c r="L183" s="1695" t="s">
        <v>1486</v>
      </c>
      <c r="M183" s="1696" t="s">
        <v>1487</v>
      </c>
      <c r="N183" s="1756"/>
      <c r="O183" s="1709"/>
      <c r="P183" s="1709"/>
      <c r="Q183" s="1709"/>
    </row>
    <row r="184" spans="1:28" ht="20.25" customHeight="1">
      <c r="A184" s="1718"/>
      <c r="B184" s="1695" t="s">
        <v>1488</v>
      </c>
      <c r="C184" s="1698"/>
      <c r="D184" s="1721"/>
      <c r="E184" s="1721"/>
      <c r="F184" s="1721"/>
      <c r="G184" s="1721"/>
      <c r="H184" s="1698"/>
      <c r="K184" s="1757"/>
      <c r="L184" s="1758">
        <f>ROUNDUP('Part V-Revenues &amp; Expenses'!$P$67*M184,0)</f>
        <v>10</v>
      </c>
      <c r="M184" s="1759">
        <f>'DCA Underwriting Assumptions'!$Q$122</f>
        <v>0.05</v>
      </c>
      <c r="N184" s="1698"/>
      <c r="O184" s="1709"/>
      <c r="P184" s="3699"/>
      <c r="Q184" s="3732"/>
    </row>
    <row r="185" spans="1:28" ht="20.25" customHeight="1">
      <c r="A185" s="1718"/>
      <c r="B185" s="1708"/>
      <c r="D185" s="3645" t="s">
        <v>1489</v>
      </c>
      <c r="E185" s="3645"/>
      <c r="F185" s="3645"/>
      <c r="G185" s="3645"/>
      <c r="H185" s="3645"/>
      <c r="I185" s="3645"/>
      <c r="J185" s="3645"/>
      <c r="K185" s="1757"/>
      <c r="L185" s="1760">
        <f>ROUNDUP(L184*M185,0)</f>
        <v>4</v>
      </c>
      <c r="M185" s="1759">
        <f>'DCA Underwriting Assumptions'!$Q$123</f>
        <v>0.4</v>
      </c>
      <c r="N185" s="1698"/>
      <c r="O185" s="1709"/>
      <c r="P185" s="3733"/>
      <c r="Q185" s="3734"/>
    </row>
    <row r="186" spans="1:28" ht="20.25" customHeight="1">
      <c r="A186" s="1718"/>
      <c r="B186" s="3645" t="s">
        <v>1490</v>
      </c>
      <c r="C186" s="3645"/>
      <c r="D186" s="3645"/>
      <c r="E186" s="3645"/>
      <c r="F186" s="3645"/>
      <c r="G186" s="3645"/>
      <c r="H186" s="3645"/>
      <c r="I186" s="3645"/>
      <c r="J186" s="3645"/>
      <c r="K186" s="1698"/>
      <c r="L186" s="1761">
        <f>ROUNDUP('Part V-Revenues &amp; Expenses'!$P$67*M186,0)</f>
        <v>4</v>
      </c>
      <c r="M186" s="1759">
        <f>'DCA Underwriting Assumptions'!$Q$124</f>
        <v>0.02</v>
      </c>
      <c r="N186" s="1698"/>
      <c r="O186" s="1709"/>
      <c r="P186" s="3735"/>
      <c r="Q186" s="3736"/>
    </row>
    <row r="187" spans="1:28" ht="20.25" customHeight="1">
      <c r="B187" s="1725" t="s">
        <v>1403</v>
      </c>
      <c r="D187" s="1725"/>
      <c r="E187" s="1725"/>
      <c r="F187" s="1725"/>
      <c r="G187" s="1725"/>
      <c r="H187" s="1708"/>
      <c r="I187" s="1696"/>
      <c r="J187" s="1696"/>
      <c r="K187" s="1696"/>
      <c r="L187" s="1691"/>
      <c r="M187" s="1691"/>
      <c r="N187" s="1691"/>
      <c r="O187" s="1691"/>
      <c r="P187" s="1691"/>
      <c r="Q187" s="1691"/>
    </row>
    <row r="188" spans="1:28" ht="20.25" customHeight="1">
      <c r="A188" s="3637" t="s">
        <v>7085</v>
      </c>
      <c r="B188" s="3637"/>
      <c r="C188" s="3637"/>
      <c r="D188" s="3637"/>
      <c r="E188" s="3637"/>
      <c r="F188" s="3637"/>
      <c r="G188" s="3637"/>
      <c r="H188" s="3637"/>
      <c r="I188" s="3637"/>
      <c r="J188" s="3637"/>
      <c r="K188" s="3637"/>
      <c r="L188" s="3637"/>
      <c r="M188" s="3637"/>
      <c r="N188" s="3637"/>
      <c r="O188" s="3637"/>
      <c r="P188" s="3637"/>
      <c r="Q188" s="3638"/>
    </row>
    <row r="189" spans="1:28" ht="20.25" customHeight="1">
      <c r="B189" s="1699" t="s">
        <v>1399</v>
      </c>
      <c r="C189" s="1700"/>
      <c r="D189" s="1701"/>
      <c r="E189" s="1701"/>
      <c r="F189" s="1701"/>
      <c r="G189" s="1701"/>
      <c r="H189" s="1701"/>
      <c r="I189" s="1701"/>
      <c r="J189" s="1701"/>
      <c r="K189" s="1701"/>
      <c r="L189" s="1701"/>
      <c r="M189" s="1701"/>
      <c r="N189" s="1701"/>
      <c r="O189" s="1701"/>
      <c r="P189" s="1701"/>
      <c r="Q189" s="1701"/>
    </row>
    <row r="190" spans="1:28" ht="20.25" customHeight="1">
      <c r="A190" s="3642"/>
      <c r="B190" s="3642"/>
      <c r="C190" s="3642"/>
      <c r="D190" s="3642"/>
      <c r="E190" s="3642"/>
      <c r="F190" s="3642"/>
      <c r="G190" s="3642"/>
      <c r="H190" s="3642"/>
      <c r="I190" s="3642"/>
      <c r="J190" s="3642"/>
      <c r="K190" s="3642"/>
      <c r="L190" s="3642"/>
      <c r="M190" s="3642"/>
      <c r="N190" s="3642"/>
      <c r="O190" s="3642"/>
      <c r="P190" s="3642"/>
      <c r="Q190" s="3643"/>
    </row>
    <row r="191" spans="1:28" ht="12.75" customHeight="1">
      <c r="A191" s="1701"/>
      <c r="B191" s="1701"/>
      <c r="C191" s="1701"/>
      <c r="D191" s="1701"/>
      <c r="E191" s="1701"/>
      <c r="F191" s="1701"/>
      <c r="G191" s="1701"/>
      <c r="H191" s="1701"/>
      <c r="I191" s="1701"/>
      <c r="J191" s="1701"/>
      <c r="K191" s="1701"/>
      <c r="L191" s="1701"/>
      <c r="M191" s="1701"/>
      <c r="N191" s="1701"/>
      <c r="O191" s="1701"/>
      <c r="P191" s="1701"/>
      <c r="Q191" s="1701"/>
    </row>
    <row r="192" spans="1:28" s="1715" customFormat="1" ht="12.75" customHeight="1">
      <c r="A192" s="1713"/>
      <c r="B192" s="1713"/>
      <c r="C192" s="1713"/>
      <c r="D192" s="1713"/>
      <c r="E192" s="1713"/>
      <c r="F192" s="1713"/>
      <c r="G192" s="1713"/>
      <c r="H192" s="1713"/>
      <c r="I192" s="1713"/>
      <c r="J192" s="1713"/>
      <c r="K192" s="1713"/>
      <c r="L192" s="1713"/>
      <c r="M192" s="1713"/>
      <c r="N192" s="1713"/>
      <c r="O192" s="1713"/>
      <c r="P192" s="1762"/>
      <c r="Q192" s="1762"/>
      <c r="R192" s="2590"/>
      <c r="S192" s="2590"/>
      <c r="T192" s="2590"/>
      <c r="U192" s="2590"/>
      <c r="V192" s="2590"/>
      <c r="W192" s="2590"/>
      <c r="X192" s="2590"/>
      <c r="Y192" s="2590"/>
      <c r="Z192" s="2590"/>
      <c r="AA192" s="2590"/>
      <c r="AB192" s="2590"/>
    </row>
    <row r="193" spans="1:28" ht="20.25" customHeight="1">
      <c r="A193" s="1707" t="s">
        <v>1491</v>
      </c>
      <c r="B193" s="1694" t="s">
        <v>1492</v>
      </c>
      <c r="C193" s="1694"/>
      <c r="D193" s="1694"/>
      <c r="E193" s="1694"/>
      <c r="F193" s="1694"/>
      <c r="G193" s="1694"/>
      <c r="H193" s="1701"/>
      <c r="I193" s="1701"/>
      <c r="J193" s="1701"/>
      <c r="K193" s="1701"/>
      <c r="L193" s="1701"/>
      <c r="M193" s="1701"/>
      <c r="O193" s="1697" t="s">
        <v>1397</v>
      </c>
      <c r="P193" s="3640"/>
      <c r="Q193" s="3641"/>
    </row>
    <row r="194" spans="1:28" ht="20.25" customHeight="1">
      <c r="B194" s="1695" t="s">
        <v>1467</v>
      </c>
      <c r="P194" s="3699"/>
      <c r="Q194" s="3732"/>
    </row>
    <row r="195" spans="1:28" ht="36" customHeight="1">
      <c r="B195" s="3645" t="s">
        <v>1493</v>
      </c>
      <c r="C195" s="3645"/>
      <c r="D195" s="3645"/>
      <c r="E195" s="3645"/>
      <c r="F195" s="3645"/>
      <c r="G195" s="3645"/>
      <c r="H195" s="3645"/>
      <c r="I195" s="3645"/>
      <c r="J195" s="3645"/>
      <c r="K195" s="3645"/>
      <c r="L195" s="3645"/>
      <c r="M195" s="3645"/>
      <c r="N195" s="3645"/>
      <c r="P195" s="3735"/>
      <c r="Q195" s="3736"/>
    </row>
    <row r="196" spans="1:28" ht="20.25" customHeight="1">
      <c r="A196" s="1718" t="s">
        <v>206</v>
      </c>
      <c r="B196" s="1694" t="s">
        <v>1494</v>
      </c>
      <c r="D196" s="1694"/>
      <c r="E196" s="1694"/>
      <c r="F196" s="1694"/>
      <c r="G196" s="1694"/>
      <c r="H196" s="1694"/>
      <c r="I196" s="1694"/>
      <c r="J196" s="1694"/>
      <c r="K196" s="1694"/>
      <c r="L196" s="1694"/>
      <c r="M196" s="1694"/>
      <c r="O196" s="1709"/>
      <c r="P196" s="1691"/>
      <c r="Q196" s="1691"/>
    </row>
    <row r="197" spans="1:28" ht="46.5" customHeight="1">
      <c r="B197" s="1743" t="s">
        <v>1459</v>
      </c>
      <c r="C197" s="3720" t="s">
        <v>1495</v>
      </c>
      <c r="D197" s="3720"/>
      <c r="E197" s="3720"/>
      <c r="F197" s="3647" t="s">
        <v>1496</v>
      </c>
      <c r="G197" s="3648"/>
      <c r="H197" s="3648"/>
      <c r="I197" s="3648"/>
      <c r="J197" s="3648"/>
      <c r="K197" s="3648"/>
      <c r="L197" s="3648"/>
      <c r="M197" s="3648"/>
      <c r="N197" s="3648"/>
      <c r="O197" s="3648"/>
      <c r="P197" s="3648"/>
      <c r="Q197" s="3649"/>
    </row>
    <row r="198" spans="1:28" ht="30" customHeight="1">
      <c r="B198" s="1743" t="s">
        <v>1462</v>
      </c>
      <c r="C198" s="3720" t="s">
        <v>1497</v>
      </c>
      <c r="D198" s="3720"/>
      <c r="E198" s="3720"/>
      <c r="F198" s="3720"/>
      <c r="G198" s="3730"/>
      <c r="H198" s="3647" t="s">
        <v>1498</v>
      </c>
      <c r="I198" s="3648"/>
      <c r="J198" s="3648"/>
      <c r="K198" s="3648"/>
      <c r="L198" s="3648"/>
      <c r="M198" s="3648"/>
      <c r="N198" s="3648"/>
      <c r="O198" s="3648"/>
      <c r="P198" s="3648"/>
      <c r="Q198" s="3649"/>
    </row>
    <row r="199" spans="1:28" ht="20.25" customHeight="1">
      <c r="A199" s="1718"/>
      <c r="B199" s="1743" t="s">
        <v>1463</v>
      </c>
      <c r="C199" s="3645" t="s">
        <v>1499</v>
      </c>
      <c r="D199" s="3645"/>
      <c r="E199" s="3645"/>
      <c r="F199" s="3645"/>
      <c r="G199" s="3645"/>
      <c r="H199" s="3645"/>
      <c r="I199" s="3645"/>
      <c r="J199" s="3645"/>
      <c r="K199" s="3645"/>
      <c r="L199" s="3645"/>
      <c r="M199" s="3645"/>
      <c r="N199" s="3645"/>
      <c r="O199" s="3645"/>
      <c r="P199" s="3645"/>
      <c r="Q199" s="3645"/>
    </row>
    <row r="200" spans="1:28" ht="20.25" customHeight="1">
      <c r="A200" s="1718"/>
      <c r="B200" s="1709"/>
      <c r="C200" s="3723"/>
      <c r="D200" s="3723"/>
      <c r="E200" s="3723"/>
      <c r="F200" s="3723"/>
      <c r="G200" s="3723"/>
      <c r="H200" s="3723"/>
      <c r="I200" s="3723"/>
      <c r="J200" s="3723"/>
      <c r="K200" s="3723"/>
      <c r="L200" s="3723"/>
      <c r="M200" s="3723"/>
      <c r="N200" s="3723"/>
      <c r="O200" s="3723"/>
      <c r="P200" s="3723"/>
      <c r="Q200" s="3739"/>
    </row>
    <row r="201" spans="1:28" ht="20.25" customHeight="1">
      <c r="A201" s="1718"/>
      <c r="B201" s="1709"/>
      <c r="C201" s="3727"/>
      <c r="D201" s="3727"/>
      <c r="E201" s="3727"/>
      <c r="F201" s="3727"/>
      <c r="G201" s="3727"/>
      <c r="H201" s="3727"/>
      <c r="I201" s="3727"/>
      <c r="J201" s="3727"/>
      <c r="K201" s="3727"/>
      <c r="L201" s="3727"/>
      <c r="M201" s="3727"/>
      <c r="N201" s="3727"/>
      <c r="O201" s="3727"/>
      <c r="P201" s="3727"/>
      <c r="Q201" s="3744"/>
    </row>
    <row r="202" spans="1:28" ht="20.25" customHeight="1">
      <c r="B202" s="1725" t="s">
        <v>1403</v>
      </c>
      <c r="D202" s="1725"/>
      <c r="E202" s="1725"/>
      <c r="F202" s="1725"/>
      <c r="G202" s="1725"/>
      <c r="H202" s="1708"/>
      <c r="I202" s="1696"/>
      <c r="J202" s="1696"/>
      <c r="K202" s="1696"/>
      <c r="L202" s="1691"/>
      <c r="M202" s="1691"/>
      <c r="N202" s="1691"/>
      <c r="O202" s="1691"/>
      <c r="P202" s="1691"/>
      <c r="Q202" s="1691"/>
    </row>
    <row r="203" spans="1:28" ht="20.25" customHeight="1">
      <c r="A203" s="3637" t="s">
        <v>7085</v>
      </c>
      <c r="B203" s="3637"/>
      <c r="C203" s="3637"/>
      <c r="D203" s="3637"/>
      <c r="E203" s="3637"/>
      <c r="F203" s="3637"/>
      <c r="G203" s="3637"/>
      <c r="H203" s="3637"/>
      <c r="I203" s="3637"/>
      <c r="J203" s="3637"/>
      <c r="K203" s="3637"/>
      <c r="L203" s="3637"/>
      <c r="M203" s="3637"/>
      <c r="N203" s="3637"/>
      <c r="O203" s="3637"/>
      <c r="P203" s="3637"/>
      <c r="Q203" s="3638"/>
    </row>
    <row r="204" spans="1:28" ht="20.25" customHeight="1">
      <c r="B204" s="1699" t="s">
        <v>1399</v>
      </c>
      <c r="C204" s="1700"/>
      <c r="D204" s="1701"/>
      <c r="E204" s="1701"/>
      <c r="F204" s="1701"/>
      <c r="G204" s="1701"/>
      <c r="H204" s="1701"/>
      <c r="I204" s="1701"/>
      <c r="J204" s="1701"/>
      <c r="K204" s="1701"/>
      <c r="L204" s="1701"/>
      <c r="M204" s="1701"/>
      <c r="N204" s="1701"/>
      <c r="O204" s="1701"/>
      <c r="P204" s="1701"/>
      <c r="Q204" s="1701"/>
    </row>
    <row r="205" spans="1:28" ht="20.25" customHeight="1">
      <c r="A205" s="3642"/>
      <c r="B205" s="3642"/>
      <c r="C205" s="3642"/>
      <c r="D205" s="3642"/>
      <c r="E205" s="3642"/>
      <c r="F205" s="3642"/>
      <c r="G205" s="3642"/>
      <c r="H205" s="3642"/>
      <c r="I205" s="3642"/>
      <c r="J205" s="3642"/>
      <c r="K205" s="3642"/>
      <c r="L205" s="3642"/>
      <c r="M205" s="3642"/>
      <c r="N205" s="3642"/>
      <c r="O205" s="3642"/>
      <c r="P205" s="3642"/>
      <c r="Q205" s="3643"/>
    </row>
    <row r="206" spans="1:28" ht="12.75" customHeight="1">
      <c r="A206" s="1701"/>
      <c r="B206" s="1701"/>
      <c r="C206" s="1701"/>
      <c r="D206" s="1701"/>
      <c r="E206" s="1701"/>
      <c r="F206" s="1701"/>
      <c r="G206" s="1701"/>
      <c r="H206" s="1701"/>
      <c r="I206" s="1701"/>
      <c r="J206" s="1701"/>
      <c r="K206" s="1701"/>
      <c r="L206" s="1701"/>
      <c r="M206" s="1701"/>
      <c r="N206" s="1701"/>
      <c r="O206" s="1701"/>
      <c r="P206" s="2819"/>
      <c r="Q206" s="2819"/>
    </row>
    <row r="207" spans="1:28" s="1715" customFormat="1" ht="12.75" customHeight="1">
      <c r="A207" s="1713"/>
      <c r="B207" s="1713"/>
      <c r="C207" s="1713"/>
      <c r="D207" s="1713"/>
      <c r="E207" s="1713"/>
      <c r="F207" s="1713"/>
      <c r="G207" s="1713"/>
      <c r="H207" s="1713"/>
      <c r="I207" s="1713"/>
      <c r="J207" s="1713"/>
      <c r="K207" s="1713"/>
      <c r="L207" s="1713"/>
      <c r="M207" s="1713"/>
      <c r="N207" s="1713"/>
      <c r="O207" s="1713"/>
      <c r="P207" s="1762"/>
      <c r="Q207" s="1762"/>
      <c r="R207" s="2590"/>
      <c r="S207" s="2590"/>
      <c r="T207" s="2590"/>
      <c r="U207" s="2590"/>
      <c r="V207" s="2590"/>
      <c r="W207" s="2590"/>
      <c r="X207" s="2590"/>
      <c r="Y207" s="2590"/>
      <c r="Z207" s="2590"/>
      <c r="AA207" s="2590"/>
      <c r="AB207" s="2590"/>
    </row>
    <row r="208" spans="1:28" ht="20.25" customHeight="1">
      <c r="A208" s="1707" t="s">
        <v>1500</v>
      </c>
      <c r="B208" s="1707" t="s">
        <v>1501</v>
      </c>
      <c r="C208" s="1707"/>
      <c r="D208" s="1701"/>
      <c r="E208" s="1701"/>
      <c r="F208" s="1701"/>
      <c r="G208" s="1701"/>
      <c r="H208" s="1701"/>
      <c r="N208" s="1734"/>
      <c r="O208" s="1697" t="s">
        <v>1397</v>
      </c>
      <c r="P208" s="3668"/>
      <c r="Q208" s="3737"/>
    </row>
    <row r="209" spans="1:28" ht="20.25" customHeight="1">
      <c r="A209" s="1718"/>
      <c r="B209" s="1695" t="s">
        <v>1502</v>
      </c>
      <c r="O209" s="1709"/>
      <c r="P209" s="3745" t="s">
        <v>7082</v>
      </c>
      <c r="Q209" s="3746"/>
    </row>
    <row r="210" spans="1:28" ht="20.25" customHeight="1">
      <c r="A210" s="1718"/>
      <c r="B210" s="1695" t="s">
        <v>1503</v>
      </c>
      <c r="O210" s="1709"/>
      <c r="P210" s="3740" t="s">
        <v>7083</v>
      </c>
      <c r="Q210" s="3741"/>
    </row>
    <row r="211" spans="1:28" ht="22.5" customHeight="1">
      <c r="A211" s="1718"/>
      <c r="B211" s="1695" t="s">
        <v>1504</v>
      </c>
      <c r="C211" s="1698"/>
      <c r="K211" s="1696"/>
      <c r="M211" s="1709"/>
      <c r="O211" s="1763"/>
      <c r="P211" s="3740" t="s">
        <v>7083</v>
      </c>
      <c r="Q211" s="3741"/>
    </row>
    <row r="212" spans="1:28" ht="31.5" customHeight="1">
      <c r="A212" s="1718"/>
      <c r="B212" s="3645" t="s">
        <v>1505</v>
      </c>
      <c r="C212" s="3645"/>
      <c r="D212" s="3645"/>
      <c r="E212" s="3645"/>
      <c r="F212" s="3645"/>
      <c r="G212" s="3645"/>
      <c r="H212" s="3645"/>
      <c r="I212" s="3645"/>
      <c r="J212" s="3645"/>
      <c r="K212" s="3645"/>
      <c r="L212" s="3645"/>
      <c r="M212" s="3645"/>
      <c r="N212" s="3645"/>
      <c r="O212" s="3645"/>
      <c r="P212" s="3742" t="s">
        <v>7083</v>
      </c>
      <c r="Q212" s="3743"/>
    </row>
    <row r="213" spans="1:28" ht="20.25" customHeight="1">
      <c r="A213" s="1718"/>
      <c r="B213" s="1695" t="s">
        <v>1506</v>
      </c>
      <c r="M213" s="1698"/>
      <c r="N213" s="1698"/>
      <c r="O213" s="3747"/>
      <c r="P213" s="3748"/>
      <c r="Q213" s="3749"/>
    </row>
    <row r="214" spans="1:28" ht="20.25" customHeight="1">
      <c r="A214" s="1718"/>
      <c r="B214" s="1694" t="s">
        <v>1507</v>
      </c>
      <c r="G214" s="3640"/>
      <c r="H214" s="3677"/>
      <c r="I214" s="3677"/>
      <c r="J214" s="3677"/>
      <c r="K214" s="3677"/>
      <c r="L214" s="3678"/>
      <c r="M214" s="1698"/>
      <c r="N214" s="1698"/>
      <c r="O214" s="1698"/>
      <c r="P214" s="1698"/>
      <c r="Q214" s="1698"/>
    </row>
    <row r="215" spans="1:28" ht="20.25" customHeight="1">
      <c r="B215" s="1725" t="s">
        <v>1403</v>
      </c>
      <c r="D215" s="1725"/>
      <c r="E215" s="1725"/>
      <c r="F215" s="1725"/>
      <c r="G215" s="1725"/>
      <c r="H215" s="1708"/>
      <c r="I215" s="1696"/>
      <c r="J215" s="1696"/>
      <c r="K215" s="1696"/>
      <c r="L215" s="1691"/>
      <c r="M215" s="1691"/>
      <c r="N215" s="1691"/>
      <c r="O215" s="1691"/>
      <c r="P215" s="1691"/>
      <c r="Q215" s="1691"/>
    </row>
    <row r="216" spans="1:28" ht="20.25" customHeight="1">
      <c r="A216" s="3656"/>
      <c r="B216" s="3659"/>
      <c r="C216" s="3659"/>
      <c r="D216" s="3659"/>
      <c r="E216" s="3659"/>
      <c r="F216" s="3659"/>
      <c r="G216" s="3659"/>
      <c r="H216" s="3659"/>
      <c r="I216" s="3659"/>
      <c r="J216" s="3659"/>
      <c r="K216" s="3659"/>
      <c r="L216" s="3659"/>
      <c r="M216" s="3659"/>
      <c r="N216" s="3659"/>
      <c r="O216" s="3659"/>
      <c r="P216" s="3659"/>
      <c r="Q216" s="3660"/>
    </row>
    <row r="217" spans="1:28" ht="20.25" customHeight="1">
      <c r="B217" s="1699" t="s">
        <v>1399</v>
      </c>
      <c r="C217" s="1700"/>
      <c r="D217" s="1701"/>
      <c r="E217" s="1701"/>
      <c r="F217" s="1701"/>
      <c r="G217" s="1701"/>
      <c r="H217" s="1701"/>
      <c r="I217" s="1701"/>
      <c r="J217" s="1701"/>
      <c r="K217" s="1701"/>
      <c r="L217" s="1701"/>
      <c r="M217" s="1701"/>
      <c r="N217" s="1701"/>
      <c r="O217" s="1698"/>
      <c r="P217" s="1701"/>
      <c r="Q217" s="1701"/>
    </row>
    <row r="218" spans="1:28" ht="20.25" customHeight="1">
      <c r="A218" s="3661"/>
      <c r="B218" s="3662"/>
      <c r="C218" s="3662"/>
      <c r="D218" s="3662"/>
      <c r="E218" s="3662"/>
      <c r="F218" s="3662"/>
      <c r="G218" s="3662"/>
      <c r="H218" s="3662"/>
      <c r="I218" s="3662"/>
      <c r="J218" s="3662"/>
      <c r="K218" s="3662"/>
      <c r="L218" s="3662"/>
      <c r="M218" s="3662"/>
      <c r="N218" s="3662"/>
      <c r="O218" s="3662"/>
      <c r="P218" s="3662"/>
      <c r="Q218" s="3663"/>
    </row>
    <row r="219" spans="1:28" ht="20.25" customHeight="1">
      <c r="A219" s="1691"/>
      <c r="B219" s="1696"/>
      <c r="C219" s="1701"/>
      <c r="D219" s="1701"/>
      <c r="E219" s="1701"/>
      <c r="F219" s="1701"/>
      <c r="G219" s="1701"/>
      <c r="H219" s="1701"/>
      <c r="I219" s="1701"/>
      <c r="J219" s="1701"/>
      <c r="K219" s="1701"/>
      <c r="L219" s="1701"/>
      <c r="M219" s="1701"/>
      <c r="N219" s="1701"/>
      <c r="O219" s="1701"/>
      <c r="P219" s="1701"/>
      <c r="Q219" s="1691"/>
    </row>
    <row r="220" spans="1:28" s="1715" customFormat="1" ht="20.25" customHeight="1">
      <c r="A220" s="1714"/>
      <c r="B220" s="1712"/>
      <c r="C220" s="1713"/>
      <c r="D220" s="1713"/>
      <c r="E220" s="1713"/>
      <c r="F220" s="1713"/>
      <c r="G220" s="1713"/>
      <c r="H220" s="1713"/>
      <c r="I220" s="1713"/>
      <c r="J220" s="1713"/>
      <c r="K220" s="1713"/>
      <c r="L220" s="1713"/>
      <c r="M220" s="1713"/>
      <c r="N220" s="1713"/>
      <c r="O220" s="1713"/>
      <c r="P220" s="1713"/>
      <c r="Q220" s="1714"/>
      <c r="R220" s="2590"/>
      <c r="S220" s="2590"/>
      <c r="T220" s="2590"/>
      <c r="U220" s="2590"/>
      <c r="V220" s="2590"/>
      <c r="W220" s="2590"/>
      <c r="X220" s="2590"/>
      <c r="Y220" s="2590"/>
      <c r="Z220" s="2590"/>
      <c r="AA220" s="2590"/>
      <c r="AB220" s="2590"/>
    </row>
    <row r="221" spans="1:28" ht="20.25" customHeight="1">
      <c r="A221" s="1707" t="s">
        <v>1508</v>
      </c>
      <c r="B221" s="1694" t="s">
        <v>1509</v>
      </c>
      <c r="C221" s="1694"/>
      <c r="D221" s="1694"/>
      <c r="E221" s="1694"/>
      <c r="F221" s="1694"/>
      <c r="G221" s="1694"/>
      <c r="H221" s="1701"/>
      <c r="I221" s="1701"/>
      <c r="J221" s="1701"/>
      <c r="K221" s="1701"/>
      <c r="L221" s="1701"/>
      <c r="M221" s="1701"/>
      <c r="N221" s="1764"/>
      <c r="O221" s="1697" t="s">
        <v>1397</v>
      </c>
      <c r="P221" s="3640"/>
      <c r="Q221" s="3641"/>
    </row>
    <row r="222" spans="1:28" ht="33.75" customHeight="1">
      <c r="A222" s="1707"/>
      <c r="B222" s="3645" t="s">
        <v>1510</v>
      </c>
      <c r="C222" s="3645"/>
      <c r="D222" s="3645"/>
      <c r="E222" s="3645"/>
      <c r="F222" s="3645"/>
      <c r="G222" s="3645"/>
      <c r="H222" s="3645"/>
      <c r="I222" s="3645"/>
      <c r="J222" s="3645"/>
      <c r="K222" s="3645"/>
      <c r="L222" s="3645"/>
      <c r="M222" s="3645"/>
      <c r="N222" s="3645"/>
      <c r="O222" s="3646"/>
      <c r="P222" s="3757"/>
      <c r="Q222" s="3758"/>
    </row>
    <row r="223" spans="1:28" s="1765" customFormat="1" ht="33.75" customHeight="1">
      <c r="A223" s="1736" t="s">
        <v>194</v>
      </c>
      <c r="B223" s="3759" t="s">
        <v>1511</v>
      </c>
      <c r="C223" s="3759"/>
      <c r="D223" s="3759"/>
      <c r="E223" s="3759"/>
      <c r="F223" s="3759"/>
      <c r="G223" s="3759"/>
      <c r="H223" s="3759"/>
      <c r="I223" s="3759"/>
      <c r="J223" s="3759"/>
      <c r="K223" s="3759"/>
      <c r="L223" s="3759"/>
      <c r="M223" s="3759"/>
      <c r="N223" s="3759"/>
      <c r="O223" s="3759"/>
      <c r="P223" s="1728"/>
      <c r="Q223" s="2085"/>
      <c r="R223" s="2592"/>
      <c r="S223" s="2592"/>
      <c r="T223" s="2592"/>
      <c r="U223" s="2592"/>
      <c r="V223" s="2592"/>
      <c r="W223" s="2592"/>
      <c r="X223" s="2592"/>
      <c r="Y223" s="2592"/>
      <c r="Z223" s="2592"/>
      <c r="AA223" s="2592"/>
      <c r="AB223" s="2592"/>
    </row>
    <row r="224" spans="1:28" ht="47.25" customHeight="1">
      <c r="A224" s="1736" t="s">
        <v>206</v>
      </c>
      <c r="B224" s="3720" t="s">
        <v>1512</v>
      </c>
      <c r="C224" s="3720"/>
      <c r="D224" s="3720"/>
      <c r="E224" s="3720"/>
      <c r="F224" s="3720"/>
      <c r="G224" s="3720"/>
      <c r="H224" s="3720"/>
      <c r="I224" s="3720"/>
      <c r="J224" s="3720"/>
      <c r="K224" s="3720"/>
      <c r="L224" s="3720"/>
      <c r="M224" s="3720"/>
      <c r="N224" s="3720"/>
      <c r="O224" s="3720"/>
      <c r="P224" s="1728"/>
      <c r="Q224" s="1729"/>
    </row>
    <row r="225" spans="1:28" ht="20.25" customHeight="1">
      <c r="A225" s="1718" t="s">
        <v>227</v>
      </c>
      <c r="B225" s="3750" t="s">
        <v>1513</v>
      </c>
      <c r="C225" s="3750"/>
      <c r="D225" s="3750"/>
      <c r="E225" s="3750"/>
      <c r="F225" s="3750"/>
      <c r="G225" s="3750"/>
      <c r="H225" s="3750"/>
      <c r="I225" s="3750"/>
      <c r="J225" s="3750"/>
      <c r="K225" s="3750"/>
      <c r="L225" s="3750"/>
      <c r="M225" s="3750"/>
      <c r="N225" s="3750"/>
      <c r="O225" s="3750"/>
      <c r="P225" s="1728" t="s">
        <v>7084</v>
      </c>
      <c r="Q225" s="1729"/>
    </row>
    <row r="226" spans="1:28" ht="33.75" customHeight="1">
      <c r="A226" s="1736" t="s">
        <v>229</v>
      </c>
      <c r="B226" s="3720" t="s">
        <v>1514</v>
      </c>
      <c r="C226" s="3720"/>
      <c r="D226" s="3720"/>
      <c r="E226" s="3720"/>
      <c r="F226" s="3720"/>
      <c r="G226" s="3720"/>
      <c r="H226" s="3720"/>
      <c r="I226" s="3720"/>
      <c r="J226" s="3720"/>
      <c r="K226" s="3720"/>
      <c r="L226" s="3720"/>
      <c r="M226" s="3720"/>
      <c r="N226" s="3720"/>
      <c r="O226" s="3720"/>
      <c r="P226" s="1732"/>
      <c r="Q226" s="1733"/>
    </row>
    <row r="227" spans="1:28" ht="20.25" customHeight="1">
      <c r="B227" s="1725" t="s">
        <v>1403</v>
      </c>
      <c r="D227" s="1725"/>
      <c r="E227" s="1725"/>
      <c r="F227" s="1725"/>
      <c r="G227" s="1725"/>
      <c r="H227" s="1708"/>
      <c r="I227" s="1696"/>
      <c r="J227" s="1696"/>
      <c r="K227" s="1696"/>
      <c r="L227" s="1691"/>
      <c r="M227" s="1691"/>
      <c r="N227" s="1691"/>
      <c r="O227" s="1691"/>
      <c r="P227" s="1691"/>
      <c r="Q227" s="1691"/>
    </row>
    <row r="228" spans="1:28" ht="20.25" customHeight="1">
      <c r="A228" s="3656"/>
      <c r="B228" s="3657"/>
      <c r="C228" s="3657"/>
      <c r="D228" s="3657"/>
      <c r="E228" s="3657"/>
      <c r="F228" s="3657"/>
      <c r="G228" s="3657"/>
      <c r="H228" s="3657"/>
      <c r="I228" s="3657"/>
      <c r="J228" s="3657"/>
      <c r="K228" s="3657"/>
      <c r="L228" s="3657"/>
      <c r="M228" s="3657"/>
      <c r="N228" s="3657"/>
      <c r="O228" s="3657"/>
      <c r="P228" s="3657"/>
      <c r="Q228" s="3658"/>
    </row>
    <row r="229" spans="1:28" ht="20.25" customHeight="1">
      <c r="B229" s="1699" t="s">
        <v>1399</v>
      </c>
      <c r="C229" s="1700"/>
      <c r="D229" s="1701"/>
      <c r="E229" s="1701"/>
      <c r="F229" s="1701"/>
      <c r="G229" s="1701"/>
      <c r="H229" s="1701"/>
      <c r="I229" s="1701"/>
      <c r="J229" s="1701"/>
      <c r="K229" s="1701"/>
      <c r="L229" s="1701"/>
      <c r="M229" s="1701"/>
      <c r="N229" s="1701"/>
      <c r="O229" s="1701"/>
      <c r="P229" s="1701"/>
      <c r="Q229" s="1701"/>
    </row>
    <row r="230" spans="1:28" ht="20.25" customHeight="1">
      <c r="A230" s="3661"/>
      <c r="B230" s="3751"/>
      <c r="C230" s="3751"/>
      <c r="D230" s="3751"/>
      <c r="E230" s="3751"/>
      <c r="F230" s="3751"/>
      <c r="G230" s="3751"/>
      <c r="H230" s="3751"/>
      <c r="I230" s="3751"/>
      <c r="J230" s="3751"/>
      <c r="K230" s="3751"/>
      <c r="L230" s="3751"/>
      <c r="M230" s="3751"/>
      <c r="N230" s="3751"/>
      <c r="O230" s="3751"/>
      <c r="P230" s="3751"/>
      <c r="Q230" s="3752"/>
    </row>
    <row r="231" spans="1:28" ht="13.5" customHeight="1">
      <c r="A231" s="1691"/>
      <c r="B231" s="1696"/>
      <c r="C231" s="1701"/>
      <c r="D231" s="1701"/>
      <c r="E231" s="1701"/>
      <c r="F231" s="1701"/>
      <c r="G231" s="1701"/>
      <c r="H231" s="1701"/>
      <c r="I231" s="1701"/>
      <c r="J231" s="1701"/>
      <c r="K231" s="1701"/>
      <c r="L231" s="1701"/>
      <c r="M231" s="1701"/>
      <c r="N231" s="1701"/>
      <c r="O231" s="1701"/>
      <c r="P231" s="1701"/>
      <c r="Q231" s="1691"/>
    </row>
    <row r="232" spans="1:28" s="1715" customFormat="1" ht="13.5" customHeight="1">
      <c r="A232" s="1714"/>
      <c r="B232" s="1712"/>
      <c r="C232" s="1713"/>
      <c r="D232" s="1713"/>
      <c r="E232" s="1713"/>
      <c r="F232" s="1713"/>
      <c r="G232" s="1713"/>
      <c r="H232" s="1713"/>
      <c r="I232" s="1713"/>
      <c r="J232" s="1713"/>
      <c r="K232" s="1713"/>
      <c r="L232" s="1713"/>
      <c r="M232" s="1713"/>
      <c r="N232" s="1713"/>
      <c r="O232" s="1713"/>
      <c r="P232" s="1713"/>
      <c r="Q232" s="1714"/>
      <c r="R232" s="2590"/>
      <c r="S232" s="2590"/>
      <c r="T232" s="2590"/>
      <c r="U232" s="2590"/>
      <c r="V232" s="2590"/>
      <c r="W232" s="2590"/>
      <c r="X232" s="2590"/>
      <c r="Y232" s="2590"/>
      <c r="Z232" s="2590"/>
      <c r="AA232" s="2590"/>
      <c r="AB232" s="2590"/>
    </row>
    <row r="233" spans="1:28" ht="20.25" customHeight="1">
      <c r="A233" s="1707" t="s">
        <v>1515</v>
      </c>
      <c r="B233" s="1694" t="s">
        <v>1516</v>
      </c>
      <c r="C233" s="1694"/>
      <c r="D233" s="1694"/>
      <c r="E233" s="1694"/>
      <c r="F233" s="1694"/>
      <c r="G233" s="1694"/>
      <c r="H233" s="1701"/>
      <c r="I233" s="1701"/>
      <c r="J233" s="1701"/>
      <c r="K233" s="1701"/>
      <c r="L233" s="1701"/>
      <c r="M233" s="1701"/>
      <c r="N233" s="1766"/>
      <c r="O233" s="1697" t="s">
        <v>1397</v>
      </c>
      <c r="P233" s="3640"/>
      <c r="Q233" s="3678"/>
    </row>
    <row r="234" spans="1:28" ht="20.25" customHeight="1">
      <c r="A234" s="1718"/>
      <c r="B234" s="3750" t="s">
        <v>1517</v>
      </c>
      <c r="C234" s="3750"/>
      <c r="D234" s="3750"/>
      <c r="E234" s="3750"/>
      <c r="F234" s="3753"/>
      <c r="G234" s="3754"/>
      <c r="H234" s="3755"/>
      <c r="I234" s="3755"/>
      <c r="J234" s="3755"/>
      <c r="K234" s="3755"/>
      <c r="L234" s="3755"/>
      <c r="M234" s="3755"/>
      <c r="N234" s="3755"/>
      <c r="O234" s="3755"/>
      <c r="P234" s="3755"/>
      <c r="Q234" s="3756"/>
    </row>
    <row r="235" spans="1:28" ht="20.25" customHeight="1" thickBot="1">
      <c r="A235" s="1718"/>
      <c r="B235" s="3750" t="s">
        <v>1518</v>
      </c>
      <c r="C235" s="3750"/>
      <c r="D235" s="3750"/>
      <c r="E235" s="3750"/>
      <c r="F235" s="3753"/>
      <c r="G235" s="3764"/>
      <c r="H235" s="3765"/>
      <c r="I235" s="3765"/>
      <c r="J235" s="3765"/>
      <c r="K235" s="3765"/>
      <c r="L235" s="3765"/>
      <c r="M235" s="3765"/>
      <c r="N235" s="3765"/>
      <c r="O235" s="3765"/>
      <c r="P235" s="3766"/>
      <c r="Q235" s="3767"/>
    </row>
    <row r="236" spans="1:28" ht="20.25" customHeight="1" thickBot="1">
      <c r="A236" s="1718"/>
      <c r="B236" s="1695" t="s">
        <v>1519</v>
      </c>
      <c r="D236" s="1747"/>
      <c r="E236" s="1747"/>
      <c r="F236" s="1747"/>
      <c r="G236" s="1748"/>
      <c r="H236" s="1748"/>
      <c r="I236" s="1748"/>
      <c r="J236" s="1748"/>
      <c r="K236" s="1748"/>
      <c r="L236" s="1748"/>
      <c r="M236" s="1748"/>
      <c r="N236" s="1748"/>
      <c r="O236" s="1748"/>
      <c r="P236" s="3768"/>
      <c r="Q236" s="3769"/>
    </row>
    <row r="237" spans="1:28" ht="29.25" customHeight="1">
      <c r="A237" s="1718"/>
      <c r="B237" s="1767" t="s">
        <v>211</v>
      </c>
      <c r="C237" s="3720" t="s">
        <v>1520</v>
      </c>
      <c r="D237" s="3720"/>
      <c r="E237" s="3720"/>
      <c r="F237" s="3720"/>
      <c r="G237" s="3720"/>
      <c r="H237" s="3720"/>
      <c r="I237" s="3720"/>
      <c r="J237" s="3720"/>
      <c r="K237" s="3720"/>
      <c r="L237" s="3720"/>
      <c r="M237" s="3720"/>
      <c r="N237" s="3720"/>
      <c r="O237" s="3720"/>
      <c r="P237" s="3720"/>
      <c r="Q237" s="3720"/>
    </row>
    <row r="238" spans="1:28" ht="29.25" customHeight="1">
      <c r="A238" s="1718"/>
      <c r="B238" s="1767" t="s">
        <v>214</v>
      </c>
      <c r="C238" s="3720" t="s">
        <v>1521</v>
      </c>
      <c r="D238" s="3720"/>
      <c r="E238" s="3720"/>
      <c r="F238" s="3720"/>
      <c r="G238" s="3720"/>
      <c r="H238" s="3720"/>
      <c r="I238" s="3720"/>
      <c r="J238" s="3720"/>
      <c r="K238" s="3720"/>
      <c r="L238" s="3720"/>
      <c r="M238" s="3720"/>
      <c r="N238" s="3720"/>
      <c r="O238" s="3720"/>
      <c r="P238" s="3720"/>
      <c r="Q238" s="3720"/>
    </row>
    <row r="239" spans="1:28" ht="15.75" customHeight="1">
      <c r="A239" s="1718"/>
      <c r="B239" s="1767" t="s">
        <v>216</v>
      </c>
      <c r="C239" s="3720" t="s">
        <v>1522</v>
      </c>
      <c r="D239" s="3720"/>
      <c r="E239" s="3720"/>
      <c r="F239" s="3720"/>
      <c r="G239" s="3720"/>
      <c r="H239" s="3720"/>
      <c r="I239" s="3720"/>
      <c r="J239" s="3720"/>
      <c r="K239" s="3720"/>
      <c r="L239" s="3720"/>
      <c r="M239" s="3720"/>
      <c r="N239" s="3720"/>
      <c r="O239" s="3720"/>
      <c r="P239" s="3720"/>
      <c r="Q239" s="3720"/>
    </row>
    <row r="240" spans="1:28" ht="29.25" customHeight="1">
      <c r="A240" s="1718"/>
      <c r="B240" s="1767" t="s">
        <v>1523</v>
      </c>
      <c r="C240" s="3720" t="s">
        <v>1524</v>
      </c>
      <c r="D240" s="3720"/>
      <c r="E240" s="3720"/>
      <c r="F240" s="3720"/>
      <c r="G240" s="3720"/>
      <c r="H240" s="3720"/>
      <c r="I240" s="3720"/>
      <c r="J240" s="3720"/>
      <c r="K240" s="3720"/>
      <c r="L240" s="3720"/>
      <c r="M240" s="3720"/>
      <c r="N240" s="3720"/>
      <c r="O240" s="3720"/>
      <c r="P240" s="3720"/>
      <c r="Q240" s="3720"/>
    </row>
    <row r="241" spans="1:28" ht="15.75" customHeight="1">
      <c r="A241" s="1718"/>
      <c r="B241" s="1767" t="s">
        <v>1525</v>
      </c>
      <c r="C241" s="3720" t="s">
        <v>1526</v>
      </c>
      <c r="D241" s="3720"/>
      <c r="E241" s="3720"/>
      <c r="F241" s="3720"/>
      <c r="G241" s="3720"/>
      <c r="H241" s="3720"/>
      <c r="I241" s="3720"/>
      <c r="J241" s="3720"/>
      <c r="K241" s="3720"/>
      <c r="L241" s="3720"/>
      <c r="M241" s="3720"/>
      <c r="N241" s="3720"/>
      <c r="O241" s="3720"/>
      <c r="P241" s="3720"/>
      <c r="Q241" s="3720"/>
    </row>
    <row r="242" spans="1:28" ht="20.25" customHeight="1">
      <c r="B242" s="1709" t="s">
        <v>1527</v>
      </c>
      <c r="C242" s="1708" t="s">
        <v>1528</v>
      </c>
      <c r="E242" s="1701"/>
      <c r="F242" s="1701"/>
      <c r="G242" s="1701"/>
      <c r="H242" s="1701"/>
      <c r="I242" s="1701"/>
      <c r="J242" s="1701"/>
      <c r="K242" s="1701"/>
      <c r="L242" s="1701"/>
      <c r="M242" s="1701"/>
      <c r="N242" s="1701"/>
      <c r="P242" s="1698"/>
      <c r="Q242" s="1698"/>
    </row>
    <row r="243" spans="1:28" ht="20.25" customHeight="1">
      <c r="B243" s="1725" t="s">
        <v>1403</v>
      </c>
      <c r="D243" s="1725"/>
      <c r="E243" s="1725"/>
      <c r="F243" s="1725"/>
      <c r="G243" s="1725"/>
      <c r="H243" s="1708"/>
      <c r="I243" s="1696"/>
      <c r="J243" s="1696"/>
      <c r="K243" s="1696"/>
      <c r="L243" s="1691"/>
      <c r="M243" s="1691"/>
      <c r="N243" s="1691"/>
      <c r="O243" s="1691"/>
      <c r="P243" s="1691"/>
      <c r="Q243" s="1691"/>
    </row>
    <row r="244" spans="1:28" ht="20.25" customHeight="1">
      <c r="A244" s="3637" t="s">
        <v>3054</v>
      </c>
      <c r="B244" s="3760"/>
      <c r="C244" s="3760"/>
      <c r="D244" s="3760"/>
      <c r="E244" s="3760"/>
      <c r="F244" s="3760"/>
      <c r="G244" s="3760"/>
      <c r="H244" s="3760"/>
      <c r="I244" s="3760"/>
      <c r="J244" s="3760"/>
      <c r="K244" s="3760"/>
      <c r="L244" s="3760"/>
      <c r="M244" s="3760"/>
      <c r="N244" s="3760"/>
      <c r="O244" s="3760"/>
      <c r="P244" s="3760"/>
      <c r="Q244" s="3761"/>
    </row>
    <row r="245" spans="1:28" ht="20.25" customHeight="1">
      <c r="B245" s="1699" t="s">
        <v>1399</v>
      </c>
      <c r="C245" s="1700"/>
      <c r="D245" s="1701"/>
      <c r="E245" s="1701"/>
      <c r="F245" s="1701"/>
      <c r="G245" s="1701"/>
      <c r="H245" s="1701"/>
      <c r="I245" s="1701"/>
      <c r="J245" s="1701"/>
      <c r="K245" s="1701"/>
      <c r="L245" s="1701"/>
      <c r="M245" s="1701"/>
      <c r="N245" s="1701"/>
      <c r="O245" s="1701"/>
      <c r="P245" s="1701"/>
      <c r="Q245" s="1701"/>
    </row>
    <row r="246" spans="1:28" ht="20.25" customHeight="1">
      <c r="A246" s="3642"/>
      <c r="B246" s="3762"/>
      <c r="C246" s="3762"/>
      <c r="D246" s="3762"/>
      <c r="E246" s="3762"/>
      <c r="F246" s="3762"/>
      <c r="G246" s="3762"/>
      <c r="H246" s="3762"/>
      <c r="I246" s="3762"/>
      <c r="J246" s="3762"/>
      <c r="K246" s="3762"/>
      <c r="L246" s="3762"/>
      <c r="M246" s="3762"/>
      <c r="N246" s="3762"/>
      <c r="O246" s="3762"/>
      <c r="P246" s="3762"/>
      <c r="Q246" s="3763"/>
    </row>
    <row r="247" spans="1:28" ht="14.25" customHeight="1">
      <c r="A247" s="1691"/>
      <c r="B247" s="1696"/>
      <c r="C247" s="1701"/>
      <c r="D247" s="1701"/>
      <c r="E247" s="1701"/>
      <c r="F247" s="1701"/>
      <c r="G247" s="1701"/>
      <c r="H247" s="1701"/>
      <c r="I247" s="1701"/>
      <c r="J247" s="1701"/>
      <c r="K247" s="1701"/>
      <c r="L247" s="1701"/>
      <c r="M247" s="1701"/>
      <c r="Q247" s="1691"/>
    </row>
    <row r="248" spans="1:28" s="1715" customFormat="1" ht="14.25" customHeight="1">
      <c r="A248" s="1714"/>
      <c r="B248" s="1712"/>
      <c r="C248" s="1713"/>
      <c r="D248" s="1713"/>
      <c r="E248" s="1713"/>
      <c r="F248" s="1713"/>
      <c r="G248" s="1713"/>
      <c r="H248" s="1713"/>
      <c r="I248" s="1713"/>
      <c r="J248" s="1713"/>
      <c r="K248" s="1713"/>
      <c r="L248" s="1713"/>
      <c r="M248" s="1713"/>
      <c r="N248" s="1711"/>
      <c r="O248" s="1711"/>
      <c r="P248" s="1711"/>
      <c r="Q248" s="1714"/>
      <c r="R248" s="2590"/>
      <c r="S248" s="2590"/>
      <c r="T248" s="2590"/>
      <c r="U248" s="2590"/>
      <c r="V248" s="2590"/>
      <c r="W248" s="2590"/>
      <c r="X248" s="2590"/>
      <c r="Y248" s="2590"/>
      <c r="Z248" s="2590"/>
      <c r="AA248" s="2590"/>
      <c r="AB248" s="2590"/>
    </row>
    <row r="249" spans="1:28" ht="20.25" customHeight="1">
      <c r="A249" s="1707" t="s">
        <v>1529</v>
      </c>
      <c r="B249" s="1694" t="s">
        <v>1530</v>
      </c>
      <c r="C249" s="1694"/>
      <c r="D249" s="1694"/>
      <c r="E249" s="1701"/>
      <c r="G249" s="1695" t="s">
        <v>1531</v>
      </c>
      <c r="H249" s="1701"/>
      <c r="I249" s="1701"/>
      <c r="J249" s="1701"/>
      <c r="K249" s="1701"/>
      <c r="L249" s="1701"/>
      <c r="M249" s="1701"/>
      <c r="O249" s="1697" t="s">
        <v>1397</v>
      </c>
      <c r="P249" s="3640"/>
      <c r="Q249" s="3678"/>
    </row>
    <row r="250" spans="1:28" ht="20.25" customHeight="1">
      <c r="A250" s="1718"/>
      <c r="B250" s="1695" t="s">
        <v>1532</v>
      </c>
      <c r="D250" s="1721"/>
      <c r="E250" s="1721"/>
      <c r="O250" s="1709"/>
      <c r="P250" s="3699"/>
      <c r="Q250" s="3700"/>
    </row>
    <row r="251" spans="1:28" ht="20.25" customHeight="1">
      <c r="A251" s="1718"/>
      <c r="B251" s="1695" t="s">
        <v>1533</v>
      </c>
      <c r="D251" s="1721"/>
      <c r="E251" s="1721"/>
      <c r="O251" s="1709"/>
      <c r="P251" s="3733"/>
      <c r="Q251" s="3771"/>
    </row>
    <row r="252" spans="1:28" ht="20.25" customHeight="1">
      <c r="A252" s="1718"/>
      <c r="B252" s="1695" t="s">
        <v>1534</v>
      </c>
      <c r="D252" s="1721"/>
      <c r="E252" s="1721"/>
      <c r="O252" s="1709"/>
      <c r="P252" s="3772"/>
      <c r="Q252" s="3773"/>
    </row>
    <row r="253" spans="1:28" ht="20.25" customHeight="1">
      <c r="A253" s="1718"/>
      <c r="B253" s="1695" t="s">
        <v>1535</v>
      </c>
      <c r="O253" s="1709"/>
      <c r="P253" s="3733"/>
      <c r="Q253" s="3771"/>
    </row>
    <row r="254" spans="1:28" ht="20.25" customHeight="1">
      <c r="A254" s="1718"/>
      <c r="B254" s="1695" t="s">
        <v>440</v>
      </c>
      <c r="D254" s="3637"/>
      <c r="E254" s="3760"/>
      <c r="F254" s="3760"/>
      <c r="G254" s="3760"/>
      <c r="H254" s="3760"/>
      <c r="I254" s="3760"/>
      <c r="J254" s="3760"/>
      <c r="K254" s="3760"/>
      <c r="L254" s="3760"/>
      <c r="M254" s="3760"/>
      <c r="N254" s="3760"/>
      <c r="O254" s="3760"/>
      <c r="P254" s="3774"/>
      <c r="Q254" s="3775"/>
    </row>
    <row r="255" spans="1:28" ht="20.25" customHeight="1">
      <c r="B255" s="1725" t="s">
        <v>1403</v>
      </c>
      <c r="D255" s="1725"/>
      <c r="E255" s="1725"/>
      <c r="F255" s="1725"/>
      <c r="G255" s="1725"/>
      <c r="H255" s="1708"/>
      <c r="I255" s="1696"/>
      <c r="J255" s="1696"/>
      <c r="K255" s="1696"/>
      <c r="L255" s="1691"/>
      <c r="M255" s="1691"/>
      <c r="N255" s="1691"/>
      <c r="O255" s="1691"/>
      <c r="P255" s="1691"/>
      <c r="Q255" s="1691"/>
    </row>
    <row r="256" spans="1:28" ht="20.25" customHeight="1">
      <c r="A256" s="3637" t="s">
        <v>7085</v>
      </c>
      <c r="B256" s="3760"/>
      <c r="C256" s="3760"/>
      <c r="D256" s="3760"/>
      <c r="E256" s="3760"/>
      <c r="F256" s="3760"/>
      <c r="G256" s="3760"/>
      <c r="H256" s="3760"/>
      <c r="I256" s="3760"/>
      <c r="J256" s="3760"/>
      <c r="K256" s="3760"/>
      <c r="L256" s="3760"/>
      <c r="M256" s="3760"/>
      <c r="N256" s="3760"/>
      <c r="O256" s="3760"/>
      <c r="P256" s="3760"/>
      <c r="Q256" s="3761"/>
    </row>
    <row r="257" spans="1:28" ht="20.25" customHeight="1">
      <c r="B257" s="1699" t="s">
        <v>1399</v>
      </c>
      <c r="C257" s="1700"/>
      <c r="D257" s="1701"/>
      <c r="E257" s="1701"/>
      <c r="F257" s="1701"/>
      <c r="G257" s="1701"/>
      <c r="H257" s="1701"/>
      <c r="I257" s="1701"/>
      <c r="J257" s="1701"/>
      <c r="K257" s="1701"/>
      <c r="L257" s="1701"/>
      <c r="M257" s="1701"/>
      <c r="N257" s="1701"/>
      <c r="O257" s="1701"/>
      <c r="P257" s="1701"/>
      <c r="Q257" s="1701"/>
    </row>
    <row r="258" spans="1:28" ht="20.25" customHeight="1">
      <c r="A258" s="3642"/>
      <c r="B258" s="3762"/>
      <c r="C258" s="3762"/>
      <c r="D258" s="3762"/>
      <c r="E258" s="3762"/>
      <c r="F258" s="3762"/>
      <c r="G258" s="3762"/>
      <c r="H258" s="3762"/>
      <c r="I258" s="3762"/>
      <c r="J258" s="3762"/>
      <c r="K258" s="3762"/>
      <c r="L258" s="3762"/>
      <c r="M258" s="3762"/>
      <c r="N258" s="3762"/>
      <c r="O258" s="3762"/>
      <c r="P258" s="3762"/>
      <c r="Q258" s="3763"/>
    </row>
    <row r="259" spans="1:28" ht="20.25" customHeight="1">
      <c r="A259" s="1691"/>
      <c r="B259" s="1696"/>
      <c r="C259" s="1701"/>
      <c r="D259" s="1701"/>
      <c r="E259" s="1701"/>
      <c r="F259" s="1701"/>
      <c r="G259" s="1701"/>
      <c r="H259" s="1701"/>
      <c r="I259" s="1701"/>
      <c r="J259" s="1701"/>
      <c r="K259" s="1701"/>
      <c r="L259" s="1701"/>
      <c r="M259" s="1701"/>
      <c r="N259" s="1701"/>
      <c r="O259" s="1701"/>
      <c r="P259" s="1701"/>
      <c r="Q259" s="1691"/>
    </row>
    <row r="260" spans="1:28" s="1715" customFormat="1" ht="20.25" customHeight="1">
      <c r="A260" s="1714"/>
      <c r="B260" s="1712"/>
      <c r="C260" s="1713"/>
      <c r="D260" s="1713"/>
      <c r="E260" s="1713"/>
      <c r="F260" s="1713"/>
      <c r="G260" s="1713"/>
      <c r="H260" s="1713"/>
      <c r="I260" s="1713"/>
      <c r="J260" s="1713"/>
      <c r="K260" s="1713"/>
      <c r="L260" s="1713"/>
      <c r="M260" s="1713"/>
      <c r="N260" s="1713"/>
      <c r="O260" s="1713"/>
      <c r="P260" s="1713"/>
      <c r="Q260" s="1714"/>
      <c r="R260" s="2590"/>
      <c r="S260" s="2590"/>
      <c r="T260" s="2590"/>
      <c r="U260" s="2590"/>
      <c r="V260" s="2590"/>
      <c r="W260" s="2590"/>
      <c r="X260" s="2590"/>
      <c r="Y260" s="2590"/>
      <c r="Z260" s="2590"/>
      <c r="AA260" s="2590"/>
      <c r="AB260" s="2590"/>
    </row>
    <row r="261" spans="1:28" ht="20.25" customHeight="1">
      <c r="A261" s="1707" t="s">
        <v>1536</v>
      </c>
      <c r="B261" s="1694" t="s">
        <v>1537</v>
      </c>
      <c r="C261" s="1694"/>
      <c r="D261" s="1694"/>
      <c r="E261" s="1694"/>
      <c r="F261" s="1694"/>
      <c r="G261" s="1694"/>
      <c r="H261" s="1701"/>
      <c r="I261" s="1701"/>
      <c r="J261" s="1701"/>
      <c r="K261" s="1701"/>
      <c r="L261" s="1701"/>
      <c r="M261" s="1701"/>
      <c r="O261" s="1697" t="s">
        <v>1397</v>
      </c>
      <c r="P261" s="3640"/>
      <c r="Q261" s="3678"/>
    </row>
    <row r="262" spans="1:28" ht="20.25" customHeight="1">
      <c r="B262" s="1695" t="s">
        <v>1538</v>
      </c>
      <c r="O262" s="1709"/>
      <c r="P262" s="3654"/>
      <c r="Q262" s="3655"/>
    </row>
    <row r="263" spans="1:28" ht="20.25" customHeight="1">
      <c r="A263" s="1718" t="s">
        <v>194</v>
      </c>
      <c r="B263" s="1694" t="s">
        <v>1539</v>
      </c>
    </row>
    <row r="264" spans="1:28" ht="20.25" customHeight="1">
      <c r="A264" s="1718"/>
      <c r="B264" s="3770" t="s">
        <v>1540</v>
      </c>
      <c r="C264" s="3770"/>
      <c r="D264" s="3770"/>
      <c r="E264" s="3770"/>
      <c r="F264" s="3770"/>
      <c r="G264" s="3770"/>
      <c r="H264" s="3770"/>
      <c r="I264" s="3770"/>
      <c r="J264" s="3770"/>
      <c r="K264" s="3770"/>
      <c r="L264" s="3770"/>
      <c r="M264" s="3770"/>
      <c r="N264" s="3770"/>
      <c r="O264" s="3770"/>
      <c r="P264" s="3699"/>
      <c r="Q264" s="3700"/>
    </row>
    <row r="265" spans="1:28" ht="20.25" customHeight="1">
      <c r="B265" s="3770" t="s">
        <v>1541</v>
      </c>
      <c r="C265" s="3770"/>
      <c r="D265" s="3770"/>
      <c r="E265" s="3770"/>
      <c r="F265" s="3770"/>
      <c r="G265" s="3770"/>
      <c r="H265" s="3770"/>
      <c r="I265" s="3770"/>
      <c r="J265" s="3770"/>
      <c r="K265" s="3770"/>
      <c r="L265" s="3770"/>
      <c r="M265" s="3770"/>
      <c r="N265" s="3770"/>
      <c r="O265" s="3770"/>
      <c r="P265" s="3733"/>
      <c r="Q265" s="3771"/>
    </row>
    <row r="266" spans="1:28" ht="32.25" customHeight="1">
      <c r="A266" s="1718"/>
      <c r="B266" s="3778" t="s">
        <v>1542</v>
      </c>
      <c r="C266" s="3778"/>
      <c r="D266" s="3778"/>
      <c r="E266" s="3778"/>
      <c r="F266" s="3778"/>
      <c r="G266" s="3778"/>
      <c r="H266" s="3778"/>
      <c r="I266" s="3778"/>
      <c r="J266" s="3778"/>
      <c r="K266" s="3778"/>
      <c r="L266" s="3778"/>
      <c r="M266" s="3778"/>
      <c r="N266" s="3778"/>
      <c r="O266" s="3778"/>
      <c r="P266" s="3735"/>
      <c r="Q266" s="3738"/>
    </row>
    <row r="267" spans="1:28" ht="20.25" customHeight="1">
      <c r="B267" s="1725" t="s">
        <v>1403</v>
      </c>
      <c r="D267" s="1725"/>
      <c r="E267" s="1725"/>
      <c r="F267" s="1725"/>
      <c r="G267" s="1725"/>
      <c r="H267" s="1708"/>
      <c r="I267" s="1696"/>
      <c r="J267" s="1696"/>
      <c r="K267" s="1696"/>
    </row>
    <row r="268" spans="1:28" ht="20.25" customHeight="1">
      <c r="A268" s="3637" t="s">
        <v>7085</v>
      </c>
      <c r="B268" s="3760"/>
      <c r="C268" s="3760"/>
      <c r="D268" s="3760"/>
      <c r="E268" s="3760"/>
      <c r="F268" s="3760"/>
      <c r="G268" s="3760"/>
      <c r="H268" s="3760"/>
      <c r="I268" s="3760"/>
      <c r="J268" s="3760"/>
      <c r="K268" s="3760"/>
      <c r="L268" s="3760"/>
      <c r="M268" s="3760"/>
      <c r="N268" s="3760"/>
      <c r="O268" s="3760"/>
      <c r="P268" s="3760"/>
      <c r="Q268" s="3761"/>
    </row>
    <row r="269" spans="1:28" ht="20.25" customHeight="1">
      <c r="B269" s="1699" t="s">
        <v>1399</v>
      </c>
      <c r="C269" s="1700"/>
      <c r="D269" s="1701"/>
      <c r="E269" s="1701"/>
      <c r="F269" s="1701"/>
      <c r="G269" s="1701"/>
      <c r="H269" s="1701"/>
      <c r="I269" s="1701"/>
      <c r="J269" s="1701"/>
      <c r="K269" s="1701"/>
      <c r="L269" s="1701"/>
      <c r="M269" s="1701"/>
      <c r="N269" s="1701"/>
      <c r="O269" s="1701"/>
      <c r="P269" s="1701"/>
      <c r="Q269" s="1701"/>
    </row>
    <row r="270" spans="1:28" ht="20.25" customHeight="1">
      <c r="A270" s="3642"/>
      <c r="B270" s="3762"/>
      <c r="C270" s="3762"/>
      <c r="D270" s="3762"/>
      <c r="E270" s="3762"/>
      <c r="F270" s="3762"/>
      <c r="G270" s="3762"/>
      <c r="H270" s="3762"/>
      <c r="I270" s="3762"/>
      <c r="J270" s="3762"/>
      <c r="K270" s="3762"/>
      <c r="L270" s="3762"/>
      <c r="M270" s="3762"/>
      <c r="N270" s="3762"/>
      <c r="O270" s="3762"/>
      <c r="P270" s="3762"/>
      <c r="Q270" s="3763"/>
    </row>
    <row r="271" spans="1:28" ht="20.25" customHeight="1">
      <c r="A271" s="1691"/>
      <c r="B271" s="1696"/>
      <c r="C271" s="1701"/>
      <c r="D271" s="1701"/>
      <c r="E271" s="1701"/>
      <c r="F271" s="1701"/>
      <c r="G271" s="1701"/>
      <c r="H271" s="1701"/>
      <c r="I271" s="1701"/>
      <c r="J271" s="1701"/>
      <c r="K271" s="1701"/>
      <c r="L271" s="1701"/>
      <c r="M271" s="1701"/>
      <c r="Q271" s="1691"/>
    </row>
    <row r="272" spans="1:28" s="1715" customFormat="1" ht="20.25" customHeight="1">
      <c r="A272" s="1714"/>
      <c r="B272" s="1712"/>
      <c r="C272" s="1713"/>
      <c r="D272" s="1713"/>
      <c r="E272" s="1713"/>
      <c r="F272" s="1713"/>
      <c r="G272" s="1713"/>
      <c r="H272" s="1713"/>
      <c r="I272" s="1713"/>
      <c r="J272" s="1713"/>
      <c r="K272" s="1713"/>
      <c r="L272" s="1713"/>
      <c r="M272" s="1713"/>
      <c r="N272" s="1711"/>
      <c r="O272" s="1711"/>
      <c r="P272" s="1711"/>
      <c r="Q272" s="1714"/>
      <c r="R272" s="2590"/>
      <c r="S272" s="2590"/>
      <c r="T272" s="2590"/>
      <c r="U272" s="2590"/>
      <c r="V272" s="2590"/>
      <c r="W272" s="2590"/>
      <c r="X272" s="2590"/>
      <c r="Y272" s="2590"/>
      <c r="Z272" s="2590"/>
      <c r="AA272" s="2590"/>
      <c r="AB272" s="2590"/>
    </row>
    <row r="273" spans="1:17" ht="20.25" customHeight="1">
      <c r="A273" s="1707" t="s">
        <v>1543</v>
      </c>
      <c r="B273" s="1694" t="s">
        <v>1544</v>
      </c>
      <c r="C273" s="1694"/>
      <c r="D273" s="1694"/>
      <c r="E273" s="1701"/>
      <c r="F273" s="1701"/>
      <c r="G273" s="1701"/>
      <c r="H273" s="1701"/>
      <c r="O273" s="1697" t="s">
        <v>1397</v>
      </c>
      <c r="P273" s="3644"/>
      <c r="Q273" s="3644"/>
    </row>
    <row r="274" spans="1:17" ht="33" customHeight="1">
      <c r="A274" s="1698"/>
      <c r="B274" s="3645" t="s">
        <v>1545</v>
      </c>
      <c r="C274" s="3645"/>
      <c r="D274" s="3645"/>
      <c r="E274" s="3645"/>
      <c r="F274" s="3645"/>
      <c r="G274" s="3645"/>
      <c r="H274" s="3645"/>
      <c r="I274" s="3645"/>
      <c r="J274" s="3645"/>
      <c r="K274" s="3645"/>
      <c r="L274" s="3645"/>
      <c r="M274" s="3645"/>
      <c r="N274" s="3645"/>
      <c r="O274" s="1768"/>
      <c r="P274" s="3654"/>
      <c r="Q274" s="3655"/>
    </row>
    <row r="275" spans="1:17" ht="34.5" customHeight="1">
      <c r="A275" s="1698"/>
      <c r="B275" s="1743" t="s">
        <v>194</v>
      </c>
      <c r="C275" s="3720" t="s">
        <v>1546</v>
      </c>
      <c r="D275" s="3720"/>
      <c r="E275" s="3720"/>
      <c r="F275" s="3720"/>
      <c r="G275" s="3720"/>
      <c r="H275" s="3720"/>
      <c r="I275" s="3720"/>
      <c r="J275" s="3720"/>
      <c r="K275" s="3720"/>
      <c r="L275" s="3720"/>
      <c r="M275" s="3720"/>
      <c r="N275" s="3720"/>
      <c r="O275" s="3720"/>
      <c r="P275" s="1721"/>
      <c r="Q275" s="1698"/>
    </row>
    <row r="276" spans="1:17" ht="34.5" customHeight="1">
      <c r="A276" s="1698"/>
      <c r="B276" s="1743" t="s">
        <v>206</v>
      </c>
      <c r="C276" s="3720" t="s">
        <v>1547</v>
      </c>
      <c r="D276" s="3720"/>
      <c r="E276" s="3720"/>
      <c r="F276" s="3720"/>
      <c r="G276" s="3720"/>
      <c r="H276" s="3720"/>
      <c r="I276" s="3720"/>
      <c r="J276" s="3720"/>
      <c r="K276" s="3720"/>
      <c r="L276" s="3720"/>
      <c r="M276" s="3720"/>
      <c r="N276" s="3720"/>
      <c r="O276" s="3720"/>
      <c r="P276" s="1721"/>
      <c r="Q276" s="1691"/>
    </row>
    <row r="277" spans="1:17" ht="34.5" customHeight="1">
      <c r="A277" s="1698"/>
      <c r="C277" s="2082" t="s">
        <v>209</v>
      </c>
      <c r="D277" s="3720" t="s">
        <v>1548</v>
      </c>
      <c r="E277" s="3720"/>
      <c r="F277" s="3720"/>
      <c r="G277" s="3720"/>
      <c r="H277" s="3720"/>
      <c r="I277" s="3720"/>
      <c r="J277" s="3720"/>
      <c r="K277" s="3720"/>
      <c r="L277" s="3720"/>
      <c r="M277" s="3720"/>
      <c r="N277" s="3720"/>
      <c r="O277" s="3720"/>
      <c r="P277" s="1709"/>
      <c r="Q277" s="1691"/>
    </row>
    <row r="278" spans="1:17" ht="15" customHeight="1">
      <c r="A278" s="1698"/>
      <c r="C278" s="2082" t="s">
        <v>217</v>
      </c>
      <c r="D278" s="3776" t="s">
        <v>1549</v>
      </c>
      <c r="E278" s="3776"/>
      <c r="F278" s="3776"/>
      <c r="G278" s="3776"/>
      <c r="H278" s="3776"/>
      <c r="I278" s="3776"/>
      <c r="J278" s="3776"/>
      <c r="K278" s="3776"/>
      <c r="L278" s="3776"/>
      <c r="M278" s="3776"/>
      <c r="N278" s="3776"/>
      <c r="O278" s="3776"/>
      <c r="P278" s="1709"/>
      <c r="Q278" s="1691"/>
    </row>
    <row r="279" spans="1:17" ht="48" customHeight="1">
      <c r="A279" s="1698"/>
      <c r="C279" s="2082" t="s">
        <v>221</v>
      </c>
      <c r="D279" s="3777" t="s">
        <v>1550</v>
      </c>
      <c r="E279" s="3777"/>
      <c r="F279" s="3777"/>
      <c r="G279" s="3777"/>
      <c r="H279" s="3777"/>
      <c r="I279" s="3777"/>
      <c r="J279" s="3777"/>
      <c r="K279" s="3777"/>
      <c r="L279" s="3777"/>
      <c r="M279" s="3777"/>
      <c r="N279" s="3777"/>
      <c r="O279" s="3777"/>
      <c r="P279" s="1709"/>
      <c r="Q279" s="1691"/>
    </row>
    <row r="280" spans="1:17" ht="48" customHeight="1">
      <c r="A280" s="1698"/>
      <c r="C280" s="2082" t="s">
        <v>261</v>
      </c>
      <c r="D280" s="3777" t="s">
        <v>1551</v>
      </c>
      <c r="E280" s="3777"/>
      <c r="F280" s="3777"/>
      <c r="G280" s="3777"/>
      <c r="H280" s="3777"/>
      <c r="I280" s="3777"/>
      <c r="J280" s="3777"/>
      <c r="K280" s="3777"/>
      <c r="L280" s="3777"/>
      <c r="M280" s="3777"/>
      <c r="N280" s="3777"/>
      <c r="O280" s="3777"/>
      <c r="P280" s="1709"/>
      <c r="Q280" s="1691"/>
    </row>
    <row r="281" spans="1:17" ht="34.5" customHeight="1">
      <c r="A281" s="1698"/>
      <c r="B281" s="1743" t="s">
        <v>227</v>
      </c>
      <c r="C281" s="3720" t="s">
        <v>1552</v>
      </c>
      <c r="D281" s="3720"/>
      <c r="E281" s="3720"/>
      <c r="F281" s="3720"/>
      <c r="G281" s="3720"/>
      <c r="H281" s="3720"/>
      <c r="I281" s="3720"/>
      <c r="J281" s="3720"/>
      <c r="K281" s="3720"/>
      <c r="L281" s="3720"/>
      <c r="M281" s="3720"/>
      <c r="N281" s="3720"/>
      <c r="O281" s="3720"/>
      <c r="P281" s="1741"/>
      <c r="Q281" s="1691"/>
    </row>
    <row r="282" spans="1:17" ht="49.5" customHeight="1">
      <c r="A282" s="1698"/>
      <c r="B282" s="1743" t="s">
        <v>229</v>
      </c>
      <c r="C282" s="3720" t="s">
        <v>1553</v>
      </c>
      <c r="D282" s="3720"/>
      <c r="E282" s="3720"/>
      <c r="F282" s="3720"/>
      <c r="G282" s="3720"/>
      <c r="H282" s="3720"/>
      <c r="I282" s="3720"/>
      <c r="J282" s="3720"/>
      <c r="K282" s="3720"/>
      <c r="L282" s="3720"/>
      <c r="M282" s="3720"/>
      <c r="N282" s="3720"/>
      <c r="O282" s="3720"/>
      <c r="P282" s="1741"/>
      <c r="Q282" s="1691"/>
    </row>
    <row r="283" spans="1:17" ht="34.5" customHeight="1">
      <c r="A283" s="1698"/>
      <c r="B283" s="1743" t="s">
        <v>236</v>
      </c>
      <c r="C283" s="3720" t="s">
        <v>1554</v>
      </c>
      <c r="D283" s="3720"/>
      <c r="E283" s="3720"/>
      <c r="F283" s="3720"/>
      <c r="G283" s="3720"/>
      <c r="H283" s="3720"/>
      <c r="I283" s="3720"/>
      <c r="J283" s="3720"/>
      <c r="K283" s="3720"/>
      <c r="L283" s="3720"/>
      <c r="M283" s="3720"/>
      <c r="N283" s="3720"/>
      <c r="O283" s="3720"/>
      <c r="P283" s="1741"/>
      <c r="Q283" s="1691"/>
    </row>
    <row r="284" spans="1:17" ht="47.25" customHeight="1">
      <c r="A284" s="1736"/>
      <c r="B284" s="3720" t="s">
        <v>1555</v>
      </c>
      <c r="C284" s="3720"/>
      <c r="D284" s="3720"/>
      <c r="E284" s="3720"/>
      <c r="F284" s="3720"/>
      <c r="G284" s="3720"/>
      <c r="H284" s="3720"/>
      <c r="I284" s="3720"/>
      <c r="J284" s="3720"/>
      <c r="K284" s="3720"/>
      <c r="L284" s="3720"/>
      <c r="M284" s="3720"/>
      <c r="N284" s="3720"/>
      <c r="O284" s="3730"/>
      <c r="P284" s="3718"/>
      <c r="Q284" s="3718"/>
    </row>
    <row r="285" spans="1:17" ht="20.25" customHeight="1">
      <c r="B285" s="1725" t="s">
        <v>1403</v>
      </c>
      <c r="D285" s="1725"/>
      <c r="E285" s="1725"/>
      <c r="F285" s="1725"/>
      <c r="G285" s="1725"/>
      <c r="H285" s="1708"/>
      <c r="I285" s="1696"/>
      <c r="J285" s="1696"/>
      <c r="K285" s="1696"/>
      <c r="L285" s="1691"/>
      <c r="M285" s="1691"/>
      <c r="N285" s="1691"/>
      <c r="O285" s="1691"/>
      <c r="P285" s="1691"/>
      <c r="Q285" s="1691"/>
    </row>
    <row r="286" spans="1:17" ht="20.25" customHeight="1">
      <c r="A286" s="3637" t="s">
        <v>7085</v>
      </c>
      <c r="B286" s="3760"/>
      <c r="C286" s="3760"/>
      <c r="D286" s="3760"/>
      <c r="E286" s="3760"/>
      <c r="F286" s="3760"/>
      <c r="G286" s="3760"/>
      <c r="H286" s="3760"/>
      <c r="I286" s="3760"/>
      <c r="J286" s="3760"/>
      <c r="K286" s="3760"/>
      <c r="L286" s="3760"/>
      <c r="M286" s="3760"/>
      <c r="N286" s="3760"/>
      <c r="O286" s="3760"/>
      <c r="P286" s="3760"/>
      <c r="Q286" s="3761"/>
    </row>
    <row r="287" spans="1:17" ht="20.25" customHeight="1">
      <c r="B287" s="1699" t="s">
        <v>1399</v>
      </c>
      <c r="C287" s="1700"/>
      <c r="D287" s="1701"/>
      <c r="E287" s="1701"/>
      <c r="F287" s="1701"/>
      <c r="G287" s="1701"/>
      <c r="H287" s="1701"/>
      <c r="I287" s="1701"/>
      <c r="J287" s="1701"/>
      <c r="K287" s="1701"/>
      <c r="L287" s="1701"/>
      <c r="M287" s="1701"/>
      <c r="N287" s="1701"/>
      <c r="O287" s="1701"/>
      <c r="P287" s="1701"/>
      <c r="Q287" s="1701"/>
    </row>
    <row r="288" spans="1:17" ht="20.25" customHeight="1">
      <c r="A288" s="3642"/>
      <c r="B288" s="3762"/>
      <c r="C288" s="3762"/>
      <c r="D288" s="3762"/>
      <c r="E288" s="3762"/>
      <c r="F288" s="3762"/>
      <c r="G288" s="3762"/>
      <c r="H288" s="3762"/>
      <c r="I288" s="3762"/>
      <c r="J288" s="3762"/>
      <c r="K288" s="3762"/>
      <c r="L288" s="3762"/>
      <c r="M288" s="3762"/>
      <c r="N288" s="3762"/>
      <c r="O288" s="3762"/>
      <c r="P288" s="3762"/>
      <c r="Q288" s="3763"/>
    </row>
    <row r="289" spans="1:28" ht="20.25" customHeight="1">
      <c r="A289" s="1691"/>
      <c r="B289" s="1696"/>
      <c r="C289" s="1701"/>
      <c r="D289" s="1701"/>
      <c r="E289" s="1701"/>
      <c r="F289" s="1701"/>
      <c r="G289" s="1701"/>
      <c r="H289" s="1701"/>
      <c r="I289" s="1701"/>
      <c r="J289" s="1701"/>
      <c r="K289" s="1701"/>
      <c r="L289" s="1701"/>
      <c r="M289" s="1701"/>
      <c r="Q289" s="1691"/>
    </row>
    <row r="290" spans="1:28" s="1715" customFormat="1" ht="20.25" customHeight="1">
      <c r="A290" s="1714"/>
      <c r="B290" s="1712"/>
      <c r="C290" s="1713"/>
      <c r="D290" s="1713"/>
      <c r="E290" s="1713"/>
      <c r="F290" s="1713"/>
      <c r="G290" s="1713"/>
      <c r="H290" s="1713"/>
      <c r="I290" s="1713"/>
      <c r="J290" s="1713"/>
      <c r="K290" s="1713"/>
      <c r="L290" s="1713"/>
      <c r="M290" s="1713"/>
      <c r="N290" s="1711"/>
      <c r="O290" s="1711"/>
      <c r="P290" s="1711"/>
      <c r="Q290" s="1714"/>
      <c r="R290" s="2590"/>
      <c r="S290" s="2590"/>
      <c r="T290" s="2590"/>
      <c r="U290" s="2590"/>
      <c r="V290" s="2590"/>
      <c r="W290" s="2590"/>
      <c r="X290" s="2590"/>
      <c r="Y290" s="2590"/>
      <c r="Z290" s="2590"/>
      <c r="AA290" s="2590"/>
      <c r="AB290" s="2590"/>
    </row>
    <row r="291" spans="1:28" ht="20.25" customHeight="1">
      <c r="A291" s="1707" t="s">
        <v>1556</v>
      </c>
      <c r="B291" s="1694" t="s">
        <v>1557</v>
      </c>
      <c r="C291" s="1698"/>
      <c r="D291" s="1694"/>
      <c r="E291" s="1701"/>
      <c r="F291" s="1701"/>
      <c r="G291" s="1701"/>
      <c r="H291" s="1701"/>
      <c r="J291" s="1701"/>
      <c r="K291" s="1701"/>
      <c r="L291" s="1701"/>
      <c r="M291" s="1701"/>
      <c r="O291" s="1697" t="s">
        <v>1397</v>
      </c>
      <c r="P291" s="3640"/>
      <c r="Q291" s="3678"/>
    </row>
    <row r="292" spans="1:28" ht="20.25" customHeight="1">
      <c r="A292" s="1707"/>
      <c r="B292" s="1725" t="s">
        <v>1403</v>
      </c>
      <c r="D292" s="1725"/>
      <c r="E292" s="1725"/>
      <c r="F292" s="1725"/>
      <c r="G292" s="1725"/>
      <c r="H292" s="1708"/>
      <c r="I292" s="1696"/>
      <c r="J292" s="1696"/>
      <c r="K292" s="1696"/>
      <c r="L292" s="1691"/>
      <c r="M292" s="1691"/>
      <c r="N292" s="1691"/>
      <c r="O292" s="1691"/>
      <c r="P292" s="1691"/>
      <c r="Q292" s="1691"/>
    </row>
    <row r="293" spans="1:28" ht="20.25" customHeight="1">
      <c r="A293" s="3637"/>
      <c r="B293" s="3760"/>
      <c r="C293" s="3760"/>
      <c r="D293" s="3760"/>
      <c r="E293" s="3760"/>
      <c r="F293" s="3760"/>
      <c r="G293" s="3760"/>
      <c r="H293" s="3760"/>
      <c r="I293" s="3760"/>
      <c r="J293" s="3760"/>
      <c r="K293" s="3760"/>
      <c r="L293" s="3760"/>
      <c r="M293" s="3760"/>
      <c r="N293" s="3760"/>
      <c r="O293" s="3760"/>
      <c r="P293" s="3760"/>
      <c r="Q293" s="3761"/>
    </row>
    <row r="294" spans="1:28" ht="20.25" customHeight="1">
      <c r="B294" s="1699" t="s">
        <v>1399</v>
      </c>
      <c r="C294" s="1700"/>
      <c r="D294" s="1701"/>
      <c r="E294" s="1701"/>
      <c r="F294" s="1701"/>
      <c r="G294" s="1701"/>
      <c r="H294" s="1701"/>
      <c r="I294" s="1701"/>
      <c r="J294" s="1701"/>
      <c r="K294" s="1701"/>
      <c r="L294" s="1701"/>
      <c r="M294" s="1701"/>
      <c r="N294" s="1701"/>
      <c r="O294" s="1701"/>
      <c r="P294" s="1701"/>
      <c r="Q294" s="1701"/>
    </row>
    <row r="295" spans="1:28" ht="20.25" customHeight="1">
      <c r="A295" s="3642"/>
      <c r="B295" s="3762"/>
      <c r="C295" s="3762"/>
      <c r="D295" s="3762"/>
      <c r="E295" s="3762"/>
      <c r="F295" s="3762"/>
      <c r="G295" s="3762"/>
      <c r="H295" s="3762"/>
      <c r="I295" s="3762"/>
      <c r="J295" s="3762"/>
      <c r="K295" s="3762"/>
      <c r="L295" s="3762"/>
      <c r="M295" s="3762"/>
      <c r="N295" s="3762"/>
      <c r="O295" s="3762"/>
      <c r="P295" s="3762"/>
      <c r="Q295" s="3763"/>
    </row>
    <row r="296" spans="1:28" ht="20.25" customHeight="1">
      <c r="A296" s="1691"/>
      <c r="B296" s="1696"/>
      <c r="C296" s="1701"/>
      <c r="D296" s="1701"/>
      <c r="E296" s="1701"/>
      <c r="F296" s="1701"/>
      <c r="G296" s="1701"/>
      <c r="H296" s="1701"/>
      <c r="I296" s="1701"/>
      <c r="J296" s="1701"/>
      <c r="K296" s="1701"/>
      <c r="L296" s="1701"/>
      <c r="M296" s="1701"/>
      <c r="N296" s="1701"/>
      <c r="O296" s="1701"/>
      <c r="P296" s="1701"/>
      <c r="Q296" s="1691"/>
    </row>
    <row r="297" spans="1:28" ht="20.25" customHeight="1">
      <c r="A297" s="1691"/>
      <c r="B297" s="1696"/>
      <c r="C297" s="1701"/>
      <c r="D297" s="1701"/>
      <c r="E297" s="1701"/>
      <c r="F297" s="1701"/>
      <c r="G297" s="1701"/>
      <c r="H297" s="1701"/>
      <c r="I297" s="1701"/>
      <c r="J297" s="1701"/>
      <c r="K297" s="1701"/>
      <c r="L297" s="1701"/>
      <c r="M297" s="1701"/>
      <c r="N297" s="1701"/>
      <c r="O297" s="1701"/>
      <c r="P297" s="1701"/>
      <c r="Q297" s="1691"/>
    </row>
    <row r="301" spans="1:28" ht="20.25" customHeight="1">
      <c r="C301" s="1769"/>
      <c r="D301" s="1769"/>
      <c r="E301" s="1769"/>
      <c r="F301" s="1769"/>
      <c r="G301" s="1769"/>
      <c r="H301" s="1769"/>
      <c r="I301" s="1769"/>
      <c r="J301" s="1769"/>
      <c r="K301" s="1769"/>
      <c r="L301" s="1769"/>
      <c r="M301" s="1769"/>
      <c r="N301" s="1769"/>
      <c r="O301" s="1769"/>
      <c r="P301" s="1769"/>
      <c r="Q301" s="1769"/>
    </row>
    <row r="302" spans="1:28" ht="20.25" customHeight="1">
      <c r="C302" s="1769" t="s">
        <v>712</v>
      </c>
      <c r="D302" s="1769"/>
      <c r="E302" s="1769"/>
      <c r="F302" s="1769"/>
      <c r="G302" s="1769"/>
      <c r="H302" s="1769"/>
      <c r="I302" s="1769"/>
      <c r="J302" s="1770" t="s">
        <v>1558</v>
      </c>
      <c r="K302" s="1769"/>
      <c r="L302" s="1769"/>
      <c r="M302" s="1769"/>
      <c r="N302" s="1771"/>
      <c r="O302" s="1770" t="s">
        <v>1559</v>
      </c>
      <c r="P302" s="1772"/>
      <c r="Q302" s="1769"/>
    </row>
    <row r="303" spans="1:28" ht="20.25" customHeight="1">
      <c r="C303" s="1770" t="s">
        <v>1560</v>
      </c>
      <c r="D303" s="1769"/>
      <c r="E303" s="1769"/>
      <c r="F303" s="1769"/>
      <c r="G303" s="1769"/>
      <c r="H303" s="1769"/>
      <c r="I303" s="1769"/>
      <c r="J303" s="1770" t="s">
        <v>1561</v>
      </c>
      <c r="K303" s="1769"/>
      <c r="L303" s="1769"/>
      <c r="M303" s="1769"/>
      <c r="N303" s="1771"/>
      <c r="O303" s="1770" t="s">
        <v>1562</v>
      </c>
      <c r="P303" s="1772"/>
      <c r="Q303" s="1769"/>
    </row>
    <row r="304" spans="1:28" ht="20.25" customHeight="1">
      <c r="C304" s="1770" t="s">
        <v>1563</v>
      </c>
      <c r="D304" s="1769"/>
      <c r="E304" s="1769"/>
      <c r="F304" s="1769"/>
      <c r="G304" s="1769"/>
      <c r="H304" s="1769"/>
      <c r="I304" s="1769"/>
      <c r="J304" s="1770" t="s">
        <v>1564</v>
      </c>
      <c r="K304" s="1769"/>
      <c r="L304" s="1769"/>
      <c r="M304" s="1769"/>
      <c r="N304" s="1771"/>
      <c r="O304" s="1770" t="s">
        <v>1565</v>
      </c>
      <c r="P304" s="1772"/>
      <c r="Q304" s="1769"/>
    </row>
    <row r="305" spans="3:17" ht="20.25" customHeight="1">
      <c r="C305" s="1770" t="s">
        <v>1566</v>
      </c>
      <c r="D305" s="1769"/>
      <c r="E305" s="1769"/>
      <c r="F305" s="1769"/>
      <c r="G305" s="1769"/>
      <c r="H305" s="1769"/>
      <c r="I305" s="1769"/>
      <c r="J305" s="1770" t="s">
        <v>1567</v>
      </c>
      <c r="K305" s="1769"/>
      <c r="L305" s="1769"/>
      <c r="M305" s="1769"/>
      <c r="N305" s="1771"/>
      <c r="O305" s="1770" t="s">
        <v>1568</v>
      </c>
      <c r="P305" s="1772"/>
      <c r="Q305" s="1769"/>
    </row>
    <row r="306" spans="3:17" ht="20.25" customHeight="1">
      <c r="C306" s="1770" t="s">
        <v>1569</v>
      </c>
      <c r="D306" s="1769"/>
      <c r="E306" s="1769"/>
      <c r="F306" s="1769"/>
      <c r="G306" s="1769"/>
      <c r="H306" s="1769"/>
      <c r="I306" s="1769"/>
      <c r="J306" s="1770" t="s">
        <v>1570</v>
      </c>
      <c r="K306" s="1769"/>
      <c r="L306" s="1769"/>
      <c r="M306" s="1769"/>
      <c r="N306" s="1771"/>
      <c r="O306" s="1770" t="s">
        <v>1571</v>
      </c>
      <c r="P306" s="1772"/>
      <c r="Q306" s="1769"/>
    </row>
    <row r="307" spans="3:17" ht="20.25" customHeight="1">
      <c r="C307" s="1770" t="s">
        <v>1572</v>
      </c>
      <c r="D307" s="1769"/>
      <c r="E307" s="1769"/>
      <c r="F307" s="1769"/>
      <c r="G307" s="1769"/>
      <c r="H307" s="1769"/>
      <c r="I307" s="1769"/>
      <c r="J307" s="1770" t="s">
        <v>1573</v>
      </c>
      <c r="K307" s="1769"/>
      <c r="L307" s="1769"/>
      <c r="M307" s="1769"/>
      <c r="N307" s="1771"/>
      <c r="O307" s="1770" t="s">
        <v>1574</v>
      </c>
      <c r="P307" s="1772"/>
      <c r="Q307" s="1769"/>
    </row>
    <row r="308" spans="3:17" ht="20.25" customHeight="1">
      <c r="C308" s="1770" t="s">
        <v>1575</v>
      </c>
      <c r="D308" s="1769"/>
      <c r="E308" s="1769"/>
      <c r="F308" s="1769"/>
      <c r="G308" s="1769"/>
      <c r="H308" s="1769"/>
      <c r="I308" s="1769"/>
      <c r="J308" s="1770" t="s">
        <v>1576</v>
      </c>
      <c r="K308" s="1769"/>
      <c r="L308" s="1769"/>
      <c r="M308" s="1769"/>
      <c r="N308" s="1771"/>
      <c r="O308" s="1770" t="s">
        <v>1577</v>
      </c>
      <c r="P308" s="1772"/>
      <c r="Q308" s="1769"/>
    </row>
    <row r="309" spans="3:17" ht="20.25" customHeight="1">
      <c r="C309" s="1770" t="s">
        <v>1578</v>
      </c>
      <c r="D309" s="1769"/>
      <c r="E309" s="1769"/>
      <c r="F309" s="1769"/>
      <c r="G309" s="1769"/>
      <c r="H309" s="1769"/>
      <c r="I309" s="1769"/>
      <c r="J309" s="1770" t="s">
        <v>1579</v>
      </c>
      <c r="K309" s="1769"/>
      <c r="L309" s="1769"/>
      <c r="M309" s="1769"/>
      <c r="N309" s="1771"/>
      <c r="O309" s="1769" t="s">
        <v>1580</v>
      </c>
      <c r="P309" s="1772"/>
      <c r="Q309" s="1769"/>
    </row>
    <row r="310" spans="3:17" ht="20.25" customHeight="1">
      <c r="C310" s="1770" t="s">
        <v>1581</v>
      </c>
      <c r="D310" s="1769"/>
      <c r="E310" s="1769"/>
      <c r="F310" s="1769"/>
      <c r="G310" s="1769"/>
      <c r="H310" s="1769"/>
      <c r="I310" s="1769"/>
      <c r="J310" s="1770" t="s">
        <v>1582</v>
      </c>
      <c r="K310" s="1769"/>
      <c r="L310" s="1769"/>
      <c r="M310" s="1769"/>
      <c r="N310" s="1771"/>
      <c r="O310" s="1769" t="s">
        <v>1583</v>
      </c>
      <c r="P310" s="1772"/>
      <c r="Q310" s="1769"/>
    </row>
    <row r="311" spans="3:17" ht="20.25" customHeight="1">
      <c r="C311" s="1770" t="s">
        <v>1584</v>
      </c>
      <c r="D311" s="1769"/>
      <c r="E311" s="1769"/>
      <c r="F311" s="1769"/>
      <c r="G311" s="1769"/>
      <c r="H311" s="1769"/>
      <c r="I311" s="1769"/>
      <c r="J311" s="1770" t="s">
        <v>1585</v>
      </c>
      <c r="K311" s="1769"/>
      <c r="L311" s="1769"/>
      <c r="M311" s="1769"/>
      <c r="N311" s="1771"/>
      <c r="O311" s="1770"/>
      <c r="P311" s="1772"/>
      <c r="Q311" s="1769"/>
    </row>
    <row r="312" spans="3:17" ht="20.25" customHeight="1">
      <c r="C312" s="1770" t="s">
        <v>1586</v>
      </c>
      <c r="D312" s="1769"/>
      <c r="E312" s="1769"/>
      <c r="F312" s="1769"/>
      <c r="G312" s="1769"/>
      <c r="H312" s="1769"/>
      <c r="I312" s="1769"/>
      <c r="J312" s="1770" t="s">
        <v>1587</v>
      </c>
      <c r="K312" s="1769"/>
      <c r="L312" s="1769"/>
      <c r="M312" s="1769"/>
      <c r="N312" s="1771"/>
      <c r="O312" s="1772"/>
      <c r="P312" s="1772"/>
      <c r="Q312" s="1769"/>
    </row>
    <row r="313" spans="3:17" ht="20.25" customHeight="1">
      <c r="C313" s="1770" t="s">
        <v>1588</v>
      </c>
      <c r="D313" s="1769"/>
      <c r="E313" s="1769"/>
      <c r="F313" s="1769"/>
      <c r="G313" s="1769"/>
      <c r="H313" s="1769"/>
      <c r="I313" s="1769"/>
      <c r="J313" s="1770" t="s">
        <v>1589</v>
      </c>
      <c r="K313" s="1769"/>
      <c r="L313" s="1769"/>
      <c r="M313" s="1769"/>
      <c r="N313" s="1771"/>
      <c r="O313" s="1770"/>
      <c r="P313" s="1772"/>
      <c r="Q313" s="1769"/>
    </row>
    <row r="314" spans="3:17" ht="20.25" customHeight="1">
      <c r="C314" s="1770" t="s">
        <v>1590</v>
      </c>
      <c r="D314" s="1769"/>
      <c r="E314" s="1769"/>
      <c r="F314" s="1769"/>
      <c r="G314" s="1769"/>
      <c r="H314" s="1769"/>
      <c r="I314" s="1769"/>
      <c r="J314" s="1769"/>
      <c r="K314" s="1769"/>
      <c r="L314" s="1769"/>
      <c r="M314" s="1769"/>
      <c r="N314" s="1771"/>
      <c r="O314" s="1772"/>
      <c r="P314" s="1772"/>
      <c r="Q314" s="1769"/>
    </row>
    <row r="315" spans="3:17" ht="20.25" customHeight="1">
      <c r="C315" s="1769"/>
      <c r="D315" s="1769"/>
      <c r="E315" s="1769"/>
      <c r="F315" s="1769"/>
      <c r="G315" s="1769"/>
      <c r="H315" s="1769"/>
      <c r="I315" s="1769"/>
      <c r="J315" s="1769"/>
      <c r="K315" s="1769"/>
      <c r="L315" s="1769"/>
      <c r="M315" s="1769"/>
      <c r="N315" s="1771"/>
      <c r="O315" s="1772"/>
      <c r="P315" s="1772"/>
      <c r="Q315" s="1769"/>
    </row>
    <row r="316" spans="3:17" ht="20.25" customHeight="1">
      <c r="C316" s="1769"/>
      <c r="D316" s="1769"/>
      <c r="E316" s="1769"/>
      <c r="F316" s="1769"/>
      <c r="G316" s="1769"/>
      <c r="H316" s="1769"/>
      <c r="I316" s="1769"/>
      <c r="J316" s="1769"/>
      <c r="K316" s="1769"/>
      <c r="L316" s="1769"/>
      <c r="M316" s="1769"/>
      <c r="N316" s="1769"/>
      <c r="O316" s="1769"/>
      <c r="P316" s="1769"/>
      <c r="Q316" s="1769"/>
    </row>
    <row r="317" spans="3:17" ht="20.25" customHeight="1">
      <c r="C317" s="1773" t="s">
        <v>1591</v>
      </c>
      <c r="D317" s="1769"/>
      <c r="E317" s="1769"/>
      <c r="F317" s="1769"/>
      <c r="G317" s="1769"/>
      <c r="H317" s="1769"/>
      <c r="I317" s="1769"/>
      <c r="J317" s="1769"/>
      <c r="K317" s="1769"/>
      <c r="L317" s="1769"/>
      <c r="M317" s="1769"/>
      <c r="N317" s="1769"/>
      <c r="O317" s="1769"/>
      <c r="P317" s="1769"/>
      <c r="Q317" s="1769"/>
    </row>
    <row r="318" spans="3:17" ht="20.25" customHeight="1">
      <c r="C318" s="1769" t="s">
        <v>1592</v>
      </c>
      <c r="D318" s="1769"/>
      <c r="E318" s="1769"/>
      <c r="F318" s="1769"/>
      <c r="G318" s="1769"/>
      <c r="H318" s="1769"/>
      <c r="I318" s="1769"/>
      <c r="J318" s="1769"/>
      <c r="K318" s="1769"/>
      <c r="L318" s="1769"/>
      <c r="M318" s="1769"/>
      <c r="N318" s="1769"/>
      <c r="O318" s="1769"/>
      <c r="P318" s="1769"/>
      <c r="Q318" s="1769"/>
    </row>
    <row r="319" spans="3:17" ht="20.25" customHeight="1">
      <c r="C319" s="1770" t="s">
        <v>1593</v>
      </c>
      <c r="D319" s="1769"/>
      <c r="E319" s="1769"/>
      <c r="F319" s="1769"/>
      <c r="G319" s="1769"/>
      <c r="H319" s="1769"/>
      <c r="I319" s="1769"/>
      <c r="J319" s="1769"/>
      <c r="K319" s="1769"/>
      <c r="L319" s="1769"/>
      <c r="M319" s="1769"/>
      <c r="N319" s="1769"/>
      <c r="O319" s="1769"/>
      <c r="P319" s="1769"/>
      <c r="Q319" s="1769"/>
    </row>
    <row r="320" spans="3:17" ht="20.25" customHeight="1">
      <c r="C320" s="1770" t="s">
        <v>1594</v>
      </c>
      <c r="D320" s="1769"/>
      <c r="E320" s="1769"/>
      <c r="F320" s="1769"/>
      <c r="G320" s="1769"/>
      <c r="H320" s="1769"/>
      <c r="I320" s="1769"/>
      <c r="J320" s="1769"/>
      <c r="K320" s="1769"/>
      <c r="L320" s="1770"/>
      <c r="M320" s="1769"/>
      <c r="N320" s="1769"/>
      <c r="O320" s="1769"/>
      <c r="P320" s="1769"/>
      <c r="Q320" s="1769"/>
    </row>
    <row r="321" spans="3:17" ht="20.25" customHeight="1">
      <c r="C321" s="1770" t="s">
        <v>1595</v>
      </c>
      <c r="D321" s="1769"/>
      <c r="E321" s="1769"/>
      <c r="F321" s="1769"/>
      <c r="G321" s="1769"/>
      <c r="H321" s="1769"/>
      <c r="I321" s="1769"/>
      <c r="J321" s="1769"/>
      <c r="K321" s="1769"/>
      <c r="L321" s="1770"/>
      <c r="M321" s="1769"/>
      <c r="N321" s="1769"/>
      <c r="O321" s="1769"/>
      <c r="P321" s="1769"/>
      <c r="Q321" s="1769"/>
    </row>
    <row r="322" spans="3:17" ht="20.25" customHeight="1">
      <c r="C322" s="1770" t="s">
        <v>1596</v>
      </c>
      <c r="D322" s="1769"/>
      <c r="E322" s="1769"/>
      <c r="F322" s="1769"/>
      <c r="G322" s="1769"/>
      <c r="H322" s="1769"/>
      <c r="I322" s="1769"/>
      <c r="J322" s="1769"/>
      <c r="K322" s="1769"/>
      <c r="L322" s="1770"/>
      <c r="M322" s="1769"/>
      <c r="N322" s="1769"/>
      <c r="O322" s="1769"/>
      <c r="P322" s="1769"/>
      <c r="Q322" s="1769"/>
    </row>
    <row r="323" spans="3:17" ht="20.25" customHeight="1">
      <c r="C323" s="1770" t="s">
        <v>1597</v>
      </c>
      <c r="D323" s="1769"/>
      <c r="E323" s="1769"/>
      <c r="F323" s="1769"/>
      <c r="G323" s="1769"/>
      <c r="H323" s="1769"/>
      <c r="I323" s="1769"/>
      <c r="J323" s="1769"/>
      <c r="K323" s="1769"/>
      <c r="L323" s="1770"/>
      <c r="M323" s="1769"/>
      <c r="N323" s="1769"/>
      <c r="O323" s="1769"/>
      <c r="P323" s="1769"/>
      <c r="Q323" s="1769"/>
    </row>
    <row r="324" spans="3:17" ht="20.25" customHeight="1">
      <c r="C324" s="1769" t="s">
        <v>1598</v>
      </c>
      <c r="D324" s="1769"/>
      <c r="E324" s="1769"/>
      <c r="F324" s="1769"/>
      <c r="G324" s="1769"/>
      <c r="H324" s="1769"/>
      <c r="I324" s="1769"/>
      <c r="J324" s="1769"/>
      <c r="K324" s="1769"/>
      <c r="L324" s="1770"/>
      <c r="M324" s="1769"/>
      <c r="N324" s="1769"/>
      <c r="O324" s="1769"/>
      <c r="P324" s="1769"/>
      <c r="Q324" s="1769"/>
    </row>
    <row r="325" spans="3:17" ht="20.25" customHeight="1">
      <c r="C325" s="1769" t="s">
        <v>1599</v>
      </c>
      <c r="D325" s="1769"/>
      <c r="E325" s="1769"/>
      <c r="F325" s="1769"/>
      <c r="G325" s="1769"/>
      <c r="H325" s="1769"/>
      <c r="I325" s="1769"/>
      <c r="J325" s="1769"/>
      <c r="K325" s="1769"/>
      <c r="L325" s="1769"/>
      <c r="M325" s="1769"/>
      <c r="N325" s="1769"/>
      <c r="O325" s="1769"/>
      <c r="P325" s="1769"/>
      <c r="Q325" s="1769"/>
    </row>
    <row r="326" spans="3:17" ht="20.25" customHeight="1">
      <c r="C326" s="1770" t="s">
        <v>1600</v>
      </c>
      <c r="D326" s="1769"/>
      <c r="E326" s="1769"/>
      <c r="F326" s="1769"/>
      <c r="G326" s="1769"/>
      <c r="H326" s="1769"/>
      <c r="I326" s="1769"/>
      <c r="J326" s="1769"/>
      <c r="K326" s="1769"/>
      <c r="L326" s="1770"/>
      <c r="M326" s="1769"/>
      <c r="N326" s="1769"/>
      <c r="O326" s="1769"/>
      <c r="P326" s="1769"/>
      <c r="Q326" s="1769"/>
    </row>
    <row r="327" spans="3:17" ht="20.25" customHeight="1">
      <c r="C327" s="1769" t="s">
        <v>1601</v>
      </c>
      <c r="D327" s="1769"/>
      <c r="E327" s="1769"/>
      <c r="F327" s="1769"/>
      <c r="G327" s="1769"/>
      <c r="H327" s="1769"/>
      <c r="I327" s="1769"/>
      <c r="J327" s="1769"/>
      <c r="K327" s="1769"/>
      <c r="L327" s="1770"/>
      <c r="M327" s="1769"/>
      <c r="N327" s="1769"/>
      <c r="O327" s="1769"/>
      <c r="P327" s="1769"/>
      <c r="Q327" s="1769"/>
    </row>
    <row r="328" spans="3:17" ht="20.25" customHeight="1">
      <c r="C328" s="1769" t="s">
        <v>1597</v>
      </c>
      <c r="D328" s="1769"/>
      <c r="E328" s="1769"/>
      <c r="F328" s="1769"/>
      <c r="G328" s="1769"/>
      <c r="H328" s="1769"/>
      <c r="I328" s="1769"/>
      <c r="J328" s="1769"/>
      <c r="K328" s="1769"/>
      <c r="L328" s="1770"/>
      <c r="M328" s="1769"/>
      <c r="N328" s="1769"/>
      <c r="O328" s="1769"/>
      <c r="P328" s="1769"/>
      <c r="Q328" s="1769"/>
    </row>
    <row r="329" spans="3:17" ht="20.25" customHeight="1">
      <c r="C329" s="1769" t="s">
        <v>1602</v>
      </c>
      <c r="D329" s="1769"/>
      <c r="E329" s="1769"/>
      <c r="F329" s="1769"/>
      <c r="G329" s="1769"/>
      <c r="H329" s="1769"/>
      <c r="I329" s="1769"/>
      <c r="J329" s="1769"/>
      <c r="K329" s="1769"/>
      <c r="L329" s="1770"/>
      <c r="M329" s="1769"/>
      <c r="N329" s="1769"/>
      <c r="O329" s="1769"/>
      <c r="P329" s="1769"/>
      <c r="Q329" s="1769"/>
    </row>
    <row r="330" spans="3:17" ht="20.25" customHeight="1">
      <c r="C330" s="1769" t="s">
        <v>1603</v>
      </c>
      <c r="D330" s="1769"/>
      <c r="E330" s="1769"/>
      <c r="F330" s="1769"/>
      <c r="G330" s="1769"/>
      <c r="H330" s="1769"/>
      <c r="I330" s="1769"/>
      <c r="J330" s="1769"/>
      <c r="K330" s="1769"/>
      <c r="L330" s="1769"/>
      <c r="M330" s="1769"/>
      <c r="N330" s="1769"/>
      <c r="O330" s="1769"/>
      <c r="P330" s="1769"/>
      <c r="Q330" s="1769"/>
    </row>
    <row r="331" spans="3:17" ht="20.25" customHeight="1">
      <c r="C331" s="1770" t="s">
        <v>1604</v>
      </c>
      <c r="D331" s="1769"/>
      <c r="E331" s="1769"/>
      <c r="F331" s="1769"/>
      <c r="G331" s="1769"/>
      <c r="H331" s="1769"/>
      <c r="I331" s="1769"/>
      <c r="J331" s="1769"/>
      <c r="K331" s="1769"/>
      <c r="L331" s="1770"/>
      <c r="M331" s="1769"/>
      <c r="N331" s="1769"/>
      <c r="O331" s="1769"/>
      <c r="P331" s="1769"/>
      <c r="Q331" s="1769"/>
    </row>
    <row r="332" spans="3:17" ht="20.25" customHeight="1">
      <c r="C332" s="1769" t="s">
        <v>1605</v>
      </c>
      <c r="D332" s="1769"/>
      <c r="E332" s="1769"/>
      <c r="F332" s="1769"/>
      <c r="G332" s="1769"/>
      <c r="H332" s="1769"/>
      <c r="I332" s="1769"/>
      <c r="J332" s="1769"/>
      <c r="K332" s="1769"/>
      <c r="L332" s="1770"/>
      <c r="M332" s="1769"/>
      <c r="N332" s="1769"/>
      <c r="O332" s="1769"/>
      <c r="P332" s="1769"/>
      <c r="Q332" s="1769"/>
    </row>
    <row r="333" spans="3:17" ht="20.25" customHeight="1">
      <c r="C333" s="1769" t="s">
        <v>1606</v>
      </c>
      <c r="D333" s="1769"/>
      <c r="E333" s="1769"/>
      <c r="F333" s="1769"/>
      <c r="G333" s="1769"/>
      <c r="H333" s="1769"/>
      <c r="I333" s="1769"/>
      <c r="J333" s="1769"/>
      <c r="K333" s="1769"/>
      <c r="L333" s="1770"/>
      <c r="M333" s="1769"/>
      <c r="N333" s="1769"/>
      <c r="O333" s="1769"/>
      <c r="P333" s="1769"/>
      <c r="Q333" s="1769"/>
    </row>
    <row r="334" spans="3:17" ht="20.25" customHeight="1">
      <c r="C334" s="1769" t="s">
        <v>1607</v>
      </c>
      <c r="D334" s="1769"/>
      <c r="E334" s="1769"/>
      <c r="F334" s="1769"/>
      <c r="G334" s="1769"/>
      <c r="H334" s="1769"/>
      <c r="I334" s="1769"/>
      <c r="J334" s="1769"/>
      <c r="K334" s="1773" t="s">
        <v>1608</v>
      </c>
      <c r="L334" s="1770"/>
      <c r="M334" s="1769"/>
      <c r="N334" s="1769"/>
      <c r="O334" s="1769"/>
      <c r="P334" s="1769"/>
      <c r="Q334" s="1769"/>
    </row>
    <row r="335" spans="3:17" ht="20.25" customHeight="1">
      <c r="C335" s="1769" t="s">
        <v>1609</v>
      </c>
      <c r="D335" s="1769"/>
      <c r="E335" s="1769"/>
      <c r="F335" s="1769"/>
      <c r="G335" s="1769"/>
      <c r="H335" s="1769"/>
      <c r="I335" s="1769"/>
      <c r="J335" s="1769"/>
      <c r="K335" s="1769" t="s">
        <v>1498</v>
      </c>
      <c r="L335" s="1770"/>
      <c r="M335" s="1769"/>
      <c r="N335" s="1769"/>
      <c r="O335" s="1769"/>
      <c r="P335" s="1769"/>
      <c r="Q335" s="1769"/>
    </row>
    <row r="336" spans="3:17" ht="20.25" customHeight="1">
      <c r="C336" s="1769" t="s">
        <v>1610</v>
      </c>
      <c r="D336" s="1769"/>
      <c r="E336" s="1769"/>
      <c r="F336" s="1769"/>
      <c r="G336" s="1769"/>
      <c r="H336" s="1769"/>
      <c r="I336" s="1769"/>
      <c r="J336" s="1769"/>
      <c r="K336" s="1769" t="s">
        <v>1611</v>
      </c>
      <c r="L336" s="1769"/>
      <c r="M336" s="1769"/>
      <c r="N336" s="1769"/>
      <c r="O336" s="1769"/>
      <c r="P336" s="1769"/>
      <c r="Q336" s="1769"/>
    </row>
    <row r="337" spans="3:28" ht="20.25" customHeight="1">
      <c r="C337" s="1770" t="s">
        <v>1612</v>
      </c>
      <c r="D337" s="1769"/>
      <c r="E337" s="1769"/>
      <c r="F337" s="1769"/>
      <c r="G337" s="1769"/>
      <c r="H337" s="1769"/>
      <c r="I337" s="1769"/>
      <c r="J337" s="1769"/>
      <c r="K337" s="1769" t="s">
        <v>1613</v>
      </c>
      <c r="L337" s="1769"/>
      <c r="M337" s="1769"/>
      <c r="N337" s="1769"/>
      <c r="O337" s="1769"/>
      <c r="P337" s="1769"/>
      <c r="Q337" s="1769"/>
    </row>
    <row r="338" spans="3:28" ht="20.25" customHeight="1">
      <c r="C338" s="1769"/>
      <c r="D338" s="1769"/>
      <c r="E338" s="1769"/>
      <c r="F338" s="1769"/>
      <c r="G338" s="1769"/>
      <c r="H338" s="1769"/>
      <c r="I338" s="1769"/>
      <c r="J338" s="1769"/>
      <c r="K338" s="1769"/>
      <c r="L338" s="1769"/>
      <c r="M338" s="1769"/>
      <c r="N338" s="1769"/>
      <c r="O338" s="1769"/>
      <c r="P338" s="1769"/>
      <c r="Q338" s="1769"/>
    </row>
    <row r="339" spans="3:28" ht="20.25" customHeight="1">
      <c r="C339" s="1773" t="s">
        <v>1614</v>
      </c>
      <c r="D339" s="1769"/>
      <c r="E339" s="1769"/>
      <c r="F339" s="1769"/>
      <c r="G339" s="1769"/>
      <c r="H339" s="1769"/>
      <c r="I339" s="1769"/>
      <c r="J339" s="1769"/>
      <c r="K339" s="1773" t="s">
        <v>1615</v>
      </c>
      <c r="L339" s="1769"/>
      <c r="M339" s="1769"/>
      <c r="N339" s="1769"/>
      <c r="O339" s="1769"/>
      <c r="P339" s="1769"/>
      <c r="Q339" s="1769"/>
    </row>
    <row r="340" spans="3:28" ht="20.25" customHeight="1">
      <c r="C340" s="1769" t="s">
        <v>1616</v>
      </c>
      <c r="D340" s="1769"/>
      <c r="E340" s="1769"/>
      <c r="F340" s="1769"/>
      <c r="G340" s="1769"/>
      <c r="H340" s="1769"/>
      <c r="I340" s="1769"/>
      <c r="J340" s="1769"/>
      <c r="K340" s="1769" t="s">
        <v>1496</v>
      </c>
      <c r="L340" s="1769"/>
      <c r="M340" s="1769"/>
      <c r="N340" s="1769"/>
      <c r="O340" s="1769"/>
      <c r="P340" s="1769"/>
      <c r="Q340" s="1769"/>
    </row>
    <row r="341" spans="3:28" ht="20.25" customHeight="1">
      <c r="C341" s="1769" t="s">
        <v>1617</v>
      </c>
      <c r="D341" s="1769"/>
      <c r="E341" s="1769"/>
      <c r="F341" s="1769"/>
      <c r="G341" s="1769"/>
      <c r="H341" s="1769"/>
      <c r="I341" s="1769"/>
      <c r="J341" s="1769"/>
      <c r="K341" s="1769" t="s">
        <v>1618</v>
      </c>
      <c r="L341" s="1769"/>
      <c r="M341" s="1769"/>
      <c r="N341" s="1769"/>
      <c r="O341" s="1769"/>
      <c r="P341" s="1769"/>
      <c r="Q341" s="1769"/>
    </row>
    <row r="342" spans="3:28" ht="20.25" customHeight="1">
      <c r="C342" s="1769" t="s">
        <v>1619</v>
      </c>
      <c r="D342" s="1769"/>
      <c r="E342" s="1769"/>
      <c r="F342" s="1769"/>
      <c r="G342" s="1769"/>
      <c r="H342" s="1769"/>
      <c r="I342" s="1769"/>
      <c r="J342" s="1769"/>
      <c r="K342" s="1769" t="s">
        <v>1620</v>
      </c>
      <c r="L342" s="1769"/>
      <c r="M342" s="1769"/>
      <c r="N342" s="1769"/>
      <c r="O342" s="1769"/>
      <c r="P342" s="1769"/>
      <c r="Q342" s="1769"/>
    </row>
    <row r="343" spans="3:28" ht="20.25" customHeight="1">
      <c r="C343" s="1769" t="s">
        <v>1621</v>
      </c>
      <c r="D343" s="1769"/>
      <c r="E343" s="1769"/>
      <c r="F343" s="1769"/>
      <c r="G343" s="1769"/>
      <c r="H343" s="1769"/>
      <c r="I343" s="1769"/>
      <c r="J343" s="1769"/>
      <c r="K343" s="1769" t="s">
        <v>1622</v>
      </c>
      <c r="L343" s="1769"/>
      <c r="M343" s="1769"/>
      <c r="N343" s="1769"/>
      <c r="O343" s="1769"/>
      <c r="P343" s="1769"/>
      <c r="Q343" s="1769"/>
    </row>
    <row r="344" spans="3:28" ht="20.25" customHeight="1">
      <c r="C344" s="1769" t="s">
        <v>1623</v>
      </c>
      <c r="D344" s="1769"/>
      <c r="E344" s="1769"/>
      <c r="F344" s="1769"/>
      <c r="G344" s="1769"/>
      <c r="H344" s="1769"/>
      <c r="I344" s="1769"/>
      <c r="J344" s="1769"/>
      <c r="K344" s="1769" t="s">
        <v>1624</v>
      </c>
      <c r="L344" s="1769"/>
      <c r="M344" s="1769"/>
      <c r="N344" s="1769"/>
      <c r="O344" s="1769"/>
      <c r="P344" s="1769"/>
      <c r="Q344" s="1769"/>
    </row>
    <row r="345" spans="3:28" ht="20.25" customHeight="1">
      <c r="C345" s="1769"/>
      <c r="D345" s="1769"/>
      <c r="E345" s="1769"/>
      <c r="F345" s="1769"/>
      <c r="G345" s="1769"/>
      <c r="H345" s="1769"/>
      <c r="I345" s="1769"/>
      <c r="J345" s="1769"/>
      <c r="K345" s="1773" t="s">
        <v>1625</v>
      </c>
      <c r="L345" s="1769"/>
      <c r="M345" s="1769"/>
      <c r="N345" s="1769"/>
      <c r="O345" s="1769"/>
      <c r="P345" s="1769"/>
      <c r="Q345" s="1769"/>
    </row>
    <row r="346" spans="3:28" s="1695" customFormat="1" ht="20.25" customHeight="1">
      <c r="K346" s="1695" t="s">
        <v>1626</v>
      </c>
      <c r="R346" s="1763"/>
      <c r="S346" s="1763"/>
      <c r="T346" s="1763"/>
      <c r="U346" s="1763"/>
      <c r="V346" s="1763"/>
      <c r="W346" s="1763"/>
      <c r="X346" s="1763"/>
      <c r="Y346" s="1763"/>
      <c r="Z346" s="1763"/>
      <c r="AA346" s="1763"/>
      <c r="AB346" s="1763"/>
    </row>
    <row r="347" spans="3:28" s="1695" customFormat="1" ht="20.25" customHeight="1">
      <c r="K347" s="1695" t="s">
        <v>1627</v>
      </c>
      <c r="R347" s="1763"/>
      <c r="S347" s="1763"/>
      <c r="T347" s="1763"/>
      <c r="U347" s="1763"/>
      <c r="V347" s="1763"/>
      <c r="W347" s="1763"/>
      <c r="X347" s="1763"/>
      <c r="Y347" s="1763"/>
      <c r="Z347" s="1763"/>
      <c r="AA347" s="1763"/>
      <c r="AB347" s="1763"/>
    </row>
    <row r="348" spans="3:28" s="1695" customFormat="1" ht="20.25" customHeight="1">
      <c r="K348" s="1695" t="s">
        <v>1628</v>
      </c>
      <c r="R348" s="1763"/>
      <c r="S348" s="1763"/>
      <c r="T348" s="1763"/>
      <c r="U348" s="1763"/>
      <c r="V348" s="1763"/>
      <c r="W348" s="1763"/>
      <c r="X348" s="1763"/>
      <c r="Y348" s="1763"/>
      <c r="Z348" s="1763"/>
      <c r="AA348" s="1763"/>
      <c r="AB348" s="1763"/>
    </row>
    <row r="349" spans="3:28" s="1695" customFormat="1" ht="20.25" customHeight="1">
      <c r="K349" s="1695" t="s">
        <v>1629</v>
      </c>
      <c r="R349" s="1763"/>
      <c r="S349" s="1763"/>
      <c r="T349" s="1763"/>
      <c r="U349" s="1763"/>
      <c r="V349" s="1763"/>
      <c r="W349" s="1763"/>
      <c r="X349" s="1763"/>
      <c r="Y349" s="1763"/>
      <c r="Z349" s="1763"/>
      <c r="AA349" s="1763"/>
      <c r="AB349" s="1763"/>
    </row>
    <row r="350" spans="3:28" s="1695" customFormat="1" ht="20.25" customHeight="1">
      <c r="K350" s="1695" t="s">
        <v>1630</v>
      </c>
      <c r="R350" s="1763"/>
      <c r="S350" s="1763"/>
      <c r="T350" s="1763"/>
      <c r="U350" s="1763"/>
      <c r="V350" s="1763"/>
      <c r="W350" s="1763"/>
      <c r="X350" s="1763"/>
      <c r="Y350" s="1763"/>
      <c r="Z350" s="1763"/>
      <c r="AA350" s="1763"/>
      <c r="AB350" s="1763"/>
    </row>
    <row r="351" spans="3:28" s="1695" customFormat="1" ht="20.25" customHeight="1">
      <c r="R351" s="1763"/>
      <c r="S351" s="1763"/>
      <c r="T351" s="1763"/>
      <c r="U351" s="1763"/>
      <c r="V351" s="1763"/>
      <c r="W351" s="1763"/>
      <c r="X351" s="1763"/>
      <c r="Y351" s="1763"/>
      <c r="Z351" s="1763"/>
      <c r="AA351" s="1763"/>
      <c r="AB351" s="1763"/>
    </row>
    <row r="352" spans="3:28" s="1695" customFormat="1" ht="20.25" customHeight="1">
      <c r="C352" s="1774" t="s">
        <v>1631</v>
      </c>
      <c r="M352" s="1774" t="s">
        <v>1632</v>
      </c>
      <c r="R352" s="1763"/>
      <c r="S352" s="1763"/>
      <c r="T352" s="1763"/>
      <c r="U352" s="1763"/>
      <c r="V352" s="1763"/>
      <c r="W352" s="1763"/>
      <c r="X352" s="1763"/>
      <c r="Y352" s="1763"/>
      <c r="Z352" s="1763"/>
      <c r="AA352" s="1763"/>
      <c r="AB352" s="1763"/>
    </row>
    <row r="353" spans="3:28" s="1695" customFormat="1" ht="20.25" customHeight="1">
      <c r="C353" s="1695" t="s">
        <v>1460</v>
      </c>
      <c r="M353" s="1695" t="s">
        <v>1460</v>
      </c>
      <c r="R353" s="1763"/>
      <c r="S353" s="1763"/>
      <c r="T353" s="1763"/>
      <c r="U353" s="1763"/>
      <c r="V353" s="1763"/>
      <c r="W353" s="1763"/>
      <c r="X353" s="1763"/>
      <c r="Y353" s="1763"/>
      <c r="Z353" s="1763"/>
      <c r="AA353" s="1763"/>
      <c r="AB353" s="1763"/>
    </row>
    <row r="354" spans="3:28" s="1695" customFormat="1" ht="20.25" customHeight="1">
      <c r="C354" s="1695" t="s">
        <v>1633</v>
      </c>
      <c r="M354" s="1695" t="s">
        <v>1634</v>
      </c>
      <c r="R354" s="1763"/>
      <c r="S354" s="1763"/>
      <c r="T354" s="1763"/>
      <c r="U354" s="1763"/>
      <c r="V354" s="1763"/>
      <c r="W354" s="1763"/>
      <c r="X354" s="1763"/>
      <c r="Y354" s="1763"/>
      <c r="Z354" s="1763"/>
      <c r="AA354" s="1763"/>
      <c r="AB354" s="1763"/>
    </row>
    <row r="355" spans="3:28" s="1695" customFormat="1" ht="20.25" customHeight="1">
      <c r="C355" s="1695" t="s">
        <v>1635</v>
      </c>
      <c r="M355" s="1695" t="s">
        <v>1636</v>
      </c>
      <c r="R355" s="1763"/>
      <c r="S355" s="1763"/>
      <c r="T355" s="1763"/>
      <c r="U355" s="1763"/>
      <c r="V355" s="1763"/>
      <c r="W355" s="1763"/>
      <c r="X355" s="1763"/>
      <c r="Y355" s="1763"/>
      <c r="Z355" s="1763"/>
      <c r="AA355" s="1763"/>
      <c r="AB355" s="1763"/>
    </row>
    <row r="356" spans="3:28" s="1695" customFormat="1" ht="20.25" customHeight="1">
      <c r="C356" s="1695" t="s">
        <v>1637</v>
      </c>
      <c r="M356" s="1695" t="s">
        <v>1638</v>
      </c>
      <c r="R356" s="1763"/>
      <c r="S356" s="1763"/>
      <c r="T356" s="1763"/>
      <c r="U356" s="1763"/>
      <c r="V356" s="1763"/>
      <c r="W356" s="1763"/>
      <c r="X356" s="1763"/>
      <c r="Y356" s="1763"/>
      <c r="Z356" s="1763"/>
      <c r="AA356" s="1763"/>
      <c r="AB356" s="1763"/>
    </row>
    <row r="357" spans="3:28" s="1695" customFormat="1" ht="20.25" customHeight="1">
      <c r="C357" s="1695" t="s">
        <v>1639</v>
      </c>
      <c r="M357" s="1695" t="s">
        <v>1640</v>
      </c>
      <c r="R357" s="1763"/>
      <c r="S357" s="1763"/>
      <c r="T357" s="1763"/>
      <c r="U357" s="1763"/>
      <c r="V357" s="1763"/>
      <c r="W357" s="1763"/>
      <c r="X357" s="1763"/>
      <c r="Y357" s="1763"/>
      <c r="Z357" s="1763"/>
      <c r="AA357" s="1763"/>
      <c r="AB357" s="1763"/>
    </row>
    <row r="358" spans="3:28" s="1695" customFormat="1" ht="20.25" customHeight="1">
      <c r="C358" s="1695" t="s">
        <v>1641</v>
      </c>
      <c r="M358" s="1695" t="s">
        <v>1642</v>
      </c>
      <c r="R358" s="1763"/>
      <c r="S358" s="1763"/>
      <c r="T358" s="1763"/>
      <c r="U358" s="1763"/>
      <c r="V358" s="1763"/>
      <c r="W358" s="1763"/>
      <c r="X358" s="1763"/>
      <c r="Y358" s="1763"/>
      <c r="Z358" s="1763"/>
      <c r="AA358" s="1763"/>
      <c r="AB358" s="1763"/>
    </row>
    <row r="359" spans="3:28" s="1695" customFormat="1" ht="20.25" customHeight="1">
      <c r="C359" s="1695" t="s">
        <v>1643</v>
      </c>
      <c r="M359" s="1695" t="s">
        <v>1644</v>
      </c>
      <c r="R359" s="1763"/>
      <c r="S359" s="1763"/>
      <c r="T359" s="1763"/>
      <c r="U359" s="1763"/>
      <c r="V359" s="1763"/>
      <c r="W359" s="1763"/>
      <c r="X359" s="1763"/>
      <c r="Y359" s="1763"/>
      <c r="Z359" s="1763"/>
      <c r="AA359" s="1763"/>
      <c r="AB359" s="1763"/>
    </row>
    <row r="360" spans="3:28" s="1695" customFormat="1" ht="20.25" customHeight="1">
      <c r="C360" s="1695" t="s">
        <v>1645</v>
      </c>
      <c r="M360" s="1695" t="s">
        <v>1646</v>
      </c>
      <c r="R360" s="1763"/>
      <c r="S360" s="1763"/>
      <c r="T360" s="1763"/>
      <c r="U360" s="1763"/>
      <c r="V360" s="1763"/>
      <c r="W360" s="1763"/>
      <c r="X360" s="1763"/>
      <c r="Y360" s="1763"/>
      <c r="Z360" s="1763"/>
      <c r="AA360" s="1763"/>
      <c r="AB360" s="1763"/>
    </row>
    <row r="361" spans="3:28" s="1695" customFormat="1" ht="20.25" customHeight="1">
      <c r="M361" s="1695" t="s">
        <v>1589</v>
      </c>
      <c r="R361" s="1763"/>
      <c r="S361" s="1763"/>
      <c r="T361" s="1763"/>
      <c r="U361" s="1763"/>
      <c r="V361" s="1763"/>
      <c r="W361" s="1763"/>
      <c r="X361" s="1763"/>
      <c r="Y361" s="1763"/>
      <c r="Z361" s="1763"/>
      <c r="AA361" s="1763"/>
      <c r="AB361" s="1763"/>
    </row>
    <row r="362" spans="3:28" s="1695" customFormat="1" ht="20.25" customHeight="1">
      <c r="M362" s="1775" t="s">
        <v>1647</v>
      </c>
      <c r="R362" s="1763"/>
      <c r="S362" s="1763"/>
      <c r="T362" s="1763"/>
      <c r="U362" s="1763"/>
      <c r="V362" s="1763"/>
      <c r="W362" s="1763"/>
      <c r="X362" s="1763"/>
      <c r="Y362" s="1763"/>
      <c r="Z362" s="1763"/>
      <c r="AA362" s="1763"/>
      <c r="AB362" s="1763"/>
    </row>
    <row r="363" spans="3:28" s="1695" customFormat="1" ht="20.25" customHeight="1">
      <c r="R363" s="1763"/>
      <c r="S363" s="1763"/>
      <c r="T363" s="1763"/>
      <c r="U363" s="1763"/>
      <c r="V363" s="1763"/>
      <c r="W363" s="1763"/>
      <c r="X363" s="1763"/>
      <c r="Y363" s="1763"/>
      <c r="Z363" s="1763"/>
      <c r="AA363" s="1763"/>
      <c r="AB363" s="1763"/>
    </row>
    <row r="364" spans="3:28" s="1695" customFormat="1" ht="20.25" customHeight="1">
      <c r="M364" s="1694" t="s">
        <v>1648</v>
      </c>
      <c r="R364" s="1763"/>
      <c r="S364" s="1763"/>
      <c r="T364" s="1763"/>
      <c r="U364" s="1763"/>
      <c r="V364" s="1763"/>
      <c r="W364" s="1763"/>
      <c r="X364" s="1763"/>
      <c r="Y364" s="1763"/>
      <c r="Z364" s="1763"/>
      <c r="AA364" s="1763"/>
      <c r="AB364" s="1763"/>
    </row>
    <row r="365" spans="3:28" s="1695" customFormat="1" ht="20.25" customHeight="1">
      <c r="M365" s="1695" t="s">
        <v>1477</v>
      </c>
      <c r="R365" s="1763"/>
      <c r="S365" s="1763"/>
      <c r="T365" s="1763"/>
      <c r="U365" s="1763"/>
      <c r="V365" s="1763"/>
      <c r="W365" s="1763"/>
      <c r="X365" s="1763"/>
      <c r="Y365" s="1763"/>
      <c r="Z365" s="1763"/>
      <c r="AA365" s="1763"/>
      <c r="AB365" s="1763"/>
    </row>
    <row r="366" spans="3:28" s="1695" customFormat="1" ht="20.25" customHeight="1">
      <c r="M366" s="1695" t="s">
        <v>1649</v>
      </c>
      <c r="R366" s="1763"/>
      <c r="S366" s="1763"/>
      <c r="T366" s="1763"/>
      <c r="U366" s="1763"/>
      <c r="V366" s="1763"/>
      <c r="W366" s="1763"/>
      <c r="X366" s="1763"/>
      <c r="Y366" s="1763"/>
      <c r="Z366" s="1763"/>
      <c r="AA366" s="1763"/>
      <c r="AB366" s="1763"/>
    </row>
    <row r="367" spans="3:28" s="1695" customFormat="1" ht="20.25" customHeight="1">
      <c r="M367" s="1695" t="s">
        <v>1650</v>
      </c>
      <c r="R367" s="1763"/>
      <c r="S367" s="1763"/>
      <c r="T367" s="1763"/>
      <c r="U367" s="1763"/>
      <c r="V367" s="1763"/>
      <c r="W367" s="1763"/>
      <c r="X367" s="1763"/>
      <c r="Y367" s="1763"/>
      <c r="Z367" s="1763"/>
      <c r="AA367" s="1763"/>
      <c r="AB367" s="1763"/>
    </row>
    <row r="368" spans="3:28" s="1695" customFormat="1" ht="20.25" customHeight="1">
      <c r="M368" s="1695" t="s">
        <v>1651</v>
      </c>
      <c r="R368" s="1763"/>
      <c r="S368" s="1763"/>
      <c r="T368" s="1763"/>
      <c r="U368" s="1763"/>
      <c r="V368" s="1763"/>
      <c r="W368" s="1763"/>
      <c r="X368" s="1763"/>
      <c r="Y368" s="1763"/>
      <c r="Z368" s="1763"/>
      <c r="AA368" s="1763"/>
      <c r="AB368" s="1763"/>
    </row>
    <row r="369" spans="4:28" s="1695" customFormat="1" ht="20.25" customHeight="1">
      <c r="D369" s="1694" t="s">
        <v>1652</v>
      </c>
      <c r="M369" s="1695" t="s">
        <v>1653</v>
      </c>
      <c r="R369" s="1763"/>
      <c r="S369" s="1763"/>
      <c r="T369" s="1763"/>
      <c r="U369" s="1763"/>
      <c r="V369" s="1763"/>
      <c r="W369" s="1763"/>
      <c r="X369" s="1763"/>
      <c r="Y369" s="1763"/>
      <c r="Z369" s="1763"/>
      <c r="AA369" s="1763"/>
      <c r="AB369" s="1763"/>
    </row>
    <row r="370" spans="4:28" s="1695" customFormat="1" ht="20.25" customHeight="1">
      <c r="M370" s="1695" t="s">
        <v>1654</v>
      </c>
      <c r="R370" s="1763"/>
      <c r="S370" s="1763"/>
      <c r="T370" s="1763"/>
      <c r="U370" s="1763"/>
      <c r="V370" s="1763"/>
      <c r="W370" s="1763"/>
      <c r="X370" s="1763"/>
      <c r="Y370" s="1763"/>
      <c r="Z370" s="1763"/>
      <c r="AA370" s="1763"/>
      <c r="AB370" s="1763"/>
    </row>
    <row r="371" spans="4:28" s="1695" customFormat="1" ht="20.25" customHeight="1">
      <c r="M371" s="1695" t="s">
        <v>1655</v>
      </c>
      <c r="R371" s="1763"/>
      <c r="S371" s="1763"/>
      <c r="T371" s="1763"/>
      <c r="U371" s="1763"/>
      <c r="V371" s="1763"/>
      <c r="W371" s="1763"/>
      <c r="X371" s="1763"/>
      <c r="Y371" s="1763"/>
      <c r="Z371" s="1763"/>
      <c r="AA371" s="1763"/>
      <c r="AB371" s="1763"/>
    </row>
    <row r="372" spans="4:28" s="1695" customFormat="1" ht="20.25" customHeight="1">
      <c r="M372" s="1695" t="s">
        <v>1656</v>
      </c>
      <c r="R372" s="1763"/>
      <c r="S372" s="1763"/>
      <c r="T372" s="1763"/>
      <c r="U372" s="1763"/>
      <c r="V372" s="1763"/>
      <c r="W372" s="1763"/>
      <c r="X372" s="1763"/>
      <c r="Y372" s="1763"/>
      <c r="Z372" s="1763"/>
      <c r="AA372" s="1763"/>
      <c r="AB372" s="1763"/>
    </row>
    <row r="373" spans="4:28" s="1695" customFormat="1" ht="20.25" customHeight="1">
      <c r="M373" s="1695" t="s">
        <v>1657</v>
      </c>
      <c r="R373" s="1763"/>
      <c r="S373" s="1763"/>
      <c r="T373" s="1763"/>
      <c r="U373" s="1763"/>
      <c r="V373" s="1763"/>
      <c r="W373" s="1763"/>
      <c r="X373" s="1763"/>
      <c r="Y373" s="1763"/>
      <c r="Z373" s="1763"/>
      <c r="AA373" s="1763"/>
      <c r="AB373" s="1763"/>
    </row>
    <row r="374" spans="4:28" s="1695" customFormat="1" ht="20.25" customHeight="1">
      <c r="M374" s="1695" t="s">
        <v>1658</v>
      </c>
      <c r="R374" s="1763"/>
      <c r="S374" s="1763"/>
      <c r="T374" s="1763"/>
      <c r="U374" s="1763"/>
      <c r="V374" s="1763"/>
      <c r="W374" s="1763"/>
      <c r="X374" s="1763"/>
      <c r="Y374" s="1763"/>
      <c r="Z374" s="1763"/>
      <c r="AA374" s="1763"/>
      <c r="AB374" s="1763"/>
    </row>
    <row r="375" spans="4:28" s="1695" customFormat="1" ht="20.25" customHeight="1">
      <c r="M375" s="1695" t="s">
        <v>1659</v>
      </c>
      <c r="R375" s="1763"/>
      <c r="S375" s="1763"/>
      <c r="T375" s="1763"/>
      <c r="U375" s="1763"/>
      <c r="V375" s="1763"/>
      <c r="W375" s="1763"/>
      <c r="X375" s="1763"/>
      <c r="Y375" s="1763"/>
      <c r="Z375" s="1763"/>
      <c r="AA375" s="1763"/>
      <c r="AB375" s="1763"/>
    </row>
    <row r="376" spans="4:28" s="1695" customFormat="1" ht="20.25" customHeight="1">
      <c r="M376" s="1695" t="s">
        <v>1660</v>
      </c>
      <c r="R376" s="1763"/>
      <c r="S376" s="1763"/>
      <c r="T376" s="1763"/>
      <c r="U376" s="1763"/>
      <c r="V376" s="1763"/>
      <c r="W376" s="1763"/>
      <c r="X376" s="1763"/>
      <c r="Y376" s="1763"/>
      <c r="Z376" s="1763"/>
      <c r="AA376" s="1763"/>
      <c r="AB376" s="1763"/>
    </row>
    <row r="377" spans="4:28" s="1695" customFormat="1" ht="20.25" customHeight="1">
      <c r="M377" s="1695" t="s">
        <v>1661</v>
      </c>
      <c r="R377" s="1763"/>
      <c r="S377" s="1763"/>
      <c r="T377" s="1763"/>
      <c r="U377" s="1763"/>
      <c r="V377" s="1763"/>
      <c r="W377" s="1763"/>
      <c r="X377" s="1763"/>
      <c r="Y377" s="1763"/>
      <c r="Z377" s="1763"/>
      <c r="AA377" s="1763"/>
      <c r="AB377" s="1763"/>
    </row>
    <row r="378" spans="4:28" s="1695" customFormat="1" ht="20.25" customHeight="1">
      <c r="M378" s="1695" t="s">
        <v>1662</v>
      </c>
      <c r="R378" s="1763"/>
      <c r="S378" s="1763"/>
      <c r="T378" s="1763"/>
      <c r="U378" s="1763"/>
      <c r="V378" s="1763"/>
      <c r="W378" s="1763"/>
      <c r="X378" s="1763"/>
      <c r="Y378" s="1763"/>
      <c r="Z378" s="1763"/>
      <c r="AA378" s="1763"/>
      <c r="AB378" s="1763"/>
    </row>
    <row r="379" spans="4:28" s="1695" customFormat="1" ht="20.25" customHeight="1">
      <c r="M379" s="1695" t="s">
        <v>1663</v>
      </c>
      <c r="R379" s="1763"/>
      <c r="S379" s="1763"/>
      <c r="T379" s="1763"/>
      <c r="U379" s="1763"/>
      <c r="V379" s="1763"/>
      <c r="W379" s="1763"/>
      <c r="X379" s="1763"/>
      <c r="Y379" s="1763"/>
      <c r="Z379" s="1763"/>
      <c r="AA379" s="1763"/>
      <c r="AB379" s="1763"/>
    </row>
    <row r="380" spans="4:28" s="1695" customFormat="1" ht="20.25" customHeight="1">
      <c r="R380" s="1763"/>
      <c r="S380" s="1763"/>
      <c r="T380" s="1763"/>
      <c r="U380" s="1763"/>
      <c r="V380" s="1763"/>
      <c r="W380" s="1763"/>
      <c r="X380" s="1763"/>
      <c r="Y380" s="1763"/>
      <c r="Z380" s="1763"/>
      <c r="AA380" s="1763"/>
      <c r="AB380" s="1763"/>
    </row>
    <row r="381" spans="4:28" s="1695" customFormat="1" ht="20.25" customHeight="1">
      <c r="R381" s="1763"/>
      <c r="S381" s="1763"/>
      <c r="T381" s="1763"/>
      <c r="U381" s="1763"/>
      <c r="V381" s="1763"/>
      <c r="W381" s="1763"/>
      <c r="X381" s="1763"/>
      <c r="Y381" s="1763"/>
      <c r="Z381" s="1763"/>
      <c r="AA381" s="1763"/>
      <c r="AB381" s="1763"/>
    </row>
    <row r="382" spans="4:28" s="1695" customFormat="1" ht="20.25" customHeight="1">
      <c r="R382" s="1763"/>
      <c r="S382" s="1763"/>
      <c r="T382" s="1763"/>
      <c r="U382" s="1763"/>
      <c r="V382" s="1763"/>
      <c r="W382" s="1763"/>
      <c r="X382" s="1763"/>
      <c r="Y382" s="1763"/>
      <c r="Z382" s="1763"/>
      <c r="AA382" s="1763"/>
      <c r="AB382" s="1763"/>
    </row>
    <row r="383" spans="4:28" s="1695" customFormat="1" ht="20.25" customHeight="1">
      <c r="R383" s="1763"/>
      <c r="S383" s="1763"/>
      <c r="T383" s="1763"/>
      <c r="U383" s="1763"/>
      <c r="V383" s="1763"/>
      <c r="W383" s="1763"/>
      <c r="X383" s="1763"/>
      <c r="Y383" s="1763"/>
      <c r="Z383" s="1763"/>
      <c r="AA383" s="1763"/>
      <c r="AB383" s="1763"/>
    </row>
    <row r="384" spans="4:28" s="1695" customFormat="1" ht="20.25" customHeight="1">
      <c r="R384" s="1763"/>
      <c r="S384" s="1763"/>
      <c r="T384" s="1763"/>
      <c r="U384" s="1763"/>
      <c r="V384" s="1763"/>
      <c r="W384" s="1763"/>
      <c r="X384" s="1763"/>
      <c r="Y384" s="1763"/>
      <c r="Z384" s="1763"/>
      <c r="AA384" s="1763"/>
      <c r="AB384" s="1763"/>
    </row>
    <row r="385" spans="18:28" s="1695" customFormat="1" ht="20.25" customHeight="1">
      <c r="R385" s="1763"/>
      <c r="S385" s="1763"/>
      <c r="T385" s="1763"/>
      <c r="U385" s="1763"/>
      <c r="V385" s="1763"/>
      <c r="W385" s="1763"/>
      <c r="X385" s="1763"/>
      <c r="Y385" s="1763"/>
      <c r="Z385" s="1763"/>
      <c r="AA385" s="1763"/>
      <c r="AB385" s="1763"/>
    </row>
    <row r="386" spans="18:28" s="1695" customFormat="1" ht="20.25" customHeight="1">
      <c r="R386" s="1763"/>
      <c r="S386" s="1763"/>
      <c r="T386" s="1763"/>
      <c r="U386" s="1763"/>
      <c r="V386" s="1763"/>
      <c r="W386" s="1763"/>
      <c r="X386" s="1763"/>
      <c r="Y386" s="1763"/>
      <c r="Z386" s="1763"/>
      <c r="AA386" s="1763"/>
      <c r="AB386" s="1763"/>
    </row>
    <row r="387" spans="18:28" s="1695" customFormat="1" ht="20.25" customHeight="1">
      <c r="R387" s="1763"/>
      <c r="S387" s="1763"/>
      <c r="T387" s="1763"/>
      <c r="U387" s="1763"/>
      <c r="V387" s="1763"/>
      <c r="W387" s="1763"/>
      <c r="X387" s="1763"/>
      <c r="Y387" s="1763"/>
      <c r="Z387" s="1763"/>
      <c r="AA387" s="1763"/>
      <c r="AB387" s="1763"/>
    </row>
    <row r="388" spans="18:28" s="1695" customFormat="1" ht="20.25" customHeight="1">
      <c r="R388" s="1763"/>
      <c r="S388" s="1763"/>
      <c r="T388" s="1763"/>
      <c r="U388" s="1763"/>
      <c r="V388" s="1763"/>
      <c r="W388" s="1763"/>
      <c r="X388" s="1763"/>
      <c r="Y388" s="1763"/>
      <c r="Z388" s="1763"/>
      <c r="AA388" s="1763"/>
      <c r="AB388" s="1763"/>
    </row>
    <row r="389" spans="18:28" s="1695" customFormat="1" ht="20.25" customHeight="1">
      <c r="R389" s="1763"/>
      <c r="S389" s="1763"/>
      <c r="T389" s="1763"/>
      <c r="U389" s="1763"/>
      <c r="V389" s="1763"/>
      <c r="W389" s="1763"/>
      <c r="X389" s="1763"/>
      <c r="Y389" s="1763"/>
      <c r="Z389" s="1763"/>
      <c r="AA389" s="1763"/>
      <c r="AB389" s="1763"/>
    </row>
    <row r="390" spans="18:28" s="1695" customFormat="1" ht="20.25" customHeight="1">
      <c r="R390" s="1763"/>
      <c r="S390" s="1763"/>
      <c r="T390" s="1763"/>
      <c r="U390" s="1763"/>
      <c r="V390" s="1763"/>
      <c r="W390" s="1763"/>
      <c r="X390" s="1763"/>
      <c r="Y390" s="1763"/>
      <c r="Z390" s="1763"/>
      <c r="AA390" s="1763"/>
      <c r="AB390" s="1763"/>
    </row>
    <row r="391" spans="18:28" s="1695" customFormat="1" ht="20.25" customHeight="1">
      <c r="R391" s="1763"/>
      <c r="S391" s="1763"/>
      <c r="T391" s="1763"/>
      <c r="U391" s="1763"/>
      <c r="V391" s="1763"/>
      <c r="W391" s="1763"/>
      <c r="X391" s="1763"/>
      <c r="Y391" s="1763"/>
      <c r="Z391" s="1763"/>
      <c r="AA391" s="1763"/>
      <c r="AB391" s="1763"/>
    </row>
    <row r="392" spans="18:28" s="1695" customFormat="1" ht="20.25" customHeight="1">
      <c r="R392" s="1763"/>
      <c r="S392" s="1763"/>
      <c r="T392" s="1763"/>
      <c r="U392" s="1763"/>
      <c r="V392" s="1763"/>
      <c r="W392" s="1763"/>
      <c r="X392" s="1763"/>
      <c r="Y392" s="1763"/>
      <c r="Z392" s="1763"/>
      <c r="AA392" s="1763"/>
      <c r="AB392" s="1763"/>
    </row>
    <row r="393" spans="18:28" s="1695" customFormat="1" ht="20.25" customHeight="1">
      <c r="R393" s="1763"/>
      <c r="S393" s="1763"/>
      <c r="T393" s="1763"/>
      <c r="U393" s="1763"/>
      <c r="V393" s="1763"/>
      <c r="W393" s="1763"/>
      <c r="X393" s="1763"/>
      <c r="Y393" s="1763"/>
      <c r="Z393" s="1763"/>
      <c r="AA393" s="1763"/>
      <c r="AB393" s="1763"/>
    </row>
    <row r="394" spans="18:28" s="1695" customFormat="1" ht="20.25" customHeight="1">
      <c r="R394" s="1763"/>
      <c r="S394" s="1763"/>
      <c r="T394" s="1763"/>
      <c r="U394" s="1763"/>
      <c r="V394" s="1763"/>
      <c r="W394" s="1763"/>
      <c r="X394" s="1763"/>
      <c r="Y394" s="1763"/>
      <c r="Z394" s="1763"/>
      <c r="AA394" s="1763"/>
      <c r="AB394" s="1763"/>
    </row>
    <row r="395" spans="18:28" s="1695" customFormat="1" ht="20.25" customHeight="1">
      <c r="R395" s="1763"/>
      <c r="S395" s="1763"/>
      <c r="T395" s="1763"/>
      <c r="U395" s="1763"/>
      <c r="V395" s="1763"/>
      <c r="W395" s="1763"/>
      <c r="X395" s="1763"/>
      <c r="Y395" s="1763"/>
      <c r="Z395" s="1763"/>
      <c r="AA395" s="1763"/>
      <c r="AB395" s="1763"/>
    </row>
    <row r="396" spans="18:28" s="1695" customFormat="1" ht="20.25" customHeight="1">
      <c r="R396" s="1763"/>
      <c r="S396" s="1763"/>
      <c r="T396" s="1763"/>
      <c r="U396" s="1763"/>
      <c r="V396" s="1763"/>
      <c r="W396" s="1763"/>
      <c r="X396" s="1763"/>
      <c r="Y396" s="1763"/>
      <c r="Z396" s="1763"/>
      <c r="AA396" s="1763"/>
      <c r="AB396" s="1763"/>
    </row>
    <row r="397" spans="18:28" s="1695" customFormat="1" ht="20.25" customHeight="1">
      <c r="R397" s="1763"/>
      <c r="S397" s="1763"/>
      <c r="T397" s="1763"/>
      <c r="U397" s="1763"/>
      <c r="V397" s="1763"/>
      <c r="W397" s="1763"/>
      <c r="X397" s="1763"/>
      <c r="Y397" s="1763"/>
      <c r="Z397" s="1763"/>
      <c r="AA397" s="1763"/>
      <c r="AB397" s="1763"/>
    </row>
    <row r="398" spans="18:28" s="1695" customFormat="1" ht="20.25" customHeight="1">
      <c r="R398" s="1763"/>
      <c r="S398" s="1763"/>
      <c r="T398" s="1763"/>
      <c r="U398" s="1763"/>
      <c r="V398" s="1763"/>
      <c r="W398" s="1763"/>
      <c r="X398" s="1763"/>
      <c r="Y398" s="1763"/>
      <c r="Z398" s="1763"/>
      <c r="AA398" s="1763"/>
      <c r="AB398" s="1763"/>
    </row>
    <row r="399" spans="18:28" s="1695" customFormat="1" ht="20.25" customHeight="1">
      <c r="R399" s="1763"/>
      <c r="S399" s="1763"/>
      <c r="T399" s="1763"/>
      <c r="U399" s="1763"/>
      <c r="V399" s="1763"/>
      <c r="W399" s="1763"/>
      <c r="X399" s="1763"/>
      <c r="Y399" s="1763"/>
      <c r="Z399" s="1763"/>
      <c r="AA399" s="1763"/>
      <c r="AB399" s="1763"/>
    </row>
    <row r="400" spans="18:28" s="1695" customFormat="1" ht="20.25" customHeight="1">
      <c r="R400" s="1763"/>
      <c r="S400" s="1763"/>
      <c r="T400" s="1763"/>
      <c r="U400" s="1763"/>
      <c r="V400" s="1763"/>
      <c r="W400" s="1763"/>
      <c r="X400" s="1763"/>
      <c r="Y400" s="1763"/>
      <c r="Z400" s="1763"/>
      <c r="AA400" s="1763"/>
      <c r="AB400" s="1763"/>
    </row>
    <row r="401" spans="18:28" s="1695" customFormat="1" ht="20.25" customHeight="1">
      <c r="R401" s="1763"/>
      <c r="S401" s="1763"/>
      <c r="T401" s="1763"/>
      <c r="U401" s="1763"/>
      <c r="V401" s="1763"/>
      <c r="W401" s="1763"/>
      <c r="X401" s="1763"/>
      <c r="Y401" s="1763"/>
      <c r="Z401" s="1763"/>
      <c r="AA401" s="1763"/>
      <c r="AB401" s="1763"/>
    </row>
    <row r="402" spans="18:28" s="1695" customFormat="1" ht="20.25" customHeight="1">
      <c r="R402" s="1763"/>
      <c r="S402" s="1763"/>
      <c r="T402" s="1763"/>
      <c r="U402" s="1763"/>
      <c r="V402" s="1763"/>
      <c r="W402" s="1763"/>
      <c r="X402" s="1763"/>
      <c r="Y402" s="1763"/>
      <c r="Z402" s="1763"/>
      <c r="AA402" s="1763"/>
      <c r="AB402" s="1763"/>
    </row>
    <row r="403" spans="18:28" s="1695" customFormat="1" ht="20.25" customHeight="1">
      <c r="R403" s="1763"/>
      <c r="S403" s="1763"/>
      <c r="T403" s="1763"/>
      <c r="U403" s="1763"/>
      <c r="V403" s="1763"/>
      <c r="W403" s="1763"/>
      <c r="X403" s="1763"/>
      <c r="Y403" s="1763"/>
      <c r="Z403" s="1763"/>
      <c r="AA403" s="1763"/>
      <c r="AB403" s="1763"/>
    </row>
    <row r="404" spans="18:28" s="1695" customFormat="1" ht="20.25" customHeight="1">
      <c r="R404" s="1763"/>
      <c r="S404" s="1763"/>
      <c r="T404" s="1763"/>
      <c r="U404" s="1763"/>
      <c r="V404" s="1763"/>
      <c r="W404" s="1763"/>
      <c r="X404" s="1763"/>
      <c r="Y404" s="1763"/>
      <c r="Z404" s="1763"/>
      <c r="AA404" s="1763"/>
      <c r="AB404" s="1763"/>
    </row>
    <row r="405" spans="18:28" s="1695" customFormat="1" ht="20.25" customHeight="1">
      <c r="R405" s="1763"/>
      <c r="S405" s="1763"/>
      <c r="T405" s="1763"/>
      <c r="U405" s="1763"/>
      <c r="V405" s="1763"/>
      <c r="W405" s="1763"/>
      <c r="X405" s="1763"/>
      <c r="Y405" s="1763"/>
      <c r="Z405" s="1763"/>
      <c r="AA405" s="1763"/>
      <c r="AB405" s="1763"/>
    </row>
    <row r="406" spans="18:28" s="1695" customFormat="1" ht="20.25" customHeight="1">
      <c r="R406" s="1763"/>
      <c r="S406" s="1763"/>
      <c r="T406" s="1763"/>
      <c r="U406" s="1763"/>
      <c r="V406" s="1763"/>
      <c r="W406" s="1763"/>
      <c r="X406" s="1763"/>
      <c r="Y406" s="1763"/>
      <c r="Z406" s="1763"/>
      <c r="AA406" s="1763"/>
      <c r="AB406" s="1763"/>
    </row>
    <row r="407" spans="18:28" s="1695" customFormat="1" ht="20.25" customHeight="1">
      <c r="R407" s="1763"/>
      <c r="S407" s="1763"/>
      <c r="T407" s="1763"/>
      <c r="U407" s="1763"/>
      <c r="V407" s="1763"/>
      <c r="W407" s="1763"/>
      <c r="X407" s="1763"/>
      <c r="Y407" s="1763"/>
      <c r="Z407" s="1763"/>
      <c r="AA407" s="1763"/>
      <c r="AB407" s="1763"/>
    </row>
    <row r="408" spans="18:28" s="1695" customFormat="1" ht="20.25" customHeight="1">
      <c r="R408" s="1763"/>
      <c r="S408" s="1763"/>
      <c r="T408" s="1763"/>
      <c r="U408" s="1763"/>
      <c r="V408" s="1763"/>
      <c r="W408" s="1763"/>
      <c r="X408" s="1763"/>
      <c r="Y408" s="1763"/>
      <c r="Z408" s="1763"/>
      <c r="AA408" s="1763"/>
      <c r="AB408" s="1763"/>
    </row>
    <row r="409" spans="18:28" s="1695" customFormat="1" ht="20.25" customHeight="1">
      <c r="R409" s="1763"/>
      <c r="S409" s="1763"/>
      <c r="T409" s="1763"/>
      <c r="U409" s="1763"/>
      <c r="V409" s="1763"/>
      <c r="W409" s="1763"/>
      <c r="X409" s="1763"/>
      <c r="Y409" s="1763"/>
      <c r="Z409" s="1763"/>
      <c r="AA409" s="1763"/>
      <c r="AB409" s="1763"/>
    </row>
    <row r="410" spans="18:28" s="1695" customFormat="1" ht="20.25" customHeight="1">
      <c r="R410" s="1763"/>
      <c r="S410" s="1763"/>
      <c r="T410" s="1763"/>
      <c r="U410" s="1763"/>
      <c r="V410" s="1763"/>
      <c r="W410" s="1763"/>
      <c r="X410" s="1763"/>
      <c r="Y410" s="1763"/>
      <c r="Z410" s="1763"/>
      <c r="AA410" s="1763"/>
      <c r="AB410" s="1763"/>
    </row>
    <row r="411" spans="18:28" s="1695" customFormat="1" ht="20.25" customHeight="1">
      <c r="R411" s="1763"/>
      <c r="S411" s="1763"/>
      <c r="T411" s="1763"/>
      <c r="U411" s="1763"/>
      <c r="V411" s="1763"/>
      <c r="W411" s="1763"/>
      <c r="X411" s="1763"/>
      <c r="Y411" s="1763"/>
      <c r="Z411" s="1763"/>
      <c r="AA411" s="1763"/>
      <c r="AB411" s="1763"/>
    </row>
    <row r="412" spans="18:28" s="1695" customFormat="1" ht="20.25" customHeight="1">
      <c r="R412" s="1763"/>
      <c r="S412" s="1763"/>
      <c r="T412" s="1763"/>
      <c r="U412" s="1763"/>
      <c r="V412" s="1763"/>
      <c r="W412" s="1763"/>
      <c r="X412" s="1763"/>
      <c r="Y412" s="1763"/>
      <c r="Z412" s="1763"/>
      <c r="AA412" s="1763"/>
      <c r="AB412" s="1763"/>
    </row>
    <row r="413" spans="18:28" s="1695" customFormat="1" ht="20.25" customHeight="1">
      <c r="R413" s="1763"/>
      <c r="S413" s="1763"/>
      <c r="T413" s="1763"/>
      <c r="U413" s="1763"/>
      <c r="V413" s="1763"/>
      <c r="W413" s="1763"/>
      <c r="X413" s="1763"/>
      <c r="Y413" s="1763"/>
      <c r="Z413" s="1763"/>
      <c r="AA413" s="1763"/>
      <c r="AB413" s="1763"/>
    </row>
    <row r="414" spans="18:28" s="1695" customFormat="1" ht="20.25" customHeight="1">
      <c r="R414" s="1763"/>
      <c r="S414" s="1763"/>
      <c r="T414" s="1763"/>
      <c r="U414" s="1763"/>
      <c r="V414" s="1763"/>
      <c r="W414" s="1763"/>
      <c r="X414" s="1763"/>
      <c r="Y414" s="1763"/>
      <c r="Z414" s="1763"/>
      <c r="AA414" s="1763"/>
      <c r="AB414" s="1763"/>
    </row>
    <row r="415" spans="18:28" s="1695" customFormat="1" ht="20.25" customHeight="1">
      <c r="R415" s="1763"/>
      <c r="S415" s="1763"/>
      <c r="T415" s="1763"/>
      <c r="U415" s="1763"/>
      <c r="V415" s="1763"/>
      <c r="W415" s="1763"/>
      <c r="X415" s="1763"/>
      <c r="Y415" s="1763"/>
      <c r="Z415" s="1763"/>
      <c r="AA415" s="1763"/>
      <c r="AB415" s="1763"/>
    </row>
    <row r="416" spans="18:28" s="1695" customFormat="1" ht="20.25" customHeight="1">
      <c r="R416" s="1763"/>
      <c r="S416" s="1763"/>
      <c r="T416" s="1763"/>
      <c r="U416" s="1763"/>
      <c r="V416" s="1763"/>
      <c r="W416" s="1763"/>
      <c r="X416" s="1763"/>
      <c r="Y416" s="1763"/>
      <c r="Z416" s="1763"/>
      <c r="AA416" s="1763"/>
      <c r="AB416" s="1763"/>
    </row>
    <row r="417" spans="18:28" s="1695" customFormat="1" ht="20.25" customHeight="1">
      <c r="R417" s="1763"/>
      <c r="S417" s="1763"/>
      <c r="T417" s="1763"/>
      <c r="U417" s="1763"/>
      <c r="V417" s="1763"/>
      <c r="W417" s="1763"/>
      <c r="X417" s="1763"/>
      <c r="Y417" s="1763"/>
      <c r="Z417" s="1763"/>
      <c r="AA417" s="1763"/>
      <c r="AB417" s="1763"/>
    </row>
    <row r="418" spans="18:28" s="1695" customFormat="1" ht="20.25" customHeight="1">
      <c r="R418" s="1763"/>
      <c r="S418" s="1763"/>
      <c r="T418" s="1763"/>
      <c r="U418" s="1763"/>
      <c r="V418" s="1763"/>
      <c r="W418" s="1763"/>
      <c r="X418" s="1763"/>
      <c r="Y418" s="1763"/>
      <c r="Z418" s="1763"/>
      <c r="AA418" s="1763"/>
      <c r="AB418" s="1763"/>
    </row>
    <row r="419" spans="18:28" s="1695" customFormat="1" ht="20.25" customHeight="1">
      <c r="R419" s="1763"/>
      <c r="S419" s="1763"/>
      <c r="T419" s="1763"/>
      <c r="U419" s="1763"/>
      <c r="V419" s="1763"/>
      <c r="W419" s="1763"/>
      <c r="X419" s="1763"/>
      <c r="Y419" s="1763"/>
      <c r="Z419" s="1763"/>
      <c r="AA419" s="1763"/>
      <c r="AB419" s="1763"/>
    </row>
    <row r="420" spans="18:28" s="1695" customFormat="1" ht="20.25" customHeight="1">
      <c r="R420" s="1763"/>
      <c r="S420" s="1763"/>
      <c r="T420" s="1763"/>
      <c r="U420" s="1763"/>
      <c r="V420" s="1763"/>
      <c r="W420" s="1763"/>
      <c r="X420" s="1763"/>
      <c r="Y420" s="1763"/>
      <c r="Z420" s="1763"/>
      <c r="AA420" s="1763"/>
      <c r="AB420" s="1763"/>
    </row>
    <row r="421" spans="18:28" s="1695" customFormat="1" ht="20.25" customHeight="1">
      <c r="R421" s="1763"/>
      <c r="S421" s="1763"/>
      <c r="T421" s="1763"/>
      <c r="U421" s="1763"/>
      <c r="V421" s="1763"/>
      <c r="W421" s="1763"/>
      <c r="X421" s="1763"/>
      <c r="Y421" s="1763"/>
      <c r="Z421" s="1763"/>
      <c r="AA421" s="1763"/>
      <c r="AB421" s="1763"/>
    </row>
    <row r="422" spans="18:28" s="1695" customFormat="1" ht="20.25" customHeight="1">
      <c r="R422" s="1763"/>
      <c r="S422" s="1763"/>
      <c r="T422" s="1763"/>
      <c r="U422" s="1763"/>
      <c r="V422" s="1763"/>
      <c r="W422" s="1763"/>
      <c r="X422" s="1763"/>
      <c r="Y422" s="1763"/>
      <c r="Z422" s="1763"/>
      <c r="AA422" s="1763"/>
      <c r="AB422" s="1763"/>
    </row>
    <row r="423" spans="18:28" s="1695" customFormat="1" ht="20.25" customHeight="1">
      <c r="R423" s="1763"/>
      <c r="S423" s="1763"/>
      <c r="T423" s="1763"/>
      <c r="U423" s="1763"/>
      <c r="V423" s="1763"/>
      <c r="W423" s="1763"/>
      <c r="X423" s="1763"/>
      <c r="Y423" s="1763"/>
      <c r="Z423" s="1763"/>
      <c r="AA423" s="1763"/>
      <c r="AB423" s="1763"/>
    </row>
    <row r="424" spans="18:28" s="1695" customFormat="1" ht="20.25" customHeight="1">
      <c r="R424" s="1763"/>
      <c r="S424" s="1763"/>
      <c r="T424" s="1763"/>
      <c r="U424" s="1763"/>
      <c r="V424" s="1763"/>
      <c r="W424" s="1763"/>
      <c r="X424" s="1763"/>
      <c r="Y424" s="1763"/>
      <c r="Z424" s="1763"/>
      <c r="AA424" s="1763"/>
      <c r="AB424" s="1763"/>
    </row>
    <row r="425" spans="18:28" s="1695" customFormat="1" ht="20.25" customHeight="1">
      <c r="R425" s="1763"/>
      <c r="S425" s="1763"/>
      <c r="T425" s="1763"/>
      <c r="U425" s="1763"/>
      <c r="V425" s="1763"/>
      <c r="W425" s="1763"/>
      <c r="X425" s="1763"/>
      <c r="Y425" s="1763"/>
      <c r="Z425" s="1763"/>
      <c r="AA425" s="1763"/>
      <c r="AB425" s="1763"/>
    </row>
    <row r="426" spans="18:28" s="1695" customFormat="1" ht="20.25" customHeight="1">
      <c r="R426" s="1763"/>
      <c r="S426" s="1763"/>
      <c r="T426" s="1763"/>
      <c r="U426" s="1763"/>
      <c r="V426" s="1763"/>
      <c r="W426" s="1763"/>
      <c r="X426" s="1763"/>
      <c r="Y426" s="1763"/>
      <c r="Z426" s="1763"/>
      <c r="AA426" s="1763"/>
      <c r="AB426" s="1763"/>
    </row>
    <row r="427" spans="18:28" s="1695" customFormat="1" ht="20.25" customHeight="1">
      <c r="R427" s="1763"/>
      <c r="S427" s="1763"/>
      <c r="T427" s="1763"/>
      <c r="U427" s="1763"/>
      <c r="V427" s="1763"/>
      <c r="W427" s="1763"/>
      <c r="X427" s="1763"/>
      <c r="Y427" s="1763"/>
      <c r="Z427" s="1763"/>
      <c r="AA427" s="1763"/>
      <c r="AB427" s="1763"/>
    </row>
    <row r="428" spans="18:28" s="1695" customFormat="1" ht="20.25" customHeight="1">
      <c r="R428" s="1763"/>
      <c r="S428" s="1763"/>
      <c r="T428" s="1763"/>
      <c r="U428" s="1763"/>
      <c r="V428" s="1763"/>
      <c r="W428" s="1763"/>
      <c r="X428" s="1763"/>
      <c r="Y428" s="1763"/>
      <c r="Z428" s="1763"/>
      <c r="AA428" s="1763"/>
      <c r="AB428" s="1763"/>
    </row>
    <row r="429" spans="18:28" s="1695" customFormat="1" ht="20.25" customHeight="1">
      <c r="R429" s="1763"/>
      <c r="S429" s="1763"/>
      <c r="T429" s="1763"/>
      <c r="U429" s="1763"/>
      <c r="V429" s="1763"/>
      <c r="W429" s="1763"/>
      <c r="X429" s="1763"/>
      <c r="Y429" s="1763"/>
      <c r="Z429" s="1763"/>
      <c r="AA429" s="1763"/>
      <c r="AB429" s="1763"/>
    </row>
    <row r="430" spans="18:28" s="1695" customFormat="1" ht="20.25" customHeight="1">
      <c r="R430" s="1763"/>
      <c r="S430" s="1763"/>
      <c r="T430" s="1763"/>
      <c r="U430" s="1763"/>
      <c r="V430" s="1763"/>
      <c r="W430" s="1763"/>
      <c r="X430" s="1763"/>
      <c r="Y430" s="1763"/>
      <c r="Z430" s="1763"/>
      <c r="AA430" s="1763"/>
      <c r="AB430" s="1763"/>
    </row>
    <row r="431" spans="18:28" s="1695" customFormat="1" ht="20.25" customHeight="1">
      <c r="R431" s="1763"/>
      <c r="S431" s="1763"/>
      <c r="T431" s="1763"/>
      <c r="U431" s="1763"/>
      <c r="V431" s="1763"/>
      <c r="W431" s="1763"/>
      <c r="X431" s="1763"/>
      <c r="Y431" s="1763"/>
      <c r="Z431" s="1763"/>
      <c r="AA431" s="1763"/>
      <c r="AB431" s="1763"/>
    </row>
    <row r="432" spans="18:28" s="1695" customFormat="1" ht="20.25" customHeight="1">
      <c r="R432" s="1763"/>
      <c r="S432" s="1763"/>
      <c r="T432" s="1763"/>
      <c r="U432" s="1763"/>
      <c r="V432" s="1763"/>
      <c r="W432" s="1763"/>
      <c r="X432" s="1763"/>
      <c r="Y432" s="1763"/>
      <c r="Z432" s="1763"/>
      <c r="AA432" s="1763"/>
      <c r="AB432" s="1763"/>
    </row>
    <row r="433" spans="18:28" s="1695" customFormat="1" ht="20.25" customHeight="1">
      <c r="R433" s="1763"/>
      <c r="S433" s="1763"/>
      <c r="T433" s="1763"/>
      <c r="U433" s="1763"/>
      <c r="V433" s="1763"/>
      <c r="W433" s="1763"/>
      <c r="X433" s="1763"/>
      <c r="Y433" s="1763"/>
      <c r="Z433" s="1763"/>
      <c r="AA433" s="1763"/>
      <c r="AB433" s="1763"/>
    </row>
    <row r="434" spans="18:28" s="1695" customFormat="1" ht="20.25" customHeight="1">
      <c r="R434" s="1763"/>
      <c r="S434" s="1763"/>
      <c r="T434" s="1763"/>
      <c r="U434" s="1763"/>
      <c r="V434" s="1763"/>
      <c r="W434" s="1763"/>
      <c r="X434" s="1763"/>
      <c r="Y434" s="1763"/>
      <c r="Z434" s="1763"/>
      <c r="AA434" s="1763"/>
      <c r="AB434" s="1763"/>
    </row>
    <row r="435" spans="18:28" s="1695" customFormat="1" ht="20.25" customHeight="1">
      <c r="R435" s="1763"/>
      <c r="S435" s="1763"/>
      <c r="T435" s="1763"/>
      <c r="U435" s="1763"/>
      <c r="V435" s="1763"/>
      <c r="W435" s="1763"/>
      <c r="X435" s="1763"/>
      <c r="Y435" s="1763"/>
      <c r="Z435" s="1763"/>
      <c r="AA435" s="1763"/>
      <c r="AB435" s="1763"/>
    </row>
    <row r="436" spans="18:28" s="1695" customFormat="1" ht="20.25" customHeight="1">
      <c r="R436" s="1763"/>
      <c r="S436" s="1763"/>
      <c r="T436" s="1763"/>
      <c r="U436" s="1763"/>
      <c r="V436" s="1763"/>
      <c r="W436" s="1763"/>
      <c r="X436" s="1763"/>
      <c r="Y436" s="1763"/>
      <c r="Z436" s="1763"/>
      <c r="AA436" s="1763"/>
      <c r="AB436" s="1763"/>
    </row>
    <row r="437" spans="18:28" s="1695" customFormat="1" ht="20.25" customHeight="1">
      <c r="R437" s="1763"/>
      <c r="S437" s="1763"/>
      <c r="T437" s="1763"/>
      <c r="U437" s="1763"/>
      <c r="V437" s="1763"/>
      <c r="W437" s="1763"/>
      <c r="X437" s="1763"/>
      <c r="Y437" s="1763"/>
      <c r="Z437" s="1763"/>
      <c r="AA437" s="1763"/>
      <c r="AB437" s="1763"/>
    </row>
    <row r="438" spans="18:28" s="1695" customFormat="1" ht="20.25" customHeight="1">
      <c r="R438" s="1763"/>
      <c r="S438" s="1763"/>
      <c r="T438" s="1763"/>
      <c r="U438" s="1763"/>
      <c r="V438" s="1763"/>
      <c r="W438" s="1763"/>
      <c r="X438" s="1763"/>
      <c r="Y438" s="1763"/>
      <c r="Z438" s="1763"/>
      <c r="AA438" s="1763"/>
      <c r="AB438" s="1763"/>
    </row>
    <row r="439" spans="18:28" s="1695" customFormat="1" ht="20.25" customHeight="1">
      <c r="R439" s="1763"/>
      <c r="S439" s="1763"/>
      <c r="T439" s="1763"/>
      <c r="U439" s="1763"/>
      <c r="V439" s="1763"/>
      <c r="W439" s="1763"/>
      <c r="X439" s="1763"/>
      <c r="Y439" s="1763"/>
      <c r="Z439" s="1763"/>
      <c r="AA439" s="1763"/>
      <c r="AB439" s="1763"/>
    </row>
    <row r="440" spans="18:28" s="1695" customFormat="1" ht="20.25" customHeight="1">
      <c r="R440" s="1763"/>
      <c r="S440" s="1763"/>
      <c r="T440" s="1763"/>
      <c r="U440" s="1763"/>
      <c r="V440" s="1763"/>
      <c r="W440" s="1763"/>
      <c r="X440" s="1763"/>
      <c r="Y440" s="1763"/>
      <c r="Z440" s="1763"/>
      <c r="AA440" s="1763"/>
      <c r="AB440" s="1763"/>
    </row>
    <row r="441" spans="18:28" s="1695" customFormat="1" ht="20.25" customHeight="1">
      <c r="R441" s="1763"/>
      <c r="S441" s="1763"/>
      <c r="T441" s="1763"/>
      <c r="U441" s="1763"/>
      <c r="V441" s="1763"/>
      <c r="W441" s="1763"/>
      <c r="X441" s="1763"/>
      <c r="Y441" s="1763"/>
      <c r="Z441" s="1763"/>
      <c r="AA441" s="1763"/>
      <c r="AB441" s="1763"/>
    </row>
    <row r="442" spans="18:28" s="1695" customFormat="1" ht="20.25" customHeight="1">
      <c r="R442" s="1763"/>
      <c r="S442" s="1763"/>
      <c r="T442" s="1763"/>
      <c r="U442" s="1763"/>
      <c r="V442" s="1763"/>
      <c r="W442" s="1763"/>
      <c r="X442" s="1763"/>
      <c r="Y442" s="1763"/>
      <c r="Z442" s="1763"/>
      <c r="AA442" s="1763"/>
      <c r="AB442" s="1763"/>
    </row>
    <row r="443" spans="18:28" s="1695" customFormat="1" ht="20.25" customHeight="1">
      <c r="R443" s="1763"/>
      <c r="S443" s="1763"/>
      <c r="T443" s="1763"/>
      <c r="U443" s="1763"/>
      <c r="V443" s="1763"/>
      <c r="W443" s="1763"/>
      <c r="X443" s="1763"/>
      <c r="Y443" s="1763"/>
      <c r="Z443" s="1763"/>
      <c r="AA443" s="1763"/>
      <c r="AB443" s="1763"/>
    </row>
    <row r="444" spans="18:28" s="1695" customFormat="1" ht="20.25" customHeight="1">
      <c r="R444" s="1763"/>
      <c r="S444" s="1763"/>
      <c r="T444" s="1763"/>
      <c r="U444" s="1763"/>
      <c r="V444" s="1763"/>
      <c r="W444" s="1763"/>
      <c r="X444" s="1763"/>
      <c r="Y444" s="1763"/>
      <c r="Z444" s="1763"/>
      <c r="AA444" s="1763"/>
      <c r="AB444" s="1763"/>
    </row>
    <row r="445" spans="18:28" s="1695" customFormat="1" ht="20.25" customHeight="1">
      <c r="R445" s="1763"/>
      <c r="S445" s="1763"/>
      <c r="T445" s="1763"/>
      <c r="U445" s="1763"/>
      <c r="V445" s="1763"/>
      <c r="W445" s="1763"/>
      <c r="X445" s="1763"/>
      <c r="Y445" s="1763"/>
      <c r="Z445" s="1763"/>
      <c r="AA445" s="1763"/>
      <c r="AB445" s="1763"/>
    </row>
    <row r="446" spans="18:28" s="1695" customFormat="1" ht="20.25" customHeight="1">
      <c r="R446" s="1763"/>
      <c r="S446" s="1763"/>
      <c r="T446" s="1763"/>
      <c r="U446" s="1763"/>
      <c r="V446" s="1763"/>
      <c r="W446" s="1763"/>
      <c r="X446" s="1763"/>
      <c r="Y446" s="1763"/>
      <c r="Z446" s="1763"/>
      <c r="AA446" s="1763"/>
      <c r="AB446" s="1763"/>
    </row>
    <row r="447" spans="18:28" s="1695" customFormat="1" ht="20.25" customHeight="1">
      <c r="R447" s="1763"/>
      <c r="S447" s="1763"/>
      <c r="T447" s="1763"/>
      <c r="U447" s="1763"/>
      <c r="V447" s="1763"/>
      <c r="W447" s="1763"/>
      <c r="X447" s="1763"/>
      <c r="Y447" s="1763"/>
      <c r="Z447" s="1763"/>
      <c r="AA447" s="1763"/>
      <c r="AB447" s="1763"/>
    </row>
    <row r="448" spans="18:28" s="1695" customFormat="1" ht="20.25" customHeight="1">
      <c r="R448" s="1763"/>
      <c r="S448" s="1763"/>
      <c r="T448" s="1763"/>
      <c r="U448" s="1763"/>
      <c r="V448" s="1763"/>
      <c r="W448" s="1763"/>
      <c r="X448" s="1763"/>
      <c r="Y448" s="1763"/>
      <c r="Z448" s="1763"/>
      <c r="AA448" s="1763"/>
      <c r="AB448" s="1763"/>
    </row>
    <row r="449" spans="18:28" s="1695" customFormat="1" ht="20.25" customHeight="1">
      <c r="R449" s="1763"/>
      <c r="S449" s="1763"/>
      <c r="T449" s="1763"/>
      <c r="U449" s="1763"/>
      <c r="V449" s="1763"/>
      <c r="W449" s="1763"/>
      <c r="X449" s="1763"/>
      <c r="Y449" s="1763"/>
      <c r="Z449" s="1763"/>
      <c r="AA449" s="1763"/>
      <c r="AB449" s="1763"/>
    </row>
    <row r="450" spans="18:28" s="1695" customFormat="1" ht="20.25" customHeight="1">
      <c r="R450" s="1763"/>
      <c r="S450" s="1763"/>
      <c r="T450" s="1763"/>
      <c r="U450" s="1763"/>
      <c r="V450" s="1763"/>
      <c r="W450" s="1763"/>
      <c r="X450" s="1763"/>
      <c r="Y450" s="1763"/>
      <c r="Z450" s="1763"/>
      <c r="AA450" s="1763"/>
      <c r="AB450" s="1763"/>
    </row>
    <row r="451" spans="18:28" s="1695" customFormat="1" ht="20.25" customHeight="1">
      <c r="R451" s="1763"/>
      <c r="S451" s="1763"/>
      <c r="T451" s="1763"/>
      <c r="U451" s="1763"/>
      <c r="V451" s="1763"/>
      <c r="W451" s="1763"/>
      <c r="X451" s="1763"/>
      <c r="Y451" s="1763"/>
      <c r="Z451" s="1763"/>
      <c r="AA451" s="1763"/>
      <c r="AB451" s="1763"/>
    </row>
    <row r="452" spans="18:28" s="1695" customFormat="1" ht="20.25" customHeight="1">
      <c r="R452" s="1763"/>
      <c r="S452" s="1763"/>
      <c r="T452" s="1763"/>
      <c r="U452" s="1763"/>
      <c r="V452" s="1763"/>
      <c r="W452" s="1763"/>
      <c r="X452" s="1763"/>
      <c r="Y452" s="1763"/>
      <c r="Z452" s="1763"/>
      <c r="AA452" s="1763"/>
      <c r="AB452" s="1763"/>
    </row>
    <row r="453" spans="18:28" s="1695" customFormat="1" ht="20.25" customHeight="1">
      <c r="R453" s="1763"/>
      <c r="S453" s="1763"/>
      <c r="T453" s="1763"/>
      <c r="U453" s="1763"/>
      <c r="V453" s="1763"/>
      <c r="W453" s="1763"/>
      <c r="X453" s="1763"/>
      <c r="Y453" s="1763"/>
      <c r="Z453" s="1763"/>
      <c r="AA453" s="1763"/>
      <c r="AB453" s="1763"/>
    </row>
    <row r="454" spans="18:28" s="1695" customFormat="1" ht="20.25" customHeight="1">
      <c r="R454" s="1763"/>
      <c r="S454" s="1763"/>
      <c r="T454" s="1763"/>
      <c r="U454" s="1763"/>
      <c r="V454" s="1763"/>
      <c r="W454" s="1763"/>
      <c r="X454" s="1763"/>
      <c r="Y454" s="1763"/>
      <c r="Z454" s="1763"/>
      <c r="AA454" s="1763"/>
      <c r="AB454" s="1763"/>
    </row>
    <row r="455" spans="18:28" s="1695" customFormat="1" ht="20.25" customHeight="1">
      <c r="R455" s="1763"/>
      <c r="S455" s="1763"/>
      <c r="T455" s="1763"/>
      <c r="U455" s="1763"/>
      <c r="V455" s="1763"/>
      <c r="W455" s="1763"/>
      <c r="X455" s="1763"/>
      <c r="Y455" s="1763"/>
      <c r="Z455" s="1763"/>
      <c r="AA455" s="1763"/>
      <c r="AB455" s="1763"/>
    </row>
    <row r="456" spans="18:28" s="1695" customFormat="1" ht="20.25" customHeight="1">
      <c r="R456" s="1763"/>
      <c r="S456" s="1763"/>
      <c r="T456" s="1763"/>
      <c r="U456" s="1763"/>
      <c r="V456" s="1763"/>
      <c r="W456" s="1763"/>
      <c r="X456" s="1763"/>
      <c r="Y456" s="1763"/>
      <c r="Z456" s="1763"/>
      <c r="AA456" s="1763"/>
      <c r="AB456" s="1763"/>
    </row>
    <row r="457" spans="18:28" s="1695" customFormat="1" ht="20.25" customHeight="1">
      <c r="R457" s="1763"/>
      <c r="S457" s="1763"/>
      <c r="T457" s="1763"/>
      <c r="U457" s="1763"/>
      <c r="V457" s="1763"/>
      <c r="W457" s="1763"/>
      <c r="X457" s="1763"/>
      <c r="Y457" s="1763"/>
      <c r="Z457" s="1763"/>
      <c r="AA457" s="1763"/>
      <c r="AB457" s="1763"/>
    </row>
    <row r="458" spans="18:28" s="1695" customFormat="1" ht="20.25" customHeight="1">
      <c r="R458" s="1763"/>
      <c r="S458" s="1763"/>
      <c r="T458" s="1763"/>
      <c r="U458" s="1763"/>
      <c r="V458" s="1763"/>
      <c r="W458" s="1763"/>
      <c r="X458" s="1763"/>
      <c r="Y458" s="1763"/>
      <c r="Z458" s="1763"/>
      <c r="AA458" s="1763"/>
      <c r="AB458" s="1763"/>
    </row>
    <row r="459" spans="18:28" s="1695" customFormat="1" ht="20.25" customHeight="1">
      <c r="R459" s="1763"/>
      <c r="S459" s="1763"/>
      <c r="T459" s="1763"/>
      <c r="U459" s="1763"/>
      <c r="V459" s="1763"/>
      <c r="W459" s="1763"/>
      <c r="X459" s="1763"/>
      <c r="Y459" s="1763"/>
      <c r="Z459" s="1763"/>
      <c r="AA459" s="1763"/>
      <c r="AB459" s="1763"/>
    </row>
    <row r="460" spans="18:28" s="1695" customFormat="1" ht="20.25" customHeight="1">
      <c r="R460" s="1763"/>
      <c r="S460" s="1763"/>
      <c r="T460" s="1763"/>
      <c r="U460" s="1763"/>
      <c r="V460" s="1763"/>
      <c r="W460" s="1763"/>
      <c r="X460" s="1763"/>
      <c r="Y460" s="1763"/>
      <c r="Z460" s="1763"/>
      <c r="AA460" s="1763"/>
      <c r="AB460" s="1763"/>
    </row>
    <row r="461" spans="18:28" s="1695" customFormat="1" ht="20.25" customHeight="1">
      <c r="R461" s="1763"/>
      <c r="S461" s="1763"/>
      <c r="T461" s="1763"/>
      <c r="U461" s="1763"/>
      <c r="V461" s="1763"/>
      <c r="W461" s="1763"/>
      <c r="X461" s="1763"/>
      <c r="Y461" s="1763"/>
      <c r="Z461" s="1763"/>
      <c r="AA461" s="1763"/>
      <c r="AB461" s="1763"/>
    </row>
    <row r="462" spans="18:28" s="1695" customFormat="1" ht="20.25" customHeight="1">
      <c r="R462" s="1763"/>
      <c r="S462" s="1763"/>
      <c r="T462" s="1763"/>
      <c r="U462" s="1763"/>
      <c r="V462" s="1763"/>
      <c r="W462" s="1763"/>
      <c r="X462" s="1763"/>
      <c r="Y462" s="1763"/>
      <c r="Z462" s="1763"/>
      <c r="AA462" s="1763"/>
      <c r="AB462" s="1763"/>
    </row>
    <row r="463" spans="18:28" s="1695" customFormat="1" ht="20.25" customHeight="1">
      <c r="R463" s="1763"/>
      <c r="S463" s="1763"/>
      <c r="T463" s="1763"/>
      <c r="U463" s="1763"/>
      <c r="V463" s="1763"/>
      <c r="W463" s="1763"/>
      <c r="X463" s="1763"/>
      <c r="Y463" s="1763"/>
      <c r="Z463" s="1763"/>
      <c r="AA463" s="1763"/>
      <c r="AB463" s="1763"/>
    </row>
    <row r="464" spans="18:28" s="1695" customFormat="1" ht="20.25" customHeight="1">
      <c r="R464" s="1763"/>
      <c r="S464" s="1763"/>
      <c r="T464" s="1763"/>
      <c r="U464" s="1763"/>
      <c r="V464" s="1763"/>
      <c r="W464" s="1763"/>
      <c r="X464" s="1763"/>
      <c r="Y464" s="1763"/>
      <c r="Z464" s="1763"/>
      <c r="AA464" s="1763"/>
      <c r="AB464" s="1763"/>
    </row>
    <row r="465" spans="18:28" s="1695" customFormat="1" ht="20.25" customHeight="1">
      <c r="R465" s="1763"/>
      <c r="S465" s="1763"/>
      <c r="T465" s="1763"/>
      <c r="U465" s="1763"/>
      <c r="V465" s="1763"/>
      <c r="W465" s="1763"/>
      <c r="X465" s="1763"/>
      <c r="Y465" s="1763"/>
      <c r="Z465" s="1763"/>
      <c r="AA465" s="1763"/>
      <c r="AB465" s="1763"/>
    </row>
    <row r="466" spans="18:28" s="1695" customFormat="1" ht="20.25" customHeight="1">
      <c r="R466" s="1763"/>
      <c r="S466" s="1763"/>
      <c r="T466" s="1763"/>
      <c r="U466" s="1763"/>
      <c r="V466" s="1763"/>
      <c r="W466" s="1763"/>
      <c r="X466" s="1763"/>
      <c r="Y466" s="1763"/>
      <c r="Z466" s="1763"/>
      <c r="AA466" s="1763"/>
      <c r="AB466" s="1763"/>
    </row>
    <row r="467" spans="18:28" s="1695" customFormat="1" ht="20.25" customHeight="1">
      <c r="R467" s="1763"/>
      <c r="S467" s="1763"/>
      <c r="T467" s="1763"/>
      <c r="U467" s="1763"/>
      <c r="V467" s="1763"/>
      <c r="W467" s="1763"/>
      <c r="X467" s="1763"/>
      <c r="Y467" s="1763"/>
      <c r="Z467" s="1763"/>
      <c r="AA467" s="1763"/>
      <c r="AB467" s="1763"/>
    </row>
    <row r="468" spans="18:28" s="1695" customFormat="1" ht="20.25" customHeight="1">
      <c r="R468" s="1763"/>
      <c r="S468" s="1763"/>
      <c r="T468" s="1763"/>
      <c r="U468" s="1763"/>
      <c r="V468" s="1763"/>
      <c r="W468" s="1763"/>
      <c r="X468" s="1763"/>
      <c r="Y468" s="1763"/>
      <c r="Z468" s="1763"/>
      <c r="AA468" s="1763"/>
      <c r="AB468" s="1763"/>
    </row>
    <row r="469" spans="18:28" s="1695" customFormat="1" ht="20.25" customHeight="1">
      <c r="R469" s="1763"/>
      <c r="S469" s="1763"/>
      <c r="T469" s="1763"/>
      <c r="U469" s="1763"/>
      <c r="V469" s="1763"/>
      <c r="W469" s="1763"/>
      <c r="X469" s="1763"/>
      <c r="Y469" s="1763"/>
      <c r="Z469" s="1763"/>
      <c r="AA469" s="1763"/>
      <c r="AB469" s="1763"/>
    </row>
    <row r="470" spans="18:28" s="1695" customFormat="1" ht="20.25" customHeight="1">
      <c r="R470" s="1763"/>
      <c r="S470" s="1763"/>
      <c r="T470" s="1763"/>
      <c r="U470" s="1763"/>
      <c r="V470" s="1763"/>
      <c r="W470" s="1763"/>
      <c r="X470" s="1763"/>
      <c r="Y470" s="1763"/>
      <c r="Z470" s="1763"/>
      <c r="AA470" s="1763"/>
      <c r="AB470" s="1763"/>
    </row>
    <row r="471" spans="18:28" s="1695" customFormat="1" ht="20.25" customHeight="1">
      <c r="R471" s="1763"/>
      <c r="S471" s="1763"/>
      <c r="T471" s="1763"/>
      <c r="U471" s="1763"/>
      <c r="V471" s="1763"/>
      <c r="W471" s="1763"/>
      <c r="X471" s="1763"/>
      <c r="Y471" s="1763"/>
      <c r="Z471" s="1763"/>
      <c r="AA471" s="1763"/>
      <c r="AB471" s="1763"/>
    </row>
    <row r="472" spans="18:28" s="1695" customFormat="1" ht="20.25" customHeight="1">
      <c r="R472" s="1763"/>
      <c r="S472" s="1763"/>
      <c r="T472" s="1763"/>
      <c r="U472" s="1763"/>
      <c r="V472" s="1763"/>
      <c r="W472" s="1763"/>
      <c r="X472" s="1763"/>
      <c r="Y472" s="1763"/>
      <c r="Z472" s="1763"/>
      <c r="AA472" s="1763"/>
      <c r="AB472" s="1763"/>
    </row>
    <row r="473" spans="18:28" s="1695" customFormat="1" ht="20.25" customHeight="1">
      <c r="R473" s="1763"/>
      <c r="S473" s="1763"/>
      <c r="T473" s="1763"/>
      <c r="U473" s="1763"/>
      <c r="V473" s="1763"/>
      <c r="W473" s="1763"/>
      <c r="X473" s="1763"/>
      <c r="Y473" s="1763"/>
      <c r="Z473" s="1763"/>
      <c r="AA473" s="1763"/>
      <c r="AB473" s="1763"/>
    </row>
    <row r="474" spans="18:28" s="1695" customFormat="1" ht="20.25" customHeight="1">
      <c r="R474" s="1763"/>
      <c r="S474" s="1763"/>
      <c r="T474" s="1763"/>
      <c r="U474" s="1763"/>
      <c r="V474" s="1763"/>
      <c r="W474" s="1763"/>
      <c r="X474" s="1763"/>
      <c r="Y474" s="1763"/>
      <c r="Z474" s="1763"/>
      <c r="AA474" s="1763"/>
      <c r="AB474" s="1763"/>
    </row>
    <row r="475" spans="18:28" s="1695" customFormat="1" ht="20.25" customHeight="1">
      <c r="R475" s="1763"/>
      <c r="S475" s="1763"/>
      <c r="T475" s="1763"/>
      <c r="U475" s="1763"/>
      <c r="V475" s="1763"/>
      <c r="W475" s="1763"/>
      <c r="X475" s="1763"/>
      <c r="Y475" s="1763"/>
      <c r="Z475" s="1763"/>
      <c r="AA475" s="1763"/>
      <c r="AB475" s="1763"/>
    </row>
    <row r="476" spans="18:28" s="1695" customFormat="1" ht="20.25" customHeight="1">
      <c r="R476" s="1763"/>
      <c r="S476" s="1763"/>
      <c r="T476" s="1763"/>
      <c r="U476" s="1763"/>
      <c r="V476" s="1763"/>
      <c r="W476" s="1763"/>
      <c r="X476" s="1763"/>
      <c r="Y476" s="1763"/>
      <c r="Z476" s="1763"/>
      <c r="AA476" s="1763"/>
      <c r="AB476" s="1763"/>
    </row>
    <row r="477" spans="18:28" s="1695" customFormat="1" ht="20.25" customHeight="1">
      <c r="R477" s="1763"/>
      <c r="S477" s="1763"/>
      <c r="T477" s="1763"/>
      <c r="U477" s="1763"/>
      <c r="V477" s="1763"/>
      <c r="W477" s="1763"/>
      <c r="X477" s="1763"/>
      <c r="Y477" s="1763"/>
      <c r="Z477" s="1763"/>
      <c r="AA477" s="1763"/>
      <c r="AB477" s="1763"/>
    </row>
    <row r="478" spans="18:28" s="1695" customFormat="1" ht="20.25" customHeight="1">
      <c r="R478" s="1763"/>
      <c r="S478" s="1763"/>
      <c r="T478" s="1763"/>
      <c r="U478" s="1763"/>
      <c r="V478" s="1763"/>
      <c r="W478" s="1763"/>
      <c r="X478" s="1763"/>
      <c r="Y478" s="1763"/>
      <c r="Z478" s="1763"/>
      <c r="AA478" s="1763"/>
      <c r="AB478" s="1763"/>
    </row>
    <row r="479" spans="18:28" s="1695" customFormat="1" ht="20.25" customHeight="1">
      <c r="R479" s="1763"/>
      <c r="S479" s="1763"/>
      <c r="T479" s="1763"/>
      <c r="U479" s="1763"/>
      <c r="V479" s="1763"/>
      <c r="W479" s="1763"/>
      <c r="X479" s="1763"/>
      <c r="Y479" s="1763"/>
      <c r="Z479" s="1763"/>
      <c r="AA479" s="1763"/>
      <c r="AB479" s="1763"/>
    </row>
    <row r="480" spans="18:28" s="1695" customFormat="1" ht="20.25" customHeight="1">
      <c r="R480" s="1763"/>
      <c r="S480" s="1763"/>
      <c r="T480" s="1763"/>
      <c r="U480" s="1763"/>
      <c r="V480" s="1763"/>
      <c r="W480" s="1763"/>
      <c r="X480" s="1763"/>
      <c r="Y480" s="1763"/>
      <c r="Z480" s="1763"/>
      <c r="AA480" s="1763"/>
      <c r="AB480" s="1763"/>
    </row>
    <row r="481" spans="18:28" s="1695" customFormat="1" ht="20.25" customHeight="1">
      <c r="R481" s="1763"/>
      <c r="S481" s="1763"/>
      <c r="T481" s="1763"/>
      <c r="U481" s="1763"/>
      <c r="V481" s="1763"/>
      <c r="W481" s="1763"/>
      <c r="X481" s="1763"/>
      <c r="Y481" s="1763"/>
      <c r="Z481" s="1763"/>
      <c r="AA481" s="1763"/>
      <c r="AB481" s="1763"/>
    </row>
    <row r="482" spans="18:28" s="1695" customFormat="1" ht="20.25" customHeight="1">
      <c r="R482" s="1763"/>
      <c r="S482" s="1763"/>
      <c r="T482" s="1763"/>
      <c r="U482" s="1763"/>
      <c r="V482" s="1763"/>
      <c r="W482" s="1763"/>
      <c r="X482" s="1763"/>
      <c r="Y482" s="1763"/>
      <c r="Z482" s="1763"/>
      <c r="AA482" s="1763"/>
      <c r="AB482" s="1763"/>
    </row>
    <row r="483" spans="18:28" s="1695" customFormat="1" ht="20.25" customHeight="1">
      <c r="R483" s="1763"/>
      <c r="S483" s="1763"/>
      <c r="T483" s="1763"/>
      <c r="U483" s="1763"/>
      <c r="V483" s="1763"/>
      <c r="W483" s="1763"/>
      <c r="X483" s="1763"/>
      <c r="Y483" s="1763"/>
      <c r="Z483" s="1763"/>
      <c r="AA483" s="1763"/>
      <c r="AB483" s="1763"/>
    </row>
    <row r="484" spans="18:28" s="1695" customFormat="1" ht="20.25" customHeight="1">
      <c r="R484" s="1763"/>
      <c r="S484" s="1763"/>
      <c r="T484" s="1763"/>
      <c r="U484" s="1763"/>
      <c r="V484" s="1763"/>
      <c r="W484" s="1763"/>
      <c r="X484" s="1763"/>
      <c r="Y484" s="1763"/>
      <c r="Z484" s="1763"/>
      <c r="AA484" s="1763"/>
      <c r="AB484" s="1763"/>
    </row>
    <row r="485" spans="18:28" s="1695" customFormat="1" ht="20.25" customHeight="1">
      <c r="R485" s="1763"/>
      <c r="S485" s="1763"/>
      <c r="T485" s="1763"/>
      <c r="U485" s="1763"/>
      <c r="V485" s="1763"/>
      <c r="W485" s="1763"/>
      <c r="X485" s="1763"/>
      <c r="Y485" s="1763"/>
      <c r="Z485" s="1763"/>
      <c r="AA485" s="1763"/>
      <c r="AB485" s="1763"/>
    </row>
    <row r="486" spans="18:28" s="1695" customFormat="1" ht="20.25" customHeight="1">
      <c r="R486" s="1763"/>
      <c r="S486" s="1763"/>
      <c r="T486" s="1763"/>
      <c r="U486" s="1763"/>
      <c r="V486" s="1763"/>
      <c r="W486" s="1763"/>
      <c r="X486" s="1763"/>
      <c r="Y486" s="1763"/>
      <c r="Z486" s="1763"/>
      <c r="AA486" s="1763"/>
      <c r="AB486" s="1763"/>
    </row>
    <row r="487" spans="18:28" s="1695" customFormat="1" ht="20.25" customHeight="1">
      <c r="R487" s="1763"/>
      <c r="S487" s="1763"/>
      <c r="T487" s="1763"/>
      <c r="U487" s="1763"/>
      <c r="V487" s="1763"/>
      <c r="W487" s="1763"/>
      <c r="X487" s="1763"/>
      <c r="Y487" s="1763"/>
      <c r="Z487" s="1763"/>
      <c r="AA487" s="1763"/>
      <c r="AB487" s="1763"/>
    </row>
    <row r="488" spans="18:28" s="1695" customFormat="1" ht="20.25" customHeight="1">
      <c r="R488" s="1763"/>
      <c r="S488" s="1763"/>
      <c r="T488" s="1763"/>
      <c r="U488" s="1763"/>
      <c r="V488" s="1763"/>
      <c r="W488" s="1763"/>
      <c r="X488" s="1763"/>
      <c r="Y488" s="1763"/>
      <c r="Z488" s="1763"/>
      <c r="AA488" s="1763"/>
      <c r="AB488" s="1763"/>
    </row>
    <row r="489" spans="18:28" s="1695" customFormat="1" ht="20.25" customHeight="1">
      <c r="R489" s="1763"/>
      <c r="S489" s="1763"/>
      <c r="T489" s="1763"/>
      <c r="U489" s="1763"/>
      <c r="V489" s="1763"/>
      <c r="W489" s="1763"/>
      <c r="X489" s="1763"/>
      <c r="Y489" s="1763"/>
      <c r="Z489" s="1763"/>
      <c r="AA489" s="1763"/>
      <c r="AB489" s="1763"/>
    </row>
    <row r="490" spans="18:28" s="1695" customFormat="1" ht="20.25" customHeight="1">
      <c r="R490" s="1763"/>
      <c r="S490" s="1763"/>
      <c r="T490" s="1763"/>
      <c r="U490" s="1763"/>
      <c r="V490" s="1763"/>
      <c r="W490" s="1763"/>
      <c r="X490" s="1763"/>
      <c r="Y490" s="1763"/>
      <c r="Z490" s="1763"/>
      <c r="AA490" s="1763"/>
      <c r="AB490" s="1763"/>
    </row>
    <row r="491" spans="18:28" s="1695" customFormat="1" ht="20.25" customHeight="1">
      <c r="R491" s="1763"/>
      <c r="S491" s="1763"/>
      <c r="T491" s="1763"/>
      <c r="U491" s="1763"/>
      <c r="V491" s="1763"/>
      <c r="W491" s="1763"/>
      <c r="X491" s="1763"/>
      <c r="Y491" s="1763"/>
      <c r="Z491" s="1763"/>
      <c r="AA491" s="1763"/>
      <c r="AB491" s="1763"/>
    </row>
    <row r="492" spans="18:28" s="1695" customFormat="1" ht="20.25" customHeight="1">
      <c r="R492" s="1763"/>
      <c r="S492" s="1763"/>
      <c r="T492" s="1763"/>
      <c r="U492" s="1763"/>
      <c r="V492" s="1763"/>
      <c r="W492" s="1763"/>
      <c r="X492" s="1763"/>
      <c r="Y492" s="1763"/>
      <c r="Z492" s="1763"/>
      <c r="AA492" s="1763"/>
      <c r="AB492" s="1763"/>
    </row>
    <row r="493" spans="18:28" s="1695" customFormat="1" ht="20.25" customHeight="1">
      <c r="R493" s="1763"/>
      <c r="S493" s="1763"/>
      <c r="T493" s="1763"/>
      <c r="U493" s="1763"/>
      <c r="V493" s="1763"/>
      <c r="W493" s="1763"/>
      <c r="X493" s="1763"/>
      <c r="Y493" s="1763"/>
      <c r="Z493" s="1763"/>
      <c r="AA493" s="1763"/>
      <c r="AB493" s="1763"/>
    </row>
    <row r="494" spans="18:28" s="1695" customFormat="1" ht="20.25" customHeight="1">
      <c r="R494" s="1763"/>
      <c r="S494" s="1763"/>
      <c r="T494" s="1763"/>
      <c r="U494" s="1763"/>
      <c r="V494" s="1763"/>
      <c r="W494" s="1763"/>
      <c r="X494" s="1763"/>
      <c r="Y494" s="1763"/>
      <c r="Z494" s="1763"/>
      <c r="AA494" s="1763"/>
      <c r="AB494" s="1763"/>
    </row>
    <row r="495" spans="18:28" s="1695" customFormat="1" ht="20.25" customHeight="1">
      <c r="R495" s="1763"/>
      <c r="S495" s="1763"/>
      <c r="T495" s="1763"/>
      <c r="U495" s="1763"/>
      <c r="V495" s="1763"/>
      <c r="W495" s="1763"/>
      <c r="X495" s="1763"/>
      <c r="Y495" s="1763"/>
      <c r="Z495" s="1763"/>
      <c r="AA495" s="1763"/>
      <c r="AB495" s="1763"/>
    </row>
    <row r="496" spans="18:28" s="1695" customFormat="1" ht="20.25" customHeight="1">
      <c r="R496" s="1763"/>
      <c r="S496" s="1763"/>
      <c r="T496" s="1763"/>
      <c r="U496" s="1763"/>
      <c r="V496" s="1763"/>
      <c r="W496" s="1763"/>
      <c r="X496" s="1763"/>
      <c r="Y496" s="1763"/>
      <c r="Z496" s="1763"/>
      <c r="AA496" s="1763"/>
      <c r="AB496" s="1763"/>
    </row>
    <row r="497" spans="18:28" s="1695" customFormat="1" ht="20.25" customHeight="1">
      <c r="R497" s="1763"/>
      <c r="S497" s="1763"/>
      <c r="T497" s="1763"/>
      <c r="U497" s="1763"/>
      <c r="V497" s="1763"/>
      <c r="W497" s="1763"/>
      <c r="X497" s="1763"/>
      <c r="Y497" s="1763"/>
      <c r="Z497" s="1763"/>
      <c r="AA497" s="1763"/>
      <c r="AB497" s="1763"/>
    </row>
    <row r="498" spans="18:28" s="1695" customFormat="1" ht="20.25" customHeight="1">
      <c r="R498" s="1763"/>
      <c r="S498" s="1763"/>
      <c r="T498" s="1763"/>
      <c r="U498" s="1763"/>
      <c r="V498" s="1763"/>
      <c r="W498" s="1763"/>
      <c r="X498" s="1763"/>
      <c r="Y498" s="1763"/>
      <c r="Z498" s="1763"/>
      <c r="AA498" s="1763"/>
      <c r="AB498" s="1763"/>
    </row>
    <row r="499" spans="18:28" s="1695" customFormat="1" ht="20.25" customHeight="1">
      <c r="R499" s="1763"/>
      <c r="S499" s="1763"/>
      <c r="T499" s="1763"/>
      <c r="U499" s="1763"/>
      <c r="V499" s="1763"/>
      <c r="W499" s="1763"/>
      <c r="X499" s="1763"/>
      <c r="Y499" s="1763"/>
      <c r="Z499" s="1763"/>
      <c r="AA499" s="1763"/>
      <c r="AB499" s="1763"/>
    </row>
    <row r="500" spans="18:28" s="1695" customFormat="1" ht="20.25" customHeight="1">
      <c r="R500" s="1763"/>
      <c r="S500" s="1763"/>
      <c r="T500" s="1763"/>
      <c r="U500" s="1763"/>
      <c r="V500" s="1763"/>
      <c r="W500" s="1763"/>
      <c r="X500" s="1763"/>
      <c r="Y500" s="1763"/>
      <c r="Z500" s="1763"/>
      <c r="AA500" s="1763"/>
      <c r="AB500" s="1763"/>
    </row>
    <row r="501" spans="18:28" s="1695" customFormat="1" ht="20.25" customHeight="1">
      <c r="R501" s="1763"/>
      <c r="S501" s="1763"/>
      <c r="T501" s="1763"/>
      <c r="U501" s="1763"/>
      <c r="V501" s="1763"/>
      <c r="W501" s="1763"/>
      <c r="X501" s="1763"/>
      <c r="Y501" s="1763"/>
      <c r="Z501" s="1763"/>
      <c r="AA501" s="1763"/>
      <c r="AB501" s="1763"/>
    </row>
    <row r="502" spans="18:28" s="1695" customFormat="1" ht="20.25" customHeight="1">
      <c r="R502" s="1763"/>
      <c r="S502" s="1763"/>
      <c r="T502" s="1763"/>
      <c r="U502" s="1763"/>
      <c r="V502" s="1763"/>
      <c r="W502" s="1763"/>
      <c r="X502" s="1763"/>
      <c r="Y502" s="1763"/>
      <c r="Z502" s="1763"/>
      <c r="AA502" s="1763"/>
      <c r="AB502" s="1763"/>
    </row>
    <row r="503" spans="18:28" s="1695" customFormat="1" ht="20.25" customHeight="1">
      <c r="R503" s="1763"/>
      <c r="S503" s="1763"/>
      <c r="T503" s="1763"/>
      <c r="U503" s="1763"/>
      <c r="V503" s="1763"/>
      <c r="W503" s="1763"/>
      <c r="X503" s="1763"/>
      <c r="Y503" s="1763"/>
      <c r="Z503" s="1763"/>
      <c r="AA503" s="1763"/>
      <c r="AB503" s="1763"/>
    </row>
    <row r="504" spans="18:28" s="1695" customFormat="1" ht="20.25" customHeight="1">
      <c r="R504" s="1763"/>
      <c r="S504" s="1763"/>
      <c r="T504" s="1763"/>
      <c r="U504" s="1763"/>
      <c r="V504" s="1763"/>
      <c r="W504" s="1763"/>
      <c r="X504" s="1763"/>
      <c r="Y504" s="1763"/>
      <c r="Z504" s="1763"/>
      <c r="AA504" s="1763"/>
      <c r="AB504" s="1763"/>
    </row>
    <row r="505" spans="18:28" s="1695" customFormat="1" ht="20.25" customHeight="1">
      <c r="R505" s="1763"/>
      <c r="S505" s="1763"/>
      <c r="T505" s="1763"/>
      <c r="U505" s="1763"/>
      <c r="V505" s="1763"/>
      <c r="W505" s="1763"/>
      <c r="X505" s="1763"/>
      <c r="Y505" s="1763"/>
      <c r="Z505" s="1763"/>
      <c r="AA505" s="1763"/>
      <c r="AB505" s="1763"/>
    </row>
    <row r="506" spans="18:28" s="1695" customFormat="1" ht="20.25" customHeight="1">
      <c r="R506" s="1763"/>
      <c r="S506" s="1763"/>
      <c r="T506" s="1763"/>
      <c r="U506" s="1763"/>
      <c r="V506" s="1763"/>
      <c r="W506" s="1763"/>
      <c r="X506" s="1763"/>
      <c r="Y506" s="1763"/>
      <c r="Z506" s="1763"/>
      <c r="AA506" s="1763"/>
      <c r="AB506" s="1763"/>
    </row>
    <row r="507" spans="18:28" s="1695" customFormat="1" ht="20.25" customHeight="1">
      <c r="R507" s="1763"/>
      <c r="S507" s="1763"/>
      <c r="T507" s="1763"/>
      <c r="U507" s="1763"/>
      <c r="V507" s="1763"/>
      <c r="W507" s="1763"/>
      <c r="X507" s="1763"/>
      <c r="Y507" s="1763"/>
      <c r="Z507" s="1763"/>
      <c r="AA507" s="1763"/>
      <c r="AB507" s="1763"/>
    </row>
    <row r="508" spans="18:28" s="1695" customFormat="1" ht="20.25" customHeight="1">
      <c r="R508" s="1763"/>
      <c r="S508" s="1763"/>
      <c r="T508" s="1763"/>
      <c r="U508" s="1763"/>
      <c r="V508" s="1763"/>
      <c r="W508" s="1763"/>
      <c r="X508" s="1763"/>
      <c r="Y508" s="1763"/>
      <c r="Z508" s="1763"/>
      <c r="AA508" s="1763"/>
      <c r="AB508" s="1763"/>
    </row>
    <row r="509" spans="18:28" s="1695" customFormat="1" ht="20.25" customHeight="1">
      <c r="R509" s="1763"/>
      <c r="S509" s="1763"/>
      <c r="T509" s="1763"/>
      <c r="U509" s="1763"/>
      <c r="V509" s="1763"/>
      <c r="W509" s="1763"/>
      <c r="X509" s="1763"/>
      <c r="Y509" s="1763"/>
      <c r="Z509" s="1763"/>
      <c r="AA509" s="1763"/>
      <c r="AB509" s="1763"/>
    </row>
    <row r="510" spans="18:28" s="1695" customFormat="1" ht="20.25" customHeight="1">
      <c r="R510" s="1763"/>
      <c r="S510" s="1763"/>
      <c r="T510" s="1763"/>
      <c r="U510" s="1763"/>
      <c r="V510" s="1763"/>
      <c r="W510" s="1763"/>
      <c r="X510" s="1763"/>
      <c r="Y510" s="1763"/>
      <c r="Z510" s="1763"/>
      <c r="AA510" s="1763"/>
      <c r="AB510" s="1763"/>
    </row>
    <row r="511" spans="18:28" s="1695" customFormat="1" ht="20.25" customHeight="1">
      <c r="R511" s="1763"/>
      <c r="S511" s="1763"/>
      <c r="T511" s="1763"/>
      <c r="U511" s="1763"/>
      <c r="V511" s="1763"/>
      <c r="W511" s="1763"/>
      <c r="X511" s="1763"/>
      <c r="Y511" s="1763"/>
      <c r="Z511" s="1763"/>
      <c r="AA511" s="1763"/>
      <c r="AB511" s="1763"/>
    </row>
    <row r="512" spans="18:28" s="1695" customFormat="1" ht="20.25" customHeight="1">
      <c r="R512" s="1763"/>
      <c r="S512" s="1763"/>
      <c r="T512" s="1763"/>
      <c r="U512" s="1763"/>
      <c r="V512" s="1763"/>
      <c r="W512" s="1763"/>
      <c r="X512" s="1763"/>
      <c r="Y512" s="1763"/>
      <c r="Z512" s="1763"/>
      <c r="AA512" s="1763"/>
      <c r="AB512" s="1763"/>
    </row>
    <row r="513" spans="18:28" s="1695" customFormat="1" ht="20.25" customHeight="1">
      <c r="R513" s="1763"/>
      <c r="S513" s="1763"/>
      <c r="T513" s="1763"/>
      <c r="U513" s="1763"/>
      <c r="V513" s="1763"/>
      <c r="W513" s="1763"/>
      <c r="X513" s="1763"/>
      <c r="Y513" s="1763"/>
      <c r="Z513" s="1763"/>
      <c r="AA513" s="1763"/>
      <c r="AB513" s="1763"/>
    </row>
    <row r="514" spans="18:28" s="1695" customFormat="1" ht="20.25" customHeight="1">
      <c r="R514" s="1763"/>
      <c r="S514" s="1763"/>
      <c r="T514" s="1763"/>
      <c r="U514" s="1763"/>
      <c r="V514" s="1763"/>
      <c r="W514" s="1763"/>
      <c r="X514" s="1763"/>
      <c r="Y514" s="1763"/>
      <c r="Z514" s="1763"/>
      <c r="AA514" s="1763"/>
      <c r="AB514" s="1763"/>
    </row>
    <row r="515" spans="18:28" s="1695" customFormat="1" ht="20.25" customHeight="1">
      <c r="R515" s="1763"/>
      <c r="S515" s="1763"/>
      <c r="T515" s="1763"/>
      <c r="U515" s="1763"/>
      <c r="V515" s="1763"/>
      <c r="W515" s="1763"/>
      <c r="X515" s="1763"/>
      <c r="Y515" s="1763"/>
      <c r="Z515" s="1763"/>
      <c r="AA515" s="1763"/>
      <c r="AB515" s="1763"/>
    </row>
    <row r="516" spans="18:28" s="1695" customFormat="1" ht="20.25" customHeight="1">
      <c r="R516" s="1763"/>
      <c r="S516" s="1763"/>
      <c r="T516" s="1763"/>
      <c r="U516" s="1763"/>
      <c r="V516" s="1763"/>
      <c r="W516" s="1763"/>
      <c r="X516" s="1763"/>
      <c r="Y516" s="1763"/>
      <c r="Z516" s="1763"/>
      <c r="AA516" s="1763"/>
      <c r="AB516" s="1763"/>
    </row>
    <row r="517" spans="18:28" s="1695" customFormat="1" ht="20.25" customHeight="1">
      <c r="R517" s="1763"/>
      <c r="S517" s="1763"/>
      <c r="T517" s="1763"/>
      <c r="U517" s="1763"/>
      <c r="V517" s="1763"/>
      <c r="W517" s="1763"/>
      <c r="X517" s="1763"/>
      <c r="Y517" s="1763"/>
      <c r="Z517" s="1763"/>
      <c r="AA517" s="1763"/>
      <c r="AB517" s="1763"/>
    </row>
    <row r="518" spans="18:28" s="1695" customFormat="1" ht="20.25" customHeight="1">
      <c r="R518" s="1763"/>
      <c r="S518" s="1763"/>
      <c r="T518" s="1763"/>
      <c r="U518" s="1763"/>
      <c r="V518" s="1763"/>
      <c r="W518" s="1763"/>
      <c r="X518" s="1763"/>
      <c r="Y518" s="1763"/>
      <c r="Z518" s="1763"/>
      <c r="AA518" s="1763"/>
      <c r="AB518" s="1763"/>
    </row>
    <row r="519" spans="18:28" s="1695" customFormat="1" ht="20.25" customHeight="1">
      <c r="R519" s="1763"/>
      <c r="S519" s="1763"/>
      <c r="T519" s="1763"/>
      <c r="U519" s="1763"/>
      <c r="V519" s="1763"/>
      <c r="W519" s="1763"/>
      <c r="X519" s="1763"/>
      <c r="Y519" s="1763"/>
      <c r="Z519" s="1763"/>
      <c r="AA519" s="1763"/>
      <c r="AB519" s="1763"/>
    </row>
    <row r="520" spans="18:28" s="1695" customFormat="1" ht="20.25" customHeight="1">
      <c r="R520" s="1763"/>
      <c r="S520" s="1763"/>
      <c r="T520" s="1763"/>
      <c r="U520" s="1763"/>
      <c r="V520" s="1763"/>
      <c r="W520" s="1763"/>
      <c r="X520" s="1763"/>
      <c r="Y520" s="1763"/>
      <c r="Z520" s="1763"/>
      <c r="AA520" s="1763"/>
      <c r="AB520" s="1763"/>
    </row>
    <row r="521" spans="18:28" s="1695" customFormat="1" ht="20.25" customHeight="1">
      <c r="R521" s="1763"/>
      <c r="S521" s="1763"/>
      <c r="T521" s="1763"/>
      <c r="U521" s="1763"/>
      <c r="V521" s="1763"/>
      <c r="W521" s="1763"/>
      <c r="X521" s="1763"/>
      <c r="Y521" s="1763"/>
      <c r="Z521" s="1763"/>
      <c r="AA521" s="1763"/>
      <c r="AB521" s="1763"/>
    </row>
    <row r="522" spans="18:28" s="1695" customFormat="1" ht="20.25" customHeight="1">
      <c r="R522" s="1763"/>
      <c r="S522" s="1763"/>
      <c r="T522" s="1763"/>
      <c r="U522" s="1763"/>
      <c r="V522" s="1763"/>
      <c r="W522" s="1763"/>
      <c r="X522" s="1763"/>
      <c r="Y522" s="1763"/>
      <c r="Z522" s="1763"/>
      <c r="AA522" s="1763"/>
      <c r="AB522" s="1763"/>
    </row>
    <row r="523" spans="18:28" s="1695" customFormat="1" ht="20.25" customHeight="1">
      <c r="R523" s="1763"/>
      <c r="S523" s="1763"/>
      <c r="T523" s="1763"/>
      <c r="U523" s="1763"/>
      <c r="V523" s="1763"/>
      <c r="W523" s="1763"/>
      <c r="X523" s="1763"/>
      <c r="Y523" s="1763"/>
      <c r="Z523" s="1763"/>
      <c r="AA523" s="1763"/>
      <c r="AB523" s="1763"/>
    </row>
    <row r="524" spans="18:28" s="1695" customFormat="1" ht="20.25" customHeight="1">
      <c r="R524" s="1763"/>
      <c r="S524" s="1763"/>
      <c r="T524" s="1763"/>
      <c r="U524" s="1763"/>
      <c r="V524" s="1763"/>
      <c r="W524" s="1763"/>
      <c r="X524" s="1763"/>
      <c r="Y524" s="1763"/>
      <c r="Z524" s="1763"/>
      <c r="AA524" s="1763"/>
      <c r="AB524" s="1763"/>
    </row>
    <row r="525" spans="18:28" s="1695" customFormat="1" ht="20.25" customHeight="1">
      <c r="R525" s="1763"/>
      <c r="S525" s="1763"/>
      <c r="T525" s="1763"/>
      <c r="U525" s="1763"/>
      <c r="V525" s="1763"/>
      <c r="W525" s="1763"/>
      <c r="X525" s="1763"/>
      <c r="Y525" s="1763"/>
      <c r="Z525" s="1763"/>
      <c r="AA525" s="1763"/>
      <c r="AB525" s="1763"/>
    </row>
    <row r="526" spans="18:28" s="1695" customFormat="1" ht="20.25" customHeight="1">
      <c r="R526" s="1763"/>
      <c r="S526" s="1763"/>
      <c r="T526" s="1763"/>
      <c r="U526" s="1763"/>
      <c r="V526" s="1763"/>
      <c r="W526" s="1763"/>
      <c r="X526" s="1763"/>
      <c r="Y526" s="1763"/>
      <c r="Z526" s="1763"/>
      <c r="AA526" s="1763"/>
      <c r="AB526" s="1763"/>
    </row>
    <row r="527" spans="18:28" s="1695" customFormat="1" ht="20.25" customHeight="1">
      <c r="R527" s="1763"/>
      <c r="S527" s="1763"/>
      <c r="T527" s="1763"/>
      <c r="U527" s="1763"/>
      <c r="V527" s="1763"/>
      <c r="W527" s="1763"/>
      <c r="X527" s="1763"/>
      <c r="Y527" s="1763"/>
      <c r="Z527" s="1763"/>
      <c r="AA527" s="1763"/>
      <c r="AB527" s="1763"/>
    </row>
    <row r="528" spans="18:28" s="1695" customFormat="1" ht="20.25" customHeight="1">
      <c r="R528" s="1763"/>
      <c r="S528" s="1763"/>
      <c r="T528" s="1763"/>
      <c r="U528" s="1763"/>
      <c r="V528" s="1763"/>
      <c r="W528" s="1763"/>
      <c r="X528" s="1763"/>
      <c r="Y528" s="1763"/>
      <c r="Z528" s="1763"/>
      <c r="AA528" s="1763"/>
      <c r="AB528" s="1763"/>
    </row>
    <row r="529" spans="1:28" s="1695" customFormat="1" ht="20.25" customHeight="1">
      <c r="R529" s="1763"/>
      <c r="S529" s="1763"/>
      <c r="T529" s="1763"/>
      <c r="U529" s="1763"/>
      <c r="V529" s="1763"/>
      <c r="W529" s="1763"/>
      <c r="X529" s="1763"/>
      <c r="Y529" s="1763"/>
      <c r="Z529" s="1763"/>
      <c r="AA529" s="1763"/>
      <c r="AB529" s="1763"/>
    </row>
    <row r="530" spans="1:28" s="1695" customFormat="1" ht="20.25" customHeight="1">
      <c r="R530" s="1763"/>
      <c r="S530" s="1763"/>
      <c r="T530" s="1763"/>
      <c r="U530" s="1763"/>
      <c r="V530" s="1763"/>
      <c r="W530" s="1763"/>
      <c r="X530" s="1763"/>
      <c r="Y530" s="1763"/>
      <c r="Z530" s="1763"/>
      <c r="AA530" s="1763"/>
      <c r="AB530" s="1763"/>
    </row>
    <row r="531" spans="1:28" s="1695" customFormat="1" ht="20.25" customHeight="1">
      <c r="J531" s="1708"/>
      <c r="R531" s="1763"/>
      <c r="S531" s="1763"/>
      <c r="T531" s="1763"/>
      <c r="U531" s="1763"/>
      <c r="V531" s="1763"/>
      <c r="W531" s="1763"/>
      <c r="X531" s="1763"/>
      <c r="Y531" s="1763"/>
      <c r="Z531" s="1763"/>
      <c r="AA531" s="1763"/>
      <c r="AB531" s="1763"/>
    </row>
    <row r="532" spans="1:28" s="1695" customFormat="1" ht="20.25" customHeight="1">
      <c r="A532" s="1691"/>
      <c r="B532" s="1691"/>
      <c r="C532" s="1691"/>
      <c r="G532" s="1708"/>
      <c r="H532" s="1708"/>
      <c r="I532" s="1708"/>
      <c r="J532" s="1708"/>
      <c r="K532" s="1691"/>
      <c r="L532" s="1691"/>
      <c r="M532" s="1691"/>
      <c r="P532" s="1708"/>
      <c r="Q532" s="1691"/>
      <c r="R532" s="1763"/>
      <c r="S532" s="1763"/>
      <c r="T532" s="1763"/>
      <c r="U532" s="1763"/>
      <c r="V532" s="1763"/>
      <c r="W532" s="1763"/>
      <c r="X532" s="1763"/>
      <c r="Y532" s="1763"/>
      <c r="Z532" s="1763"/>
      <c r="AA532" s="1763"/>
      <c r="AB532" s="1763"/>
    </row>
    <row r="533" spans="1:28" s="1695" customFormat="1" ht="20.25" customHeight="1">
      <c r="A533" s="1708"/>
      <c r="B533" s="1708"/>
      <c r="C533" s="1708"/>
      <c r="G533" s="1708"/>
      <c r="H533" s="1708"/>
      <c r="I533" s="1708"/>
      <c r="J533" s="1708"/>
      <c r="K533" s="1708"/>
      <c r="L533" s="1708"/>
      <c r="M533" s="1708"/>
      <c r="O533" s="1708"/>
      <c r="P533" s="1708"/>
      <c r="Q533" s="1708"/>
      <c r="R533" s="1763"/>
      <c r="S533" s="1763"/>
      <c r="T533" s="1763"/>
      <c r="U533" s="1763"/>
      <c r="V533" s="1763"/>
      <c r="W533" s="1763"/>
      <c r="X533" s="1763"/>
      <c r="Y533" s="1763"/>
      <c r="Z533" s="1763"/>
      <c r="AA533" s="1763"/>
      <c r="AB533" s="1763"/>
    </row>
    <row r="534" spans="1:28" ht="20.25" customHeight="1">
      <c r="A534" s="1708"/>
      <c r="B534" s="1708"/>
      <c r="C534" s="1708"/>
      <c r="G534" s="1708"/>
      <c r="H534" s="1708"/>
      <c r="I534" s="1708"/>
      <c r="J534" s="1708"/>
      <c r="K534" s="1708"/>
      <c r="L534" s="1708"/>
      <c r="M534" s="1708"/>
      <c r="O534" s="1708"/>
      <c r="P534" s="1708"/>
      <c r="Q534" s="1708"/>
    </row>
    <row r="535" spans="1:28" ht="20.25" customHeight="1">
      <c r="A535" s="1708"/>
      <c r="B535" s="1708"/>
      <c r="C535" s="1708"/>
      <c r="G535" s="1708"/>
      <c r="H535" s="1708"/>
      <c r="I535" s="1708"/>
      <c r="J535" s="1708"/>
      <c r="K535" s="1708"/>
      <c r="L535" s="1708"/>
      <c r="M535" s="1708"/>
      <c r="O535" s="1708"/>
      <c r="P535" s="1708"/>
      <c r="Q535" s="1708"/>
    </row>
    <row r="536" spans="1:28" ht="20.25" customHeight="1">
      <c r="A536" s="1708"/>
      <c r="B536" s="1708"/>
      <c r="C536" s="1708"/>
      <c r="I536" s="1708"/>
      <c r="K536" s="1708"/>
      <c r="L536" s="1708"/>
      <c r="M536" s="1708"/>
      <c r="O536" s="1708"/>
      <c r="Q536" s="1708"/>
    </row>
    <row r="537" spans="1:28" ht="20.25" customHeight="1">
      <c r="A537" s="1708"/>
      <c r="B537" s="1708"/>
      <c r="C537" s="1708"/>
      <c r="K537" s="1708"/>
      <c r="L537" s="1708"/>
      <c r="M537" s="1708"/>
      <c r="O537" s="1708"/>
      <c r="Q537" s="1708"/>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B398" sqref="B398:P398"/>
    </sheetView>
  </sheetViews>
  <sheetFormatPr defaultColWidth="9.28515625" defaultRowHeight="15"/>
  <cols>
    <col min="1" max="1" width="6" style="1782" customWidth="1"/>
    <col min="2" max="2" width="3.42578125" style="1782" customWidth="1"/>
    <col min="3" max="3" width="12.42578125" style="1782" customWidth="1"/>
    <col min="4" max="4" width="12.140625" style="1782" customWidth="1"/>
    <col min="5" max="5" width="7.42578125" style="1782" customWidth="1"/>
    <col min="6" max="6" width="13.5703125" style="1782" customWidth="1"/>
    <col min="7" max="9" width="14.140625" style="1782" customWidth="1"/>
    <col min="10" max="10" width="10.5703125" style="1782" customWidth="1"/>
    <col min="11" max="11" width="13.42578125" style="1782" customWidth="1"/>
    <col min="12" max="12" width="14.7109375" style="1782" customWidth="1"/>
    <col min="13" max="13" width="6.7109375" style="1782" customWidth="1"/>
    <col min="14" max="14" width="2.7109375" style="1799" customWidth="1"/>
    <col min="15" max="15" width="7.7109375" style="1792" customWidth="1"/>
    <col min="16" max="16" width="8" style="1792" customWidth="1"/>
    <col min="17" max="17" width="6" style="1782" customWidth="1"/>
    <col min="18" max="20" width="9.28515625" style="1782" customWidth="1"/>
    <col min="21" max="21" width="10" style="1782" customWidth="1"/>
    <col min="22" max="22" width="10.85546875" style="1782" customWidth="1"/>
    <col min="23" max="23" width="10" style="1782" customWidth="1"/>
    <col min="24" max="24" width="12.42578125" style="1782" customWidth="1"/>
    <col min="25" max="25" width="10.42578125" style="1782" customWidth="1"/>
    <col min="26" max="16384" width="9.28515625" style="1782"/>
  </cols>
  <sheetData>
    <row r="1" spans="1:25" ht="14.1" customHeight="1">
      <c r="A1" s="3995" t="str">
        <f>CONCATENATE("PART EIGHT - SCORING CRITERIA","  -  ",'Part I-Project Identification'!$O$7," ",'Part I-Project Identification'!$F$25,", ",'Part I-Project Identification'!F26,", ",'Part I-Project Identification'!J26," County")</f>
        <v>PART EIGHT - SCORING CRITERIA  -  2023-5 Ashley Collegetown Phase I, Atlanta, Fulton County</v>
      </c>
      <c r="B1" s="3996"/>
      <c r="C1" s="3996"/>
      <c r="D1" s="3996"/>
      <c r="E1" s="3996"/>
      <c r="F1" s="3996"/>
      <c r="G1" s="3996"/>
      <c r="H1" s="3996"/>
      <c r="I1" s="3996"/>
      <c r="J1" s="3996"/>
      <c r="K1" s="3996"/>
      <c r="L1" s="3996"/>
      <c r="M1" s="3996"/>
      <c r="N1" s="3996"/>
      <c r="O1" s="3996"/>
      <c r="P1" s="3997"/>
      <c r="Q1" s="1780"/>
      <c r="R1" s="1780"/>
      <c r="S1" s="1780"/>
      <c r="T1" s="1780"/>
      <c r="U1" s="1780"/>
      <c r="V1" s="1780"/>
      <c r="W1" s="1780"/>
      <c r="X1" s="1781"/>
    </row>
    <row r="2" spans="1:25" ht="4.3499999999999996" customHeight="1">
      <c r="A2" s="1783"/>
      <c r="B2" s="1783"/>
      <c r="C2" s="1784"/>
      <c r="D2" s="1783"/>
      <c r="E2" s="1783"/>
      <c r="F2" s="1783"/>
      <c r="G2" s="1783"/>
      <c r="H2" s="1783"/>
      <c r="I2" s="1783"/>
      <c r="J2" s="1783"/>
      <c r="K2" s="1783"/>
      <c r="L2" s="1783"/>
      <c r="M2" s="1785"/>
      <c r="N2" s="1785"/>
      <c r="O2" s="1786"/>
      <c r="P2" s="1786"/>
      <c r="Q2" s="1780"/>
      <c r="R2" s="1780"/>
      <c r="S2" s="1780"/>
      <c r="T2" s="1780"/>
      <c r="U2" s="1780"/>
      <c r="V2" s="1780"/>
      <c r="W2" s="1780"/>
      <c r="X2" s="1781"/>
    </row>
    <row r="3" spans="1:25" s="1783" customFormat="1" ht="20.45" customHeight="1">
      <c r="A3" s="3998" t="s">
        <v>1664</v>
      </c>
      <c r="B3" s="3998"/>
      <c r="C3" s="3998"/>
      <c r="D3" s="3998"/>
      <c r="E3" s="3998"/>
      <c r="F3" s="3998"/>
      <c r="G3" s="3998"/>
      <c r="H3" s="3998"/>
      <c r="I3" s="3998"/>
      <c r="J3" s="3998"/>
      <c r="K3" s="3998"/>
      <c r="L3" s="3998"/>
      <c r="M3" s="1787"/>
      <c r="N3" s="1785"/>
      <c r="O3" s="2917" t="s">
        <v>1665</v>
      </c>
      <c r="P3" s="2918" t="s">
        <v>1666</v>
      </c>
      <c r="Q3" s="1780"/>
      <c r="R3" s="1780"/>
      <c r="S3" s="1780"/>
      <c r="T3" s="1780"/>
      <c r="U3" s="1780"/>
      <c r="V3" s="1780"/>
      <c r="W3" s="1780"/>
      <c r="X3" s="1781"/>
    </row>
    <row r="4" spans="1:25" s="1783" customFormat="1" ht="16.5" customHeight="1">
      <c r="A4" s="3998"/>
      <c r="B4" s="3998"/>
      <c r="C4" s="3998"/>
      <c r="D4" s="3998"/>
      <c r="E4" s="3998"/>
      <c r="F4" s="3998"/>
      <c r="G4" s="3998"/>
      <c r="H4" s="3998"/>
      <c r="I4" s="3998"/>
      <c r="J4" s="3998"/>
      <c r="K4" s="3998"/>
      <c r="L4" s="3998"/>
      <c r="M4" s="1787"/>
      <c r="N4" s="1788"/>
      <c r="O4" s="1789" t="s">
        <v>1667</v>
      </c>
      <c r="P4" s="1789" t="s">
        <v>1667</v>
      </c>
      <c r="Q4" s="1780"/>
      <c r="R4" s="1780"/>
      <c r="S4" s="1780"/>
      <c r="T4" s="1780"/>
      <c r="U4" s="1780"/>
      <c r="V4" s="1780"/>
    </row>
    <row r="5" spans="1:25" s="1783" customFormat="1" ht="3" customHeight="1" thickBot="1">
      <c r="M5" s="1790"/>
      <c r="N5" s="1791"/>
      <c r="O5" s="1786"/>
      <c r="P5" s="1792"/>
      <c r="Q5" s="1780"/>
      <c r="R5" s="1780"/>
      <c r="S5" s="1780"/>
      <c r="T5" s="1780"/>
      <c r="U5" s="1780"/>
      <c r="V5" s="1780"/>
    </row>
    <row r="6" spans="1:25" s="1783" customFormat="1" ht="13.5" customHeight="1" thickTop="1" thickBot="1">
      <c r="B6" s="3999" t="str">
        <f>'Part I-Project Identification'!$A$6</f>
        <v>Sept 2023</v>
      </c>
      <c r="C6" s="3999"/>
      <c r="D6" s="3999"/>
      <c r="E6" s="3999"/>
      <c r="F6" s="3999"/>
      <c r="L6" s="1786" t="s">
        <v>1668</v>
      </c>
      <c r="M6" s="1793"/>
      <c r="N6" s="1794"/>
      <c r="O6" s="1795">
        <f>O404</f>
        <v>42</v>
      </c>
      <c r="P6" s="1795">
        <f>P404</f>
        <v>22</v>
      </c>
      <c r="Q6" s="1796" t="s">
        <v>1669</v>
      </c>
      <c r="R6" s="1797"/>
      <c r="S6" s="1797"/>
      <c r="T6" s="1797"/>
      <c r="U6" s="1797"/>
      <c r="V6" s="1797"/>
      <c r="W6" s="1797"/>
      <c r="X6" s="1797"/>
      <c r="Y6" s="1797"/>
    </row>
    <row r="7" spans="1:25" ht="3.6" customHeight="1" thickTop="1">
      <c r="A7" s="1783"/>
      <c r="B7" s="1798"/>
      <c r="C7" s="1783"/>
      <c r="D7" s="1783"/>
      <c r="E7" s="1783"/>
      <c r="F7" s="1783"/>
      <c r="G7" s="1783"/>
      <c r="H7" s="1783"/>
      <c r="I7" s="1783"/>
      <c r="J7" s="1783"/>
      <c r="K7" s="1783"/>
      <c r="L7" s="1783"/>
      <c r="M7" s="1785"/>
      <c r="O7" s="1793"/>
      <c r="P7" s="1786"/>
      <c r="Q7" s="1797"/>
      <c r="R7" s="1797"/>
      <c r="S7" s="1797"/>
      <c r="T7" s="1797"/>
      <c r="U7" s="1797"/>
      <c r="V7" s="1797"/>
      <c r="W7" s="1797"/>
      <c r="X7" s="1797"/>
      <c r="Y7" s="1797"/>
    </row>
    <row r="8" spans="1:25" s="1783" customFormat="1" ht="2.25" customHeight="1">
      <c r="A8" s="1800"/>
      <c r="G8" s="1801"/>
      <c r="I8" s="1801"/>
      <c r="J8" s="1801"/>
      <c r="K8" s="1801"/>
      <c r="L8" s="1801"/>
      <c r="M8" s="1801"/>
      <c r="N8" s="1801"/>
      <c r="O8" s="1801"/>
      <c r="P8" s="1801"/>
    </row>
    <row r="9" spans="1:25" s="1783" customFormat="1" ht="15.6" customHeight="1" thickBot="1">
      <c r="A9" s="1802" t="s">
        <v>21</v>
      </c>
      <c r="B9" s="1803" t="s">
        <v>1670</v>
      </c>
      <c r="C9" s="1791"/>
      <c r="G9" s="1801"/>
      <c r="I9" s="1801"/>
      <c r="J9" s="1801"/>
      <c r="K9" s="1801"/>
      <c r="L9" s="1801"/>
      <c r="M9" s="1801"/>
      <c r="N9" s="1801"/>
      <c r="O9" s="1801"/>
      <c r="P9" s="1801"/>
      <c r="Q9" s="1797"/>
      <c r="R9" s="1797"/>
      <c r="S9" s="1797"/>
      <c r="T9" s="1797"/>
      <c r="U9" s="1797"/>
      <c r="V9" s="1797"/>
      <c r="W9" s="1797"/>
      <c r="X9" s="1797"/>
      <c r="Y9" s="1797"/>
    </row>
    <row r="10" spans="1:25" s="1783" customFormat="1" ht="15.6" customHeight="1" thickBot="1">
      <c r="A10" s="1800" t="s">
        <v>1671</v>
      </c>
      <c r="G10" s="1801"/>
      <c r="I10" s="1801"/>
      <c r="J10" s="1801"/>
      <c r="K10" s="1801"/>
      <c r="L10" s="1801"/>
      <c r="M10" s="1804" t="s">
        <v>1672</v>
      </c>
      <c r="N10" s="1801"/>
      <c r="O10" s="1801"/>
      <c r="P10" s="1805">
        <f>IF(P12&lt;2,0,IF(AND(P12&gt;1,P12&lt;5),1,IF(P12&gt;4,P12-3)))</f>
        <v>0</v>
      </c>
      <c r="Q10" s="1797"/>
      <c r="R10" s="1797"/>
      <c r="S10" s="1797"/>
      <c r="T10" s="1797"/>
      <c r="U10" s="1797"/>
      <c r="V10" s="1797"/>
      <c r="W10" s="1797"/>
      <c r="X10" s="1797"/>
      <c r="Y10" s="1797"/>
    </row>
    <row r="11" spans="1:25" ht="15.6" customHeight="1">
      <c r="A11" s="1783"/>
      <c r="B11" s="1798"/>
      <c r="C11" s="1783"/>
      <c r="D11" s="1783"/>
      <c r="E11" s="1783"/>
      <c r="F11" s="1783"/>
      <c r="G11" s="1783"/>
      <c r="H11" s="1783"/>
      <c r="I11" s="1783"/>
      <c r="J11" s="1783"/>
      <c r="K11" s="1783"/>
      <c r="L11" s="1783"/>
      <c r="M11" s="1785"/>
      <c r="O11" s="1793"/>
      <c r="P11" s="1786"/>
      <c r="R11" s="1783"/>
      <c r="S11" s="1783"/>
    </row>
    <row r="12" spans="1:25" s="1783" customFormat="1" ht="14.45" customHeight="1">
      <c r="A12" s="1806" t="s">
        <v>1673</v>
      </c>
      <c r="B12" s="1806" t="s">
        <v>1674</v>
      </c>
      <c r="C12" s="1807"/>
      <c r="D12" s="1807"/>
      <c r="E12" s="1782" t="s">
        <v>1675</v>
      </c>
      <c r="F12" s="4000" t="s">
        <v>1676</v>
      </c>
      <c r="G12" s="4000"/>
      <c r="H12" s="4000"/>
      <c r="I12" s="4000"/>
      <c r="J12" s="4000"/>
      <c r="K12" s="4000"/>
      <c r="L12" s="4000"/>
      <c r="M12" s="4000"/>
      <c r="N12" s="4000"/>
      <c r="O12" s="1808" t="s">
        <v>1677</v>
      </c>
      <c r="P12" s="1809">
        <f>SUM(P13:P31)</f>
        <v>0</v>
      </c>
      <c r="Q12" s="4001"/>
      <c r="R12" s="4001"/>
      <c r="S12" s="4001"/>
      <c r="T12" s="4001"/>
      <c r="U12" s="4001"/>
      <c r="V12" s="1810"/>
    </row>
    <row r="13" spans="1:25" s="1783" customFormat="1" ht="14.45" customHeight="1">
      <c r="A13" s="1811" t="s">
        <v>66</v>
      </c>
      <c r="B13" s="2820" t="s">
        <v>1678</v>
      </c>
      <c r="C13" s="2821"/>
      <c r="D13" s="2919"/>
      <c r="E13" s="2920">
        <f>$O$77</f>
        <v>0</v>
      </c>
      <c r="F13" s="4002" t="str">
        <f>$A$81</f>
        <v>NA 4% Preservation</v>
      </c>
      <c r="G13" s="4003"/>
      <c r="H13" s="4003"/>
      <c r="I13" s="4003"/>
      <c r="J13" s="4003"/>
      <c r="K13" s="4003"/>
      <c r="L13" s="4003"/>
      <c r="M13" s="4003"/>
      <c r="N13" s="4003"/>
      <c r="O13" s="4003"/>
      <c r="P13" s="1812"/>
      <c r="Q13" s="4001"/>
      <c r="R13" s="4001"/>
      <c r="S13" s="4001"/>
      <c r="T13" s="4001"/>
      <c r="U13" s="4001"/>
      <c r="V13" s="1810"/>
    </row>
    <row r="14" spans="1:25" s="1783" customFormat="1" ht="14.45" customHeight="1">
      <c r="A14" s="1811" t="s">
        <v>75</v>
      </c>
      <c r="B14" s="1813" t="s">
        <v>1679</v>
      </c>
      <c r="C14" s="1814"/>
      <c r="D14" s="1815"/>
      <c r="E14" s="1816">
        <f>$O$86</f>
        <v>0</v>
      </c>
      <c r="F14" s="3983" t="str">
        <f>$A$102</f>
        <v>NA 4% Preservation</v>
      </c>
      <c r="G14" s="3810"/>
      <c r="H14" s="3810"/>
      <c r="I14" s="3810"/>
      <c r="J14" s="3810"/>
      <c r="K14" s="3810"/>
      <c r="L14" s="3810"/>
      <c r="M14" s="3810"/>
      <c r="N14" s="3810"/>
      <c r="O14" s="3984"/>
      <c r="P14" s="1818"/>
      <c r="Q14" s="4001"/>
      <c r="R14" s="4001"/>
      <c r="S14" s="4001"/>
      <c r="T14" s="4001"/>
      <c r="U14" s="4001"/>
    </row>
    <row r="15" spans="1:25" s="1783" customFormat="1" ht="14.45" customHeight="1">
      <c r="A15" s="1811" t="s">
        <v>77</v>
      </c>
      <c r="B15" s="1813" t="s">
        <v>1680</v>
      </c>
      <c r="C15" s="1814"/>
      <c r="D15" s="1815"/>
      <c r="E15" s="1816">
        <f>$O$106</f>
        <v>0</v>
      </c>
      <c r="F15" s="3983" t="str">
        <f>$A$117</f>
        <v>NA 4% Preservation</v>
      </c>
      <c r="G15" s="3810"/>
      <c r="H15" s="3810"/>
      <c r="I15" s="3810"/>
      <c r="J15" s="3810"/>
      <c r="K15" s="3810"/>
      <c r="L15" s="3810"/>
      <c r="M15" s="3810"/>
      <c r="N15" s="3810"/>
      <c r="O15" s="3984"/>
      <c r="P15" s="1818"/>
      <c r="Q15" s="1819"/>
      <c r="R15" s="1819"/>
      <c r="S15" s="1819"/>
      <c r="T15" s="1819"/>
      <c r="U15" s="1819"/>
    </row>
    <row r="16" spans="1:25" s="1783" customFormat="1" ht="14.45" customHeight="1">
      <c r="A16" s="1820" t="s">
        <v>1427</v>
      </c>
      <c r="B16" s="1813" t="s">
        <v>1681</v>
      </c>
      <c r="C16" s="1814"/>
      <c r="D16" s="1815"/>
      <c r="E16" s="2102">
        <f>$O$122</f>
        <v>0</v>
      </c>
      <c r="F16" s="3983" t="str">
        <f>$A$137</f>
        <v>NA 4% Preservation</v>
      </c>
      <c r="G16" s="3810"/>
      <c r="H16" s="3810"/>
      <c r="I16" s="3810"/>
      <c r="J16" s="3810"/>
      <c r="K16" s="3810"/>
      <c r="L16" s="3810"/>
      <c r="M16" s="3810"/>
      <c r="N16" s="3810"/>
      <c r="O16" s="3984"/>
      <c r="P16" s="1818"/>
      <c r="Q16" s="1819"/>
      <c r="R16" s="1819"/>
      <c r="S16" s="1819"/>
      <c r="T16" s="1819"/>
      <c r="U16" s="1819"/>
    </row>
    <row r="17" spans="1:35" s="1783" customFormat="1" ht="14.45" customHeight="1">
      <c r="A17" s="1811" t="s">
        <v>1432</v>
      </c>
      <c r="B17" s="1822" t="s">
        <v>1682</v>
      </c>
      <c r="C17" s="1823"/>
      <c r="D17" s="1824"/>
      <c r="E17" s="1825" t="s">
        <v>1683</v>
      </c>
      <c r="F17" s="4007">
        <f>$A$147</f>
        <v>0</v>
      </c>
      <c r="G17" s="4008"/>
      <c r="H17" s="4008"/>
      <c r="I17" s="4008"/>
      <c r="J17" s="4008"/>
      <c r="K17" s="4008"/>
      <c r="L17" s="4008"/>
      <c r="M17" s="4008"/>
      <c r="N17" s="4008"/>
      <c r="O17" s="4009"/>
      <c r="P17" s="1818"/>
      <c r="Q17" s="1819"/>
      <c r="R17" s="1819"/>
      <c r="S17" s="1819"/>
      <c r="T17" s="1819"/>
      <c r="U17" s="1819"/>
    </row>
    <row r="18" spans="1:35" s="1783" customFormat="1" ht="14.45" customHeight="1">
      <c r="A18" s="1811" t="s">
        <v>1434</v>
      </c>
      <c r="B18" s="1813" t="s">
        <v>1684</v>
      </c>
      <c r="C18" s="1814"/>
      <c r="D18" s="1815"/>
      <c r="E18" s="1826">
        <f>$O$152</f>
        <v>0</v>
      </c>
      <c r="F18" s="3983" t="str">
        <f>$A$165</f>
        <v>NA 4% Preservation</v>
      </c>
      <c r="G18" s="3810"/>
      <c r="H18" s="3810"/>
      <c r="I18" s="3810"/>
      <c r="J18" s="3810"/>
      <c r="K18" s="3810"/>
      <c r="L18" s="3810"/>
      <c r="M18" s="3810"/>
      <c r="N18" s="3810"/>
      <c r="O18" s="3984"/>
      <c r="P18" s="1818"/>
      <c r="Q18" s="4010" t="str">
        <f>IF(OR($A$81="",$A$102="",$A$117="",$A$137="",$A$147="",$A$165="",$A$184="",$A$195="",$A$205="",$A$228="",$A$248="",$A$257="",$A$275="",$A$307="",$A$318="",$A$340="",$A$347="",$A$360="",$A$389=""),"Some Applicant Scoring Justification boxes are empty! Check to see if points claimed.","")</f>
        <v>Some Applicant Scoring Justification boxes are empty! Check to see if points claimed.</v>
      </c>
      <c r="R18" s="3950"/>
      <c r="S18" s="3950"/>
    </row>
    <row r="19" spans="1:35" s="1783" customFormat="1" ht="14.45" customHeight="1">
      <c r="A19" s="1811" t="s">
        <v>1685</v>
      </c>
      <c r="B19" s="1813" t="s">
        <v>1686</v>
      </c>
      <c r="C19" s="1814"/>
      <c r="D19" s="1815"/>
      <c r="E19" s="1826">
        <f>$O$179</f>
        <v>0</v>
      </c>
      <c r="F19" s="3983" t="str">
        <f>$A$184</f>
        <v>NA 4% Preservation</v>
      </c>
      <c r="G19" s="3810"/>
      <c r="H19" s="3810"/>
      <c r="I19" s="3810"/>
      <c r="J19" s="3810"/>
      <c r="K19" s="3810"/>
      <c r="L19" s="3810"/>
      <c r="M19" s="3810"/>
      <c r="N19" s="3810"/>
      <c r="O19" s="3984"/>
      <c r="P19" s="1818"/>
      <c r="Q19" s="4010"/>
      <c r="R19" s="3950"/>
      <c r="S19" s="3950"/>
    </row>
    <row r="20" spans="1:35" s="1783" customFormat="1" ht="14.45" customHeight="1">
      <c r="A20" s="1811" t="s">
        <v>1687</v>
      </c>
      <c r="B20" s="1813" t="s">
        <v>1688</v>
      </c>
      <c r="C20" s="1814"/>
      <c r="D20" s="1815"/>
      <c r="E20" s="1825">
        <f>$O$189</f>
        <v>0</v>
      </c>
      <c r="F20" s="3983">
        <f>$A$195</f>
        <v>0</v>
      </c>
      <c r="G20" s="3810"/>
      <c r="H20" s="3810"/>
      <c r="I20" s="3810"/>
      <c r="J20" s="3810"/>
      <c r="K20" s="3810"/>
      <c r="L20" s="3810"/>
      <c r="M20" s="3810"/>
      <c r="N20" s="3810"/>
      <c r="O20" s="3984"/>
      <c r="P20" s="1818"/>
      <c r="Q20" s="4010"/>
      <c r="R20" s="3950"/>
      <c r="S20" s="3950"/>
    </row>
    <row r="21" spans="1:35" s="1783" customFormat="1" ht="14.45" customHeight="1">
      <c r="A21" s="1827" t="s">
        <v>1689</v>
      </c>
      <c r="B21" s="1822" t="s">
        <v>1690</v>
      </c>
      <c r="C21" s="1823"/>
      <c r="D21" s="1824"/>
      <c r="E21" s="1828">
        <f>$O$200</f>
        <v>0</v>
      </c>
      <c r="F21" s="4007">
        <f>$A$205</f>
        <v>0</v>
      </c>
      <c r="G21" s="4008"/>
      <c r="H21" s="4008"/>
      <c r="I21" s="4008"/>
      <c r="J21" s="4008"/>
      <c r="K21" s="4008"/>
      <c r="L21" s="4008"/>
      <c r="M21" s="4008"/>
      <c r="N21" s="4008"/>
      <c r="O21" s="4009"/>
      <c r="P21" s="1818"/>
      <c r="Q21" s="4010"/>
      <c r="R21" s="3950"/>
      <c r="S21" s="3950"/>
    </row>
    <row r="22" spans="1:35" s="1783" customFormat="1" ht="14.45" customHeight="1">
      <c r="A22" s="1811" t="s">
        <v>1691</v>
      </c>
      <c r="B22" s="1813" t="s">
        <v>1692</v>
      </c>
      <c r="C22" s="1814"/>
      <c r="D22" s="1815"/>
      <c r="E22" s="1826">
        <f>$O$223</f>
        <v>0</v>
      </c>
      <c r="F22" s="3983">
        <f>$A$228</f>
        <v>0</v>
      </c>
      <c r="G22" s="3810"/>
      <c r="H22" s="3810"/>
      <c r="I22" s="3810"/>
      <c r="J22" s="3810"/>
      <c r="K22" s="3810"/>
      <c r="L22" s="3810"/>
      <c r="M22" s="3810"/>
      <c r="N22" s="3810"/>
      <c r="O22" s="3984"/>
      <c r="P22" s="1818"/>
      <c r="Q22" s="4010"/>
      <c r="R22" s="3950"/>
      <c r="S22" s="3950"/>
    </row>
    <row r="23" spans="1:35" s="1783" customFormat="1" ht="14.45" customHeight="1">
      <c r="A23" s="1811" t="s">
        <v>1693</v>
      </c>
      <c r="B23" s="1813" t="s">
        <v>1694</v>
      </c>
      <c r="C23" s="1814"/>
      <c r="D23" s="1815"/>
      <c r="E23" s="1826">
        <f>$O$233</f>
        <v>2</v>
      </c>
      <c r="F23" s="3983" t="str">
        <f>$A$248</f>
        <v xml:space="preserve">As an MBE, Integral is committed to the advancement of other MBEs and will engage MBEs in the development or operations of the proposed property in amounts equal to approx. 5% of total hard construction costs. </v>
      </c>
      <c r="G23" s="3810"/>
      <c r="H23" s="3810"/>
      <c r="I23" s="3810"/>
      <c r="J23" s="3810"/>
      <c r="K23" s="3810"/>
      <c r="L23" s="3810"/>
      <c r="M23" s="3810"/>
      <c r="N23" s="3810"/>
      <c r="O23" s="3984"/>
      <c r="P23" s="1818"/>
      <c r="Q23" s="4010"/>
      <c r="R23" s="3950"/>
      <c r="S23" s="3950"/>
    </row>
    <row r="24" spans="1:35" s="1783" customFormat="1" ht="14.45" customHeight="1">
      <c r="A24" s="1820" t="s">
        <v>1491</v>
      </c>
      <c r="B24" s="1829" t="s">
        <v>1695</v>
      </c>
      <c r="C24" s="1830"/>
      <c r="D24" s="1831"/>
      <c r="E24" s="1821">
        <f>$O$253</f>
        <v>0</v>
      </c>
      <c r="F24" s="4004">
        <f>$A$257</f>
        <v>0</v>
      </c>
      <c r="G24" s="4005"/>
      <c r="H24" s="4005"/>
      <c r="I24" s="4005"/>
      <c r="J24" s="4005"/>
      <c r="K24" s="4005"/>
      <c r="L24" s="4005"/>
      <c r="M24" s="4005"/>
      <c r="N24" s="4005"/>
      <c r="O24" s="4006"/>
      <c r="P24" s="1818"/>
      <c r="Q24" s="4010"/>
      <c r="R24" s="3950"/>
      <c r="S24" s="3950"/>
    </row>
    <row r="25" spans="1:35" s="1783" customFormat="1" ht="14.45" customHeight="1">
      <c r="A25" s="1811" t="s">
        <v>1508</v>
      </c>
      <c r="B25" s="1813" t="s">
        <v>1696</v>
      </c>
      <c r="C25" s="1814"/>
      <c r="D25" s="1815"/>
      <c r="E25" s="1826">
        <f>$O$271</f>
        <v>0</v>
      </c>
      <c r="F25" s="3983">
        <f>$A$275</f>
        <v>0</v>
      </c>
      <c r="G25" s="3810"/>
      <c r="H25" s="3810"/>
      <c r="I25" s="3810"/>
      <c r="J25" s="3810"/>
      <c r="K25" s="3810"/>
      <c r="L25" s="3810"/>
      <c r="M25" s="3810"/>
      <c r="N25" s="3810"/>
      <c r="O25" s="3984"/>
      <c r="P25" s="1818"/>
      <c r="Q25" s="4010"/>
      <c r="R25" s="3950"/>
      <c r="S25" s="3950"/>
    </row>
    <row r="26" spans="1:35" s="1783" customFormat="1" ht="14.45" customHeight="1">
      <c r="A26" s="1811" t="s">
        <v>1515</v>
      </c>
      <c r="B26" s="1813" t="s">
        <v>1697</v>
      </c>
      <c r="C26" s="1814"/>
      <c r="D26" s="1815"/>
      <c r="E26" s="1826">
        <f>$O$280</f>
        <v>4</v>
      </c>
      <c r="F26" s="3983" t="str">
        <f>$A$307</f>
        <v xml:space="preserve">Applicant will receive a loan from Atlanta Housing at 1% interest.  Seller will assign the existing nominal ground lease to the Application, and per the terms of AH's commitment letter, AH will extend the term of the ground lease for at least 45 years. </v>
      </c>
      <c r="G26" s="3810"/>
      <c r="H26" s="3810"/>
      <c r="I26" s="3810"/>
      <c r="J26" s="3810"/>
      <c r="K26" s="3810"/>
      <c r="L26" s="3810"/>
      <c r="M26" s="3810"/>
      <c r="N26" s="3810"/>
      <c r="O26" s="3984"/>
      <c r="P26" s="1818"/>
      <c r="Q26" s="4010"/>
      <c r="R26" s="3950"/>
      <c r="S26" s="3950"/>
    </row>
    <row r="27" spans="1:35" s="1783" customFormat="1" ht="14.45" customHeight="1">
      <c r="A27" s="1811" t="s">
        <v>1529</v>
      </c>
      <c r="B27" s="1813" t="s">
        <v>1698</v>
      </c>
      <c r="C27" s="1814"/>
      <c r="D27" s="1815"/>
      <c r="E27" s="1825">
        <f>$O$312</f>
        <v>0</v>
      </c>
      <c r="F27" s="3983">
        <f>$A$318</f>
        <v>0</v>
      </c>
      <c r="G27" s="3810"/>
      <c r="H27" s="3810"/>
      <c r="I27" s="3810"/>
      <c r="J27" s="3810"/>
      <c r="K27" s="3810"/>
      <c r="L27" s="3810"/>
      <c r="M27" s="3810"/>
      <c r="N27" s="3810"/>
      <c r="O27" s="3984"/>
      <c r="P27" s="1818"/>
      <c r="Q27" s="1832"/>
      <c r="R27" s="1780"/>
      <c r="S27" s="1780"/>
      <c r="AA27" s="1791"/>
      <c r="AB27" s="1791"/>
      <c r="AC27" s="1791"/>
      <c r="AD27" s="1791"/>
      <c r="AE27" s="1791"/>
      <c r="AF27" s="1791"/>
    </row>
    <row r="28" spans="1:35" s="1783" customFormat="1" ht="14.45" customHeight="1">
      <c r="A28" s="1833" t="s">
        <v>1543</v>
      </c>
      <c r="B28" s="1834" t="s">
        <v>1699</v>
      </c>
      <c r="C28" s="1835"/>
      <c r="D28" s="1836"/>
      <c r="E28" s="1837">
        <f>$O$332</f>
        <v>3</v>
      </c>
      <c r="F28" s="4011" t="str">
        <f>$A$340</f>
        <v xml:space="preserve">Applicant certifies that the property meets the requirements for the DCA PBRA Agreement.  Principals of the Applicant have multiple successful properties that participate in the Section 811 program. </v>
      </c>
      <c r="G28" s="4012"/>
      <c r="H28" s="4012"/>
      <c r="I28" s="4012"/>
      <c r="J28" s="4012"/>
      <c r="K28" s="4012"/>
      <c r="L28" s="4012"/>
      <c r="M28" s="4012"/>
      <c r="N28" s="4012"/>
      <c r="O28" s="4013"/>
      <c r="P28" s="1839"/>
      <c r="Q28" s="1832"/>
      <c r="R28" s="1780"/>
      <c r="S28" s="1780"/>
      <c r="X28" s="1791"/>
      <c r="Y28" s="1791"/>
      <c r="Z28" s="1791"/>
      <c r="AA28" s="1791"/>
      <c r="AB28" s="1791"/>
      <c r="AC28" s="1791"/>
      <c r="AD28" s="1791"/>
      <c r="AE28" s="1791"/>
      <c r="AF28" s="1791"/>
      <c r="AG28" s="1791"/>
      <c r="AH28" s="1791"/>
      <c r="AI28" s="1791"/>
    </row>
    <row r="29" spans="1:35" s="1783" customFormat="1" ht="14.45" customHeight="1">
      <c r="A29" s="1811" t="s">
        <v>1556</v>
      </c>
      <c r="B29" s="1813" t="s">
        <v>1700</v>
      </c>
      <c r="C29" s="1814"/>
      <c r="D29" s="1815"/>
      <c r="E29" s="1826">
        <f>$O$345</f>
        <v>4</v>
      </c>
      <c r="F29" s="3983" t="str">
        <f>$A$347</f>
        <v>Ashley Collegetown has an average occupancy of 94.89 for the 24 month period through July 2023.  Please see documentation in tab 46.</v>
      </c>
      <c r="G29" s="3810"/>
      <c r="H29" s="3810"/>
      <c r="I29" s="3810"/>
      <c r="J29" s="3810"/>
      <c r="K29" s="3810"/>
      <c r="L29" s="3810"/>
      <c r="M29" s="3810"/>
      <c r="N29" s="3810"/>
      <c r="O29" s="3984"/>
      <c r="P29" s="1818"/>
      <c r="Q29" s="1832"/>
      <c r="R29" s="1780"/>
      <c r="S29" s="1780"/>
    </row>
    <row r="30" spans="1:35" s="1783" customFormat="1" ht="14.45" customHeight="1">
      <c r="A30" s="1811" t="s">
        <v>1701</v>
      </c>
      <c r="B30" s="1813" t="s">
        <v>1702</v>
      </c>
      <c r="C30" s="1814"/>
      <c r="D30" s="1815"/>
      <c r="E30" s="1826">
        <f>$O$358</f>
        <v>3</v>
      </c>
      <c r="F30" s="3983" t="str">
        <f>$A$360</f>
        <v xml:space="preserve">Ashley Collegetown will undergo a RAD/Section 18 conversion, placing PBRA vouchers on 78 existing Section 9 units.  Please see commitment letter from AH.  </v>
      </c>
      <c r="G30" s="3810"/>
      <c r="H30" s="3810"/>
      <c r="I30" s="3810"/>
      <c r="J30" s="3810"/>
      <c r="K30" s="3810"/>
      <c r="L30" s="3810"/>
      <c r="M30" s="3810"/>
      <c r="N30" s="3810"/>
      <c r="O30" s="3984"/>
      <c r="P30" s="1818"/>
      <c r="Q30" s="1832"/>
    </row>
    <row r="31" spans="1:35" s="1783" customFormat="1" ht="14.45" customHeight="1">
      <c r="A31" s="1811" t="s">
        <v>1703</v>
      </c>
      <c r="B31" s="1813" t="s">
        <v>1704</v>
      </c>
      <c r="C31" s="1814"/>
      <c r="D31" s="1815"/>
      <c r="E31" s="1826">
        <f>$O$365</f>
        <v>2</v>
      </c>
      <c r="F31" s="3983" t="str">
        <f>$A$369</f>
        <v xml:space="preserve">Ashley Collegetown I reached Placed in Service in 2005.  Please see documentation Tab 49. </v>
      </c>
      <c r="G31" s="3810"/>
      <c r="H31" s="3810"/>
      <c r="I31" s="3810"/>
      <c r="J31" s="3810"/>
      <c r="K31" s="3810"/>
      <c r="L31" s="3810"/>
      <c r="M31" s="3810"/>
      <c r="N31" s="3810"/>
      <c r="O31" s="3984"/>
      <c r="P31" s="2100"/>
      <c r="Q31" s="1832"/>
    </row>
    <row r="32" spans="1:35" s="1783" customFormat="1" ht="14.45" customHeight="1">
      <c r="A32" s="2101" t="s">
        <v>1705</v>
      </c>
      <c r="B32" s="1834" t="s">
        <v>1706</v>
      </c>
      <c r="C32" s="1835"/>
      <c r="D32" s="1835"/>
      <c r="E32" s="2099">
        <f>$O$373</f>
        <v>0</v>
      </c>
      <c r="F32" s="4011">
        <f>$A$388</f>
        <v>0</v>
      </c>
      <c r="G32" s="4012"/>
      <c r="H32" s="4012"/>
      <c r="I32" s="4012"/>
      <c r="J32" s="4012"/>
      <c r="K32" s="4012"/>
      <c r="L32" s="4012"/>
      <c r="M32" s="4012"/>
      <c r="N32" s="4012"/>
      <c r="O32" s="4013"/>
      <c r="P32" s="1839"/>
      <c r="Q32" s="1780"/>
    </row>
    <row r="33" spans="1:35" ht="12.75" customHeight="1">
      <c r="Q33" s="1841"/>
    </row>
    <row r="34" spans="1:35" ht="13.5" customHeight="1">
      <c r="A34" s="3782" t="s">
        <v>1707</v>
      </c>
      <c r="B34" s="3782"/>
      <c r="C34" s="3782"/>
      <c r="D34" s="3782"/>
      <c r="E34" s="4029" t="str">
        <f>IF(OR((C36-A36&gt;0),(D36-A36&gt;0)),"Points Exceed Max!","")</f>
        <v/>
      </c>
      <c r="F34" s="3855" t="s">
        <v>1708</v>
      </c>
      <c r="G34" s="3856"/>
      <c r="H34" s="3856"/>
      <c r="I34" s="3857"/>
      <c r="J34" s="4014" t="s">
        <v>1709</v>
      </c>
      <c r="K34" s="4015"/>
      <c r="L34" s="4015"/>
      <c r="M34" s="4016"/>
      <c r="O34" s="3861" t="s">
        <v>1710</v>
      </c>
      <c r="P34" s="3861"/>
      <c r="Q34" s="1841"/>
    </row>
    <row r="35" spans="1:35" ht="13.5" customHeight="1">
      <c r="A35" s="4034" t="s">
        <v>1711</v>
      </c>
      <c r="B35" s="4035"/>
      <c r="C35" s="2106" t="s">
        <v>1712</v>
      </c>
      <c r="D35" s="2105" t="s">
        <v>1666</v>
      </c>
      <c r="E35" s="4029"/>
      <c r="F35" s="3858"/>
      <c r="G35" s="3859"/>
      <c r="H35" s="3859"/>
      <c r="I35" s="3860"/>
      <c r="J35" s="4017"/>
      <c r="K35" s="4018"/>
      <c r="L35" s="4018"/>
      <c r="M35" s="4019"/>
      <c r="O35" s="3862"/>
      <c r="P35" s="3862"/>
    </row>
    <row r="36" spans="1:35" ht="10.5" customHeight="1">
      <c r="A36" s="4030">
        <v>33</v>
      </c>
      <c r="B36" s="4031"/>
      <c r="C36" s="4044">
        <f>IF($O$36="4%",O77+O86+O106+O122+O152+O179,0)</f>
        <v>0</v>
      </c>
      <c r="D36" s="4042">
        <f>IF($O$36="4%",P77+P86+P106+P122+P152+P179,0)</f>
        <v>0</v>
      </c>
      <c r="E36" s="4029"/>
      <c r="F36" s="3977" t="s">
        <v>1713</v>
      </c>
      <c r="G36" s="3978"/>
      <c r="H36" s="3978"/>
      <c r="I36" s="3979"/>
      <c r="J36" s="4020" t="s">
        <v>1714</v>
      </c>
      <c r="K36" s="4021"/>
      <c r="L36" s="4021"/>
      <c r="M36" s="4022"/>
      <c r="O36" s="386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864"/>
    </row>
    <row r="37" spans="1:35" ht="10.5" customHeight="1">
      <c r="A37" s="4032"/>
      <c r="B37" s="4033"/>
      <c r="C37" s="4045"/>
      <c r="D37" s="4043"/>
      <c r="E37" s="4029"/>
      <c r="F37" s="3980"/>
      <c r="G37" s="3981"/>
      <c r="H37" s="3981"/>
      <c r="I37" s="3982"/>
      <c r="J37" s="4023"/>
      <c r="K37" s="4024"/>
      <c r="L37" s="4024"/>
      <c r="M37" s="4025"/>
      <c r="O37" s="3863"/>
      <c r="P37" s="3864"/>
    </row>
    <row r="38" spans="1:35" s="1852" customFormat="1" ht="12" customHeight="1">
      <c r="A38" s="1843"/>
      <c r="B38" s="1844"/>
      <c r="C38" s="1843"/>
      <c r="D38" s="1845"/>
      <c r="E38" s="1846"/>
      <c r="F38" s="1846"/>
      <c r="G38" s="1847"/>
      <c r="H38" s="1847"/>
      <c r="I38" s="1847"/>
      <c r="J38" s="1847"/>
      <c r="K38" s="1847"/>
      <c r="L38" s="1847"/>
      <c r="M38" s="1848"/>
      <c r="N38" s="1849"/>
      <c r="O38" s="1850"/>
      <c r="P38" s="1851"/>
      <c r="R38" s="1843"/>
      <c r="S38" s="1843"/>
      <c r="T38" s="1843"/>
      <c r="U38" s="1843"/>
      <c r="V38" s="1843"/>
      <c r="W38" s="1843"/>
      <c r="X38" s="1853"/>
      <c r="Y38" s="1853"/>
      <c r="Z38" s="1853"/>
      <c r="AA38" s="1853"/>
      <c r="AB38" s="1853"/>
      <c r="AC38" s="1853"/>
      <c r="AD38" s="1853"/>
      <c r="AE38" s="1853"/>
      <c r="AF38" s="1853"/>
      <c r="AG38" s="1853"/>
      <c r="AH38" s="1853"/>
      <c r="AI38" s="1853"/>
    </row>
    <row r="39" spans="1:35" ht="12" customHeight="1" thickBot="1">
      <c r="A39" s="1783"/>
      <c r="B39" s="1798"/>
      <c r="C39" s="1783"/>
      <c r="D39" s="1854"/>
      <c r="E39" s="1855"/>
      <c r="F39" s="1855"/>
      <c r="G39" s="1856"/>
      <c r="H39" s="1856"/>
      <c r="I39" s="1856"/>
      <c r="J39" s="1856"/>
      <c r="K39" s="1856"/>
      <c r="L39" s="1856"/>
      <c r="M39" s="1785"/>
      <c r="O39" s="1793"/>
      <c r="P39" s="1786"/>
      <c r="R39" s="1783"/>
      <c r="S39" s="1783"/>
      <c r="T39" s="1783"/>
      <c r="U39" s="1783"/>
      <c r="V39" s="1783"/>
      <c r="W39" s="1783"/>
      <c r="X39" s="1857"/>
      <c r="Y39" s="1857"/>
      <c r="Z39" s="1857"/>
      <c r="AA39" s="1857"/>
      <c r="AB39" s="1857"/>
      <c r="AC39" s="1857"/>
      <c r="AD39" s="1857"/>
      <c r="AE39" s="1857"/>
      <c r="AF39" s="1857"/>
      <c r="AG39" s="1857"/>
      <c r="AH39" s="1857"/>
      <c r="AI39" s="1857"/>
    </row>
    <row r="40" spans="1:35" s="1783" customFormat="1" ht="13.5" customHeight="1" thickBot="1">
      <c r="A40" s="1802" t="s">
        <v>31</v>
      </c>
      <c r="B40" s="1803" t="s">
        <v>1715</v>
      </c>
      <c r="C40" s="1791"/>
      <c r="D40" s="1791"/>
      <c r="E40" s="1791"/>
      <c r="M40" s="1786">
        <v>10</v>
      </c>
      <c r="N40" s="1785"/>
      <c r="O40" s="1858">
        <v>10</v>
      </c>
      <c r="P40" s="1858">
        <f>MIN($M40, $M40-P43-P48-P44)</f>
        <v>10</v>
      </c>
      <c r="Q40" s="1859" t="s">
        <v>1716</v>
      </c>
    </row>
    <row r="41" spans="1:35" ht="3.6" customHeight="1">
      <c r="A41" s="1783"/>
      <c r="B41" s="1798"/>
      <c r="C41" s="1783"/>
      <c r="D41" s="1783"/>
      <c r="E41" s="1783"/>
      <c r="F41" s="1783"/>
      <c r="G41" s="1783"/>
      <c r="H41" s="1783"/>
      <c r="I41" s="1783"/>
      <c r="J41" s="1783"/>
      <c r="K41" s="1783"/>
      <c r="L41" s="1783"/>
      <c r="M41" s="1785"/>
      <c r="O41" s="1793"/>
      <c r="P41" s="1786"/>
      <c r="R41" s="1783"/>
      <c r="S41" s="1783"/>
    </row>
    <row r="42" spans="1:35" s="1783" customFormat="1">
      <c r="A42" s="1798" t="s">
        <v>194</v>
      </c>
      <c r="B42" s="1791" t="s">
        <v>1717</v>
      </c>
      <c r="F42" s="1785"/>
      <c r="N42" s="1910"/>
      <c r="P42" s="1860">
        <f>SUM(P43:P45)</f>
        <v>0</v>
      </c>
    </row>
    <row r="43" spans="1:35">
      <c r="A43" s="1798"/>
      <c r="B43" s="1861" t="s">
        <v>209</v>
      </c>
      <c r="C43" s="1783" t="s">
        <v>1718</v>
      </c>
      <c r="D43" s="1783"/>
      <c r="E43" s="1783"/>
      <c r="F43" s="1785"/>
      <c r="H43" s="1783"/>
      <c r="J43" s="1801"/>
      <c r="N43" s="1870"/>
      <c r="O43" s="1782"/>
      <c r="P43" s="1862">
        <f>F51</f>
        <v>0</v>
      </c>
    </row>
    <row r="44" spans="1:35">
      <c r="A44" s="1798"/>
      <c r="B44" s="1861" t="s">
        <v>217</v>
      </c>
      <c r="C44" s="1783" t="s">
        <v>1719</v>
      </c>
      <c r="D44" s="1783"/>
      <c r="E44" s="1783"/>
      <c r="F44" s="1785"/>
      <c r="H44" s="1783"/>
      <c r="J44" s="1801"/>
      <c r="N44" s="1870"/>
      <c r="O44" s="1782"/>
      <c r="P44" s="1863">
        <f>J51</f>
        <v>0</v>
      </c>
    </row>
    <row r="45" spans="1:35">
      <c r="A45" s="1798"/>
      <c r="B45" s="1861" t="s">
        <v>221</v>
      </c>
      <c r="C45" s="1783" t="s">
        <v>1720</v>
      </c>
      <c r="D45" s="1783"/>
      <c r="E45" s="1783"/>
      <c r="F45" s="1785"/>
      <c r="H45" s="1783"/>
      <c r="J45" s="1801"/>
      <c r="N45" s="1870"/>
      <c r="O45" s="1782"/>
      <c r="P45" s="1864"/>
    </row>
    <row r="46" spans="1:35">
      <c r="C46" s="3804" t="s">
        <v>1721</v>
      </c>
      <c r="D46" s="3805"/>
      <c r="E46" s="3805"/>
      <c r="F46" s="3805"/>
      <c r="G46" s="3805"/>
      <c r="H46" s="3805"/>
      <c r="I46" s="3805"/>
      <c r="J46" s="3805"/>
      <c r="K46" s="3805"/>
      <c r="L46" s="3805"/>
      <c r="M46" s="3805"/>
      <c r="N46" s="3805"/>
      <c r="O46" s="3805"/>
      <c r="P46" s="3806"/>
      <c r="Q46" s="1865"/>
      <c r="R46" s="1865"/>
    </row>
    <row r="47" spans="1:35" ht="3" customHeight="1">
      <c r="A47" s="1866"/>
      <c r="B47" s="1867"/>
      <c r="C47" s="1868"/>
      <c r="D47" s="1813"/>
      <c r="K47" s="1869"/>
      <c r="L47" s="1869"/>
      <c r="M47" s="1785"/>
      <c r="N47" s="1870"/>
      <c r="O47" s="1794"/>
      <c r="P47" s="1794"/>
    </row>
    <row r="48" spans="1:35" s="1783" customFormat="1" ht="12.75" customHeight="1">
      <c r="A48" s="1798" t="s">
        <v>206</v>
      </c>
      <c r="B48" s="1791" t="s">
        <v>1722</v>
      </c>
      <c r="F48" s="1785"/>
      <c r="J48" s="1801"/>
      <c r="M48" s="1785"/>
      <c r="N48" s="1910" t="s">
        <v>206</v>
      </c>
      <c r="P48" s="1871">
        <f>O51</f>
        <v>0</v>
      </c>
    </row>
    <row r="49" spans="1:20" ht="3" customHeight="1">
      <c r="A49" s="1866"/>
      <c r="B49" s="1867"/>
      <c r="C49" s="1868"/>
      <c r="D49" s="1813"/>
      <c r="K49" s="1869"/>
      <c r="L49" s="1869"/>
      <c r="M49" s="1785"/>
      <c r="N49" s="1870"/>
      <c r="O49" s="1794"/>
      <c r="P49" s="1794"/>
    </row>
    <row r="50" spans="1:20" s="1783" customFormat="1" ht="16.5" customHeight="1">
      <c r="A50" s="3859" t="s">
        <v>1723</v>
      </c>
      <c r="B50" s="3859"/>
      <c r="C50" s="3859"/>
      <c r="D50" s="3859"/>
      <c r="E50" s="3859"/>
      <c r="F50" s="1872" t="s">
        <v>1724</v>
      </c>
      <c r="G50" s="3859" t="s">
        <v>1725</v>
      </c>
      <c r="H50" s="3859"/>
      <c r="I50" s="3859"/>
      <c r="J50" s="1872" t="s">
        <v>1724</v>
      </c>
      <c r="K50" s="4036" t="s">
        <v>1726</v>
      </c>
      <c r="L50" s="4036"/>
      <c r="M50" s="4036"/>
      <c r="N50" s="4036"/>
      <c r="O50" s="3792" t="s">
        <v>1724</v>
      </c>
      <c r="P50" s="3793"/>
      <c r="R50" s="1865"/>
      <c r="S50" s="1873"/>
    </row>
    <row r="51" spans="1:20" s="1783" customFormat="1" ht="12.75" customHeight="1">
      <c r="A51" s="4026"/>
      <c r="B51" s="4026"/>
      <c r="C51" s="4026"/>
      <c r="D51" s="4026"/>
      <c r="E51" s="4026"/>
      <c r="F51" s="1874">
        <f>SUM(F52:F63)</f>
        <v>0</v>
      </c>
      <c r="G51" s="4027"/>
      <c r="H51" s="4026"/>
      <c r="I51" s="4028"/>
      <c r="J51" s="1874">
        <f>SUM(J52:J63)</f>
        <v>0</v>
      </c>
      <c r="K51" s="4037"/>
      <c r="L51" s="4038"/>
      <c r="M51" s="4038"/>
      <c r="N51" s="4039"/>
      <c r="O51" s="4040">
        <f>SUM(O52:O63)</f>
        <v>0</v>
      </c>
      <c r="P51" s="4041"/>
      <c r="Q51" s="1865"/>
      <c r="R51" s="1873"/>
    </row>
    <row r="52" spans="1:20" s="1783" customFormat="1" ht="29.25" customHeight="1">
      <c r="A52" s="3988">
        <v>1</v>
      </c>
      <c r="B52" s="3989"/>
      <c r="C52" s="3989"/>
      <c r="D52" s="3989"/>
      <c r="E52" s="3990"/>
      <c r="F52" s="1875"/>
      <c r="G52" s="3988">
        <v>1</v>
      </c>
      <c r="H52" s="3989"/>
      <c r="I52" s="3990"/>
      <c r="J52" s="1876" t="s">
        <v>1683</v>
      </c>
      <c r="K52" s="3991">
        <v>1</v>
      </c>
      <c r="L52" s="3992"/>
      <c r="M52" s="3992"/>
      <c r="N52" s="3992"/>
      <c r="O52" s="3993" t="s">
        <v>1683</v>
      </c>
      <c r="P52" s="3994"/>
      <c r="Q52" s="1908"/>
      <c r="R52" s="1873"/>
    </row>
    <row r="53" spans="1:20" s="1783" customFormat="1" ht="29.25" customHeight="1">
      <c r="A53" s="3963">
        <v>2</v>
      </c>
      <c r="B53" s="3964"/>
      <c r="C53" s="3964"/>
      <c r="D53" s="3964"/>
      <c r="E53" s="3965"/>
      <c r="F53" s="1877"/>
      <c r="G53" s="3963">
        <v>2</v>
      </c>
      <c r="H53" s="3964"/>
      <c r="I53" s="3965"/>
      <c r="J53" s="1877"/>
      <c r="K53" s="3973">
        <v>2</v>
      </c>
      <c r="L53" s="3974"/>
      <c r="M53" s="3974"/>
      <c r="N53" s="3974"/>
      <c r="O53" s="3966"/>
      <c r="P53" s="3967"/>
      <c r="Q53" s="1865"/>
      <c r="R53" s="1873"/>
    </row>
    <row r="54" spans="1:20" s="1783" customFormat="1" ht="29.25" customHeight="1">
      <c r="A54" s="3963">
        <v>3</v>
      </c>
      <c r="B54" s="3964"/>
      <c r="C54" s="3964"/>
      <c r="D54" s="3964"/>
      <c r="E54" s="3965"/>
      <c r="F54" s="1877"/>
      <c r="G54" s="3963">
        <v>3</v>
      </c>
      <c r="H54" s="3964"/>
      <c r="I54" s="3965"/>
      <c r="J54" s="1878"/>
      <c r="K54" s="3973">
        <v>3</v>
      </c>
      <c r="L54" s="3974"/>
      <c r="M54" s="3974"/>
      <c r="N54" s="3974"/>
      <c r="O54" s="3966"/>
      <c r="P54" s="3967"/>
      <c r="Q54" s="2055"/>
      <c r="R54" s="1810"/>
      <c r="S54" s="1810"/>
      <c r="T54" s="1810"/>
    </row>
    <row r="55" spans="1:20" s="1783" customFormat="1" ht="29.25" customHeight="1">
      <c r="A55" s="3963">
        <v>4</v>
      </c>
      <c r="B55" s="3964"/>
      <c r="C55" s="3964"/>
      <c r="D55" s="3964"/>
      <c r="E55" s="3965"/>
      <c r="F55" s="1877"/>
      <c r="G55" s="3963">
        <v>4</v>
      </c>
      <c r="H55" s="3964"/>
      <c r="I55" s="3965"/>
      <c r="J55" s="1877"/>
      <c r="K55" s="3973">
        <v>4</v>
      </c>
      <c r="L55" s="3974"/>
      <c r="M55" s="3974"/>
      <c r="N55" s="3974"/>
      <c r="O55" s="3966"/>
      <c r="P55" s="3967"/>
      <c r="Q55" s="2055"/>
      <c r="R55" s="1810"/>
      <c r="S55" s="1810"/>
      <c r="T55" s="1810"/>
    </row>
    <row r="56" spans="1:20" s="1783" customFormat="1" ht="29.25" customHeight="1">
      <c r="A56" s="3963">
        <v>5</v>
      </c>
      <c r="B56" s="3964"/>
      <c r="C56" s="3964"/>
      <c r="D56" s="3964"/>
      <c r="E56" s="3965"/>
      <c r="F56" s="1877"/>
      <c r="G56" s="3963">
        <v>5</v>
      </c>
      <c r="H56" s="3964"/>
      <c r="I56" s="3965"/>
      <c r="J56" s="1878"/>
      <c r="K56" s="3973">
        <v>5</v>
      </c>
      <c r="L56" s="3974"/>
      <c r="M56" s="3974"/>
      <c r="N56" s="3974"/>
      <c r="O56" s="3966"/>
      <c r="P56" s="3967"/>
      <c r="Q56" s="2055"/>
      <c r="R56" s="1810"/>
      <c r="S56" s="1810"/>
      <c r="T56" s="1810"/>
    </row>
    <row r="57" spans="1:20" s="1783" customFormat="1" ht="29.25" customHeight="1">
      <c r="A57" s="3963">
        <v>6</v>
      </c>
      <c r="B57" s="3964"/>
      <c r="C57" s="3964"/>
      <c r="D57" s="3964"/>
      <c r="E57" s="3965"/>
      <c r="F57" s="1877"/>
      <c r="G57" s="3963">
        <v>6</v>
      </c>
      <c r="H57" s="3964"/>
      <c r="I57" s="3965"/>
      <c r="J57" s="1877"/>
      <c r="K57" s="3973">
        <v>6</v>
      </c>
      <c r="L57" s="3974"/>
      <c r="M57" s="3974"/>
      <c r="N57" s="3974"/>
      <c r="O57" s="3966"/>
      <c r="P57" s="3967"/>
      <c r="Q57" s="2055"/>
      <c r="R57" s="1810"/>
    </row>
    <row r="58" spans="1:20" s="1783" customFormat="1" ht="29.25" customHeight="1">
      <c r="A58" s="3963">
        <v>7</v>
      </c>
      <c r="B58" s="3964"/>
      <c r="C58" s="3964"/>
      <c r="D58" s="3964"/>
      <c r="E58" s="3965"/>
      <c r="F58" s="1877"/>
      <c r="G58" s="3963">
        <v>7</v>
      </c>
      <c r="H58" s="3964"/>
      <c r="I58" s="3965"/>
      <c r="J58" s="1878"/>
      <c r="K58" s="3973">
        <v>7</v>
      </c>
      <c r="L58" s="3974"/>
      <c r="M58" s="3974"/>
      <c r="N58" s="3974"/>
      <c r="O58" s="3966"/>
      <c r="P58" s="3967"/>
      <c r="Q58" s="1873"/>
      <c r="R58" s="1873"/>
    </row>
    <row r="59" spans="1:20" s="1783" customFormat="1" ht="29.25" customHeight="1">
      <c r="A59" s="3963">
        <v>8</v>
      </c>
      <c r="B59" s="3964"/>
      <c r="C59" s="3964"/>
      <c r="D59" s="3964"/>
      <c r="E59" s="3965"/>
      <c r="F59" s="1877"/>
      <c r="G59" s="3963">
        <v>8</v>
      </c>
      <c r="H59" s="3964"/>
      <c r="I59" s="3965"/>
      <c r="J59" s="1877"/>
      <c r="K59" s="3973">
        <v>8</v>
      </c>
      <c r="L59" s="3974"/>
      <c r="M59" s="3974"/>
      <c r="N59" s="3974"/>
      <c r="O59" s="3966"/>
      <c r="P59" s="3967"/>
      <c r="Q59" s="1873"/>
      <c r="R59" s="1873"/>
    </row>
    <row r="60" spans="1:20" s="1783" customFormat="1" ht="29.25" customHeight="1">
      <c r="A60" s="3963">
        <v>9</v>
      </c>
      <c r="B60" s="3964"/>
      <c r="C60" s="3964"/>
      <c r="D60" s="3964"/>
      <c r="E60" s="3965"/>
      <c r="F60" s="1877"/>
      <c r="G60" s="3963">
        <v>9</v>
      </c>
      <c r="H60" s="3964"/>
      <c r="I60" s="3965"/>
      <c r="J60" s="1878"/>
      <c r="K60" s="3973">
        <v>9</v>
      </c>
      <c r="L60" s="3974"/>
      <c r="M60" s="3974"/>
      <c r="N60" s="3974"/>
      <c r="O60" s="3966"/>
      <c r="P60" s="3967"/>
      <c r="Q60" s="1873"/>
      <c r="R60" s="1873"/>
    </row>
    <row r="61" spans="1:20" s="1783" customFormat="1" ht="29.25" customHeight="1">
      <c r="A61" s="3963">
        <v>10</v>
      </c>
      <c r="B61" s="3964"/>
      <c r="C61" s="3964"/>
      <c r="D61" s="3964"/>
      <c r="E61" s="3965"/>
      <c r="F61" s="1877"/>
      <c r="G61" s="3963">
        <v>10</v>
      </c>
      <c r="H61" s="3964"/>
      <c r="I61" s="3965"/>
      <c r="J61" s="1877"/>
      <c r="K61" s="3973">
        <v>10</v>
      </c>
      <c r="L61" s="3974"/>
      <c r="M61" s="3974"/>
      <c r="N61" s="3974"/>
      <c r="O61" s="3966"/>
      <c r="P61" s="3967"/>
      <c r="Q61" s="1873"/>
    </row>
    <row r="62" spans="1:20" s="1783" customFormat="1" ht="29.25" customHeight="1">
      <c r="A62" s="3963">
        <v>11</v>
      </c>
      <c r="B62" s="3964"/>
      <c r="C62" s="3964"/>
      <c r="D62" s="3964"/>
      <c r="E62" s="3965"/>
      <c r="F62" s="1877"/>
      <c r="G62" s="3963">
        <v>11</v>
      </c>
      <c r="H62" s="3964"/>
      <c r="I62" s="3965"/>
      <c r="J62" s="1878"/>
      <c r="K62" s="3963">
        <v>11</v>
      </c>
      <c r="L62" s="3964"/>
      <c r="M62" s="3964"/>
      <c r="N62" s="3965"/>
      <c r="O62" s="3966"/>
      <c r="P62" s="3967"/>
      <c r="Q62" s="1873"/>
      <c r="R62" s="1873"/>
    </row>
    <row r="63" spans="1:20" s="1783" customFormat="1" ht="29.25" customHeight="1">
      <c r="A63" s="3968">
        <v>12</v>
      </c>
      <c r="B63" s="3969"/>
      <c r="C63" s="3969"/>
      <c r="D63" s="3969"/>
      <c r="E63" s="3970"/>
      <c r="F63" s="1879"/>
      <c r="G63" s="3968">
        <v>12</v>
      </c>
      <c r="H63" s="3969"/>
      <c r="I63" s="3970"/>
      <c r="J63" s="1879"/>
      <c r="K63" s="3968">
        <v>12</v>
      </c>
      <c r="L63" s="3969"/>
      <c r="M63" s="3969"/>
      <c r="N63" s="3970"/>
      <c r="O63" s="3971"/>
      <c r="P63" s="3972"/>
    </row>
    <row r="64" spans="1:20" s="1843" customFormat="1" ht="9" customHeight="1">
      <c r="A64" s="1880"/>
      <c r="B64" s="1880"/>
      <c r="C64" s="1880"/>
      <c r="D64" s="1880"/>
      <c r="E64" s="1880"/>
      <c r="F64" s="1881"/>
      <c r="G64" s="1880"/>
      <c r="H64" s="1880"/>
      <c r="I64" s="1880"/>
      <c r="J64" s="1881"/>
      <c r="K64" s="1880"/>
      <c r="L64" s="1880"/>
      <c r="M64" s="1880"/>
      <c r="N64" s="1880"/>
      <c r="O64" s="1881"/>
      <c r="P64" s="1881"/>
    </row>
    <row r="65" spans="1:19" ht="9" customHeight="1" thickBot="1">
      <c r="D65" s="1783"/>
      <c r="E65" s="1783"/>
      <c r="F65" s="1786"/>
      <c r="G65" s="1786"/>
      <c r="H65" s="1786"/>
      <c r="I65" s="1786"/>
      <c r="J65" s="1882"/>
      <c r="K65" s="1882"/>
      <c r="L65" s="1882"/>
      <c r="M65" s="1785"/>
      <c r="N65" s="1786"/>
      <c r="P65" s="1793"/>
    </row>
    <row r="66" spans="1:19" s="1783" customFormat="1" ht="15.95" customHeight="1" thickBot="1">
      <c r="A66" s="1802" t="s">
        <v>50</v>
      </c>
      <c r="B66" s="1803" t="s">
        <v>1727</v>
      </c>
      <c r="G66" s="1791"/>
      <c r="I66" s="1791"/>
      <c r="J66" s="1866"/>
      <c r="K66" s="1786"/>
      <c r="L66" s="1866"/>
      <c r="M66" s="1786">
        <v>3</v>
      </c>
      <c r="N66" s="1785"/>
      <c r="O66" s="1858">
        <f>IF($F$36="New Supply",MIN($M$66,O68+O72),0)</f>
        <v>0</v>
      </c>
      <c r="P66" s="1858">
        <f>IF($F$36="New Supply",MIN($M$66,P68+P72),0)</f>
        <v>0</v>
      </c>
      <c r="Q66" s="1859" t="s">
        <v>1716</v>
      </c>
      <c r="S66" s="1883"/>
    </row>
    <row r="67" spans="1:19" ht="15.95" hidden="1" customHeight="1">
      <c r="A67" s="1884"/>
      <c r="B67" s="1885"/>
      <c r="E67" s="1783"/>
      <c r="F67" s="1782" t="s">
        <v>1728</v>
      </c>
      <c r="G67" s="1883"/>
      <c r="H67" s="1783"/>
      <c r="I67" s="1803"/>
      <c r="K67" s="1886"/>
      <c r="L67" s="1887"/>
      <c r="M67" s="1786"/>
      <c r="N67" s="1785"/>
      <c r="O67" s="1793"/>
      <c r="P67" s="1793"/>
      <c r="Q67" s="1859"/>
      <c r="R67" s="1888"/>
    </row>
    <row r="68" spans="1:19" s="1783" customFormat="1" ht="15.95" customHeight="1">
      <c r="A68" s="1798" t="s">
        <v>194</v>
      </c>
      <c r="B68" s="1889" t="s">
        <v>1729</v>
      </c>
      <c r="C68" s="1911"/>
      <c r="D68" s="1911"/>
      <c r="E68" s="1911"/>
      <c r="F68" s="1911"/>
      <c r="G68" s="1782" t="s">
        <v>634</v>
      </c>
      <c r="J68" s="1890" t="str">
        <f>'Part V-Revenues &amp; Expenses'!$O$53</f>
        <v>40% of Units at 60% of AMI</v>
      </c>
      <c r="L68" s="1911"/>
      <c r="M68" s="1786">
        <v>2</v>
      </c>
      <c r="N68" s="1870"/>
      <c r="O68" s="1892">
        <f>IF($F$36="New Supply",MIN($M68,O69+O70),0)</f>
        <v>0</v>
      </c>
      <c r="P68" s="1892">
        <f>IF($F$36="New Supply",MIN($M68,P69+P70),0)</f>
        <v>0</v>
      </c>
    </row>
    <row r="69" spans="1:19" s="1783" customFormat="1" ht="15.95" customHeight="1">
      <c r="A69" s="1798"/>
      <c r="B69" s="1984"/>
      <c r="C69" s="1893" t="s">
        <v>1730</v>
      </c>
      <c r="G69" s="1783" t="s">
        <v>1731</v>
      </c>
      <c r="I69" s="1894"/>
      <c r="J69" s="1895">
        <f>'Part V-Revenues &amp; Expenses'!$B$50</f>
        <v>60</v>
      </c>
      <c r="L69" s="1841"/>
      <c r="M69" s="1785">
        <v>2</v>
      </c>
      <c r="N69" s="2024"/>
      <c r="O69" s="1896"/>
      <c r="P69" s="1897"/>
      <c r="Q69" s="1898" t="str">
        <f>IF(OR($O69=$M69,$O69=0,$O69=""),"","*CHECK!*")</f>
        <v/>
      </c>
      <c r="R69" s="1957"/>
    </row>
    <row r="70" spans="1:19" s="1783" customFormat="1" ht="15.95" customHeight="1">
      <c r="A70" s="1891"/>
      <c r="B70" s="1984"/>
      <c r="C70" s="1893" t="s">
        <v>1732</v>
      </c>
      <c r="I70" s="1894"/>
      <c r="K70" s="1841"/>
      <c r="L70" s="1841"/>
      <c r="M70" s="1785">
        <v>2</v>
      </c>
      <c r="N70" s="2024"/>
      <c r="O70" s="1899"/>
      <c r="P70" s="1900"/>
      <c r="Q70" s="1898" t="str">
        <f>IF(OR($O70=$M70,$O70=0,$O70=""),"","*CHECK!*")</f>
        <v/>
      </c>
      <c r="R70" s="1957"/>
    </row>
    <row r="71" spans="1:19" ht="15.95" hidden="1" customHeight="1">
      <c r="A71" s="1866"/>
      <c r="B71" s="1867"/>
      <c r="C71" s="1868"/>
      <c r="D71" s="1813"/>
      <c r="K71" s="1869"/>
      <c r="L71" s="1869"/>
      <c r="M71" s="1785"/>
      <c r="N71" s="1870"/>
      <c r="O71" s="1794"/>
      <c r="P71" s="1794"/>
    </row>
    <row r="72" spans="1:19" ht="15.95" customHeight="1">
      <c r="A72" s="1798" t="s">
        <v>206</v>
      </c>
      <c r="B72" s="1889" t="s">
        <v>1733</v>
      </c>
      <c r="G72" s="1842" t="s">
        <v>1734</v>
      </c>
      <c r="I72" s="2056"/>
      <c r="J72" s="1901">
        <f>IF(OR('Part V-Revenues &amp; Expenses'!$P$65="", 'Part V-Revenues &amp; Expenses'!$P$65=0),0,'Part V-Revenues &amp; Expenses'!$P$100/'Part V-Revenues &amp; Expenses'!$P$65)</f>
        <v>0.39195979899497485</v>
      </c>
      <c r="M72" s="1786">
        <v>3</v>
      </c>
      <c r="N72" s="1962"/>
      <c r="O72" s="1960"/>
      <c r="P72" s="1961"/>
    </row>
    <row r="73" spans="1:19" ht="15.95" customHeight="1">
      <c r="A73" s="1783"/>
      <c r="B73" s="1904" t="s">
        <v>1399</v>
      </c>
      <c r="D73" s="1905"/>
      <c r="E73" s="1817"/>
      <c r="F73" s="1817"/>
      <c r="G73" s="1817"/>
      <c r="H73" s="1817"/>
      <c r="I73" s="1817"/>
      <c r="J73" s="1817"/>
      <c r="K73" s="1817"/>
      <c r="L73" s="1817"/>
      <c r="M73" s="1817"/>
      <c r="N73" s="1906"/>
      <c r="O73" s="1907"/>
      <c r="P73" s="1786"/>
    </row>
    <row r="74" spans="1:19" ht="15.95" customHeight="1">
      <c r="A74" s="3804"/>
      <c r="B74" s="3805"/>
      <c r="C74" s="3805"/>
      <c r="D74" s="3805"/>
      <c r="E74" s="3805"/>
      <c r="F74" s="3805"/>
      <c r="G74" s="3805"/>
      <c r="H74" s="3805"/>
      <c r="I74" s="3805"/>
      <c r="J74" s="3805"/>
      <c r="K74" s="3805"/>
      <c r="L74" s="3805"/>
      <c r="M74" s="3805"/>
      <c r="N74" s="3805"/>
      <c r="O74" s="3805"/>
      <c r="P74" s="3806"/>
      <c r="Q74" s="1908"/>
    </row>
    <row r="75" spans="1:19" s="1852" customFormat="1" ht="9" customHeight="1">
      <c r="A75" s="1880"/>
      <c r="B75" s="1880"/>
      <c r="C75" s="1880"/>
      <c r="D75" s="1880"/>
      <c r="E75" s="1880"/>
      <c r="F75" s="1880"/>
      <c r="G75" s="1880"/>
      <c r="H75" s="1880"/>
      <c r="I75" s="1880"/>
      <c r="J75" s="1880"/>
      <c r="K75" s="1880"/>
      <c r="L75" s="1880"/>
      <c r="M75" s="1880"/>
      <c r="N75" s="1880"/>
      <c r="O75" s="1880"/>
      <c r="P75" s="1880"/>
      <c r="Q75" s="1909"/>
    </row>
    <row r="76" spans="1:19" ht="9" customHeight="1" thickBot="1"/>
    <row r="77" spans="1:19" ht="15.95" customHeight="1" thickBot="1">
      <c r="A77" s="1802" t="s">
        <v>66</v>
      </c>
      <c r="B77" s="1803" t="s">
        <v>1735</v>
      </c>
      <c r="M77" s="1786">
        <f>IF(AND($AQ$422="4%",$F$36="New Supply"),$AH$423,IF(AND($AQ$422="4%",$F$36="Preservation"),$AI$423,$AG$423))</f>
        <v>0</v>
      </c>
      <c r="N77" s="1910"/>
      <c r="O77" s="1858">
        <f>IF(NOT($F$36="New Supply"),0,IF(OR($M78-O79&lt;0,O78-O79&lt;0),0,IF(O78&lt;=$M78,O78-O79,IF(O78&gt;$M78,$M78-O79,0))))</f>
        <v>0</v>
      </c>
      <c r="P77" s="1858">
        <f>IF(NOT($F$36="New Supply"),0,IF(OR($M78-P79&lt;0,P78-P79&lt;0),0,IF(P78&lt;=$M78,P78-P79,IF(P78&gt;$M78,$M78-P79,0))))</f>
        <v>0</v>
      </c>
      <c r="Q77" s="1859" t="s">
        <v>1716</v>
      </c>
    </row>
    <row r="78" spans="1:19" s="1783" customFormat="1" ht="15.95" customHeight="1">
      <c r="A78" s="1798" t="s">
        <v>194</v>
      </c>
      <c r="B78" s="1791" t="s">
        <v>1736</v>
      </c>
      <c r="C78" s="1791"/>
      <c r="D78" s="1791"/>
      <c r="F78" s="1791"/>
      <c r="H78" s="1910"/>
      <c r="I78" s="1780"/>
      <c r="J78" s="1780"/>
      <c r="K78" s="1780"/>
      <c r="L78" s="1780"/>
      <c r="M78" s="1785">
        <v>20</v>
      </c>
      <c r="N78" s="2024"/>
      <c r="O78" s="2060"/>
      <c r="P78" s="2061"/>
      <c r="Q78" s="1898"/>
      <c r="R78" s="1957"/>
    </row>
    <row r="79" spans="1:19" s="1783" customFormat="1" ht="15.95" customHeight="1">
      <c r="A79" s="1798" t="s">
        <v>206</v>
      </c>
      <c r="B79" s="1791" t="s">
        <v>1737</v>
      </c>
      <c r="H79" s="1910"/>
      <c r="I79" s="1780"/>
      <c r="J79" s="1780"/>
      <c r="K79" s="1780"/>
      <c r="L79" s="1780"/>
      <c r="M79" s="1785" t="s">
        <v>1738</v>
      </c>
      <c r="N79" s="1910"/>
      <c r="O79" s="2060"/>
      <c r="P79" s="2061"/>
      <c r="R79" s="1957"/>
    </row>
    <row r="80" spans="1:19" ht="15.95" customHeight="1" thickBot="1">
      <c r="A80" s="1783"/>
      <c r="B80" s="1916" t="s">
        <v>1739</v>
      </c>
      <c r="C80" s="1783"/>
      <c r="D80" s="1783"/>
      <c r="E80" s="1783"/>
      <c r="F80" s="1783"/>
      <c r="G80" s="1783"/>
      <c r="H80" s="1783"/>
      <c r="I80" s="2057"/>
      <c r="J80" s="2057"/>
      <c r="K80" s="2057"/>
      <c r="L80" s="2057"/>
      <c r="M80" s="1785"/>
      <c r="O80" s="1793"/>
    </row>
    <row r="81" spans="1:21" ht="15.95" customHeight="1" thickTop="1" thickBot="1">
      <c r="A81" s="3811" t="s">
        <v>7064</v>
      </c>
      <c r="B81" s="3812"/>
      <c r="C81" s="3812"/>
      <c r="D81" s="3812"/>
      <c r="E81" s="3812"/>
      <c r="F81" s="3812"/>
      <c r="G81" s="3812"/>
      <c r="H81" s="3812"/>
      <c r="I81" s="3812"/>
      <c r="J81" s="3812"/>
      <c r="K81" s="3812"/>
      <c r="L81" s="3812"/>
      <c r="M81" s="3812"/>
      <c r="N81" s="3812"/>
      <c r="O81" s="3812"/>
      <c r="P81" s="3813"/>
      <c r="Q81" s="1865"/>
      <c r="R81" s="1865"/>
    </row>
    <row r="82" spans="1:21" ht="15.95" customHeight="1" thickTop="1">
      <c r="A82" s="1783"/>
      <c r="B82" s="1801" t="s">
        <v>1399</v>
      </c>
      <c r="C82" s="1783"/>
      <c r="D82" s="1917"/>
      <c r="E82" s="1817"/>
      <c r="F82" s="1817"/>
      <c r="G82" s="1817"/>
      <c r="H82" s="1817"/>
      <c r="I82" s="1817"/>
      <c r="J82" s="1817"/>
      <c r="K82" s="1817"/>
      <c r="L82" s="1817"/>
      <c r="M82" s="1817"/>
      <c r="N82" s="1906"/>
      <c r="O82" s="1907"/>
      <c r="P82" s="1786"/>
    </row>
    <row r="83" spans="1:21" ht="15.95" customHeight="1">
      <c r="A83" s="3804"/>
      <c r="B83" s="3805"/>
      <c r="C83" s="3805"/>
      <c r="D83" s="3805"/>
      <c r="E83" s="3805"/>
      <c r="F83" s="3805"/>
      <c r="G83" s="3805"/>
      <c r="H83" s="3805"/>
      <c r="I83" s="3805"/>
      <c r="J83" s="3805"/>
      <c r="K83" s="3805"/>
      <c r="L83" s="3805"/>
      <c r="M83" s="3805"/>
      <c r="N83" s="3805"/>
      <c r="O83" s="3805"/>
      <c r="P83" s="3806"/>
      <c r="Q83" s="1908"/>
      <c r="R83" s="1865"/>
    </row>
    <row r="84" spans="1:21" ht="9" customHeight="1">
      <c r="M84" s="1783"/>
      <c r="N84" s="1785"/>
      <c r="O84" s="1786"/>
      <c r="P84" s="1786"/>
    </row>
    <row r="85" spans="1:21" s="1918" customFormat="1" ht="9" customHeight="1" thickBot="1">
      <c r="M85" s="1919"/>
      <c r="N85" s="1920"/>
      <c r="O85" s="1921"/>
      <c r="P85" s="1921"/>
    </row>
    <row r="86" spans="1:21" ht="15.95" customHeight="1" thickBot="1">
      <c r="A86" s="1802" t="s">
        <v>75</v>
      </c>
      <c r="B86" s="1803" t="s">
        <v>1740</v>
      </c>
      <c r="H86" s="2058"/>
      <c r="I86" s="1889"/>
      <c r="J86" s="1866"/>
      <c r="K86" s="1786"/>
      <c r="L86" s="1866"/>
      <c r="M86" s="1786">
        <v>6</v>
      </c>
      <c r="N86" s="1910"/>
      <c r="O86" s="1922">
        <f>IF($F$36="New Supply",MAX(O94,O97),0)</f>
        <v>0</v>
      </c>
      <c r="P86" s="1922">
        <f>IF($F$36="New Supply",MAX(P94,P97),0)</f>
        <v>0</v>
      </c>
      <c r="Q86" s="1859" t="s">
        <v>1716</v>
      </c>
      <c r="R86" s="1923"/>
      <c r="S86" s="1927" t="s">
        <v>1741</v>
      </c>
      <c r="T86" s="1927" t="s">
        <v>1742</v>
      </c>
      <c r="U86" s="1923"/>
    </row>
    <row r="87" spans="1:21" ht="15.95" hidden="1" customHeight="1">
      <c r="A87" s="1802"/>
      <c r="B87" s="1803"/>
      <c r="H87" s="1803"/>
      <c r="I87" s="1801"/>
      <c r="J87" s="1783"/>
      <c r="K87" s="1783"/>
      <c r="M87" s="1786"/>
      <c r="N87" s="1910"/>
      <c r="O87" s="1793"/>
      <c r="P87" s="1793"/>
      <c r="Q87" s="1859"/>
      <c r="R87" s="1923"/>
      <c r="S87" s="1931">
        <v>0.25</v>
      </c>
      <c r="T87" s="1931">
        <v>5</v>
      </c>
      <c r="U87" s="1923"/>
    </row>
    <row r="88" spans="1:21" ht="15.95" customHeight="1">
      <c r="A88" s="1802"/>
      <c r="B88" s="1783" t="s">
        <v>1743</v>
      </c>
      <c r="F88" s="3962" t="s">
        <v>1744</v>
      </c>
      <c r="G88" s="3962"/>
      <c r="H88" s="3962"/>
      <c r="I88" s="3962"/>
      <c r="J88" s="3962" t="s">
        <v>1745</v>
      </c>
      <c r="K88" s="3962"/>
      <c r="L88" s="3962"/>
      <c r="M88" s="3962"/>
      <c r="N88" s="1910"/>
      <c r="O88" s="3794" t="s">
        <v>1746</v>
      </c>
      <c r="P88" s="3794"/>
      <c r="R88" s="1813"/>
      <c r="S88" s="1931">
        <v>0.5</v>
      </c>
      <c r="T88" s="1931">
        <v>4.5</v>
      </c>
      <c r="U88" s="1923"/>
    </row>
    <row r="89" spans="1:21" ht="15.95" customHeight="1">
      <c r="B89" s="1928"/>
      <c r="C89" s="2066" t="s">
        <v>1747</v>
      </c>
      <c r="F89" s="3954"/>
      <c r="G89" s="3955"/>
      <c r="H89" s="3956"/>
      <c r="I89" s="3957"/>
      <c r="J89" s="3954"/>
      <c r="K89" s="3955"/>
      <c r="L89" s="3956"/>
      <c r="M89" s="3957"/>
      <c r="N89" s="1782"/>
      <c r="O89" s="3795"/>
      <c r="P89" s="3795"/>
      <c r="R89" s="1930" t="s">
        <v>1748</v>
      </c>
      <c r="S89" s="1936">
        <v>1</v>
      </c>
      <c r="T89" s="1936">
        <v>4</v>
      </c>
      <c r="U89" s="1923"/>
    </row>
    <row r="90" spans="1:21" ht="15.95" customHeight="1">
      <c r="A90" s="1928"/>
      <c r="B90" s="1814"/>
      <c r="C90" s="2066" t="s">
        <v>1749</v>
      </c>
      <c r="F90" s="3958"/>
      <c r="G90" s="3959"/>
      <c r="H90" s="3960"/>
      <c r="I90" s="3961"/>
      <c r="J90" s="3958"/>
      <c r="K90" s="3959"/>
      <c r="L90" s="3960"/>
      <c r="M90" s="3961"/>
      <c r="N90" s="1910"/>
      <c r="O90" s="1932"/>
      <c r="P90" s="1933"/>
      <c r="R90" s="1934"/>
      <c r="S90" s="2921">
        <v>0.25</v>
      </c>
      <c r="T90" s="2921">
        <v>3</v>
      </c>
      <c r="U90" s="1923"/>
    </row>
    <row r="91" spans="1:21" ht="15.95" customHeight="1">
      <c r="A91" s="1814"/>
      <c r="B91" s="3951" t="s">
        <v>1750</v>
      </c>
      <c r="C91" s="3951"/>
      <c r="D91" s="3951"/>
      <c r="E91" s="3951"/>
      <c r="F91" s="1799" t="s">
        <v>1751</v>
      </c>
      <c r="G91" s="3953" t="s">
        <v>1752</v>
      </c>
      <c r="H91" s="3953"/>
      <c r="I91" s="3953"/>
      <c r="J91" s="3953" t="s">
        <v>1753</v>
      </c>
      <c r="K91" s="3953"/>
      <c r="L91" s="3953"/>
      <c r="M91" s="3953"/>
      <c r="N91" s="3953"/>
      <c r="O91" s="3953"/>
      <c r="P91" s="3953"/>
      <c r="R91" s="1935"/>
      <c r="S91" s="1931">
        <v>0.5</v>
      </c>
      <c r="T91" s="1931">
        <v>2</v>
      </c>
      <c r="U91" s="1923"/>
    </row>
    <row r="92" spans="1:21" ht="15.95" customHeight="1">
      <c r="A92" s="1814"/>
      <c r="B92" s="3865"/>
      <c r="C92" s="3865"/>
      <c r="D92" s="3865"/>
      <c r="E92" s="3865"/>
      <c r="F92" s="2062"/>
      <c r="G92" s="3952"/>
      <c r="H92" s="3952"/>
      <c r="I92" s="3952"/>
      <c r="J92" s="3952"/>
      <c r="K92" s="3952"/>
      <c r="L92" s="3952"/>
      <c r="M92" s="3952"/>
      <c r="N92" s="3952"/>
      <c r="O92" s="3952"/>
      <c r="P92" s="3952"/>
      <c r="R92" s="1930" t="s">
        <v>1754</v>
      </c>
      <c r="S92" s="1936">
        <v>1</v>
      </c>
      <c r="T92" s="1936">
        <v>1</v>
      </c>
      <c r="U92" s="1923"/>
    </row>
    <row r="93" spans="1:21" ht="15.95" hidden="1" customHeight="1">
      <c r="A93" s="1800"/>
      <c r="B93" s="1803"/>
      <c r="F93" s="1937"/>
      <c r="M93" s="1786"/>
      <c r="N93" s="1786"/>
      <c r="O93" s="1786"/>
      <c r="P93" s="1786"/>
      <c r="Q93" s="1859"/>
      <c r="R93" s="1923"/>
      <c r="S93" s="1923"/>
      <c r="T93" s="1923"/>
      <c r="U93" s="1923"/>
    </row>
    <row r="94" spans="1:21" ht="15.95" customHeight="1">
      <c r="A94" s="1938" t="s">
        <v>194</v>
      </c>
      <c r="B94" s="1791" t="s">
        <v>1755</v>
      </c>
      <c r="F94" s="1916"/>
      <c r="M94" s="1786">
        <v>6</v>
      </c>
      <c r="N94" s="1870"/>
      <c r="O94" s="1939">
        <f>IF(OR($J$36="Atlanta Metro",$J$36="Other Metro",$J$36="N/A-4%"),MIN($M94,O95+O96),0)</f>
        <v>0</v>
      </c>
      <c r="P94" s="1939">
        <f>IF(OR($J$36="Atlanta Metro",$J$36="Other Metro",$J$36="N/A-4%"),MIN($M94,P95+P96),0)</f>
        <v>0</v>
      </c>
      <c r="Q94" s="1859"/>
    </row>
    <row r="95" spans="1:21" s="1813" customFormat="1" ht="32.1" customHeight="1">
      <c r="B95" s="1940" t="s">
        <v>209</v>
      </c>
      <c r="C95" s="3810" t="s">
        <v>1756</v>
      </c>
      <c r="D95" s="3810"/>
      <c r="E95" s="3810"/>
      <c r="F95" s="3810"/>
      <c r="G95" s="3810"/>
      <c r="H95" s="3810"/>
      <c r="I95" s="3810"/>
      <c r="J95" s="3810"/>
      <c r="K95" s="3810"/>
      <c r="L95" s="3810"/>
      <c r="M95" s="1941">
        <v>6</v>
      </c>
      <c r="N95" s="2059"/>
      <c r="O95" s="1942"/>
      <c r="P95" s="2922"/>
      <c r="S95" s="1957"/>
    </row>
    <row r="96" spans="1:21" s="1813" customFormat="1" ht="15.95" customHeight="1">
      <c r="A96" s="1866" t="s">
        <v>335</v>
      </c>
      <c r="B96" s="1940" t="s">
        <v>217</v>
      </c>
      <c r="C96" s="1783" t="s">
        <v>1757</v>
      </c>
      <c r="D96" s="1783"/>
      <c r="E96" s="1783"/>
      <c r="F96" s="1783"/>
      <c r="G96" s="1783"/>
      <c r="H96" s="1783"/>
      <c r="I96" s="1783"/>
      <c r="J96" s="3950"/>
      <c r="K96" s="3950"/>
      <c r="L96" s="3950"/>
      <c r="M96" s="1785">
        <v>5</v>
      </c>
      <c r="N96" s="1804"/>
      <c r="O96" s="1914"/>
      <c r="P96" s="1915"/>
    </row>
    <row r="97" spans="1:21" s="1813" customFormat="1" ht="15.95" customHeight="1">
      <c r="A97" s="1938" t="s">
        <v>206</v>
      </c>
      <c r="B97" s="1943" t="s">
        <v>1758</v>
      </c>
      <c r="F97" s="2063"/>
      <c r="H97" s="1911"/>
      <c r="I97" s="1911"/>
      <c r="J97" s="1944"/>
      <c r="K97" s="1944"/>
      <c r="L97" s="1945"/>
      <c r="M97" s="1786">
        <v>3</v>
      </c>
      <c r="N97" s="1910"/>
      <c r="O97" s="1892">
        <f>IF(OR(AND(O98&gt;0,O99&gt;0,O100&gt;0), AND(O98&gt;0,O99&gt;0), AND(O99&gt;0,O100&gt;0), AND(O98&gt;0,O100&gt;0)),"Choose", IF(AND(OR($J$36="Atlanta Metro",$J$36="Other Metro",$J$36="N/A-4%"),SUM(O98,O99,O100)&gt;0), MIN($M97,O98+O99), IF(AND(OR($J$36="Rural"),SUM(O98,O99,O100)&gt;0), MIN($M97,O100),0)))</f>
        <v>0</v>
      </c>
      <c r="P97" s="1892">
        <f>IF(OR(AND(P98&gt;0,P99&gt;0,P100&gt;0), AND(P98&gt;0,P99&gt;0), AND(P99&gt;0,P100&gt;0), AND(P98&gt;0,P100&gt;0)),"Choose", IF(AND(OR($J$36="Atlanta Metro",$J$36="Other Metro",$J$36="N/A-4%"),SUM(P98,P99,P100)&gt;0), MIN($M97,P98+P99), IF(AND(OR($J$36="Rural"),SUM(P98,P99,P100)&gt;0), MIN($M97,P100),0)))</f>
        <v>0</v>
      </c>
    </row>
    <row r="98" spans="1:21" ht="15.95" customHeight="1">
      <c r="A98" s="1802"/>
      <c r="B98" s="1946" t="s">
        <v>209</v>
      </c>
      <c r="C98" s="1783" t="s">
        <v>1759</v>
      </c>
      <c r="D98" s="1911"/>
      <c r="E98" s="1911"/>
      <c r="F98" s="1911"/>
      <c r="G98" s="1911"/>
      <c r="H98" s="1911"/>
      <c r="I98" s="1911"/>
      <c r="J98" s="1947"/>
      <c r="K98" s="1947"/>
      <c r="L98" s="1947"/>
      <c r="M98" s="1785">
        <v>3</v>
      </c>
      <c r="N98" s="1804"/>
      <c r="O98" s="2923"/>
      <c r="P98" s="2924"/>
      <c r="U98" s="1813"/>
    </row>
    <row r="99" spans="1:21" ht="15.95" customHeight="1">
      <c r="A99" s="1866" t="s">
        <v>335</v>
      </c>
      <c r="B99" s="1946" t="s">
        <v>217</v>
      </c>
      <c r="C99" s="1783" t="s">
        <v>1760</v>
      </c>
      <c r="D99" s="1911"/>
      <c r="E99" s="1911"/>
      <c r="F99" s="1911"/>
      <c r="G99" s="1911"/>
      <c r="H99" s="1911"/>
      <c r="I99" s="1911"/>
      <c r="J99" s="1944"/>
      <c r="K99" s="1944"/>
      <c r="L99" s="1944"/>
      <c r="M99" s="1785">
        <v>1</v>
      </c>
      <c r="N99" s="1804"/>
      <c r="O99" s="1948"/>
      <c r="P99" s="1949"/>
      <c r="U99" s="1813"/>
    </row>
    <row r="100" spans="1:21" s="1813" customFormat="1" ht="29.25" customHeight="1">
      <c r="A100" s="1950" t="s">
        <v>335</v>
      </c>
      <c r="B100" s="1946" t="s">
        <v>221</v>
      </c>
      <c r="C100" s="3810" t="s">
        <v>1761</v>
      </c>
      <c r="D100" s="3810"/>
      <c r="E100" s="3810"/>
      <c r="F100" s="3810"/>
      <c r="G100" s="3810"/>
      <c r="H100" s="3810"/>
      <c r="I100" s="3810"/>
      <c r="J100" s="3810"/>
      <c r="K100" s="3810"/>
      <c r="L100" s="3810"/>
      <c r="M100" s="1941">
        <v>2</v>
      </c>
      <c r="N100" s="2059"/>
      <c r="O100" s="2064"/>
      <c r="P100" s="2065"/>
    </row>
    <row r="101" spans="1:21" ht="15.95" customHeight="1" thickBot="1">
      <c r="A101" s="1783"/>
      <c r="B101" s="1916" t="s">
        <v>1739</v>
      </c>
      <c r="C101" s="1783"/>
      <c r="D101" s="1783"/>
      <c r="E101" s="1783"/>
      <c r="F101" s="1783"/>
      <c r="G101" s="1783"/>
      <c r="H101" s="1783"/>
      <c r="K101" s="1783"/>
      <c r="M101" s="1785"/>
      <c r="O101" s="1793"/>
    </row>
    <row r="102" spans="1:21" ht="15.95" customHeight="1" thickTop="1" thickBot="1">
      <c r="A102" s="3811" t="s">
        <v>7064</v>
      </c>
      <c r="B102" s="3812"/>
      <c r="C102" s="3812"/>
      <c r="D102" s="3812"/>
      <c r="E102" s="3812"/>
      <c r="F102" s="3812"/>
      <c r="G102" s="3812"/>
      <c r="H102" s="3812"/>
      <c r="I102" s="3812"/>
      <c r="J102" s="3812"/>
      <c r="K102" s="3812"/>
      <c r="L102" s="3812"/>
      <c r="M102" s="3812"/>
      <c r="N102" s="3812"/>
      <c r="O102" s="3812"/>
      <c r="P102" s="3813"/>
      <c r="Q102" s="1865"/>
      <c r="R102" s="1865"/>
    </row>
    <row r="103" spans="1:21" s="1783" customFormat="1" ht="15.95" customHeight="1" thickTop="1">
      <c r="B103" s="1904" t="s">
        <v>1399</v>
      </c>
      <c r="D103" s="1904"/>
      <c r="E103" s="1951"/>
      <c r="F103" s="1951"/>
      <c r="G103" s="1951"/>
      <c r="H103" s="1951"/>
      <c r="I103" s="1951"/>
      <c r="J103" s="1951"/>
      <c r="K103" s="1951"/>
      <c r="L103" s="1951"/>
      <c r="M103" s="1951"/>
      <c r="N103" s="1924"/>
      <c r="O103" s="1787"/>
      <c r="P103" s="1786"/>
      <c r="Q103" s="1782"/>
    </row>
    <row r="104" spans="1:21" ht="15.95" customHeight="1">
      <c r="A104" s="3804"/>
      <c r="B104" s="3805"/>
      <c r="C104" s="3805"/>
      <c r="D104" s="3805"/>
      <c r="E104" s="3805"/>
      <c r="F104" s="3805"/>
      <c r="G104" s="3805"/>
      <c r="H104" s="3805"/>
      <c r="I104" s="3805"/>
      <c r="J104" s="3805"/>
      <c r="K104" s="3805"/>
      <c r="L104" s="3805"/>
      <c r="M104" s="3805"/>
      <c r="N104" s="3805"/>
      <c r="O104" s="3805"/>
      <c r="P104" s="3806"/>
      <c r="Q104" s="1908"/>
    </row>
    <row r="105" spans="1:21" ht="9" customHeight="1" thickBot="1"/>
    <row r="106" spans="1:21" ht="15.95" customHeight="1" thickBot="1">
      <c r="A106" s="1802" t="s">
        <v>77</v>
      </c>
      <c r="B106" s="1803" t="s">
        <v>1762</v>
      </c>
      <c r="C106" s="1817"/>
      <c r="D106" s="1817"/>
      <c r="E106" s="1817"/>
      <c r="G106" s="1786"/>
      <c r="H106" s="1957"/>
      <c r="M106" s="1786">
        <v>3</v>
      </c>
      <c r="N106" s="1906"/>
      <c r="O106" s="2091"/>
      <c r="P106" s="2092"/>
      <c r="Q106" s="1898" t="str">
        <f>IF(OR($O106&lt;=$M106,$O106=0,$O106=""),"","*CHECK!*")</f>
        <v/>
      </c>
      <c r="R106" s="1955" t="s">
        <v>1716</v>
      </c>
      <c r="S106" s="1957"/>
    </row>
    <row r="107" spans="1:21" ht="23.25" customHeight="1">
      <c r="B107" s="2079"/>
      <c r="C107" s="2079"/>
      <c r="D107" s="2079"/>
      <c r="E107" s="2078"/>
      <c r="F107" s="3798" t="s">
        <v>1763</v>
      </c>
      <c r="G107" s="3798"/>
      <c r="H107" s="3798" t="s">
        <v>1764</v>
      </c>
      <c r="I107" s="3798"/>
      <c r="J107" s="3944" t="s">
        <v>1765</v>
      </c>
      <c r="K107" s="3945"/>
      <c r="L107" s="3796" t="s">
        <v>1766</v>
      </c>
      <c r="M107" s="3796"/>
      <c r="N107" s="3796"/>
      <c r="O107" s="3797"/>
      <c r="P107" s="1956"/>
    </row>
    <row r="108" spans="1:21" ht="24.6" customHeight="1">
      <c r="B108" s="2079"/>
      <c r="C108" s="2079"/>
      <c r="D108" s="2079"/>
      <c r="E108" s="2078"/>
      <c r="F108" s="3798"/>
      <c r="G108" s="3798"/>
      <c r="H108" s="3798"/>
      <c r="I108" s="3798"/>
      <c r="J108" s="3946"/>
      <c r="K108" s="3947"/>
      <c r="L108" s="3798"/>
      <c r="M108" s="3798"/>
      <c r="N108" s="3798"/>
      <c r="O108" s="3797"/>
      <c r="P108" s="1956"/>
    </row>
    <row r="109" spans="1:21" ht="15.95" customHeight="1">
      <c r="B109" s="2080" t="s">
        <v>1767</v>
      </c>
      <c r="C109" s="2081"/>
      <c r="D109" s="2078"/>
      <c r="E109" s="2078"/>
      <c r="F109" s="3799"/>
      <c r="G109" s="3799"/>
      <c r="H109" s="3799"/>
      <c r="I109" s="3799"/>
      <c r="J109" s="3948"/>
      <c r="K109" s="3949"/>
      <c r="L109" s="3799"/>
      <c r="M109" s="3799"/>
      <c r="N109" s="3799"/>
      <c r="O109" s="3800"/>
      <c r="P109" s="1956"/>
    </row>
    <row r="110" spans="1:21" ht="15.95" customHeight="1">
      <c r="B110" s="3932"/>
      <c r="C110" s="3933"/>
      <c r="D110" s="3933"/>
      <c r="E110" s="3934"/>
      <c r="F110" s="3942"/>
      <c r="G110" s="3943"/>
      <c r="H110" s="3942"/>
      <c r="I110" s="3943"/>
      <c r="J110" s="3789"/>
      <c r="K110" s="3791"/>
      <c r="L110" s="3789"/>
      <c r="M110" s="3790"/>
      <c r="N110" s="3790"/>
      <c r="O110" s="3791"/>
      <c r="P110" s="1913"/>
    </row>
    <row r="111" spans="1:21" ht="15.95" customHeight="1">
      <c r="B111" s="3926"/>
      <c r="C111" s="3927"/>
      <c r="D111" s="3927"/>
      <c r="E111" s="3928"/>
      <c r="F111" s="3939"/>
      <c r="G111" s="3940"/>
      <c r="H111" s="3939"/>
      <c r="I111" s="3940"/>
      <c r="J111" s="3786"/>
      <c r="K111" s="3788"/>
      <c r="L111" s="3786"/>
      <c r="M111" s="3787"/>
      <c r="N111" s="3787"/>
      <c r="O111" s="3788"/>
      <c r="P111" s="1926"/>
    </row>
    <row r="112" spans="1:21" ht="15.95" customHeight="1">
      <c r="B112" s="3926"/>
      <c r="C112" s="3927"/>
      <c r="D112" s="3927"/>
      <c r="E112" s="3928"/>
      <c r="F112" s="3939"/>
      <c r="G112" s="3940"/>
      <c r="H112" s="3939"/>
      <c r="I112" s="3940"/>
      <c r="J112" s="3786"/>
      <c r="K112" s="3788"/>
      <c r="L112" s="3786"/>
      <c r="M112" s="3787"/>
      <c r="N112" s="3787"/>
      <c r="O112" s="3788"/>
      <c r="P112" s="1926"/>
    </row>
    <row r="113" spans="1:21" ht="15.95" customHeight="1">
      <c r="B113" s="3926"/>
      <c r="C113" s="3927"/>
      <c r="D113" s="3927"/>
      <c r="E113" s="3928"/>
      <c r="F113" s="3939"/>
      <c r="G113" s="3940"/>
      <c r="H113" s="3939"/>
      <c r="I113" s="3940"/>
      <c r="J113" s="3786"/>
      <c r="K113" s="3788"/>
      <c r="L113" s="3786"/>
      <c r="M113" s="3787"/>
      <c r="N113" s="3787"/>
      <c r="O113" s="3788"/>
      <c r="P113" s="1926"/>
    </row>
    <row r="114" spans="1:21" ht="15.95" customHeight="1">
      <c r="B114" s="3926"/>
      <c r="C114" s="3927"/>
      <c r="D114" s="3927"/>
      <c r="E114" s="3928"/>
      <c r="F114" s="3939"/>
      <c r="G114" s="3940"/>
      <c r="H114" s="3939"/>
      <c r="I114" s="3940"/>
      <c r="J114" s="3786"/>
      <c r="K114" s="3788"/>
      <c r="L114" s="3786"/>
      <c r="M114" s="3787"/>
      <c r="N114" s="3787"/>
      <c r="O114" s="3788"/>
      <c r="P114" s="1926"/>
    </row>
    <row r="115" spans="1:21" ht="15.95" customHeight="1">
      <c r="B115" s="3929"/>
      <c r="C115" s="3930"/>
      <c r="D115" s="3930"/>
      <c r="E115" s="3931"/>
      <c r="F115" s="3935"/>
      <c r="G115" s="3936"/>
      <c r="H115" s="3935"/>
      <c r="I115" s="3936"/>
      <c r="J115" s="3937"/>
      <c r="K115" s="3938"/>
      <c r="L115" s="3937"/>
      <c r="M115" s="3941"/>
      <c r="N115" s="3941"/>
      <c r="O115" s="3938"/>
      <c r="P115" s="1903"/>
    </row>
    <row r="116" spans="1:21" ht="15.95" customHeight="1" thickBot="1">
      <c r="A116" s="1783"/>
      <c r="B116" s="1916" t="s">
        <v>1739</v>
      </c>
      <c r="C116" s="1783"/>
      <c r="D116" s="1783"/>
      <c r="E116" s="1783"/>
      <c r="F116" s="1783"/>
      <c r="G116" s="1783"/>
      <c r="H116" s="1783"/>
      <c r="I116" s="1783"/>
      <c r="J116" s="1783"/>
      <c r="K116" s="1783"/>
      <c r="M116" s="1785"/>
      <c r="O116" s="1793"/>
    </row>
    <row r="117" spans="1:21" ht="15.95" customHeight="1" thickTop="1" thickBot="1">
      <c r="A117" s="3811" t="s">
        <v>7064</v>
      </c>
      <c r="B117" s="3812"/>
      <c r="C117" s="3812"/>
      <c r="D117" s="3812"/>
      <c r="E117" s="3812"/>
      <c r="F117" s="3812"/>
      <c r="G117" s="3812"/>
      <c r="H117" s="3812"/>
      <c r="I117" s="3812"/>
      <c r="J117" s="3812"/>
      <c r="K117" s="3812"/>
      <c r="L117" s="3812"/>
      <c r="M117" s="3812"/>
      <c r="N117" s="3812"/>
      <c r="O117" s="3812"/>
      <c r="P117" s="3813"/>
      <c r="Q117" s="1865"/>
    </row>
    <row r="118" spans="1:21" ht="15.95" customHeight="1" thickTop="1">
      <c r="A118" s="1783"/>
      <c r="B118" s="1905" t="s">
        <v>1399</v>
      </c>
      <c r="C118" s="1807"/>
      <c r="D118" s="1905"/>
      <c r="E118" s="1838"/>
      <c r="F118" s="1817"/>
      <c r="G118" s="1817"/>
      <c r="H118" s="1817"/>
      <c r="I118" s="1817"/>
      <c r="J118" s="1817"/>
      <c r="K118" s="1817"/>
      <c r="L118" s="1817"/>
      <c r="M118" s="1817"/>
      <c r="N118" s="1906"/>
      <c r="O118" s="1907"/>
      <c r="P118" s="1786"/>
    </row>
    <row r="119" spans="1:21" ht="15.95" customHeight="1">
      <c r="A119" s="3804"/>
      <c r="B119" s="3805"/>
      <c r="C119" s="3805"/>
      <c r="D119" s="3805"/>
      <c r="E119" s="3805"/>
      <c r="F119" s="3805"/>
      <c r="G119" s="3805"/>
      <c r="H119" s="3805"/>
      <c r="I119" s="3805"/>
      <c r="J119" s="3805"/>
      <c r="K119" s="3805"/>
      <c r="L119" s="3805"/>
      <c r="M119" s="3805"/>
      <c r="N119" s="3805"/>
      <c r="O119" s="3805"/>
      <c r="P119" s="3806"/>
      <c r="Q119" s="1908"/>
      <c r="U119" s="1842"/>
    </row>
    <row r="120" spans="1:21" ht="9" customHeight="1">
      <c r="A120" s="1783"/>
      <c r="C120" s="1817"/>
      <c r="D120" s="1817"/>
      <c r="E120" s="1817"/>
      <c r="F120" s="1817"/>
      <c r="G120" s="1817"/>
      <c r="H120" s="1817"/>
      <c r="I120" s="1817"/>
      <c r="J120" s="1817"/>
      <c r="K120" s="1817"/>
      <c r="L120" s="1817"/>
      <c r="M120" s="1817"/>
      <c r="N120" s="1906"/>
      <c r="O120" s="1907"/>
      <c r="P120" s="1786"/>
    </row>
    <row r="121" spans="1:21" s="1918" customFormat="1" ht="9" customHeight="1" thickBot="1">
      <c r="A121" s="1919"/>
      <c r="C121" s="1952"/>
      <c r="D121" s="1952"/>
      <c r="E121" s="1952"/>
      <c r="F121" s="1952"/>
      <c r="G121" s="1952"/>
      <c r="H121" s="1952"/>
      <c r="I121" s="1952"/>
      <c r="J121" s="1952"/>
      <c r="K121" s="1952"/>
      <c r="L121" s="1952"/>
      <c r="M121" s="1952"/>
      <c r="N121" s="1953"/>
      <c r="O121" s="1954"/>
      <c r="P121" s="1921"/>
    </row>
    <row r="122" spans="1:21" s="1783" customFormat="1" ht="15.95" customHeight="1" thickBot="1">
      <c r="A122" s="1802" t="s">
        <v>1427</v>
      </c>
      <c r="B122" s="1803" t="s">
        <v>1768</v>
      </c>
      <c r="D122" s="1803"/>
      <c r="E122" s="1803"/>
      <c r="L122" s="1891" t="str">
        <f>IF(AND(O122&gt;0,O123="",O135=""),"Indicate subtotal score(s) in A or B below!","")</f>
        <v/>
      </c>
      <c r="M122" s="1786">
        <v>7</v>
      </c>
      <c r="N122" s="1785"/>
      <c r="O122" s="1922">
        <f>IF($F$36="New Supply",O123+O135,0)</f>
        <v>0</v>
      </c>
      <c r="P122" s="1922">
        <f>IF($F$36="New Supply",P123+P135,0)</f>
        <v>0</v>
      </c>
      <c r="Q122" s="1859" t="s">
        <v>1716</v>
      </c>
      <c r="R122" s="1957" t="str">
        <f>IF(AND(O122&gt;0,NOT($F$36="New Supply")), "Ineligible to score in this section, not New Supply!","")</f>
        <v/>
      </c>
      <c r="S122" s="1780"/>
      <c r="T122" s="1780"/>
      <c r="U122" s="1780"/>
    </row>
    <row r="123" spans="1:21" ht="15.95" customHeight="1">
      <c r="A123" s="1798" t="s">
        <v>194</v>
      </c>
      <c r="B123" s="1791" t="s">
        <v>1769</v>
      </c>
      <c r="C123" s="1791"/>
      <c r="D123" s="1791"/>
      <c r="E123" s="1791"/>
      <c r="F123" s="1791"/>
      <c r="G123" s="1791"/>
      <c r="H123" s="1791"/>
      <c r="I123" s="1791"/>
      <c r="J123" s="1791"/>
      <c r="K123" s="1791"/>
      <c r="L123" s="192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1785">
        <v>5</v>
      </c>
      <c r="N123" s="1910"/>
      <c r="O123" s="1958">
        <f>MIN(M123,O130+O132+O133+O134)</f>
        <v>0</v>
      </c>
      <c r="P123" s="1958">
        <f>P130+P132+P133+P134</f>
        <v>0</v>
      </c>
      <c r="Q123" s="1898" t="str">
        <f>IF(OR($O123&lt;=$M123,$O123=""),"","*CHECK!*")</f>
        <v/>
      </c>
      <c r="R123" s="1957"/>
      <c r="S123" s="1780"/>
      <c r="T123" s="1780"/>
      <c r="U123" s="1780"/>
    </row>
    <row r="124" spans="1:21" ht="15.95" customHeight="1">
      <c r="A124" s="1859"/>
      <c r="C124" s="1783" t="s">
        <v>1770</v>
      </c>
      <c r="D124" s="1791"/>
      <c r="E124" s="1791"/>
      <c r="F124" s="1791"/>
      <c r="G124" s="1791"/>
      <c r="H124" s="1791"/>
      <c r="I124" s="1791"/>
      <c r="J124" s="1791"/>
      <c r="K124" s="1791"/>
      <c r="L124" s="1791"/>
      <c r="Q124" s="1898" t="str">
        <f>IF(OR($O130=$M130,$O130=0,$O130=""),"","*CHECK!*")</f>
        <v/>
      </c>
      <c r="R124" s="1957"/>
      <c r="S124" s="1780"/>
      <c r="T124" s="1780"/>
      <c r="U124" s="1780"/>
    </row>
    <row r="125" spans="1:21" ht="15.95" customHeight="1">
      <c r="A125" s="1963"/>
      <c r="B125" s="1910"/>
      <c r="C125" s="1813" t="s">
        <v>1771</v>
      </c>
      <c r="D125" s="1813"/>
      <c r="E125" s="1813"/>
      <c r="F125" s="1813"/>
      <c r="G125" s="1813"/>
      <c r="H125" s="1813"/>
      <c r="I125" s="1813"/>
      <c r="J125" s="1813"/>
      <c r="K125" s="1813"/>
      <c r="L125" s="1962"/>
      <c r="M125" s="3932" t="s">
        <v>1772</v>
      </c>
      <c r="N125" s="3933"/>
      <c r="O125" s="3933"/>
      <c r="P125" s="3934"/>
      <c r="S125" s="1780"/>
      <c r="T125" s="1780"/>
      <c r="U125" s="1780"/>
    </row>
    <row r="126" spans="1:21" s="1783" customFormat="1" ht="15.95" customHeight="1">
      <c r="B126" s="1910"/>
      <c r="C126" s="1783" t="s">
        <v>1773</v>
      </c>
      <c r="L126" s="1910"/>
      <c r="M126" s="3926" t="s">
        <v>1772</v>
      </c>
      <c r="N126" s="3927"/>
      <c r="O126" s="3927"/>
      <c r="P126" s="3928"/>
      <c r="S126" s="1780"/>
      <c r="T126" s="1780"/>
      <c r="U126" s="1780"/>
    </row>
    <row r="127" spans="1:21" s="1783" customFormat="1" ht="15.95" customHeight="1">
      <c r="B127" s="1910"/>
      <c r="C127" s="1783" t="s">
        <v>1774</v>
      </c>
      <c r="L127" s="1910"/>
      <c r="M127" s="3926" t="s">
        <v>1772</v>
      </c>
      <c r="N127" s="3927"/>
      <c r="O127" s="3927"/>
      <c r="P127" s="3928"/>
      <c r="Q127" s="1964">
        <f>IF(K127="Yes",1,0)</f>
        <v>0</v>
      </c>
      <c r="S127" s="1780"/>
      <c r="T127" s="1780"/>
      <c r="U127" s="1780"/>
    </row>
    <row r="128" spans="1:21" s="1783" customFormat="1" ht="15.95" customHeight="1">
      <c r="A128" s="1910"/>
      <c r="B128" s="1910"/>
      <c r="C128" s="1783" t="s">
        <v>1775</v>
      </c>
      <c r="L128" s="1910"/>
      <c r="M128" s="3926" t="s">
        <v>1772</v>
      </c>
      <c r="N128" s="3927"/>
      <c r="O128" s="3927"/>
      <c r="P128" s="3928"/>
      <c r="Q128" s="1964">
        <f>IF(K128="Yes",1,0)</f>
        <v>0</v>
      </c>
      <c r="S128" s="1780"/>
      <c r="T128" s="1780"/>
      <c r="U128" s="1780"/>
    </row>
    <row r="129" spans="1:22" s="1783" customFormat="1" ht="15.95" customHeight="1">
      <c r="A129" s="1910"/>
      <c r="B129" s="1910"/>
      <c r="C129" s="1783" t="s">
        <v>1776</v>
      </c>
      <c r="L129" s="1910"/>
      <c r="M129" s="3929" t="s">
        <v>1772</v>
      </c>
      <c r="N129" s="3930"/>
      <c r="O129" s="3930"/>
      <c r="P129" s="3931"/>
      <c r="Q129" s="1964"/>
      <c r="S129" s="1780"/>
      <c r="T129" s="1780"/>
      <c r="U129" s="1780"/>
      <c r="V129" s="1964"/>
    </row>
    <row r="130" spans="1:22" ht="15.95" customHeight="1">
      <c r="A130" s="1963"/>
      <c r="B130" s="1959" t="s">
        <v>209</v>
      </c>
      <c r="C130" s="1889" t="s">
        <v>1777</v>
      </c>
      <c r="D130" s="1813"/>
      <c r="E130" s="1813"/>
      <c r="F130" s="1813"/>
      <c r="G130" s="1813"/>
      <c r="H130" s="1813"/>
      <c r="I130" s="1813"/>
      <c r="K130" s="1785"/>
      <c r="L130" s="1785"/>
      <c r="M130" s="1785">
        <v>2</v>
      </c>
      <c r="N130" s="1962"/>
      <c r="O130" s="1960"/>
      <c r="P130" s="1961"/>
      <c r="R130" s="1780"/>
      <c r="S130" s="1780"/>
      <c r="T130" s="1780"/>
      <c r="U130" s="1780"/>
    </row>
    <row r="131" spans="1:22" ht="15.95" customHeight="1">
      <c r="A131" s="1963"/>
      <c r="B131" s="1965" t="s">
        <v>217</v>
      </c>
      <c r="C131" s="1889" t="s">
        <v>1778</v>
      </c>
      <c r="D131" s="1813"/>
      <c r="E131" s="1813"/>
      <c r="F131" s="1813"/>
      <c r="G131" s="1813"/>
      <c r="H131" s="1813"/>
      <c r="I131" s="1813"/>
      <c r="K131" s="1785"/>
      <c r="L131" s="1785"/>
      <c r="N131" s="1782"/>
      <c r="O131" s="1782"/>
      <c r="P131" s="1782"/>
      <c r="R131" s="1780"/>
      <c r="S131" s="1780"/>
      <c r="T131" s="1780"/>
      <c r="U131" s="1780"/>
    </row>
    <row r="132" spans="1:22" ht="15.95" customHeight="1">
      <c r="A132" s="1891"/>
      <c r="B132" s="1962"/>
      <c r="C132" s="3810" t="s">
        <v>1779</v>
      </c>
      <c r="D132" s="3810"/>
      <c r="E132" s="3810"/>
      <c r="F132" s="3810"/>
      <c r="G132" s="3810"/>
      <c r="H132" s="3810"/>
      <c r="I132" s="3810"/>
      <c r="J132" s="3810"/>
      <c r="K132" s="3810"/>
      <c r="L132" s="3810"/>
      <c r="M132" s="1941">
        <v>1</v>
      </c>
      <c r="N132" s="1962"/>
      <c r="O132" s="1966"/>
      <c r="P132" s="1967"/>
      <c r="Q132" s="1898" t="str">
        <f>IF(OR($O132=$M132,$O132=0,$O132=""),"","*CHECK!*")</f>
        <v/>
      </c>
      <c r="R132" s="1957"/>
    </row>
    <row r="133" spans="1:22" ht="30.75" customHeight="1">
      <c r="A133" s="1891"/>
      <c r="B133" s="1962"/>
      <c r="C133" s="3810" t="s">
        <v>1780</v>
      </c>
      <c r="D133" s="3810"/>
      <c r="E133" s="3810"/>
      <c r="F133" s="3810"/>
      <c r="G133" s="3810"/>
      <c r="H133" s="3810"/>
      <c r="I133" s="3810"/>
      <c r="J133" s="3810"/>
      <c r="K133" s="3810"/>
      <c r="L133" s="3810"/>
      <c r="M133" s="1941">
        <v>1</v>
      </c>
      <c r="N133" s="1962"/>
      <c r="O133" s="1968"/>
      <c r="P133" s="1969"/>
      <c r="Q133" s="1898" t="str">
        <f>IF(OR($O133=$M133,$O133=0,$O133=""),"","*CHECK!*")</f>
        <v/>
      </c>
      <c r="R133" s="1957"/>
    </row>
    <row r="134" spans="1:22" ht="15.95" customHeight="1">
      <c r="A134" s="1891"/>
      <c r="B134" s="1886"/>
      <c r="C134" s="1782" t="s">
        <v>1781</v>
      </c>
      <c r="D134" s="1943"/>
      <c r="E134" s="1943"/>
      <c r="F134" s="1943"/>
      <c r="G134" s="1943"/>
      <c r="H134" s="1943"/>
      <c r="I134" s="1943"/>
      <c r="J134" s="1943"/>
      <c r="K134" s="1943"/>
      <c r="L134" s="1943"/>
      <c r="M134" s="1785">
        <v>1</v>
      </c>
      <c r="N134" s="1910"/>
      <c r="O134" s="1899"/>
      <c r="P134" s="1900"/>
      <c r="Q134" s="1898" t="str">
        <f>IF(OR($O134=$M134,$O134=0,$O134=""),"","*CHECK!*")</f>
        <v/>
      </c>
      <c r="R134" s="1957"/>
    </row>
    <row r="135" spans="1:22" ht="15.95" customHeight="1">
      <c r="A135" s="1798" t="s">
        <v>206</v>
      </c>
      <c r="B135" s="1791" t="s">
        <v>1782</v>
      </c>
      <c r="D135" s="1783"/>
      <c r="F135" s="1970"/>
      <c r="K135" s="1971"/>
      <c r="L135" s="1888" t="str">
        <f>IF(OR($O135=$M135,$O135=0,$O135=1,$O135=""),"","* * Check Score! * *")</f>
        <v/>
      </c>
      <c r="M135" s="1785">
        <v>2</v>
      </c>
      <c r="N135" s="1910"/>
      <c r="O135" s="2060"/>
      <c r="P135" s="2061"/>
      <c r="Q135" s="1972"/>
      <c r="R135" s="1957"/>
    </row>
    <row r="136" spans="1:22" s="1783" customFormat="1" ht="15.95" customHeight="1" thickBot="1">
      <c r="B136" s="1916" t="s">
        <v>1739</v>
      </c>
      <c r="M136" s="1785"/>
      <c r="N136" s="1785"/>
      <c r="O136" s="1793"/>
      <c r="P136" s="1786"/>
    </row>
    <row r="137" spans="1:22" ht="15.95" customHeight="1" thickTop="1" thickBot="1">
      <c r="A137" s="3811" t="s">
        <v>7064</v>
      </c>
      <c r="B137" s="3812"/>
      <c r="C137" s="3812"/>
      <c r="D137" s="3812"/>
      <c r="E137" s="3812"/>
      <c r="F137" s="3812"/>
      <c r="G137" s="3812"/>
      <c r="H137" s="3812"/>
      <c r="I137" s="3812"/>
      <c r="J137" s="3812"/>
      <c r="K137" s="3812"/>
      <c r="L137" s="3812"/>
      <c r="M137" s="3812"/>
      <c r="N137" s="3812"/>
      <c r="O137" s="3812"/>
      <c r="P137" s="3813"/>
      <c r="Q137" s="1865"/>
    </row>
    <row r="138" spans="1:22" s="1783" customFormat="1" ht="15.95" customHeight="1" thickTop="1">
      <c r="B138" s="1904" t="s">
        <v>1399</v>
      </c>
      <c r="D138" s="1904"/>
      <c r="E138" s="1951"/>
      <c r="F138" s="1951"/>
      <c r="G138" s="1951"/>
      <c r="H138" s="1951"/>
      <c r="I138" s="1951"/>
      <c r="J138" s="1951"/>
      <c r="K138" s="1951"/>
      <c r="L138" s="1951"/>
      <c r="M138" s="1951"/>
      <c r="N138" s="1924"/>
      <c r="O138" s="1787"/>
      <c r="P138" s="1786"/>
      <c r="Q138" s="1782"/>
    </row>
    <row r="139" spans="1:22" ht="15.95" customHeight="1">
      <c r="A139" s="3804"/>
      <c r="B139" s="3805"/>
      <c r="C139" s="3805"/>
      <c r="D139" s="3805"/>
      <c r="E139" s="3805"/>
      <c r="F139" s="3805"/>
      <c r="G139" s="3805"/>
      <c r="H139" s="3805"/>
      <c r="I139" s="3805"/>
      <c r="J139" s="3805"/>
      <c r="K139" s="3805"/>
      <c r="L139" s="3805"/>
      <c r="M139" s="3805"/>
      <c r="N139" s="3805"/>
      <c r="O139" s="3805"/>
      <c r="P139" s="3806"/>
      <c r="Q139" s="1908"/>
    </row>
    <row r="140" spans="1:22" ht="15.95" customHeight="1">
      <c r="A140" s="1783"/>
      <c r="C140" s="1817"/>
      <c r="D140" s="1817"/>
      <c r="E140" s="1817"/>
      <c r="F140" s="1817"/>
      <c r="G140" s="1817"/>
      <c r="H140" s="1817"/>
      <c r="I140" s="1817"/>
      <c r="J140" s="1817"/>
      <c r="K140" s="1817"/>
      <c r="L140" s="1817"/>
      <c r="M140" s="1817"/>
      <c r="N140" s="1906"/>
      <c r="O140" s="1907"/>
      <c r="P140" s="1786"/>
    </row>
    <row r="141" spans="1:22" s="1918" customFormat="1" ht="15.95" customHeight="1" thickBot="1">
      <c r="A141" s="1919"/>
      <c r="C141" s="1952"/>
      <c r="D141" s="1952"/>
      <c r="E141" s="1952"/>
      <c r="F141" s="1952"/>
      <c r="G141" s="1952"/>
      <c r="H141" s="1952"/>
      <c r="I141" s="1952"/>
      <c r="J141" s="1952"/>
      <c r="K141" s="1952"/>
      <c r="L141" s="1952"/>
      <c r="M141" s="1952"/>
      <c r="N141" s="1953"/>
      <c r="O141" s="1954"/>
      <c r="P141" s="1921"/>
    </row>
    <row r="142" spans="1:22" ht="15.95" customHeight="1" thickBot="1">
      <c r="A142" s="1802" t="s">
        <v>1432</v>
      </c>
      <c r="B142" s="1803" t="s">
        <v>1783</v>
      </c>
      <c r="C142" s="1817"/>
      <c r="D142" s="1817"/>
      <c r="E142" s="1817"/>
      <c r="F142" s="1817"/>
      <c r="G142" s="2595"/>
      <c r="H142" s="1817"/>
      <c r="I142" s="1817"/>
      <c r="J142" s="1817"/>
      <c r="K142" s="1817"/>
      <c r="L142" s="1817"/>
      <c r="M142" s="1786">
        <v>3</v>
      </c>
      <c r="N142" s="1906"/>
      <c r="O142" s="1907"/>
      <c r="P142" s="1973"/>
      <c r="Q142" s="1859" t="s">
        <v>1716</v>
      </c>
      <c r="R142" s="2667" t="s">
        <v>1784</v>
      </c>
    </row>
    <row r="143" spans="1:22" ht="15.95" customHeight="1">
      <c r="A143" s="1802"/>
      <c r="B143" s="1801" t="s">
        <v>1785</v>
      </c>
      <c r="C143" s="1817"/>
      <c r="D143" s="1817"/>
      <c r="E143" s="1817"/>
      <c r="F143" s="1817"/>
      <c r="G143" s="1817"/>
      <c r="H143" s="1817"/>
      <c r="L143" s="1974"/>
      <c r="M143" s="1786"/>
      <c r="N143" s="1906"/>
      <c r="O143" s="1907"/>
      <c r="P143" s="1975"/>
      <c r="Q143" s="1859"/>
      <c r="R143" s="1957"/>
    </row>
    <row r="144" spans="1:22" ht="15.95" customHeight="1">
      <c r="A144" s="1802"/>
      <c r="B144" s="1783" t="s">
        <v>1786</v>
      </c>
      <c r="C144" s="1817"/>
      <c r="D144" s="1817"/>
      <c r="E144" s="1817"/>
      <c r="F144" s="1817"/>
      <c r="G144" s="1817"/>
      <c r="H144" s="1817"/>
      <c r="N144" s="2107" t="str">
        <f>IF(OR(O$179&gt;0,O$152&gt;0),"Applicant is ineligible for points in this section!  Points claimed in Stable Communities or Community Designations.","")</f>
        <v/>
      </c>
      <c r="O144" s="2593"/>
      <c r="P144" s="1913"/>
      <c r="Q144" s="1859"/>
      <c r="R144" s="1780"/>
      <c r="S144" s="1780"/>
      <c r="T144" s="1780"/>
      <c r="U144" s="1780"/>
    </row>
    <row r="145" spans="1:27" ht="33.950000000000003" customHeight="1">
      <c r="A145" s="1802"/>
      <c r="B145" s="3883" t="s">
        <v>1787</v>
      </c>
      <c r="C145" s="3883"/>
      <c r="D145" s="3883"/>
      <c r="E145" s="3883"/>
      <c r="F145" s="3883"/>
      <c r="G145" s="3883"/>
      <c r="H145" s="3883"/>
      <c r="I145" s="3883"/>
      <c r="J145" s="3883"/>
      <c r="K145" s="3883"/>
      <c r="L145" s="3883"/>
      <c r="M145" s="3883"/>
      <c r="N145" s="1786"/>
      <c r="O145" s="2594"/>
      <c r="P145" s="1978"/>
      <c r="Q145" s="1859"/>
      <c r="R145" s="1780"/>
      <c r="S145" s="1780"/>
      <c r="T145" s="1780"/>
      <c r="U145" s="1780"/>
    </row>
    <row r="146" spans="1:27" ht="15.95" customHeight="1" thickBot="1">
      <c r="A146" s="1783"/>
      <c r="B146" s="1916" t="s">
        <v>1739</v>
      </c>
      <c r="C146" s="1783"/>
      <c r="D146" s="1783"/>
      <c r="E146" s="1783"/>
      <c r="F146" s="1783"/>
      <c r="G146" s="1783"/>
      <c r="H146" s="1783"/>
      <c r="I146" s="1783"/>
      <c r="M146" s="1785"/>
      <c r="O146" s="1793"/>
    </row>
    <row r="147" spans="1:27" ht="15.95" customHeight="1" thickTop="1" thickBot="1">
      <c r="A147" s="3801"/>
      <c r="B147" s="3802"/>
      <c r="C147" s="3802"/>
      <c r="D147" s="3802"/>
      <c r="E147" s="3802"/>
      <c r="F147" s="3802"/>
      <c r="G147" s="3802"/>
      <c r="H147" s="3802"/>
      <c r="I147" s="3802"/>
      <c r="J147" s="3802"/>
      <c r="K147" s="3802"/>
      <c r="L147" s="3802"/>
      <c r="M147" s="3802"/>
      <c r="N147" s="3802"/>
      <c r="O147" s="3802"/>
      <c r="P147" s="3803"/>
      <c r="Q147" s="1865"/>
    </row>
    <row r="148" spans="1:27" ht="15.95" customHeight="1" thickTop="1">
      <c r="A148" s="1783"/>
      <c r="B148" s="1905" t="s">
        <v>1399</v>
      </c>
      <c r="C148" s="1783"/>
      <c r="D148" s="1905"/>
      <c r="E148" s="1817"/>
      <c r="F148" s="1817"/>
      <c r="G148" s="1817"/>
      <c r="H148" s="1817"/>
      <c r="I148" s="1817"/>
      <c r="J148" s="1817"/>
      <c r="K148" s="1817"/>
      <c r="L148" s="1817"/>
      <c r="M148" s="1817"/>
      <c r="N148" s="1906"/>
      <c r="O148" s="1907"/>
      <c r="P148" s="1786"/>
    </row>
    <row r="149" spans="1:27" ht="15.95" customHeight="1">
      <c r="A149" s="3804"/>
      <c r="B149" s="3805"/>
      <c r="C149" s="3805"/>
      <c r="D149" s="3805"/>
      <c r="E149" s="3805"/>
      <c r="F149" s="3805"/>
      <c r="G149" s="3805"/>
      <c r="H149" s="3805"/>
      <c r="I149" s="3805"/>
      <c r="J149" s="3805"/>
      <c r="K149" s="3805"/>
      <c r="L149" s="3805"/>
      <c r="M149" s="3805"/>
      <c r="N149" s="3805"/>
      <c r="O149" s="3805"/>
      <c r="P149" s="3806"/>
      <c r="Q149" s="1908"/>
    </row>
    <row r="150" spans="1:27" ht="15.95" customHeight="1"/>
    <row r="151" spans="1:27" s="1918" customFormat="1" ht="15.95" customHeight="1" thickBot="1">
      <c r="N151" s="1979"/>
      <c r="O151" s="1980"/>
      <c r="P151" s="1980"/>
    </row>
    <row r="152" spans="1:27" s="1783" customFormat="1" ht="15.95" customHeight="1" thickBot="1">
      <c r="A152" s="1802" t="s">
        <v>1434</v>
      </c>
      <c r="B152" s="1803" t="s">
        <v>1788</v>
      </c>
      <c r="D152" s="1803"/>
      <c r="E152" s="1803"/>
      <c r="L152" s="1891" t="str">
        <f>IF(AND(O152&gt;0,NOT($F$36="New Supply")), "Ineligible to score in this section, not New Supply!","")</f>
        <v/>
      </c>
      <c r="M152" s="1786">
        <v>9</v>
      </c>
      <c r="N152" s="1785"/>
      <c r="O152" s="1858">
        <f>IF($F$36="New Supply",MIN($M$152,O153+O157),0)</f>
        <v>0</v>
      </c>
      <c r="P152" s="1858">
        <f>IF($F$36="New Supply",MIN($M$152,P153+P157),0)</f>
        <v>0</v>
      </c>
      <c r="Q152" s="1859" t="s">
        <v>1716</v>
      </c>
      <c r="R152" s="1957"/>
      <c r="S152" s="1780"/>
      <c r="T152" s="1780"/>
      <c r="U152" s="1780"/>
      <c r="V152" s="1782"/>
      <c r="W152" s="1782"/>
      <c r="X152" s="1782"/>
    </row>
    <row r="153" spans="1:27" s="1783" customFormat="1" ht="15.95" customHeight="1">
      <c r="A153" s="1981" t="s">
        <v>194</v>
      </c>
      <c r="B153" s="1791" t="s">
        <v>1789</v>
      </c>
      <c r="D153" s="1803"/>
      <c r="E153" s="1803"/>
      <c r="K153" s="1982"/>
      <c r="M153" s="1785">
        <v>5</v>
      </c>
      <c r="N153" s="1910"/>
      <c r="O153" s="1960"/>
      <c r="P153" s="1961"/>
      <c r="Q153" s="1898" t="str">
        <f>IF(O153&lt;=M153,"","*CHECK!*")</f>
        <v/>
      </c>
      <c r="R153" s="1957"/>
      <c r="S153" s="1780"/>
      <c r="T153" s="1780"/>
      <c r="U153" s="1780"/>
    </row>
    <row r="154" spans="1:27" ht="15.95" customHeight="1">
      <c r="B154" s="1981"/>
      <c r="C154" s="1783" t="s">
        <v>1790</v>
      </c>
      <c r="D154" s="1783"/>
      <c r="E154" s="1803"/>
      <c r="F154" s="1803"/>
      <c r="G154" s="1783"/>
      <c r="H154" s="1783"/>
      <c r="I154" s="1783"/>
      <c r="J154" s="3918" t="s">
        <v>713</v>
      </c>
      <c r="K154" s="3919"/>
      <c r="L154" s="3920" t="s">
        <v>713</v>
      </c>
      <c r="M154" s="3921"/>
      <c r="N154" s="1785"/>
      <c r="R154" s="1859"/>
      <c r="S154" s="1783"/>
    </row>
    <row r="155" spans="1:27" ht="15.95" customHeight="1">
      <c r="C155" s="1983" t="s">
        <v>1791</v>
      </c>
      <c r="J155" s="3922"/>
      <c r="K155" s="3923"/>
      <c r="L155" s="3923"/>
      <c r="M155" s="3924"/>
      <c r="N155" s="1785"/>
      <c r="O155" s="1785"/>
      <c r="P155" s="1785"/>
      <c r="R155" s="1783"/>
      <c r="S155" s="1780"/>
    </row>
    <row r="156" spans="1:27" ht="15.95" hidden="1" customHeight="1">
      <c r="A156" s="1883"/>
      <c r="B156" s="1984"/>
      <c r="M156" s="1785"/>
      <c r="O156" s="1786"/>
      <c r="P156" s="1786"/>
      <c r="S156" s="1780"/>
      <c r="T156" s="1780"/>
      <c r="U156" s="1780"/>
    </row>
    <row r="157" spans="1:27" s="1783" customFormat="1" ht="15.95" customHeight="1">
      <c r="A157" s="1786" t="s">
        <v>206</v>
      </c>
      <c r="B157" s="1984" t="s">
        <v>1792</v>
      </c>
      <c r="K157" s="1910"/>
      <c r="L157" s="1910"/>
      <c r="M157" s="1785">
        <v>4</v>
      </c>
      <c r="N157" s="1910"/>
      <c r="O157" s="1960"/>
      <c r="P157" s="1961"/>
      <c r="Q157" s="1898" t="str">
        <f>IF(O157&lt;=M157,"","*CHECK!*")</f>
        <v/>
      </c>
      <c r="R157" s="1957"/>
      <c r="S157" s="1780"/>
      <c r="T157" s="1780"/>
      <c r="U157" s="1780"/>
    </row>
    <row r="158" spans="1:27" ht="15.95" customHeight="1">
      <c r="C158" s="1985" t="s">
        <v>1793</v>
      </c>
      <c r="E158" s="3925" t="s">
        <v>1794</v>
      </c>
      <c r="F158" s="3925"/>
      <c r="G158" s="3925"/>
      <c r="H158" s="3925"/>
      <c r="I158" s="1799" t="s">
        <v>1795</v>
      </c>
      <c r="J158" s="3925" t="s">
        <v>1794</v>
      </c>
      <c r="K158" s="3925"/>
      <c r="L158" s="3925"/>
      <c r="M158" s="3925"/>
      <c r="N158" s="1782"/>
      <c r="O158" s="1782"/>
      <c r="P158" s="1782"/>
    </row>
    <row r="159" spans="1:27" ht="15.95" customHeight="1">
      <c r="C159" s="1783" t="s">
        <v>1796</v>
      </c>
      <c r="E159" s="3912"/>
      <c r="F159" s="3913"/>
      <c r="G159" s="3913"/>
      <c r="H159" s="3914"/>
      <c r="I159" s="2086"/>
      <c r="J159" s="3915"/>
      <c r="K159" s="3916"/>
      <c r="L159" s="3916"/>
      <c r="M159" s="3917"/>
      <c r="N159" s="1898" t="str">
        <f>IF(P157&lt;=N157,"","*CHECK!*")</f>
        <v/>
      </c>
      <c r="Q159" s="1792"/>
      <c r="R159" s="1792"/>
      <c r="S159" s="1792"/>
      <c r="T159" s="1792"/>
      <c r="U159" s="1792"/>
      <c r="V159" s="1792"/>
      <c r="W159" s="1792"/>
      <c r="X159" s="1792"/>
      <c r="Y159" s="1792"/>
      <c r="Z159" s="1792"/>
      <c r="AA159" s="1986"/>
    </row>
    <row r="160" spans="1:27" ht="15.95" customHeight="1">
      <c r="B160" s="1883"/>
      <c r="C160" s="1783" t="s">
        <v>1797</v>
      </c>
      <c r="E160" s="3912"/>
      <c r="F160" s="3913"/>
      <c r="G160" s="3913"/>
      <c r="H160" s="3914"/>
      <c r="I160" s="2087"/>
      <c r="J160" s="3915"/>
      <c r="K160" s="3916"/>
      <c r="L160" s="3916"/>
      <c r="M160" s="3917"/>
      <c r="N160" s="1782"/>
      <c r="Q160" s="1792"/>
      <c r="R160" s="1792"/>
      <c r="S160" s="1792"/>
      <c r="T160" s="1792"/>
      <c r="U160" s="1792"/>
      <c r="V160" s="1792"/>
      <c r="W160" s="1792"/>
      <c r="X160" s="1792"/>
      <c r="Y160" s="1792"/>
      <c r="Z160" s="1792"/>
      <c r="AA160" s="1986"/>
    </row>
    <row r="161" spans="1:27" ht="15.95" customHeight="1">
      <c r="C161" s="1783" t="s">
        <v>1798</v>
      </c>
      <c r="E161" s="3904"/>
      <c r="F161" s="3905"/>
      <c r="G161" s="3905"/>
      <c r="H161" s="3906"/>
      <c r="I161" s="2088"/>
      <c r="J161" s="3907"/>
      <c r="K161" s="3908"/>
      <c r="L161" s="3908"/>
      <c r="M161" s="3909"/>
      <c r="N161" s="1782"/>
      <c r="Q161" s="1792"/>
      <c r="R161" s="1792"/>
      <c r="S161" s="1792"/>
      <c r="T161" s="1792"/>
      <c r="U161" s="1792"/>
      <c r="V161" s="1792"/>
      <c r="W161" s="1792"/>
      <c r="X161" s="1792"/>
      <c r="Y161" s="1792"/>
      <c r="Z161" s="1792"/>
      <c r="AA161" s="1986"/>
    </row>
    <row r="162" spans="1:27" ht="15.95" hidden="1" customHeight="1">
      <c r="C162" s="1984"/>
      <c r="N162" s="1785"/>
      <c r="O162" s="1799"/>
      <c r="P162" s="1786"/>
      <c r="Q162" s="1786"/>
      <c r="R162" s="1786"/>
      <c r="S162" s="1786"/>
      <c r="T162" s="1786"/>
      <c r="U162" s="1786"/>
      <c r="V162" s="1786"/>
      <c r="W162" s="1786"/>
      <c r="X162" s="1786"/>
      <c r="Y162" s="1786"/>
      <c r="Z162" s="1786"/>
    </row>
    <row r="163" spans="1:27" ht="15.95" hidden="1" customHeight="1">
      <c r="A163" s="1883"/>
      <c r="B163" s="1984"/>
      <c r="M163" s="1785"/>
      <c r="O163" s="1786"/>
      <c r="P163" s="1786"/>
      <c r="S163" s="1987"/>
      <c r="T163" s="1987"/>
      <c r="U163" s="1987"/>
      <c r="V163" s="1987"/>
      <c r="W163" s="1987"/>
    </row>
    <row r="164" spans="1:27" ht="15.95" customHeight="1" thickBot="1">
      <c r="A164" s="1783"/>
      <c r="B164" s="1916" t="s">
        <v>1739</v>
      </c>
      <c r="C164" s="1783"/>
      <c r="D164" s="1783"/>
      <c r="E164" s="1783"/>
      <c r="F164" s="1783"/>
      <c r="G164" s="1783"/>
      <c r="H164" s="1783"/>
      <c r="I164" s="1783"/>
      <c r="J164" s="1783"/>
      <c r="K164" s="1783"/>
      <c r="M164" s="1785"/>
      <c r="O164" s="1793"/>
    </row>
    <row r="165" spans="1:27" ht="15.95" customHeight="1" thickTop="1" thickBot="1">
      <c r="A165" s="3811" t="s">
        <v>7064</v>
      </c>
      <c r="B165" s="3812"/>
      <c r="C165" s="3812"/>
      <c r="D165" s="3812"/>
      <c r="E165" s="3812"/>
      <c r="F165" s="3812"/>
      <c r="G165" s="3812"/>
      <c r="H165" s="3812"/>
      <c r="I165" s="3812"/>
      <c r="J165" s="3812"/>
      <c r="K165" s="3812"/>
      <c r="L165" s="3812"/>
      <c r="M165" s="3812"/>
      <c r="N165" s="3812"/>
      <c r="O165" s="3812"/>
      <c r="P165" s="3813"/>
      <c r="Q165" s="1865"/>
    </row>
    <row r="166" spans="1:27" ht="15.95" customHeight="1" thickTop="1">
      <c r="A166" s="1883"/>
      <c r="B166" s="1984"/>
      <c r="M166" s="1785"/>
      <c r="O166" s="1786"/>
      <c r="P166" s="1786"/>
    </row>
    <row r="167" spans="1:27" ht="15.95" customHeight="1">
      <c r="A167" s="1783"/>
      <c r="B167" s="1905" t="s">
        <v>1399</v>
      </c>
      <c r="C167" s="1783"/>
      <c r="D167" s="1905"/>
      <c r="E167" s="1817"/>
      <c r="F167" s="1817"/>
      <c r="G167" s="1817"/>
      <c r="H167" s="1817"/>
      <c r="I167" s="1817"/>
      <c r="J167" s="1817"/>
      <c r="K167" s="1817"/>
      <c r="L167" s="1817"/>
      <c r="M167" s="1817"/>
      <c r="N167" s="1906"/>
      <c r="O167" s="1907"/>
      <c r="P167" s="1786"/>
    </row>
    <row r="168" spans="1:27" ht="15.95" customHeight="1">
      <c r="A168" s="3804"/>
      <c r="B168" s="3805"/>
      <c r="C168" s="3805"/>
      <c r="D168" s="3805"/>
      <c r="E168" s="3805"/>
      <c r="F168" s="3805"/>
      <c r="G168" s="3805"/>
      <c r="H168" s="3805"/>
      <c r="I168" s="3805"/>
      <c r="J168" s="3805"/>
      <c r="K168" s="3805"/>
      <c r="L168" s="3805"/>
      <c r="M168" s="3805"/>
      <c r="N168" s="3805"/>
      <c r="O168" s="3805"/>
      <c r="P168" s="3806"/>
      <c r="Q168" s="1908"/>
    </row>
    <row r="169" spans="1:27" ht="12.75" customHeight="1">
      <c r="A169" s="1783"/>
      <c r="D169" s="1783"/>
      <c r="E169" s="1783"/>
      <c r="F169" s="1786"/>
      <c r="G169" s="1786"/>
      <c r="H169" s="1786"/>
      <c r="I169" s="1786"/>
      <c r="J169" s="1882"/>
      <c r="K169" s="1882"/>
      <c r="L169" s="1882"/>
      <c r="M169" s="1785"/>
      <c r="N169" s="1786"/>
      <c r="P169" s="1793"/>
    </row>
    <row r="170" spans="1:27" s="1918" customFormat="1" ht="12.75" customHeight="1" thickBot="1">
      <c r="A170" s="1919"/>
      <c r="D170" s="1919"/>
      <c r="E170" s="1919"/>
      <c r="F170" s="1921"/>
      <c r="G170" s="1921"/>
      <c r="H170" s="1921"/>
      <c r="I170" s="1921"/>
      <c r="J170" s="1988"/>
      <c r="K170" s="1988"/>
      <c r="L170" s="1988"/>
      <c r="M170" s="1920"/>
      <c r="N170" s="1921"/>
      <c r="O170" s="1980"/>
      <c r="P170" s="1989"/>
    </row>
    <row r="171" spans="1:27" ht="15.95" customHeight="1" thickBot="1">
      <c r="A171" s="1802" t="s">
        <v>1436</v>
      </c>
      <c r="B171" s="1990" t="s">
        <v>1799</v>
      </c>
      <c r="G171" s="1785" t="s">
        <v>1800</v>
      </c>
      <c r="H171" s="1991">
        <f>IF('Part V-Revenues &amp; Expenses'!$P$67=0,0,'Part V-Revenues &amp; Expenses'!$P$64/'Part V-Revenues &amp; Expenses'!$P$67)</f>
        <v>0.40703517587939697</v>
      </c>
      <c r="K171" s="3910" t="str">
        <f>'Part V-Revenues &amp; Expenses'!$O$53</f>
        <v>40% of Units at 60% of AMI</v>
      </c>
      <c r="L171" s="3911"/>
      <c r="M171" s="1786">
        <v>1</v>
      </c>
      <c r="O171" s="1858">
        <f>IF(AND($F$36="New Supply",$O$36="9%"),IF(O172+O173&gt;$M171,"Choose",MIN($M171,SUM(O172:O173))),0)</f>
        <v>0</v>
      </c>
      <c r="P171" s="1858">
        <f>IF(AND($F$36="New Supply",$O$36="9%"),IF(P172+P173&gt;$M171,"Choose",MIN($M171,SUM(P172:P173))),0)</f>
        <v>0</v>
      </c>
      <c r="Q171" s="1859" t="s">
        <v>1716</v>
      </c>
      <c r="R171" s="1957" t="str">
        <f>IF(AND(O171&gt;0,NOT($F$36="New Supply")), "Ineligible to score in this section, not New Supply!","")</f>
        <v/>
      </c>
      <c r="S171" s="2667" t="s">
        <v>1784</v>
      </c>
    </row>
    <row r="172" spans="1:27" ht="15.95" customHeight="1">
      <c r="A172" s="1786" t="s">
        <v>194</v>
      </c>
      <c r="B172" s="1883" t="s">
        <v>1801</v>
      </c>
      <c r="M172" s="1785">
        <v>1</v>
      </c>
      <c r="N172" s="1910"/>
      <c r="O172" s="2668"/>
      <c r="P172" s="1967"/>
      <c r="Q172" s="1972" t="str">
        <f>IF(OR($O172=$M172,$O172=0,$O172=""),"","*CHECK!*")</f>
        <v/>
      </c>
      <c r="R172" s="1957"/>
    </row>
    <row r="173" spans="1:27" ht="15.95" customHeight="1">
      <c r="A173" s="1786" t="s">
        <v>206</v>
      </c>
      <c r="B173" s="1883" t="s">
        <v>1730</v>
      </c>
      <c r="M173" s="1799">
        <v>1</v>
      </c>
      <c r="N173" s="1910"/>
      <c r="O173" s="2669"/>
      <c r="P173" s="1900"/>
      <c r="Q173" s="1972" t="str">
        <f>IF(OR($O173=$M173,$O173=0,$O173=""),"","*CHECK!*")</f>
        <v/>
      </c>
      <c r="R173" s="1957"/>
    </row>
    <row r="174" spans="1:27" ht="15.95" hidden="1" customHeight="1">
      <c r="A174" s="1883"/>
      <c r="B174" s="1984"/>
      <c r="M174" s="1785"/>
      <c r="O174" s="1786"/>
      <c r="P174" s="1786"/>
    </row>
    <row r="175" spans="1:27" ht="15.95" customHeight="1">
      <c r="A175" s="1783"/>
      <c r="B175" s="1905" t="s">
        <v>1399</v>
      </c>
      <c r="C175" s="1783"/>
      <c r="D175" s="1905"/>
      <c r="E175" s="1817"/>
      <c r="F175" s="1817"/>
      <c r="G175" s="1817"/>
      <c r="H175" s="1817"/>
      <c r="I175" s="1817"/>
      <c r="J175" s="1817"/>
      <c r="K175" s="1817"/>
      <c r="L175" s="1817"/>
      <c r="M175" s="1817"/>
      <c r="N175" s="1906"/>
      <c r="O175" s="1907"/>
      <c r="P175" s="1786"/>
    </row>
    <row r="176" spans="1:27" ht="15.95" customHeight="1">
      <c r="A176" s="3804"/>
      <c r="B176" s="3805"/>
      <c r="C176" s="3805"/>
      <c r="D176" s="3805"/>
      <c r="E176" s="3805"/>
      <c r="F176" s="3805"/>
      <c r="G176" s="3805"/>
      <c r="H176" s="3805"/>
      <c r="I176" s="3805"/>
      <c r="J176" s="3805"/>
      <c r="K176" s="3805"/>
      <c r="L176" s="3805"/>
      <c r="M176" s="3805"/>
      <c r="N176" s="3805"/>
      <c r="O176" s="3805"/>
      <c r="P176" s="3806"/>
      <c r="Q176" s="1908"/>
    </row>
    <row r="177" spans="1:27" ht="12.75" customHeight="1">
      <c r="A177" s="1783"/>
      <c r="D177" s="1783"/>
      <c r="E177" s="1783"/>
      <c r="F177" s="1786"/>
      <c r="G177" s="1786"/>
      <c r="H177" s="1786"/>
      <c r="I177" s="1786"/>
      <c r="J177" s="1882"/>
      <c r="K177" s="1882"/>
      <c r="L177" s="1882"/>
      <c r="M177" s="1785"/>
      <c r="N177" s="1786"/>
      <c r="P177" s="1793"/>
    </row>
    <row r="178" spans="1:27" s="1918" customFormat="1" ht="12.75" customHeight="1" thickBot="1">
      <c r="A178" s="1919"/>
      <c r="D178" s="1919"/>
      <c r="E178" s="1919"/>
      <c r="F178" s="1921"/>
      <c r="G178" s="1921"/>
      <c r="H178" s="1921"/>
      <c r="I178" s="1921"/>
      <c r="J178" s="1988"/>
      <c r="K178" s="1988"/>
      <c r="L178" s="1988"/>
      <c r="M178" s="1920"/>
      <c r="N178" s="1921"/>
      <c r="O178" s="1980"/>
      <c r="P178" s="1989"/>
    </row>
    <row r="179" spans="1:27" s="1783" customFormat="1" ht="15.95" customHeight="1" thickBot="1">
      <c r="A179" s="1802" t="s">
        <v>1443</v>
      </c>
      <c r="B179" s="1803" t="s">
        <v>1802</v>
      </c>
      <c r="D179" s="1803"/>
      <c r="E179" s="1803"/>
      <c r="G179" s="1992"/>
      <c r="L179" s="1891" t="str">
        <f>IF(AND(O179&gt;0,NOT($F$36="New Supply")), "Ineligible to score in this section, not New Supply!","")</f>
        <v/>
      </c>
      <c r="M179" s="1786">
        <v>10</v>
      </c>
      <c r="N179" s="1785"/>
      <c r="O179" s="1858">
        <f>IF($F$36="New Supply",IF(OR(O122&gt;0,O144&gt;0,O152&gt;0),0,IF(OR(O181="Yes",O182="Yes"),$M$179,0)),0)</f>
        <v>0</v>
      </c>
      <c r="P179" s="1858">
        <f>IF($F$36="New Supply",IF(OR(P122&gt;0,P144&gt;0,P152&gt;0),0,IF(OR(P181="Yes",P182="Yes"),$M$179,0)),0)</f>
        <v>0</v>
      </c>
      <c r="Q179" s="1859" t="s">
        <v>1716</v>
      </c>
      <c r="R179" s="1780"/>
      <c r="S179" s="1780"/>
      <c r="T179" s="1780"/>
      <c r="U179" s="1780"/>
      <c r="V179" s="1780"/>
    </row>
    <row r="180" spans="1:27" s="1783" customFormat="1" ht="15.95" hidden="1" customHeight="1">
      <c r="A180" s="1802"/>
      <c r="B180" s="1803"/>
      <c r="D180" s="1803"/>
      <c r="E180" s="1803"/>
      <c r="M180" s="1866"/>
      <c r="Q180" s="1859"/>
      <c r="R180" s="1780"/>
      <c r="S180" s="1780"/>
      <c r="T180" s="1780"/>
      <c r="U180" s="1780"/>
      <c r="V180" s="1780"/>
      <c r="W180" s="1782"/>
      <c r="X180" s="1782"/>
    </row>
    <row r="181" spans="1:27" ht="15.95" customHeight="1">
      <c r="A181" s="1786" t="s">
        <v>194</v>
      </c>
      <c r="B181" s="1993" t="s">
        <v>1803</v>
      </c>
      <c r="D181" s="1840"/>
      <c r="E181" s="1840"/>
      <c r="F181" s="1840"/>
      <c r="G181" s="1840"/>
      <c r="H181" s="1840"/>
      <c r="L181" s="1840"/>
      <c r="M181" s="3902" t="str">
        <f>IF(AND(O181="Yes",O182="Yes"),"Only one category can be selected!","")</f>
        <v/>
      </c>
      <c r="N181" s="1910"/>
      <c r="O181" s="1912"/>
      <c r="P181" s="1913"/>
      <c r="Q181" s="1994"/>
      <c r="R181" s="1780"/>
      <c r="S181" s="1780"/>
      <c r="T181" s="1780"/>
      <c r="U181" s="1780"/>
      <c r="V181" s="1780"/>
    </row>
    <row r="182" spans="1:27" ht="15.95" customHeight="1">
      <c r="A182" s="1786" t="s">
        <v>206</v>
      </c>
      <c r="B182" s="1993" t="s">
        <v>1804</v>
      </c>
      <c r="D182" s="1840"/>
      <c r="L182" s="1840"/>
      <c r="M182" s="3902"/>
      <c r="N182" s="1910"/>
      <c r="O182" s="1902"/>
      <c r="P182" s="1903"/>
      <c r="Q182" s="1994"/>
      <c r="R182" s="1780"/>
      <c r="S182" s="1780"/>
      <c r="T182" s="1780"/>
      <c r="U182" s="1780"/>
      <c r="V182" s="1780"/>
    </row>
    <row r="183" spans="1:27" ht="15.95" customHeight="1" thickBot="1">
      <c r="A183" s="1783"/>
      <c r="B183" s="1916" t="s">
        <v>1739</v>
      </c>
      <c r="C183" s="1783"/>
      <c r="D183" s="1783"/>
      <c r="E183" s="1783"/>
      <c r="F183" s="1783"/>
      <c r="G183" s="1783"/>
      <c r="H183" s="1783"/>
      <c r="I183" s="1783"/>
      <c r="J183" s="1783"/>
      <c r="K183" s="1783"/>
      <c r="M183" s="1785"/>
      <c r="O183" s="1793"/>
      <c r="R183" s="1780"/>
      <c r="S183" s="1780"/>
      <c r="T183" s="1780"/>
      <c r="U183" s="1780"/>
      <c r="V183" s="1780"/>
    </row>
    <row r="184" spans="1:27" ht="15.95" customHeight="1" thickTop="1" thickBot="1">
      <c r="A184" s="3811" t="s">
        <v>7064</v>
      </c>
      <c r="B184" s="3812"/>
      <c r="C184" s="3812"/>
      <c r="D184" s="3812"/>
      <c r="E184" s="3812"/>
      <c r="F184" s="3812"/>
      <c r="G184" s="3812"/>
      <c r="H184" s="3812"/>
      <c r="I184" s="3812"/>
      <c r="J184" s="3812"/>
      <c r="K184" s="3812"/>
      <c r="L184" s="3812"/>
      <c r="M184" s="3812"/>
      <c r="N184" s="3812"/>
      <c r="O184" s="3812"/>
      <c r="P184" s="3813"/>
      <c r="Q184" s="1865"/>
    </row>
    <row r="185" spans="1:27" ht="15.95" customHeight="1" thickTop="1">
      <c r="A185" s="1783"/>
      <c r="B185" s="1905" t="s">
        <v>1399</v>
      </c>
      <c r="C185" s="1783"/>
      <c r="D185" s="1905"/>
      <c r="E185" s="1817"/>
      <c r="F185" s="1817"/>
      <c r="G185" s="1817"/>
      <c r="H185" s="1817"/>
      <c r="I185" s="1817"/>
      <c r="J185" s="1817"/>
      <c r="K185" s="1817"/>
      <c r="L185" s="1817"/>
      <c r="M185" s="1817"/>
      <c r="N185" s="1906"/>
      <c r="O185" s="1907"/>
      <c r="P185" s="1786"/>
    </row>
    <row r="186" spans="1:27" ht="15.95" customHeight="1">
      <c r="A186" s="3804"/>
      <c r="B186" s="3805"/>
      <c r="C186" s="3805"/>
      <c r="D186" s="3805"/>
      <c r="E186" s="3805"/>
      <c r="F186" s="3805"/>
      <c r="G186" s="3805"/>
      <c r="H186" s="3805"/>
      <c r="I186" s="3805"/>
      <c r="J186" s="3805"/>
      <c r="K186" s="3805"/>
      <c r="L186" s="3805"/>
      <c r="M186" s="3805"/>
      <c r="N186" s="3805"/>
      <c r="O186" s="3805"/>
      <c r="P186" s="3806"/>
      <c r="Q186" s="1908"/>
    </row>
    <row r="187" spans="1:27" ht="12.75" customHeight="1">
      <c r="A187" s="1783"/>
      <c r="D187" s="1783"/>
      <c r="E187" s="1783"/>
      <c r="F187" s="1786"/>
      <c r="G187" s="1786"/>
      <c r="H187" s="1786"/>
      <c r="I187" s="1786"/>
      <c r="J187" s="1882"/>
      <c r="K187" s="1882"/>
      <c r="L187" s="1882"/>
      <c r="M187" s="1785"/>
      <c r="N187" s="1786"/>
      <c r="P187" s="1793"/>
    </row>
    <row r="188" spans="1:27" s="1918" customFormat="1" ht="12.75" customHeight="1" thickBot="1">
      <c r="A188" s="1919"/>
      <c r="D188" s="1919"/>
      <c r="E188" s="1919"/>
      <c r="F188" s="1921"/>
      <c r="G188" s="1921"/>
      <c r="H188" s="1921"/>
      <c r="I188" s="1921"/>
      <c r="J188" s="1988"/>
      <c r="K188" s="1988"/>
      <c r="L188" s="1988"/>
      <c r="M188" s="1920"/>
      <c r="N188" s="1921"/>
      <c r="O188" s="1980"/>
      <c r="P188" s="1989"/>
    </row>
    <row r="189" spans="1:27" ht="15.95" customHeight="1" thickBot="1">
      <c r="A189" s="1802" t="s">
        <v>1449</v>
      </c>
      <c r="B189" s="1803" t="s">
        <v>1805</v>
      </c>
      <c r="E189" s="1957" t="str">
        <f>IF(AND(O189&gt;0,NOT($F$36="New Supply"),NOT($O$36="9%")), "Ineligible, not New Supply and 9%!","")</f>
        <v/>
      </c>
      <c r="L189" s="1995" t="str">
        <f>IF(AND(O189&gt;0, NOT(O190="Yes")), "These points are only available to Phased Developments!", "")</f>
        <v/>
      </c>
      <c r="M189" s="1786">
        <v>3</v>
      </c>
      <c r="N189" s="1785"/>
      <c r="O189" s="1858"/>
      <c r="P189" s="1973"/>
      <c r="Q189" s="1859" t="s">
        <v>1716</v>
      </c>
      <c r="R189" s="2667" t="s">
        <v>1784</v>
      </c>
      <c r="S189" s="1780"/>
      <c r="T189" s="1780"/>
      <c r="U189" s="1780"/>
      <c r="V189" s="1780"/>
      <c r="W189" s="1996"/>
      <c r="X189" s="1996"/>
    </row>
    <row r="190" spans="1:27" ht="15.95" customHeight="1">
      <c r="A190" s="1940"/>
      <c r="B190" s="1813" t="s">
        <v>1806</v>
      </c>
      <c r="C190" s="1813"/>
      <c r="D190" s="1813"/>
      <c r="E190" s="1813"/>
      <c r="F190" s="1813"/>
      <c r="G190" s="1799" t="s">
        <v>1807</v>
      </c>
      <c r="H190" s="3782" t="s">
        <v>52</v>
      </c>
      <c r="I190" s="3782"/>
      <c r="J190" s="3782"/>
      <c r="K190" s="3903" t="s">
        <v>1808</v>
      </c>
      <c r="L190" s="3903"/>
      <c r="M190" s="3903"/>
      <c r="N190" s="1962"/>
      <c r="O190" s="2670"/>
      <c r="P190" s="1997"/>
      <c r="Q190" s="1998"/>
      <c r="R190" s="1814"/>
      <c r="S190" s="1814"/>
      <c r="T190" s="1814"/>
      <c r="W190" s="1814"/>
      <c r="X190" s="1814"/>
      <c r="Y190" s="1814"/>
      <c r="Z190" s="1814"/>
      <c r="AA190" s="1814"/>
    </row>
    <row r="191" spans="1:27" ht="15.95" customHeight="1">
      <c r="A191" s="1940"/>
      <c r="B191" s="1940"/>
      <c r="D191" s="1842" t="s">
        <v>1809</v>
      </c>
      <c r="G191" s="2671"/>
      <c r="H191" s="3899"/>
      <c r="I191" s="3900"/>
      <c r="J191" s="3901"/>
      <c r="K191" s="3893"/>
      <c r="L191" s="3894"/>
      <c r="M191" s="3895"/>
      <c r="N191" s="1962"/>
      <c r="O191" s="1999"/>
      <c r="P191" s="2000"/>
      <c r="Q191" s="1814"/>
      <c r="R191" s="1814"/>
      <c r="S191" s="1814"/>
      <c r="T191" s="1814"/>
      <c r="W191" s="1814"/>
      <c r="X191" s="1814"/>
      <c r="Y191" s="1814"/>
      <c r="Z191" s="1814"/>
      <c r="AA191" s="1814"/>
    </row>
    <row r="192" spans="1:27" s="1783" customFormat="1" ht="15.95" customHeight="1">
      <c r="A192" s="1965"/>
      <c r="B192" s="1940"/>
      <c r="D192" s="1882" t="s">
        <v>1810</v>
      </c>
      <c r="G192" s="2672"/>
      <c r="H192" s="3896"/>
      <c r="I192" s="3897"/>
      <c r="J192" s="3898"/>
      <c r="K192" s="3890"/>
      <c r="L192" s="3891"/>
      <c r="M192" s="3892"/>
    </row>
    <row r="193" spans="1:24" ht="15.95" hidden="1" customHeight="1">
      <c r="A193" s="1783"/>
      <c r="D193" s="1783"/>
      <c r="E193" s="1783"/>
      <c r="F193" s="1786"/>
      <c r="G193" s="1786"/>
      <c r="H193" s="1786"/>
      <c r="I193" s="1786"/>
      <c r="J193" s="1882"/>
      <c r="K193" s="1882"/>
      <c r="L193" s="1882"/>
      <c r="M193" s="1785"/>
      <c r="N193" s="1786"/>
      <c r="P193" s="1793"/>
    </row>
    <row r="194" spans="1:24" ht="15.95" customHeight="1" thickBot="1">
      <c r="A194" s="1783"/>
      <c r="B194" s="1916" t="s">
        <v>1739</v>
      </c>
      <c r="C194" s="1783"/>
      <c r="D194" s="1783"/>
      <c r="E194" s="1783"/>
      <c r="F194" s="1783"/>
      <c r="G194" s="1783"/>
      <c r="H194" s="1783"/>
      <c r="I194" s="1783"/>
      <c r="J194" s="1783"/>
      <c r="K194" s="1783"/>
      <c r="M194" s="1785"/>
      <c r="O194" s="1793"/>
    </row>
    <row r="195" spans="1:24" ht="15.95" customHeight="1" thickTop="1" thickBot="1">
      <c r="A195" s="3801"/>
      <c r="B195" s="3802"/>
      <c r="C195" s="3802"/>
      <c r="D195" s="3802"/>
      <c r="E195" s="3802"/>
      <c r="F195" s="3802"/>
      <c r="G195" s="3802"/>
      <c r="H195" s="3802"/>
      <c r="I195" s="3802"/>
      <c r="J195" s="3802"/>
      <c r="K195" s="3802"/>
      <c r="L195" s="3802"/>
      <c r="M195" s="3802"/>
      <c r="N195" s="3802"/>
      <c r="O195" s="3802"/>
      <c r="P195" s="3803"/>
      <c r="Q195" s="1865"/>
    </row>
    <row r="196" spans="1:24" ht="15.95" customHeight="1" thickTop="1">
      <c r="B196" s="1905" t="s">
        <v>1399</v>
      </c>
      <c r="C196" s="1807"/>
      <c r="D196" s="1905"/>
      <c r="E196" s="1838"/>
      <c r="F196" s="1817"/>
      <c r="G196" s="1817"/>
      <c r="H196" s="1817"/>
      <c r="I196" s="1817"/>
      <c r="J196" s="1817"/>
      <c r="K196" s="1817"/>
      <c r="L196" s="1817"/>
      <c r="M196" s="1817"/>
      <c r="N196" s="1906"/>
      <c r="O196" s="1907"/>
      <c r="P196" s="1786"/>
    </row>
    <row r="197" spans="1:24" ht="15.95" customHeight="1">
      <c r="A197" s="3804"/>
      <c r="B197" s="3805"/>
      <c r="C197" s="3805"/>
      <c r="D197" s="3805"/>
      <c r="E197" s="3805"/>
      <c r="F197" s="3805"/>
      <c r="G197" s="3805"/>
      <c r="H197" s="3805"/>
      <c r="I197" s="3805"/>
      <c r="J197" s="3805"/>
      <c r="K197" s="3805"/>
      <c r="L197" s="3805"/>
      <c r="M197" s="3805"/>
      <c r="N197" s="3805"/>
      <c r="O197" s="3805"/>
      <c r="P197" s="3806"/>
      <c r="Q197" s="1908"/>
    </row>
    <row r="198" spans="1:24" ht="12.75" customHeight="1">
      <c r="A198" s="1783"/>
      <c r="D198" s="1783"/>
      <c r="E198" s="1783"/>
      <c r="F198" s="1786"/>
      <c r="G198" s="1786"/>
      <c r="H198" s="1786"/>
      <c r="I198" s="1786"/>
      <c r="J198" s="1882"/>
      <c r="K198" s="1882"/>
      <c r="L198" s="1882"/>
      <c r="M198" s="1785"/>
      <c r="N198" s="1786"/>
      <c r="P198" s="1793"/>
    </row>
    <row r="199" spans="1:24" s="1918" customFormat="1" ht="12.75" customHeight="1" thickBot="1">
      <c r="A199" s="1919"/>
      <c r="D199" s="1919"/>
      <c r="E199" s="1919"/>
      <c r="F199" s="1921"/>
      <c r="G199" s="1921"/>
      <c r="H199" s="1921"/>
      <c r="I199" s="1921"/>
      <c r="J199" s="1988"/>
      <c r="K199" s="1988"/>
      <c r="L199" s="1988"/>
      <c r="M199" s="1920"/>
      <c r="N199" s="1921"/>
      <c r="O199" s="1980"/>
      <c r="P199" s="1989"/>
    </row>
    <row r="200" spans="1:24" ht="15.95" customHeight="1" thickBot="1">
      <c r="A200" s="1802" t="s">
        <v>1465</v>
      </c>
      <c r="B200" s="1803" t="s">
        <v>1811</v>
      </c>
      <c r="G200" s="1937"/>
      <c r="L200" s="1891" t="str">
        <f>IF(AND(SUM(O201,O202,O203)&gt;0,NOT($F$36="New Supply"),NOT($O$36="9%")), "Ineligible to score in this section, not New Supply and 9%!","")</f>
        <v/>
      </c>
      <c r="M200" s="1786">
        <v>5</v>
      </c>
      <c r="N200" s="1785"/>
      <c r="O200" s="1858">
        <f>IF(AND($F$36="New Supply",$O$36="9%"),MIN($M200,MAX(O201,O202,O203)),0)</f>
        <v>0</v>
      </c>
      <c r="P200" s="1858">
        <f>IF(AND($F$36="New Supply",$O$36="9%"),MIN($M200,MAX(P201,P202,P203)),0)</f>
        <v>0</v>
      </c>
      <c r="Q200" s="1859" t="s">
        <v>1716</v>
      </c>
      <c r="R200" s="2667" t="s">
        <v>1784</v>
      </c>
      <c r="S200" s="1780"/>
      <c r="T200" s="1780"/>
      <c r="U200" s="1780"/>
      <c r="V200" s="1780"/>
      <c r="W200" s="1996"/>
      <c r="X200" s="1996"/>
    </row>
    <row r="201" spans="1:24" s="1783" customFormat="1" ht="15.95" customHeight="1">
      <c r="A201" s="1798" t="s">
        <v>194</v>
      </c>
      <c r="B201" s="1791" t="s">
        <v>1812</v>
      </c>
      <c r="M201" s="1785">
        <v>5</v>
      </c>
      <c r="N201" s="1910"/>
      <c r="O201" s="2673"/>
      <c r="P201" s="2001"/>
      <c r="Q201" s="1972" t="str">
        <f>IF(OR($O201=$M201,$O201=$M201-1,$O201=0,$O201=""),"","*CHECK!*")</f>
        <v/>
      </c>
      <c r="R201" s="1957"/>
      <c r="S201" s="1780"/>
      <c r="T201" s="1780"/>
      <c r="U201" s="1780"/>
      <c r="V201" s="1780"/>
    </row>
    <row r="202" spans="1:24" s="1783" customFormat="1" ht="15.95" customHeight="1">
      <c r="A202" s="1798" t="s">
        <v>206</v>
      </c>
      <c r="B202" s="1791" t="s">
        <v>1813</v>
      </c>
      <c r="M202" s="1785">
        <v>3</v>
      </c>
      <c r="N202" s="1910"/>
      <c r="O202" s="2674"/>
      <c r="P202" s="1897"/>
      <c r="Q202" s="1972" t="str">
        <f>IF(OR($O202=$M202,$O202=$M202-1,$O202=0,$O202=""),"","*CHECK!*")</f>
        <v/>
      </c>
      <c r="R202" s="1957"/>
    </row>
    <row r="203" spans="1:24" ht="15.95" customHeight="1">
      <c r="A203" s="1798" t="s">
        <v>227</v>
      </c>
      <c r="B203" s="1791" t="s">
        <v>1814</v>
      </c>
      <c r="G203" s="1882" t="s">
        <v>1815</v>
      </c>
      <c r="I203" s="1937"/>
      <c r="L203" s="1780"/>
      <c r="M203" s="1785">
        <v>3</v>
      </c>
      <c r="N203" s="1910"/>
      <c r="O203" s="2669"/>
      <c r="P203" s="1900"/>
      <c r="Q203" s="1972" t="str">
        <f>IF(OR($O203=$M203,$O203=$M203-1,$O203=0,$O203=""),"","*CHECK!*")</f>
        <v/>
      </c>
      <c r="R203" s="1957"/>
    </row>
    <row r="204" spans="1:24" ht="15.95" customHeight="1" thickBot="1">
      <c r="A204" s="1783"/>
      <c r="B204" s="1916" t="s">
        <v>1739</v>
      </c>
      <c r="C204" s="1783"/>
      <c r="D204" s="1783"/>
      <c r="E204" s="1783"/>
      <c r="F204" s="1783"/>
      <c r="G204" s="1783"/>
      <c r="H204" s="1783"/>
      <c r="I204" s="1783"/>
      <c r="J204" s="1783"/>
      <c r="K204" s="1783"/>
      <c r="M204" s="1785"/>
      <c r="O204" s="1793"/>
    </row>
    <row r="205" spans="1:24" ht="15.95" customHeight="1" thickTop="1" thickBot="1">
      <c r="A205" s="3801"/>
      <c r="B205" s="3802"/>
      <c r="C205" s="3802"/>
      <c r="D205" s="3802"/>
      <c r="E205" s="3802"/>
      <c r="F205" s="3802"/>
      <c r="G205" s="3802"/>
      <c r="H205" s="3802"/>
      <c r="I205" s="3802"/>
      <c r="J205" s="3802"/>
      <c r="K205" s="3802"/>
      <c r="L205" s="3802"/>
      <c r="M205" s="3802"/>
      <c r="N205" s="3802"/>
      <c r="O205" s="3802"/>
      <c r="P205" s="3803"/>
      <c r="Q205" s="1865"/>
    </row>
    <row r="206" spans="1:24" ht="15.95" customHeight="1" thickTop="1">
      <c r="B206" s="1905" t="s">
        <v>1399</v>
      </c>
      <c r="C206" s="1807"/>
      <c r="D206" s="1905"/>
      <c r="E206" s="1838"/>
      <c r="F206" s="1817"/>
      <c r="G206" s="1817"/>
      <c r="H206" s="1817"/>
      <c r="I206" s="1817"/>
      <c r="J206" s="1817"/>
      <c r="K206" s="1817"/>
      <c r="L206" s="1817"/>
      <c r="M206" s="1817"/>
      <c r="N206" s="1906"/>
      <c r="O206" s="1907"/>
      <c r="P206" s="1786"/>
    </row>
    <row r="207" spans="1:24" ht="15.95" customHeight="1">
      <c r="A207" s="3804"/>
      <c r="B207" s="3805"/>
      <c r="C207" s="3805"/>
      <c r="D207" s="3805"/>
      <c r="E207" s="3805"/>
      <c r="F207" s="3805"/>
      <c r="G207" s="3805"/>
      <c r="H207" s="3805"/>
      <c r="I207" s="3805"/>
      <c r="J207" s="3805"/>
      <c r="K207" s="3805"/>
      <c r="L207" s="3805"/>
      <c r="M207" s="3805"/>
      <c r="N207" s="3805"/>
      <c r="O207" s="3805"/>
      <c r="P207" s="3806"/>
      <c r="Q207" s="1908"/>
    </row>
    <row r="208" spans="1:24" ht="10.5" customHeight="1">
      <c r="T208" s="2002"/>
      <c r="U208" s="2002"/>
    </row>
    <row r="209" spans="1:22" s="1918" customFormat="1" ht="9.75" customHeight="1" thickBot="1">
      <c r="N209" s="1979"/>
      <c r="O209" s="1980"/>
      <c r="P209" s="1980"/>
      <c r="T209" s="2003"/>
      <c r="U209" s="2003"/>
    </row>
    <row r="210" spans="1:22" ht="15.95" customHeight="1" thickBot="1">
      <c r="A210" s="1990" t="s">
        <v>1470</v>
      </c>
      <c r="B210" s="1803" t="s">
        <v>1816</v>
      </c>
      <c r="H210" s="1882"/>
      <c r="J210" s="1785"/>
      <c r="K210" s="1783"/>
      <c r="L210" s="1910"/>
      <c r="M210" s="1786">
        <v>4</v>
      </c>
      <c r="N210" s="1785"/>
      <c r="O210" s="1858">
        <f>IF(AND(O211&gt;0,O215&gt;0),"AorB?",MIN($M210,SUM(O211,O215,O217)))</f>
        <v>4</v>
      </c>
      <c r="P210" s="1858">
        <f>IF(AND(P211&gt;0,P215&gt;0),"AorB?",MIN($M210,SUM(P211,P215,P217)))</f>
        <v>0</v>
      </c>
      <c r="Q210" s="1859" t="s">
        <v>1716</v>
      </c>
      <c r="T210" s="2002"/>
      <c r="U210" s="2002"/>
    </row>
    <row r="211" spans="1:22" s="1783" customFormat="1" ht="15.95" customHeight="1">
      <c r="A211" s="1798" t="s">
        <v>194</v>
      </c>
      <c r="B211" s="1791" t="s">
        <v>1817</v>
      </c>
      <c r="D211" s="1937"/>
      <c r="E211" s="1937"/>
      <c r="G211" s="1782"/>
      <c r="L211" s="1888"/>
      <c r="M211" s="1785">
        <v>3</v>
      </c>
      <c r="N211" s="1910"/>
      <c r="O211" s="2004">
        <f>IF(OR(AND(O212="Yes",O213="Yes",O214="Yes"),AND(O212="Yes",O214="Yes"),AND(O213="Yes",O214="Yes"),AND(O212="Yes",O213="Yes")),"choose",IF(O212="Yes",$M$212,IF(O213="Yes",$M$213, IF(O214="Yes",$M$214,0))))</f>
        <v>3</v>
      </c>
      <c r="P211" s="2004">
        <f>IF(OR(AND(P212="Yes",P213="Yes",P214="Yes"),AND(P212="Yes",P214="Yes"),AND(P213="Yes",P214="Yes"),AND(P212="Yes",P213="Yes")),"choose",IF(P212="Yes",$M$212,IF(P213="Yes",$M$213, IF(P214="Yes",$M$214,0))))</f>
        <v>0</v>
      </c>
      <c r="Q211" s="1972"/>
      <c r="R211" s="1957"/>
      <c r="T211" s="2002"/>
      <c r="U211" s="2002"/>
    </row>
    <row r="212" spans="1:22" s="1783" customFormat="1" ht="15.95" customHeight="1">
      <c r="A212" s="1798"/>
      <c r="B212" s="1965" t="s">
        <v>209</v>
      </c>
      <c r="C212" s="1882" t="s">
        <v>1818</v>
      </c>
      <c r="D212" s="1937"/>
      <c r="E212" s="1937"/>
      <c r="G212" s="1782"/>
      <c r="L212" s="1888"/>
      <c r="M212" s="1785">
        <v>3</v>
      </c>
      <c r="N212" s="2024"/>
      <c r="O212" s="1912" t="s">
        <v>1402</v>
      </c>
      <c r="P212" s="1913"/>
      <c r="Q212" s="1972"/>
      <c r="R212" s="1957"/>
      <c r="T212" s="2002"/>
      <c r="U212" s="2002"/>
    </row>
    <row r="213" spans="1:22" s="1783" customFormat="1" ht="15.95" customHeight="1">
      <c r="A213" s="1798"/>
      <c r="B213" s="1940" t="s">
        <v>217</v>
      </c>
      <c r="C213" s="1882" t="s">
        <v>1819</v>
      </c>
      <c r="D213" s="1937"/>
      <c r="E213" s="1937"/>
      <c r="G213" s="1782"/>
      <c r="L213" s="1888"/>
      <c r="M213" s="1785">
        <v>2</v>
      </c>
      <c r="N213" s="2024"/>
      <c r="O213" s="1925"/>
      <c r="P213" s="1926"/>
      <c r="Q213" s="1972"/>
      <c r="R213" s="1957"/>
      <c r="T213" s="2002"/>
      <c r="U213" s="2002"/>
    </row>
    <row r="214" spans="1:22" s="1783" customFormat="1" ht="15.95" customHeight="1">
      <c r="A214" s="1798"/>
      <c r="B214" s="1940" t="s">
        <v>221</v>
      </c>
      <c r="C214" s="1882" t="s">
        <v>1820</v>
      </c>
      <c r="D214" s="1937"/>
      <c r="E214" s="1937"/>
      <c r="G214" s="1782"/>
      <c r="K214" s="1910"/>
      <c r="M214" s="1785">
        <v>1</v>
      </c>
      <c r="N214" s="2024"/>
      <c r="O214" s="1902"/>
      <c r="P214" s="1903"/>
      <c r="R214" s="1782"/>
      <c r="T214" s="2002"/>
      <c r="U214" s="2002"/>
    </row>
    <row r="215" spans="1:22" ht="15.95" customHeight="1">
      <c r="A215" s="1798" t="s">
        <v>206</v>
      </c>
      <c r="B215" s="1791" t="s">
        <v>1821</v>
      </c>
      <c r="D215" s="1783"/>
      <c r="K215" s="1783"/>
      <c r="L215" s="1888" t="str">
        <f>IF(OR($O215=$M215,$O215=0,$O215=""),"","* * Check Score! * *")</f>
        <v/>
      </c>
      <c r="M215" s="1785">
        <v>1</v>
      </c>
      <c r="N215" s="1910"/>
      <c r="O215" s="1958">
        <f>IF(O216="Yes",$M$215,0)</f>
        <v>0</v>
      </c>
      <c r="P215" s="1958">
        <f>IF(P216="Yes",$M$215,0)</f>
        <v>0</v>
      </c>
      <c r="Q215" s="1972" t="str">
        <f>IF(OR($O215=$M215,$O215=0,$O215=""),"","*CHECK!*")</f>
        <v/>
      </c>
      <c r="R215" s="1957"/>
      <c r="T215" s="2002"/>
      <c r="U215" s="2002"/>
    </row>
    <row r="216" spans="1:22" ht="15.75" customHeight="1">
      <c r="A216" s="1990"/>
      <c r="B216" s="3883" t="s">
        <v>1822</v>
      </c>
      <c r="C216" s="3883"/>
      <c r="D216" s="3883"/>
      <c r="E216" s="3883"/>
      <c r="F216" s="3883"/>
      <c r="G216" s="3883"/>
      <c r="H216" s="3883"/>
      <c r="I216" s="3883"/>
      <c r="J216" s="3883"/>
      <c r="K216" s="3883"/>
      <c r="L216" s="3883"/>
      <c r="M216" s="1785"/>
      <c r="N216" s="1910"/>
      <c r="O216" s="2005"/>
      <c r="P216" s="2006"/>
      <c r="R216" s="1888"/>
      <c r="T216" s="2002"/>
      <c r="U216" s="2002"/>
    </row>
    <row r="217" spans="1:22" ht="15.95" customHeight="1">
      <c r="A217" s="1798" t="s">
        <v>227</v>
      </c>
      <c r="B217" s="1791" t="s">
        <v>1823</v>
      </c>
      <c r="D217" s="1783"/>
      <c r="H217" s="1783"/>
      <c r="K217" s="1783"/>
      <c r="L217" s="1888"/>
      <c r="M217" s="1785">
        <v>1</v>
      </c>
      <c r="N217" s="1910"/>
      <c r="O217" s="1958">
        <f>IF(O211=0,0,IF(O218="Yes",$M$217,0))</f>
        <v>1</v>
      </c>
      <c r="P217" s="1958">
        <f>IF(P211=0,0,IF(P218="Yes",$M$217,0))</f>
        <v>0</v>
      </c>
      <c r="Q217" s="1972" t="str">
        <f>IF(OR($O217=$M217,$O217=0,$O217=""),"","*CHECK!*")</f>
        <v/>
      </c>
      <c r="R217" s="1957"/>
      <c r="T217" s="2002"/>
      <c r="U217" s="2002"/>
    </row>
    <row r="218" spans="1:22" ht="45.75" customHeight="1">
      <c r="B218" s="3810" t="s">
        <v>1824</v>
      </c>
      <c r="C218" s="3810"/>
      <c r="D218" s="3810"/>
      <c r="E218" s="3810"/>
      <c r="F218" s="3810"/>
      <c r="G218" s="3810"/>
      <c r="H218" s="3810"/>
      <c r="I218" s="3810"/>
      <c r="J218" s="3810"/>
      <c r="K218" s="3810"/>
      <c r="L218" s="3810"/>
      <c r="M218" s="1785"/>
      <c r="N218" s="1910"/>
      <c r="O218" s="1977" t="s">
        <v>1402</v>
      </c>
      <c r="P218" s="1978"/>
      <c r="R218" s="1888"/>
      <c r="T218" s="2002"/>
      <c r="U218" s="2002"/>
    </row>
    <row r="219" spans="1:22" ht="15.95" customHeight="1">
      <c r="A219" s="1783"/>
      <c r="B219" s="1905" t="s">
        <v>1399</v>
      </c>
      <c r="C219" s="1807"/>
      <c r="D219" s="1905"/>
      <c r="E219" s="1838"/>
      <c r="F219" s="1817"/>
      <c r="G219" s="1817"/>
      <c r="H219" s="1817"/>
      <c r="I219" s="1817"/>
      <c r="J219" s="1817"/>
      <c r="K219" s="1817"/>
      <c r="L219" s="1817"/>
      <c r="M219" s="1817"/>
      <c r="N219" s="1906"/>
      <c r="O219" s="1907"/>
      <c r="P219" s="1786"/>
    </row>
    <row r="220" spans="1:22" ht="15.95" customHeight="1">
      <c r="A220" s="3804"/>
      <c r="B220" s="3805"/>
      <c r="C220" s="3805"/>
      <c r="D220" s="3805"/>
      <c r="E220" s="3805"/>
      <c r="F220" s="3805"/>
      <c r="G220" s="3805"/>
      <c r="H220" s="3805"/>
      <c r="I220" s="3805"/>
      <c r="J220" s="3805"/>
      <c r="K220" s="3805"/>
      <c r="L220" s="3805"/>
      <c r="M220" s="3805"/>
      <c r="N220" s="3805"/>
      <c r="O220" s="3805"/>
      <c r="P220" s="3806"/>
      <c r="Q220" s="1908"/>
    </row>
    <row r="221" spans="1:22" ht="9" customHeight="1">
      <c r="A221" s="1783"/>
      <c r="D221" s="1783"/>
      <c r="E221" s="1783"/>
      <c r="F221" s="1786"/>
      <c r="G221" s="1786"/>
      <c r="H221" s="1786"/>
      <c r="I221" s="1786"/>
      <c r="J221" s="1882"/>
      <c r="K221" s="1882"/>
      <c r="L221" s="1882"/>
      <c r="M221" s="1785"/>
      <c r="N221" s="1786"/>
    </row>
    <row r="222" spans="1:22" s="1918" customFormat="1" ht="9" customHeight="1" thickBot="1">
      <c r="A222" s="1919"/>
      <c r="D222" s="1919"/>
      <c r="E222" s="1919"/>
      <c r="F222" s="1921"/>
      <c r="G222" s="1921"/>
      <c r="H222" s="1921"/>
      <c r="I222" s="1921"/>
      <c r="J222" s="1988"/>
      <c r="K222" s="1988"/>
      <c r="L222" s="1988"/>
      <c r="M222" s="1920"/>
      <c r="N222" s="1921"/>
      <c r="O222" s="1980"/>
      <c r="P222" s="1980"/>
    </row>
    <row r="223" spans="1:22" s="1783" customFormat="1" ht="15.95" customHeight="1" thickBot="1">
      <c r="A223" s="1802" t="s">
        <v>1472</v>
      </c>
      <c r="B223" s="1803" t="s">
        <v>1825</v>
      </c>
      <c r="D223" s="1803"/>
      <c r="E223" s="1803"/>
      <c r="G223" s="1992"/>
      <c r="I223" s="1889"/>
      <c r="J223" s="1866"/>
      <c r="L223" s="1891"/>
      <c r="M223" s="1786">
        <v>2</v>
      </c>
      <c r="N223" s="1785"/>
      <c r="O223" s="1858">
        <f>IF(AND($F$36="New Supply",$O$36="9%",$J$36="Atlanta Metro",O224="Yes"),$M$223,0)</f>
        <v>0</v>
      </c>
      <c r="P223" s="1858">
        <f>IF(AND($F$36="New Supply",$O$36="9%",$J$36="Atlanta Metro",P224="Yes"),$M$223,0)</f>
        <v>0</v>
      </c>
      <c r="Q223" s="1859" t="s">
        <v>1716</v>
      </c>
      <c r="R223" s="2667" t="s">
        <v>1784</v>
      </c>
      <c r="S223" s="1780"/>
      <c r="T223" s="1780"/>
      <c r="U223" s="1780"/>
      <c r="V223" s="1780"/>
    </row>
    <row r="224" spans="1:22" ht="15.95" customHeight="1">
      <c r="A224" s="1786"/>
      <c r="B224" s="1840" t="s">
        <v>1826</v>
      </c>
      <c r="D224" s="1840"/>
      <c r="E224" s="1840"/>
      <c r="F224" s="1840"/>
      <c r="G224" s="1840"/>
      <c r="H224" s="1840"/>
      <c r="L224" s="1840"/>
      <c r="M224" s="1799"/>
      <c r="N224" s="1910"/>
      <c r="O224" s="2675"/>
      <c r="P224" s="2016"/>
      <c r="Q224" s="1994">
        <f>IF(L224="Yes",1,0)</f>
        <v>0</v>
      </c>
      <c r="R224" s="1780"/>
      <c r="S224" s="1780"/>
      <c r="T224" s="1780"/>
      <c r="U224" s="1780"/>
      <c r="V224" s="1780"/>
    </row>
    <row r="225" spans="1:24" ht="15.75" customHeight="1">
      <c r="B225" s="3871" t="s">
        <v>1827</v>
      </c>
      <c r="C225" s="3871"/>
      <c r="D225" s="3871"/>
      <c r="E225" s="3871"/>
      <c r="F225" s="3871"/>
      <c r="G225" s="3871"/>
      <c r="H225" s="3871"/>
      <c r="I225" s="3871"/>
      <c r="J225" s="3871"/>
      <c r="K225" s="3871"/>
      <c r="L225" s="3871"/>
      <c r="M225" s="1799"/>
      <c r="O225" s="1799"/>
      <c r="P225" s="1799"/>
      <c r="Q225" s="1994"/>
      <c r="R225" s="1780"/>
      <c r="S225" s="1780"/>
      <c r="T225" s="1780"/>
      <c r="U225" s="1780"/>
      <c r="V225" s="1780"/>
    </row>
    <row r="226" spans="1:24" ht="15.95" customHeight="1">
      <c r="B226" s="3866"/>
      <c r="C226" s="3867"/>
      <c r="D226" s="3867"/>
      <c r="E226" s="3867"/>
      <c r="F226" s="3867"/>
      <c r="G226" s="3867"/>
      <c r="H226" s="3867"/>
      <c r="I226" s="3867"/>
      <c r="J226" s="3867"/>
      <c r="K226" s="3867"/>
      <c r="L226" s="3867"/>
      <c r="M226" s="3867"/>
      <c r="N226" s="3867"/>
      <c r="O226" s="3867"/>
      <c r="P226" s="3868"/>
      <c r="Q226" s="1994"/>
      <c r="R226" s="1780"/>
      <c r="S226" s="1780"/>
      <c r="T226" s="1780"/>
      <c r="U226" s="1780"/>
      <c r="V226" s="1780"/>
    </row>
    <row r="227" spans="1:24" ht="15.95" customHeight="1" thickBot="1">
      <c r="A227" s="1783"/>
      <c r="B227" s="1916" t="s">
        <v>1739</v>
      </c>
      <c r="C227" s="1783"/>
      <c r="D227" s="1783"/>
      <c r="E227" s="1783"/>
      <c r="F227" s="1783"/>
      <c r="G227" s="1783"/>
      <c r="H227" s="1783"/>
      <c r="I227" s="1783"/>
      <c r="J227" s="1783"/>
      <c r="K227" s="1783"/>
      <c r="M227" s="1785"/>
      <c r="O227" s="1793"/>
      <c r="R227" s="1780"/>
      <c r="S227" s="1780"/>
      <c r="T227" s="1780"/>
      <c r="U227" s="1780"/>
      <c r="V227" s="1780"/>
    </row>
    <row r="228" spans="1:24" ht="15.95" customHeight="1" thickTop="1" thickBot="1">
      <c r="A228" s="3801"/>
      <c r="B228" s="3802"/>
      <c r="C228" s="3802"/>
      <c r="D228" s="3802"/>
      <c r="E228" s="3802"/>
      <c r="F228" s="3802"/>
      <c r="G228" s="3802"/>
      <c r="H228" s="3802"/>
      <c r="I228" s="3802"/>
      <c r="J228" s="3802"/>
      <c r="K228" s="3802"/>
      <c r="L228" s="3802"/>
      <c r="M228" s="3802"/>
      <c r="N228" s="3802"/>
      <c r="O228" s="3802"/>
      <c r="P228" s="3803"/>
      <c r="Q228" s="1865"/>
    </row>
    <row r="229" spans="1:24" ht="15.95" customHeight="1" thickTop="1">
      <c r="A229" s="1783"/>
      <c r="B229" s="1905" t="s">
        <v>1399</v>
      </c>
      <c r="C229" s="1783"/>
      <c r="D229" s="1905"/>
      <c r="E229" s="1817"/>
      <c r="F229" s="1817"/>
      <c r="G229" s="1817"/>
      <c r="H229" s="1817"/>
      <c r="I229" s="1817"/>
      <c r="J229" s="1817"/>
      <c r="K229" s="1817"/>
      <c r="L229" s="1817"/>
      <c r="M229" s="1817"/>
      <c r="N229" s="1906"/>
      <c r="O229" s="1907"/>
      <c r="P229" s="1786"/>
    </row>
    <row r="230" spans="1:24" ht="15.95" customHeight="1">
      <c r="A230" s="3804"/>
      <c r="B230" s="3805"/>
      <c r="C230" s="3805"/>
      <c r="D230" s="3805"/>
      <c r="E230" s="3805"/>
      <c r="F230" s="3805"/>
      <c r="G230" s="3805"/>
      <c r="H230" s="3805"/>
      <c r="I230" s="3805"/>
      <c r="J230" s="3805"/>
      <c r="K230" s="3805"/>
      <c r="L230" s="3805"/>
      <c r="M230" s="3805"/>
      <c r="N230" s="3805"/>
      <c r="O230" s="3805"/>
      <c r="P230" s="3806"/>
      <c r="Q230" s="1908"/>
    </row>
    <row r="231" spans="1:24" ht="9" customHeight="1">
      <c r="A231" s="1783"/>
      <c r="D231" s="1783"/>
      <c r="E231" s="1783"/>
      <c r="F231" s="1786"/>
      <c r="G231" s="1786"/>
      <c r="H231" s="1786"/>
      <c r="I231" s="1786"/>
      <c r="J231" s="1882"/>
      <c r="K231" s="1882"/>
      <c r="L231" s="1882"/>
      <c r="M231" s="1785"/>
      <c r="N231" s="1786"/>
      <c r="P231" s="1793"/>
    </row>
    <row r="232" spans="1:24" s="1918" customFormat="1" ht="9" customHeight="1" thickBot="1">
      <c r="A232" s="1919"/>
      <c r="D232" s="1919"/>
      <c r="E232" s="1919"/>
      <c r="F232" s="1921"/>
      <c r="G232" s="1921"/>
      <c r="H232" s="1921"/>
      <c r="I232" s="1921"/>
      <c r="J232" s="1988"/>
      <c r="K232" s="1988"/>
      <c r="L232" s="1988"/>
      <c r="M232" s="1920"/>
      <c r="N232" s="1921"/>
      <c r="O232" s="1980"/>
      <c r="P232" s="1989"/>
    </row>
    <row r="233" spans="1:24" s="1783" customFormat="1" ht="15.95" customHeight="1" thickBot="1">
      <c r="A233" s="1802" t="s">
        <v>1481</v>
      </c>
      <c r="B233" s="1803" t="s">
        <v>1828</v>
      </c>
      <c r="D233" s="1803"/>
      <c r="E233" s="1803"/>
      <c r="G233" s="1992"/>
      <c r="L233" s="1891" t="str">
        <f>IF(AND(O241&gt;0,O244&gt;0), "Choose only one option!","")</f>
        <v/>
      </c>
      <c r="M233" s="1786">
        <v>2</v>
      </c>
      <c r="N233" s="1785"/>
      <c r="O233" s="1858">
        <f>IF(O241=$M$241,$M$241,IF(O244=$M$244,$M$244,0))</f>
        <v>2</v>
      </c>
      <c r="P233" s="1858">
        <f>IF(P241=$M$241,$M$241,IF(P244=$M$244,$M$244,0))</f>
        <v>0</v>
      </c>
      <c r="Q233" s="1859" t="s">
        <v>1716</v>
      </c>
      <c r="R233" s="1780"/>
      <c r="S233" s="1780"/>
      <c r="T233" s="1780"/>
      <c r="U233" s="1780"/>
      <c r="V233" s="1780"/>
    </row>
    <row r="234" spans="1:24" s="1783" customFormat="1" ht="15.95" customHeight="1">
      <c r="A234" s="1802"/>
      <c r="B234" s="1783" t="s">
        <v>1829</v>
      </c>
      <c r="D234" s="1803"/>
      <c r="E234" s="1803"/>
      <c r="J234" s="2008"/>
      <c r="M234" s="1866"/>
      <c r="O234" s="3884" t="s">
        <v>1830</v>
      </c>
      <c r="P234" s="3884" t="s">
        <v>1831</v>
      </c>
      <c r="Q234" s="1859"/>
      <c r="R234" s="1780"/>
      <c r="S234" s="1780"/>
      <c r="T234" s="1780"/>
      <c r="U234" s="1780"/>
      <c r="V234" s="1780"/>
      <c r="W234" s="1782"/>
      <c r="X234" s="1782"/>
    </row>
    <row r="235" spans="1:24" s="1783" customFormat="1" ht="15.95" customHeight="1">
      <c r="A235" s="1802"/>
      <c r="C235" s="1783" t="s">
        <v>1832</v>
      </c>
      <c r="I235" s="3872" t="s">
        <v>3080</v>
      </c>
      <c r="J235" s="3873"/>
      <c r="K235" s="3874"/>
      <c r="L235" s="3875"/>
      <c r="M235" s="1866"/>
      <c r="O235" s="3798"/>
      <c r="P235" s="3798"/>
      <c r="Q235" s="1859"/>
      <c r="R235" s="1780"/>
      <c r="S235" s="1780"/>
      <c r="T235" s="1780"/>
      <c r="U235" s="1780"/>
      <c r="V235" s="1780"/>
      <c r="W235" s="1782"/>
      <c r="X235" s="1782"/>
    </row>
    <row r="236" spans="1:24" s="1783" customFormat="1" ht="15.95" customHeight="1">
      <c r="A236" s="1802"/>
      <c r="C236" s="1783" t="s">
        <v>1833</v>
      </c>
      <c r="I236" s="3876"/>
      <c r="J236" s="3877"/>
      <c r="M236" s="1866"/>
      <c r="O236" s="3798"/>
      <c r="P236" s="3798"/>
      <c r="Q236" s="1859"/>
      <c r="R236" s="1780"/>
      <c r="S236" s="1780"/>
      <c r="T236" s="1780"/>
      <c r="U236" s="1780"/>
      <c r="V236" s="1780"/>
      <c r="W236" s="1782"/>
      <c r="X236" s="1782"/>
    </row>
    <row r="237" spans="1:24" s="1783" customFormat="1" ht="15.95" customHeight="1">
      <c r="A237" s="1802"/>
      <c r="C237" s="1783" t="s">
        <v>1834</v>
      </c>
      <c r="I237" s="3881" t="s">
        <v>1835</v>
      </c>
      <c r="J237" s="3882"/>
      <c r="K237" s="3874"/>
      <c r="L237" s="3875"/>
      <c r="M237" s="1866"/>
      <c r="O237" s="3798"/>
      <c r="P237" s="3798"/>
      <c r="Q237" s="1859"/>
      <c r="R237" s="1780"/>
      <c r="S237" s="1780"/>
      <c r="T237" s="1780"/>
      <c r="U237" s="1780"/>
      <c r="V237" s="1780"/>
      <c r="W237" s="1782"/>
      <c r="X237" s="1782"/>
    </row>
    <row r="238" spans="1:24" ht="4.5" customHeight="1">
      <c r="A238" s="1802"/>
      <c r="B238" s="1783"/>
      <c r="H238" s="1791"/>
      <c r="M238" s="1786"/>
      <c r="N238" s="1910"/>
      <c r="O238" s="3799"/>
      <c r="P238" s="3799"/>
      <c r="Q238" s="1859"/>
      <c r="R238" s="1923"/>
      <c r="S238" s="1923"/>
      <c r="T238" s="1923"/>
      <c r="U238" s="1923"/>
    </row>
    <row r="239" spans="1:24" ht="30.75" customHeight="1" thickBot="1">
      <c r="A239" s="2009"/>
      <c r="B239" s="1910"/>
      <c r="C239" s="3883" t="s">
        <v>1836</v>
      </c>
      <c r="D239" s="3883"/>
      <c r="E239" s="3883"/>
      <c r="F239" s="3883"/>
      <c r="G239" s="3883"/>
      <c r="H239" s="3883"/>
      <c r="I239" s="3883"/>
      <c r="J239" s="3883"/>
      <c r="K239" s="3883"/>
      <c r="L239" s="3883"/>
      <c r="M239" s="1783"/>
      <c r="N239" s="1910"/>
      <c r="O239" s="1902"/>
      <c r="P239" s="1903"/>
      <c r="Q239" s="1859"/>
      <c r="R239" s="1923"/>
      <c r="S239" s="1923"/>
      <c r="T239" s="1923"/>
      <c r="U239" s="1923"/>
    </row>
    <row r="240" spans="1:24" ht="2.25" hidden="1" customHeight="1" thickBot="1">
      <c r="A240" s="1783"/>
      <c r="D240" s="1783"/>
      <c r="E240" s="1783"/>
      <c r="F240" s="1786"/>
      <c r="G240" s="1786"/>
      <c r="H240" s="1786"/>
      <c r="I240" s="1786"/>
      <c r="J240" s="1882"/>
      <c r="K240" s="1882"/>
      <c r="L240" s="1882"/>
      <c r="M240" s="1785"/>
      <c r="N240" s="1786"/>
      <c r="P240" s="1793"/>
    </row>
    <row r="241" spans="1:22" ht="15.95" customHeight="1" thickBot="1">
      <c r="A241" s="1786" t="s">
        <v>194</v>
      </c>
      <c r="B241" s="1993" t="s">
        <v>1837</v>
      </c>
      <c r="D241" s="1840"/>
      <c r="E241" s="1840"/>
      <c r="G241" s="1840" t="s">
        <v>1838</v>
      </c>
      <c r="H241" s="1840"/>
      <c r="L241" s="1840"/>
      <c r="M241" s="1799">
        <v>2</v>
      </c>
      <c r="N241" s="1910"/>
      <c r="O241" s="2010">
        <v>2</v>
      </c>
      <c r="P241" s="1973"/>
      <c r="Q241" s="2011" t="str">
        <f>IF(OR(O241=0,O241="",O241=$M241),"","Check!")</f>
        <v/>
      </c>
      <c r="R241" s="1957"/>
      <c r="S241" s="1780"/>
      <c r="T241" s="1780"/>
      <c r="U241" s="1780"/>
      <c r="V241" s="1780"/>
    </row>
    <row r="242" spans="1:22" s="1813" customFormat="1" ht="29.25" customHeight="1">
      <c r="A242" s="2012"/>
      <c r="B242" s="1940"/>
      <c r="C242" s="3810" t="s">
        <v>1839</v>
      </c>
      <c r="D242" s="3810"/>
      <c r="E242" s="3810"/>
      <c r="F242" s="3810"/>
      <c r="G242" s="3810"/>
      <c r="H242" s="3810"/>
      <c r="I242" s="3810"/>
      <c r="J242" s="3810"/>
      <c r="K242" s="3810"/>
      <c r="L242" s="3810"/>
      <c r="M242" s="3810"/>
      <c r="N242" s="2024"/>
      <c r="O242" s="1912" t="s">
        <v>1402</v>
      </c>
      <c r="P242" s="1913"/>
      <c r="Q242" s="2013"/>
      <c r="R242" s="2014"/>
      <c r="S242" s="2014"/>
      <c r="T242" s="2014"/>
      <c r="U242" s="2014"/>
    </row>
    <row r="243" spans="1:22" s="1813" customFormat="1" ht="29.25" customHeight="1" thickBot="1">
      <c r="A243" s="2012"/>
      <c r="B243" s="1940"/>
      <c r="C243" s="3810" t="s">
        <v>1840</v>
      </c>
      <c r="D243" s="3810"/>
      <c r="E243" s="3810"/>
      <c r="F243" s="3810"/>
      <c r="G243" s="3810"/>
      <c r="H243" s="3810"/>
      <c r="I243" s="3810"/>
      <c r="J243" s="3810"/>
      <c r="K243" s="3810"/>
      <c r="L243" s="3810"/>
      <c r="M243" s="3810"/>
      <c r="N243" s="2024"/>
      <c r="O243" s="1977"/>
      <c r="P243" s="1978"/>
      <c r="Q243" s="2013"/>
      <c r="R243" s="2014"/>
      <c r="S243" s="2014"/>
      <c r="T243" s="2014"/>
      <c r="U243" s="2014"/>
    </row>
    <row r="244" spans="1:22" ht="15.95" customHeight="1" thickBot="1">
      <c r="A244" s="1786" t="s">
        <v>206</v>
      </c>
      <c r="B244" s="1993" t="s">
        <v>1841</v>
      </c>
      <c r="D244" s="1840"/>
      <c r="L244" s="1840"/>
      <c r="M244" s="1799">
        <v>2</v>
      </c>
      <c r="N244" s="1910"/>
      <c r="O244" s="2010"/>
      <c r="P244" s="1973"/>
      <c r="Q244" s="2011" t="str">
        <f>IF(OR(O244=0,O244="",O244=$M244),"","Check!")</f>
        <v/>
      </c>
      <c r="R244" s="1957"/>
      <c r="S244" s="1780"/>
      <c r="T244" s="1780"/>
      <c r="U244" s="1780"/>
      <c r="V244" s="1780"/>
    </row>
    <row r="245" spans="1:22" ht="15.95" customHeight="1">
      <c r="A245" s="1786"/>
      <c r="B245" s="1993"/>
      <c r="C245" s="1783" t="s">
        <v>1842</v>
      </c>
      <c r="D245" s="1840"/>
      <c r="L245" s="1840"/>
      <c r="M245" s="1799"/>
      <c r="N245" s="1910"/>
      <c r="O245" s="1912"/>
      <c r="P245" s="1913"/>
      <c r="Q245" s="2011"/>
      <c r="R245" s="1957"/>
      <c r="S245" s="1780"/>
      <c r="T245" s="1780"/>
      <c r="U245" s="1780"/>
      <c r="V245" s="1780"/>
    </row>
    <row r="246" spans="1:22" s="1813" customFormat="1" ht="30" customHeight="1">
      <c r="A246" s="2012"/>
      <c r="B246" s="1940"/>
      <c r="C246" s="3810" t="s">
        <v>1843</v>
      </c>
      <c r="D246" s="3810"/>
      <c r="E246" s="3810"/>
      <c r="F246" s="3810"/>
      <c r="G246" s="3810"/>
      <c r="H246" s="3810"/>
      <c r="I246" s="3810"/>
      <c r="J246" s="3810"/>
      <c r="K246" s="3810"/>
      <c r="L246" s="3810"/>
      <c r="M246" s="3810"/>
      <c r="N246" s="2024"/>
      <c r="O246" s="1977"/>
      <c r="P246" s="1978"/>
      <c r="Q246" s="2013"/>
      <c r="R246" s="2014"/>
      <c r="S246" s="2014"/>
      <c r="T246" s="2014"/>
      <c r="U246" s="2014"/>
    </row>
    <row r="247" spans="1:22" ht="15.95" customHeight="1" thickBot="1">
      <c r="A247" s="1783"/>
      <c r="B247" s="1916" t="s">
        <v>1739</v>
      </c>
      <c r="C247" s="1783"/>
      <c r="D247" s="1783"/>
      <c r="E247" s="1783"/>
      <c r="F247" s="1783"/>
      <c r="G247" s="1783"/>
      <c r="H247" s="1783"/>
      <c r="I247" s="1783"/>
      <c r="J247" s="1783"/>
      <c r="K247" s="1783"/>
      <c r="M247" s="1785"/>
      <c r="O247" s="1793"/>
      <c r="R247" s="1780"/>
      <c r="S247" s="1780"/>
      <c r="T247" s="1780"/>
      <c r="U247" s="1780"/>
      <c r="V247" s="1780"/>
    </row>
    <row r="248" spans="1:22" ht="32.25" customHeight="1" thickTop="1" thickBot="1">
      <c r="A248" s="3811" t="s">
        <v>7065</v>
      </c>
      <c r="B248" s="3812"/>
      <c r="C248" s="3812"/>
      <c r="D248" s="3812"/>
      <c r="E248" s="3812"/>
      <c r="F248" s="3812"/>
      <c r="G248" s="3812"/>
      <c r="H248" s="3812"/>
      <c r="I248" s="3812"/>
      <c r="J248" s="3812"/>
      <c r="K248" s="3812"/>
      <c r="L248" s="3812"/>
      <c r="M248" s="3812"/>
      <c r="N248" s="3812"/>
      <c r="O248" s="3812"/>
      <c r="P248" s="3813"/>
      <c r="Q248" s="1865"/>
    </row>
    <row r="249" spans="1:22" ht="15.95" customHeight="1" thickTop="1">
      <c r="A249" s="1783"/>
      <c r="B249" s="1905" t="s">
        <v>1399</v>
      </c>
      <c r="C249" s="1783"/>
      <c r="D249" s="1905"/>
      <c r="E249" s="1817"/>
      <c r="F249" s="1817"/>
      <c r="G249" s="1817"/>
      <c r="H249" s="1817"/>
      <c r="I249" s="1817"/>
      <c r="J249" s="1817"/>
      <c r="K249" s="1817"/>
      <c r="L249" s="1817"/>
      <c r="M249" s="1817"/>
      <c r="N249" s="1906"/>
      <c r="O249" s="1907"/>
      <c r="P249" s="1786"/>
    </row>
    <row r="250" spans="1:22" ht="15.95" customHeight="1">
      <c r="A250" s="3804"/>
      <c r="B250" s="3805"/>
      <c r="C250" s="3805"/>
      <c r="D250" s="3805"/>
      <c r="E250" s="3805"/>
      <c r="F250" s="3805"/>
      <c r="G250" s="3805"/>
      <c r="H250" s="3805"/>
      <c r="I250" s="3805"/>
      <c r="J250" s="3805"/>
      <c r="K250" s="3805"/>
      <c r="L250" s="3805"/>
      <c r="M250" s="3805"/>
      <c r="N250" s="3805"/>
      <c r="O250" s="3805"/>
      <c r="P250" s="3806"/>
      <c r="Q250" s="1908"/>
    </row>
    <row r="251" spans="1:22" ht="7.5" customHeight="1">
      <c r="A251" s="1783"/>
      <c r="D251" s="1783"/>
      <c r="E251" s="1783"/>
      <c r="F251" s="1786"/>
      <c r="G251" s="1786"/>
      <c r="H251" s="1786"/>
      <c r="I251" s="1786"/>
      <c r="J251" s="1882"/>
      <c r="K251" s="1882"/>
      <c r="L251" s="1882"/>
      <c r="M251" s="1785"/>
      <c r="N251" s="1786"/>
      <c r="P251" s="1793"/>
    </row>
    <row r="252" spans="1:22" s="1918" customFormat="1" ht="7.5" customHeight="1" thickBot="1">
      <c r="A252" s="1919"/>
      <c r="D252" s="1919"/>
      <c r="E252" s="1919"/>
      <c r="F252" s="1921"/>
      <c r="G252" s="1921"/>
      <c r="H252" s="1921"/>
      <c r="I252" s="1921"/>
      <c r="J252" s="1988"/>
      <c r="K252" s="1988"/>
      <c r="L252" s="1988"/>
      <c r="M252" s="1920"/>
      <c r="N252" s="1921"/>
      <c r="O252" s="1980"/>
      <c r="P252" s="1989"/>
    </row>
    <row r="253" spans="1:22" s="1783" customFormat="1" ht="15.95" customHeight="1" thickBot="1">
      <c r="A253" s="1802" t="s">
        <v>1491</v>
      </c>
      <c r="B253" s="1803" t="s">
        <v>1844</v>
      </c>
      <c r="D253" s="1803"/>
      <c r="E253" s="1803"/>
      <c r="G253" s="1992"/>
      <c r="M253" s="1786">
        <v>2</v>
      </c>
      <c r="N253" s="1785"/>
      <c r="O253" s="1858">
        <f>IF($O$36="9%",IF(OR(O254=$M254,O255=$M255),$M$253,0),0)</f>
        <v>0</v>
      </c>
      <c r="P253" s="1858">
        <f>IF($O$36="9%",IF(OR(P254=$M254,P255=$M255),$M$253,0),0)</f>
        <v>0</v>
      </c>
      <c r="Q253" s="1859" t="s">
        <v>1716</v>
      </c>
      <c r="R253" s="2667" t="s">
        <v>1784</v>
      </c>
      <c r="S253" s="1780"/>
      <c r="T253" s="1780"/>
      <c r="U253" s="1780"/>
      <c r="V253" s="1780"/>
    </row>
    <row r="254" spans="1:22" ht="15.95" customHeight="1">
      <c r="A254" s="1786" t="s">
        <v>194</v>
      </c>
      <c r="B254" s="1993" t="s">
        <v>1845</v>
      </c>
      <c r="D254" s="1840"/>
      <c r="E254" s="1840" t="s">
        <v>1846</v>
      </c>
      <c r="F254" s="1840"/>
      <c r="G254" s="1840"/>
      <c r="H254" s="1840"/>
      <c r="I254" s="3878"/>
      <c r="J254" s="3879"/>
      <c r="K254" s="3879"/>
      <c r="L254" s="3880"/>
      <c r="M254" s="1799">
        <v>2</v>
      </c>
      <c r="N254" s="1910"/>
      <c r="O254" s="2668"/>
      <c r="P254" s="1967"/>
      <c r="Q254" s="2011" t="str">
        <f>IF(OR(O254=0,O254="",O254=$M254),"","Check!")</f>
        <v/>
      </c>
      <c r="R254" s="1957"/>
      <c r="S254" s="1780"/>
      <c r="T254" s="1780"/>
      <c r="U254" s="1780"/>
      <c r="V254" s="1780"/>
    </row>
    <row r="255" spans="1:22" ht="15.95" customHeight="1">
      <c r="A255" s="1786" t="s">
        <v>206</v>
      </c>
      <c r="B255" s="1993" t="s">
        <v>1847</v>
      </c>
      <c r="D255" s="1840"/>
      <c r="L255" s="1840"/>
      <c r="M255" s="1799">
        <v>2</v>
      </c>
      <c r="N255" s="1910"/>
      <c r="O255" s="2669"/>
      <c r="P255" s="1900"/>
      <c r="Q255" s="2011" t="str">
        <f>IF(OR(O255=0,O255="",O255=$M255),"","Check!")</f>
        <v/>
      </c>
      <c r="R255" s="1957"/>
      <c r="S255" s="1780"/>
      <c r="T255" s="1780"/>
      <c r="U255" s="1780"/>
      <c r="V255" s="1780"/>
    </row>
    <row r="256" spans="1:22" ht="15.95" customHeight="1" thickBot="1">
      <c r="A256" s="1783"/>
      <c r="B256" s="1916" t="s">
        <v>1739</v>
      </c>
      <c r="C256" s="1783"/>
      <c r="D256" s="1783"/>
      <c r="E256" s="1783"/>
      <c r="F256" s="1783"/>
      <c r="G256" s="1783"/>
      <c r="H256" s="1783"/>
      <c r="I256" s="1783"/>
      <c r="J256" s="1783"/>
      <c r="K256" s="1783"/>
      <c r="M256" s="1785"/>
      <c r="O256" s="1793"/>
      <c r="R256" s="1780"/>
      <c r="S256" s="1780"/>
      <c r="T256" s="1780"/>
      <c r="U256" s="1780"/>
      <c r="V256" s="1780"/>
    </row>
    <row r="257" spans="1:19" ht="15.95" customHeight="1" thickTop="1" thickBot="1">
      <c r="A257" s="3801"/>
      <c r="B257" s="3802"/>
      <c r="C257" s="3802"/>
      <c r="D257" s="3802"/>
      <c r="E257" s="3802"/>
      <c r="F257" s="3802"/>
      <c r="G257" s="3802"/>
      <c r="H257" s="3802"/>
      <c r="I257" s="3802"/>
      <c r="J257" s="3802"/>
      <c r="K257" s="3802"/>
      <c r="L257" s="3802"/>
      <c r="M257" s="3802"/>
      <c r="N257" s="3802"/>
      <c r="O257" s="3802"/>
      <c r="P257" s="3803"/>
      <c r="Q257" s="1865"/>
    </row>
    <row r="258" spans="1:19" ht="15.95" customHeight="1" thickTop="1">
      <c r="A258" s="1783"/>
      <c r="B258" s="1905" t="s">
        <v>1399</v>
      </c>
      <c r="C258" s="1783"/>
      <c r="D258" s="1905"/>
      <c r="E258" s="1817"/>
      <c r="F258" s="1817"/>
      <c r="G258" s="1817"/>
      <c r="H258" s="1817"/>
      <c r="I258" s="1817"/>
      <c r="J258" s="1817"/>
      <c r="K258" s="1817"/>
      <c r="L258" s="1817"/>
      <c r="M258" s="1817"/>
      <c r="N258" s="1906"/>
      <c r="O258" s="1907"/>
      <c r="P258" s="1786"/>
    </row>
    <row r="259" spans="1:19" ht="15.95" customHeight="1">
      <c r="A259" s="3804"/>
      <c r="B259" s="3805"/>
      <c r="C259" s="3805"/>
      <c r="D259" s="3805"/>
      <c r="E259" s="3805"/>
      <c r="F259" s="3805"/>
      <c r="G259" s="3805"/>
      <c r="H259" s="3805"/>
      <c r="I259" s="3805"/>
      <c r="J259" s="3805"/>
      <c r="K259" s="3805"/>
      <c r="L259" s="3805"/>
      <c r="M259" s="3805"/>
      <c r="N259" s="3805"/>
      <c r="O259" s="3805"/>
      <c r="P259" s="3806"/>
      <c r="Q259" s="1908"/>
    </row>
    <row r="260" spans="1:19" ht="7.5" customHeight="1">
      <c r="A260" s="1783"/>
      <c r="D260" s="1783"/>
      <c r="E260" s="1783"/>
      <c r="F260" s="1786"/>
      <c r="G260" s="1786"/>
      <c r="H260" s="1786"/>
      <c r="I260" s="1786"/>
      <c r="J260" s="1882"/>
      <c r="K260" s="1882"/>
      <c r="L260" s="1882"/>
      <c r="M260" s="1785"/>
      <c r="N260" s="1786"/>
      <c r="P260" s="1793"/>
    </row>
    <row r="261" spans="1:19" s="1918" customFormat="1" ht="7.5" customHeight="1" thickBot="1">
      <c r="A261" s="1919"/>
      <c r="D261" s="1919"/>
      <c r="E261" s="1919"/>
      <c r="F261" s="1921"/>
      <c r="G261" s="1921"/>
      <c r="H261" s="1921"/>
      <c r="K261" s="1988"/>
      <c r="L261" s="1988"/>
      <c r="M261" s="1920"/>
      <c r="N261" s="1921"/>
      <c r="O261" s="1980"/>
      <c r="P261" s="1989"/>
    </row>
    <row r="262" spans="1:19" ht="15.95" customHeight="1">
      <c r="A262" s="1990" t="s">
        <v>1500</v>
      </c>
      <c r="B262" s="1803" t="s">
        <v>1848</v>
      </c>
      <c r="C262" s="1883"/>
      <c r="E262" s="1783"/>
      <c r="K262" s="1783"/>
      <c r="L262" s="1783"/>
      <c r="M262" s="1786">
        <v>2</v>
      </c>
      <c r="N262" s="1785"/>
      <c r="O262" s="1785"/>
      <c r="P262" s="2067">
        <f>IF($O$36="9%",P263+P265,0)</f>
        <v>0</v>
      </c>
      <c r="Q262" s="1859" t="s">
        <v>1716</v>
      </c>
      <c r="R262" s="2667" t="s">
        <v>1784</v>
      </c>
    </row>
    <row r="263" spans="1:19" ht="15.95" customHeight="1">
      <c r="A263" s="1786" t="s">
        <v>194</v>
      </c>
      <c r="B263" s="1791" t="s">
        <v>1849</v>
      </c>
      <c r="C263" s="1883"/>
      <c r="E263" s="1783"/>
      <c r="G263" s="2015"/>
      <c r="I263" s="1882"/>
      <c r="K263" s="2066"/>
      <c r="M263" s="1785">
        <v>2</v>
      </c>
      <c r="N263" s="1910"/>
      <c r="O263" s="1782"/>
      <c r="P263" s="2925"/>
      <c r="Q263" s="1859"/>
      <c r="R263" s="1957"/>
    </row>
    <row r="264" spans="1:19" s="1783" customFormat="1" ht="15.95" customHeight="1">
      <c r="A264" s="1786"/>
      <c r="B264" s="1783" t="s">
        <v>1850</v>
      </c>
      <c r="N264" s="1804"/>
      <c r="O264" s="2675"/>
      <c r="P264" s="2016"/>
      <c r="R264" s="1888"/>
    </row>
    <row r="265" spans="1:19" ht="15.95" customHeight="1">
      <c r="A265" s="1786" t="s">
        <v>206</v>
      </c>
      <c r="B265" s="1791" t="s">
        <v>1851</v>
      </c>
      <c r="C265" s="1883"/>
      <c r="E265" s="1783"/>
      <c r="G265" s="2015"/>
      <c r="I265" s="1842"/>
      <c r="L265" s="1799"/>
      <c r="M265" s="1785">
        <v>2</v>
      </c>
      <c r="N265" s="1910"/>
      <c r="O265" s="1782"/>
      <c r="P265" s="2016"/>
      <c r="Q265" s="1859"/>
      <c r="R265" s="1957"/>
    </row>
    <row r="266" spans="1:19" s="1783" customFormat="1" ht="15.95" customHeight="1">
      <c r="A266" s="1990"/>
      <c r="B266" s="1783" t="s">
        <v>1850</v>
      </c>
      <c r="M266" s="1786"/>
      <c r="N266" s="1804"/>
      <c r="O266" s="2675"/>
      <c r="P266" s="2022"/>
      <c r="Q266" s="1859"/>
    </row>
    <row r="267" spans="1:19" ht="15.95" customHeight="1">
      <c r="B267" s="1905" t="s">
        <v>1399</v>
      </c>
      <c r="C267" s="1807"/>
      <c r="D267" s="1905"/>
      <c r="E267" s="1838"/>
      <c r="F267" s="1817"/>
      <c r="G267" s="1817"/>
      <c r="H267" s="1817"/>
      <c r="I267" s="1817"/>
      <c r="J267" s="1817"/>
      <c r="K267" s="1817"/>
      <c r="L267" s="1817"/>
      <c r="M267" s="1817"/>
      <c r="N267" s="1906"/>
      <c r="O267" s="1907"/>
      <c r="P267" s="1786"/>
    </row>
    <row r="268" spans="1:19" ht="15.95" customHeight="1">
      <c r="A268" s="3804"/>
      <c r="B268" s="3805"/>
      <c r="C268" s="3805"/>
      <c r="D268" s="3805"/>
      <c r="E268" s="3805"/>
      <c r="F268" s="3805"/>
      <c r="G268" s="3805"/>
      <c r="H268" s="3805"/>
      <c r="I268" s="3805"/>
      <c r="J268" s="3805"/>
      <c r="K268" s="3805"/>
      <c r="L268" s="3805"/>
      <c r="M268" s="3805"/>
      <c r="N268" s="3805"/>
      <c r="O268" s="3805"/>
      <c r="P268" s="3806"/>
      <c r="Q268" s="1908"/>
    </row>
    <row r="269" spans="1:19" ht="7.5" customHeight="1"/>
    <row r="270" spans="1:19" s="1918" customFormat="1" ht="7.5" customHeight="1" thickBot="1">
      <c r="N270" s="1979"/>
      <c r="O270" s="1980"/>
      <c r="P270" s="1980"/>
    </row>
    <row r="271" spans="1:19" ht="15.95" customHeight="1" thickBot="1">
      <c r="A271" s="1990" t="s">
        <v>1508</v>
      </c>
      <c r="B271" s="1803" t="s">
        <v>1852</v>
      </c>
      <c r="D271" s="1883"/>
      <c r="E271" s="1883"/>
      <c r="G271" s="1783"/>
      <c r="L271" s="2093" t="str">
        <f>IF(AND(O271&gt;0,NOT($O$36="9%")),"Ineligible, not 9%!","")</f>
        <v/>
      </c>
      <c r="M271" s="1786">
        <v>2</v>
      </c>
      <c r="N271" s="1888"/>
      <c r="O271" s="2676"/>
      <c r="P271" s="1973"/>
      <c r="Q271" s="1859" t="s">
        <v>1716</v>
      </c>
      <c r="R271" s="2667" t="s">
        <v>1784</v>
      </c>
      <c r="S271" s="2017"/>
    </row>
    <row r="272" spans="1:19" ht="15.95" customHeight="1">
      <c r="A272" s="1798"/>
      <c r="B272" s="1889" t="s">
        <v>1853</v>
      </c>
      <c r="D272" s="1883"/>
      <c r="E272" s="1883"/>
      <c r="G272" s="1783"/>
      <c r="I272" s="3807" t="s">
        <v>1854</v>
      </c>
      <c r="J272" s="3808"/>
      <c r="K272" s="3808"/>
      <c r="L272" s="3809"/>
      <c r="M272" s="1785"/>
      <c r="N272" s="1785"/>
      <c r="O272" s="1799"/>
      <c r="P272" s="1799"/>
      <c r="Q272" s="1972"/>
      <c r="R272" s="2017"/>
      <c r="S272" s="2017"/>
    </row>
    <row r="273" spans="1:20" ht="15.95" hidden="1" customHeight="1">
      <c r="B273" s="1889"/>
      <c r="D273" s="1783"/>
      <c r="E273" s="1783"/>
      <c r="F273" s="1783"/>
      <c r="G273" s="1783"/>
      <c r="H273" s="1783"/>
      <c r="I273" s="1783"/>
      <c r="J273" s="1783"/>
      <c r="K273" s="1783"/>
      <c r="L273" s="1783"/>
      <c r="M273" s="1783"/>
      <c r="N273" s="1910"/>
      <c r="O273" s="1910"/>
      <c r="P273" s="1910"/>
    </row>
    <row r="274" spans="1:20" s="1783" customFormat="1" ht="15.95" customHeight="1" thickBot="1">
      <c r="B274" s="1916" t="s">
        <v>1739</v>
      </c>
      <c r="M274" s="1785"/>
      <c r="N274" s="1785"/>
      <c r="O274" s="1793"/>
      <c r="P274" s="1786"/>
    </row>
    <row r="275" spans="1:20" ht="15.95" customHeight="1" thickTop="1" thickBot="1">
      <c r="A275" s="3801"/>
      <c r="B275" s="3802"/>
      <c r="C275" s="3802"/>
      <c r="D275" s="3802"/>
      <c r="E275" s="3802"/>
      <c r="F275" s="3802"/>
      <c r="G275" s="3802"/>
      <c r="H275" s="3802"/>
      <c r="I275" s="3802"/>
      <c r="J275" s="3802"/>
      <c r="K275" s="3802"/>
      <c r="L275" s="3802"/>
      <c r="M275" s="3802"/>
      <c r="N275" s="3802"/>
      <c r="O275" s="3802"/>
      <c r="P275" s="3803"/>
      <c r="Q275" s="1865"/>
    </row>
    <row r="276" spans="1:20" s="1783" customFormat="1" ht="15.95" customHeight="1" thickTop="1">
      <c r="B276" s="1904" t="s">
        <v>1399</v>
      </c>
      <c r="D276" s="1904"/>
      <c r="E276" s="1951"/>
      <c r="F276" s="1951"/>
      <c r="G276" s="1951"/>
      <c r="H276" s="1951"/>
      <c r="I276" s="1951"/>
      <c r="J276" s="1951"/>
      <c r="K276" s="1951"/>
      <c r="L276" s="1951"/>
      <c r="M276" s="1951"/>
      <c r="N276" s="1924"/>
      <c r="O276" s="1787"/>
      <c r="P276" s="1786"/>
      <c r="Q276" s="1782"/>
    </row>
    <row r="277" spans="1:20" ht="15.95" customHeight="1">
      <c r="A277" s="3804"/>
      <c r="B277" s="3805"/>
      <c r="C277" s="3805"/>
      <c r="D277" s="3805"/>
      <c r="E277" s="3805"/>
      <c r="F277" s="3805"/>
      <c r="G277" s="3805"/>
      <c r="H277" s="3805"/>
      <c r="I277" s="3805"/>
      <c r="J277" s="3805"/>
      <c r="K277" s="3805"/>
      <c r="L277" s="3805"/>
      <c r="M277" s="3805"/>
      <c r="N277" s="3805"/>
      <c r="O277" s="3805"/>
      <c r="P277" s="3806"/>
      <c r="Q277" s="1908"/>
    </row>
    <row r="278" spans="1:20" ht="7.5" customHeight="1"/>
    <row r="279" spans="1:20" s="1918" customFormat="1" ht="7.5" customHeight="1" thickBot="1">
      <c r="N279" s="1979"/>
      <c r="O279" s="1980"/>
      <c r="P279" s="1980"/>
    </row>
    <row r="280" spans="1:20" ht="15.95" customHeight="1" thickBot="1">
      <c r="A280" s="1802" t="s">
        <v>1515</v>
      </c>
      <c r="B280" s="1803" t="s">
        <v>1855</v>
      </c>
      <c r="D280" s="1883"/>
      <c r="E280" s="1883"/>
      <c r="F280" s="1783"/>
      <c r="G280" s="1783"/>
      <c r="H280" s="1783"/>
      <c r="J280" s="2069"/>
      <c r="K280" s="1866"/>
      <c r="M280" s="1793">
        <v>4</v>
      </c>
      <c r="N280" s="1785"/>
      <c r="O280" s="2018">
        <f>O281+O302</f>
        <v>4</v>
      </c>
      <c r="P280" s="2018">
        <f>P281+P302</f>
        <v>0</v>
      </c>
      <c r="Q280" s="1859" t="s">
        <v>1716</v>
      </c>
    </row>
    <row r="281" spans="1:20" ht="15.95" customHeight="1" thickBot="1">
      <c r="A281" s="1965" t="s">
        <v>194</v>
      </c>
      <c r="B281" s="1791" t="s">
        <v>1856</v>
      </c>
      <c r="L281" s="1888" t="str">
        <f>IF(O281&lt;=M281,"","* * Check Score! * *")</f>
        <v/>
      </c>
      <c r="M281" s="1785">
        <v>3</v>
      </c>
      <c r="N281" s="1910"/>
      <c r="O281" s="2019">
        <v>3</v>
      </c>
      <c r="P281" s="2020"/>
      <c r="Q281" s="1972" t="str">
        <f>IF(O281&lt;=M281,"","*CHECK!*")</f>
        <v/>
      </c>
      <c r="R281" s="1796"/>
      <c r="S281" s="1796"/>
      <c r="T281" s="1781"/>
    </row>
    <row r="282" spans="1:20" ht="30.95" customHeight="1">
      <c r="A282" s="1965"/>
      <c r="B282" s="3869" t="s">
        <v>1857</v>
      </c>
      <c r="C282" s="3869"/>
      <c r="D282" s="3869"/>
      <c r="E282" s="3869"/>
      <c r="F282" s="3869"/>
      <c r="G282" s="3869"/>
      <c r="H282" s="3869"/>
      <c r="I282" s="3869"/>
      <c r="J282" s="3869"/>
      <c r="K282" s="3869"/>
      <c r="L282" s="3869"/>
      <c r="N282" s="1782"/>
      <c r="O282" s="2021" t="s">
        <v>1402</v>
      </c>
      <c r="P282" s="2022"/>
      <c r="R282" s="1796"/>
      <c r="S282" s="1796"/>
      <c r="T282" s="1781"/>
    </row>
    <row r="283" spans="1:20" ht="15.95" customHeight="1">
      <c r="A283" s="1965"/>
      <c r="B283" s="2068"/>
      <c r="C283" s="1813"/>
      <c r="D283" s="1813"/>
      <c r="E283" s="1813"/>
      <c r="F283" s="1813"/>
      <c r="G283" s="1813"/>
      <c r="H283" s="1813"/>
      <c r="I283" s="1813"/>
      <c r="J283" s="3870" t="s">
        <v>1858</v>
      </c>
      <c r="K283" s="3870"/>
      <c r="M283" s="3870" t="s">
        <v>1858</v>
      </c>
      <c r="N283" s="3870"/>
      <c r="O283" s="3870"/>
      <c r="P283" s="3870"/>
      <c r="R283" s="2023"/>
      <c r="S283" s="2023"/>
      <c r="T283" s="1781"/>
    </row>
    <row r="284" spans="1:20" ht="15.95" customHeight="1">
      <c r="A284" s="1910"/>
      <c r="B284" s="2024" t="s">
        <v>209</v>
      </c>
      <c r="C284" s="1783" t="s">
        <v>1859</v>
      </c>
      <c r="I284" s="1910"/>
      <c r="J284" s="3885"/>
      <c r="K284" s="3886"/>
      <c r="L284" s="1910"/>
      <c r="M284" s="3887"/>
      <c r="N284" s="3888"/>
      <c r="O284" s="3888"/>
      <c r="P284" s="3889"/>
      <c r="R284" s="1888"/>
    </row>
    <row r="285" spans="1:20" ht="15.95" customHeight="1">
      <c r="A285" s="1886"/>
      <c r="B285" s="1870" t="s">
        <v>217</v>
      </c>
      <c r="C285" s="1783" t="s">
        <v>1860</v>
      </c>
      <c r="I285" s="1962"/>
      <c r="J285" s="3814"/>
      <c r="K285" s="3815"/>
      <c r="L285" s="1962"/>
      <c r="M285" s="3816"/>
      <c r="N285" s="3817"/>
      <c r="O285" s="3817"/>
      <c r="P285" s="3818"/>
      <c r="R285" s="1888"/>
    </row>
    <row r="286" spans="1:20" ht="15.95" customHeight="1">
      <c r="B286" s="2024" t="s">
        <v>221</v>
      </c>
      <c r="C286" s="1783" t="s">
        <v>1861</v>
      </c>
      <c r="I286" s="1910"/>
      <c r="J286" s="3814"/>
      <c r="K286" s="3815"/>
      <c r="L286" s="1910"/>
      <c r="M286" s="3816"/>
      <c r="N286" s="3817"/>
      <c r="O286" s="3817"/>
      <c r="P286" s="3818"/>
      <c r="R286" s="1888"/>
    </row>
    <row r="287" spans="1:20" ht="15.95" customHeight="1">
      <c r="A287" s="1886"/>
      <c r="B287" s="2024" t="s">
        <v>261</v>
      </c>
      <c r="C287" s="1783" t="s">
        <v>1862</v>
      </c>
      <c r="I287" s="1910"/>
      <c r="J287" s="3814"/>
      <c r="K287" s="3815"/>
      <c r="L287" s="1910"/>
      <c r="M287" s="3816"/>
      <c r="N287" s="3817"/>
      <c r="O287" s="3817"/>
      <c r="P287" s="3818"/>
      <c r="R287" s="1888"/>
    </row>
    <row r="288" spans="1:20" ht="15.95" customHeight="1">
      <c r="A288" s="1910"/>
      <c r="B288" s="1870" t="s">
        <v>263</v>
      </c>
      <c r="C288" s="1783" t="s">
        <v>1863</v>
      </c>
      <c r="I288" s="1962"/>
      <c r="J288" s="3814"/>
      <c r="K288" s="3815"/>
      <c r="L288" s="1962"/>
      <c r="M288" s="3816"/>
      <c r="N288" s="3817"/>
      <c r="O288" s="3817"/>
      <c r="P288" s="3818"/>
      <c r="R288" s="1888"/>
    </row>
    <row r="289" spans="1:26" ht="15.95" customHeight="1">
      <c r="B289" s="2024" t="s">
        <v>265</v>
      </c>
      <c r="C289" s="1783" t="s">
        <v>1864</v>
      </c>
      <c r="I289" s="1910"/>
      <c r="J289" s="3814"/>
      <c r="K289" s="3815"/>
      <c r="L289" s="1910"/>
      <c r="M289" s="3816"/>
      <c r="N289" s="3817"/>
      <c r="O289" s="3817"/>
      <c r="P289" s="3818"/>
      <c r="R289" s="1888"/>
    </row>
    <row r="290" spans="1:26" ht="15.95" customHeight="1">
      <c r="B290" s="2024" t="s">
        <v>267</v>
      </c>
      <c r="C290" s="1783" t="s">
        <v>1865</v>
      </c>
      <c r="I290" s="1910"/>
      <c r="J290" s="3814"/>
      <c r="K290" s="3815"/>
      <c r="L290" s="1910"/>
      <c r="M290" s="2025"/>
      <c r="N290" s="2026"/>
      <c r="O290" s="2026"/>
      <c r="P290" s="2027"/>
      <c r="R290" s="1888"/>
    </row>
    <row r="291" spans="1:26" ht="15.95" customHeight="1">
      <c r="A291" s="1886"/>
      <c r="B291" s="2024" t="s">
        <v>269</v>
      </c>
      <c r="C291" s="1783" t="s">
        <v>1866</v>
      </c>
      <c r="I291" s="1910"/>
      <c r="J291" s="3814"/>
      <c r="K291" s="3815"/>
      <c r="L291" s="1910"/>
      <c r="M291" s="3816"/>
      <c r="N291" s="3817"/>
      <c r="O291" s="3817"/>
      <c r="P291" s="3818"/>
      <c r="R291" s="1888"/>
    </row>
    <row r="292" spans="1:26" ht="15.95" customHeight="1">
      <c r="B292" s="2024" t="s">
        <v>271</v>
      </c>
      <c r="C292" s="1783" t="s">
        <v>1867</v>
      </c>
      <c r="I292" s="1910"/>
      <c r="J292" s="3814"/>
      <c r="K292" s="3815"/>
      <c r="L292" s="1910"/>
      <c r="M292" s="3816"/>
      <c r="N292" s="3817"/>
      <c r="O292" s="3817"/>
      <c r="P292" s="3818"/>
      <c r="R292" s="1888"/>
    </row>
    <row r="293" spans="1:26" ht="15.95" customHeight="1">
      <c r="B293" s="2024" t="s">
        <v>1868</v>
      </c>
      <c r="C293" s="1783" t="s">
        <v>1869</v>
      </c>
      <c r="I293" s="1910"/>
      <c r="J293" s="3814"/>
      <c r="K293" s="3815"/>
      <c r="L293" s="1910"/>
      <c r="M293" s="3816"/>
      <c r="N293" s="3817"/>
      <c r="O293" s="3817"/>
      <c r="P293" s="3818"/>
      <c r="R293" s="1888"/>
    </row>
    <row r="294" spans="1:26" ht="15.95" customHeight="1" thickBot="1">
      <c r="B294" s="2024" t="s">
        <v>1870</v>
      </c>
      <c r="C294" s="1783" t="s">
        <v>1871</v>
      </c>
      <c r="I294" s="1910"/>
      <c r="J294" s="3814">
        <f>'Part II-Sources of Funds'!I41</f>
        <v>8276060</v>
      </c>
      <c r="K294" s="3815"/>
      <c r="L294" s="1910"/>
      <c r="M294" s="3842"/>
      <c r="N294" s="3843"/>
      <c r="O294" s="3843"/>
      <c r="P294" s="3844"/>
      <c r="R294" s="1888"/>
    </row>
    <row r="295" spans="1:26" ht="15.95" customHeight="1" thickBot="1">
      <c r="B295" s="1783"/>
      <c r="I295" s="1798" t="s">
        <v>1872</v>
      </c>
      <c r="J295" s="3845">
        <f>SUM(J284:K294)</f>
        <v>8276060</v>
      </c>
      <c r="K295" s="3846"/>
      <c r="M295" s="3845">
        <f>SUM($M284:$M294)</f>
        <v>0</v>
      </c>
      <c r="N295" s="3847"/>
      <c r="O295" s="3847"/>
      <c r="P295" s="3846"/>
      <c r="R295" s="1888"/>
    </row>
    <row r="296" spans="1:26" ht="15.95" customHeight="1">
      <c r="M296" s="1796"/>
      <c r="N296" s="1796"/>
      <c r="O296" s="1782"/>
      <c r="P296" s="1796"/>
      <c r="U296" s="3782" t="s">
        <v>1873</v>
      </c>
      <c r="V296" s="3782"/>
      <c r="W296" s="3782"/>
      <c r="X296" s="3782"/>
      <c r="Y296" s="3782"/>
      <c r="Z296" s="3782"/>
    </row>
    <row r="297" spans="1:26" ht="15.95" customHeight="1">
      <c r="A297" s="1783"/>
      <c r="B297" s="1984"/>
      <c r="C297" s="1883" t="s">
        <v>1874</v>
      </c>
      <c r="D297" s="1911"/>
      <c r="E297" s="1911"/>
      <c r="I297" s="1910" t="s">
        <v>1875</v>
      </c>
      <c r="J297" s="3834">
        <f>'Part V-Revenues &amp; Expenses'!$P$67</f>
        <v>199</v>
      </c>
      <c r="K297" s="3835"/>
      <c r="L297" s="1796"/>
      <c r="M297" s="1796"/>
      <c r="N297" s="1796"/>
      <c r="O297" s="1782"/>
      <c r="P297" s="1796"/>
      <c r="U297" s="2077" t="s">
        <v>1876</v>
      </c>
      <c r="V297" s="2077" t="s">
        <v>1711</v>
      </c>
      <c r="W297" s="2077" t="s">
        <v>1876</v>
      </c>
      <c r="X297" s="2077" t="s">
        <v>1711</v>
      </c>
      <c r="Y297" s="2077" t="s">
        <v>1876</v>
      </c>
      <c r="Z297" s="2077" t="s">
        <v>1711</v>
      </c>
    </row>
    <row r="298" spans="1:26" ht="15.95" customHeight="1">
      <c r="C298" s="1911"/>
      <c r="D298" s="1911"/>
      <c r="E298" s="1911"/>
      <c r="I298" s="2028" t="s">
        <v>1877</v>
      </c>
      <c r="J298" s="3848">
        <f>IF(J297=0,0,J295/J297)</f>
        <v>41588.24120603015</v>
      </c>
      <c r="K298" s="3849"/>
      <c r="M298" s="3850">
        <f>IF(J297=0,0,M295/J297)</f>
        <v>0</v>
      </c>
      <c r="N298" s="3851"/>
      <c r="O298" s="3851"/>
      <c r="P298" s="3852"/>
      <c r="S298" s="2076" t="s">
        <v>1878</v>
      </c>
      <c r="U298" s="2070">
        <v>500000</v>
      </c>
      <c r="V298" s="2071">
        <v>999999.99</v>
      </c>
      <c r="W298" s="2070">
        <v>1000000</v>
      </c>
      <c r="X298" s="2071">
        <v>1999999.99</v>
      </c>
      <c r="Y298" s="2070">
        <v>2000000</v>
      </c>
      <c r="Z298" s="2072"/>
    </row>
    <row r="299" spans="1:26" ht="15.95" customHeight="1">
      <c r="C299" s="1911"/>
      <c r="D299" s="1911"/>
      <c r="E299" s="1911"/>
      <c r="I299" s="1886" t="s">
        <v>1879</v>
      </c>
      <c r="J299" s="3834">
        <f>IF(J295&gt;=$Y$298,$Y$300,IF(J295&gt;=$W$298,$W$300,IF(J295&gt;=$U$298,$U$300,0)))</f>
        <v>3</v>
      </c>
      <c r="K299" s="3835"/>
      <c r="M299" s="3834">
        <f t="shared" ref="M299" si="0">IF(M295&gt;=$Y$298,$Y$300,IF(M295&gt;=$W$298,$W$300,IF(M295&gt;=$U$298,$U$300,0)))</f>
        <v>0</v>
      </c>
      <c r="N299" s="3836"/>
      <c r="O299" s="3836">
        <f t="shared" ref="O299" si="1">IF(O295&gt;=$Y$298,$Y$300,IF(O295&gt;=$W$298,$W$300,IF(O295&gt;=$U$298,$U$300,0)))</f>
        <v>0</v>
      </c>
      <c r="P299" s="3835"/>
      <c r="S299" s="2076" t="s">
        <v>1880</v>
      </c>
      <c r="U299" s="2073">
        <v>10000</v>
      </c>
      <c r="V299" s="2074">
        <v>19999.990000000002</v>
      </c>
      <c r="W299" s="2073">
        <v>20000</v>
      </c>
      <c r="X299" s="2074">
        <v>29999.99</v>
      </c>
      <c r="Y299" s="2073">
        <v>30000</v>
      </c>
      <c r="Z299" s="2075"/>
    </row>
    <row r="300" spans="1:26" ht="15.95" customHeight="1">
      <c r="C300" s="1911"/>
      <c r="D300" s="1911"/>
      <c r="E300" s="1911"/>
      <c r="I300" s="1886" t="s">
        <v>1881</v>
      </c>
      <c r="J300" s="3839">
        <f>IF(J298&gt;=$Y$299,$Y$300,IF(J298&gt;=$W$299,$W$300,IF(J298&gt;=$U$299,$U$300,0)))</f>
        <v>3</v>
      </c>
      <c r="K300" s="3840"/>
      <c r="L300" s="1796"/>
      <c r="M300" s="3839">
        <f>IF(M298&gt;=$Y$299,$Y$300,IF(M298&gt;=$W$299,$W$300,IF(M298&gt;=$U$299,$U$300,0)))</f>
        <v>0</v>
      </c>
      <c r="N300" s="3841"/>
      <c r="O300" s="3841"/>
      <c r="P300" s="3840"/>
      <c r="S300" s="2076" t="s">
        <v>1742</v>
      </c>
      <c r="U300" s="3792">
        <v>1</v>
      </c>
      <c r="V300" s="3793"/>
      <c r="W300" s="3792">
        <v>2</v>
      </c>
      <c r="X300" s="3793"/>
      <c r="Y300" s="3792">
        <v>3</v>
      </c>
      <c r="Z300" s="3793"/>
    </row>
    <row r="301" spans="1:26" ht="15.95" customHeight="1" thickBot="1"/>
    <row r="302" spans="1:26" s="1783" customFormat="1" ht="15.95" customHeight="1" thickBot="1">
      <c r="A302" s="1786" t="s">
        <v>206</v>
      </c>
      <c r="B302" s="1889" t="s">
        <v>1882</v>
      </c>
      <c r="F302" s="1786"/>
      <c r="I302" s="1786"/>
      <c r="J302" s="1882"/>
      <c r="K302" s="1882"/>
      <c r="L302" s="1888" t="str">
        <f>IF(OR($O302=$M302,$O302=0,$O302=""),"","* * Check Score! * *")</f>
        <v/>
      </c>
      <c r="M302" s="1785">
        <v>1</v>
      </c>
      <c r="N302" s="1910"/>
      <c r="O302" s="2010">
        <v>1</v>
      </c>
      <c r="P302" s="1973"/>
      <c r="Q302" s="1957"/>
      <c r="V302" s="2002"/>
    </row>
    <row r="303" spans="1:26" ht="30.6" customHeight="1">
      <c r="A303" s="1798"/>
      <c r="B303" s="1940"/>
      <c r="C303" s="3810" t="s">
        <v>1883</v>
      </c>
      <c r="D303" s="3810"/>
      <c r="E303" s="3810"/>
      <c r="F303" s="3810"/>
      <c r="G303" s="3810"/>
      <c r="H303" s="3810"/>
      <c r="I303" s="3810"/>
      <c r="J303" s="3810"/>
      <c r="K303" s="3810"/>
      <c r="L303" s="3810"/>
      <c r="M303" s="3810"/>
      <c r="N303" s="2059"/>
      <c r="O303" s="2029" t="s">
        <v>1402</v>
      </c>
      <c r="P303" s="2030"/>
      <c r="V303" s="2002"/>
    </row>
    <row r="304" spans="1:26" ht="15.95" customHeight="1">
      <c r="A304" s="1798"/>
      <c r="B304" s="1965"/>
      <c r="C304" s="1783" t="s">
        <v>1884</v>
      </c>
      <c r="D304" s="1783"/>
      <c r="E304" s="1783"/>
      <c r="F304" s="1783"/>
      <c r="G304" s="1783"/>
      <c r="H304" s="1783"/>
      <c r="I304" s="1783"/>
      <c r="J304" s="1783"/>
      <c r="K304" s="1783"/>
      <c r="M304" s="1783"/>
      <c r="N304" s="1804"/>
      <c r="O304" s="1925" t="s">
        <v>1402</v>
      </c>
      <c r="P304" s="1926"/>
      <c r="V304" s="2002"/>
    </row>
    <row r="305" spans="1:19" ht="15.95" customHeight="1">
      <c r="B305" s="1965"/>
      <c r="C305" s="1782" t="s">
        <v>1885</v>
      </c>
      <c r="N305" s="1804"/>
      <c r="O305" s="1902" t="s">
        <v>1402</v>
      </c>
      <c r="P305" s="1903"/>
    </row>
    <row r="306" spans="1:19" ht="15.95" customHeight="1" thickBot="1">
      <c r="B306" s="1916" t="s">
        <v>1739</v>
      </c>
    </row>
    <row r="307" spans="1:19" ht="34.5" customHeight="1" thickTop="1" thickBot="1">
      <c r="A307" s="3811" t="s">
        <v>7087</v>
      </c>
      <c r="B307" s="3812"/>
      <c r="C307" s="3812"/>
      <c r="D307" s="3812"/>
      <c r="E307" s="3812"/>
      <c r="F307" s="3812"/>
      <c r="G307" s="3812"/>
      <c r="H307" s="3812"/>
      <c r="I307" s="3812"/>
      <c r="J307" s="3812"/>
      <c r="K307" s="3812"/>
      <c r="L307" s="3812"/>
      <c r="M307" s="3812"/>
      <c r="N307" s="3812"/>
      <c r="O307" s="3812"/>
      <c r="P307" s="3813"/>
      <c r="Q307" s="1865"/>
    </row>
    <row r="308" spans="1:19" s="1783" customFormat="1" ht="15.95" customHeight="1" thickTop="1">
      <c r="B308" s="1904" t="s">
        <v>1399</v>
      </c>
      <c r="C308" s="1807"/>
      <c r="D308" s="1904"/>
      <c r="E308" s="2007"/>
      <c r="F308" s="1951"/>
      <c r="G308" s="1951"/>
      <c r="H308" s="1951"/>
      <c r="I308" s="1951"/>
      <c r="J308" s="1951"/>
      <c r="K308" s="1951"/>
      <c r="L308" s="1951"/>
      <c r="M308" s="1951"/>
      <c r="N308" s="1924"/>
      <c r="O308" s="1787"/>
      <c r="P308" s="1786"/>
      <c r="Q308" s="1782"/>
    </row>
    <row r="309" spans="1:19" ht="15.95" customHeight="1">
      <c r="A309" s="3804"/>
      <c r="B309" s="3805"/>
      <c r="C309" s="3805"/>
      <c r="D309" s="3805"/>
      <c r="E309" s="3805"/>
      <c r="F309" s="3805"/>
      <c r="G309" s="3805"/>
      <c r="H309" s="3805"/>
      <c r="I309" s="3805"/>
      <c r="J309" s="3805"/>
      <c r="K309" s="3805"/>
      <c r="L309" s="3805"/>
      <c r="M309" s="3805"/>
      <c r="N309" s="3805"/>
      <c r="O309" s="3805"/>
      <c r="P309" s="3806"/>
      <c r="Q309" s="1908"/>
    </row>
    <row r="310" spans="1:19" ht="7.5" customHeight="1">
      <c r="A310" s="1783"/>
      <c r="B310" s="1783"/>
      <c r="C310" s="1817"/>
      <c r="D310" s="1817"/>
      <c r="E310" s="1817"/>
      <c r="F310" s="1817"/>
      <c r="G310" s="1817"/>
      <c r="H310" s="1817"/>
      <c r="I310" s="1817"/>
      <c r="J310" s="1817"/>
      <c r="K310" s="1817"/>
      <c r="L310" s="1817"/>
      <c r="M310" s="1817"/>
      <c r="N310" s="1906"/>
      <c r="O310" s="1907"/>
      <c r="P310" s="1786"/>
    </row>
    <row r="311" spans="1:19" s="1918" customFormat="1" ht="7.5" customHeight="1" thickBot="1">
      <c r="A311" s="1919"/>
      <c r="B311" s="1919"/>
      <c r="C311" s="1952"/>
      <c r="D311" s="1952"/>
      <c r="E311" s="1952"/>
      <c r="F311" s="1952"/>
      <c r="G311" s="1952"/>
      <c r="H311" s="1952"/>
      <c r="I311" s="1952"/>
      <c r="J311" s="1952"/>
      <c r="K311" s="1952"/>
      <c r="L311" s="1952"/>
      <c r="M311" s="1952"/>
      <c r="N311" s="1953"/>
      <c r="O311" s="1954"/>
      <c r="P311" s="1921"/>
    </row>
    <row r="312" spans="1:19" ht="15.95" customHeight="1" thickBot="1">
      <c r="A312" s="1802" t="s">
        <v>1529</v>
      </c>
      <c r="B312" s="1803" t="s">
        <v>1886</v>
      </c>
      <c r="D312" s="1882"/>
      <c r="G312" s="1817"/>
      <c r="H312" s="1817"/>
      <c r="I312" s="1817"/>
      <c r="J312" s="1817"/>
      <c r="K312" s="1817"/>
      <c r="L312" s="1817"/>
      <c r="M312" s="1786">
        <v>2</v>
      </c>
      <c r="N312" s="1910"/>
      <c r="O312" s="1858">
        <f>IF(AND($F$36="New Supply",$O$36="9%"),MIN($M312,O314+O316),0)</f>
        <v>0</v>
      </c>
      <c r="P312" s="1858">
        <f>IF(AND($F$36="New Supply",$O$36="9%"),MIN($M312,P314+P316),0)</f>
        <v>0</v>
      </c>
      <c r="Q312" s="1859" t="s">
        <v>1716</v>
      </c>
      <c r="R312" s="1957" t="str">
        <f>IF(AND(O312&gt;0,NOT($F$36="New Supply")), "Ineligible to score in this section, not New Supply!","")</f>
        <v/>
      </c>
      <c r="S312" s="2667" t="s">
        <v>1784</v>
      </c>
    </row>
    <row r="313" spans="1:19" s="1813" customFormat="1" ht="15.95" customHeight="1">
      <c r="A313" s="1990"/>
      <c r="E313" s="1983" t="s">
        <v>1887</v>
      </c>
      <c r="G313" s="3807" t="s">
        <v>1888</v>
      </c>
      <c r="H313" s="3808"/>
      <c r="I313" s="3808"/>
      <c r="J313" s="3808"/>
      <c r="K313" s="3808"/>
      <c r="L313" s="3809"/>
      <c r="M313" s="1941"/>
      <c r="N313" s="1941"/>
      <c r="O313" s="1941"/>
      <c r="P313" s="1941"/>
      <c r="Q313" s="1783"/>
    </row>
    <row r="314" spans="1:19" s="1813" customFormat="1" ht="15.95" customHeight="1">
      <c r="A314" s="1867" t="s">
        <v>194</v>
      </c>
      <c r="B314" s="1791" t="s">
        <v>1889</v>
      </c>
      <c r="M314" s="1941">
        <v>2</v>
      </c>
      <c r="N314" s="1962"/>
      <c r="O314" s="2677"/>
      <c r="P314" s="2031"/>
      <c r="Q314" s="1972" t="str">
        <f>IF(OR($O314=$M314,$O314=0,$O314=""),"","*CHECK!*")</f>
        <v/>
      </c>
      <c r="R314" s="1957"/>
    </row>
    <row r="315" spans="1:19" ht="15.95" customHeight="1">
      <c r="A315" s="1996"/>
      <c r="B315" s="3866" t="s">
        <v>1890</v>
      </c>
      <c r="C315" s="3867"/>
      <c r="D315" s="3867"/>
      <c r="E315" s="3867"/>
      <c r="F315" s="3867"/>
      <c r="G315" s="3867"/>
      <c r="H315" s="3867"/>
      <c r="I315" s="3867"/>
      <c r="J315" s="3867"/>
      <c r="K315" s="3867"/>
      <c r="L315" s="3867"/>
      <c r="M315" s="3867"/>
      <c r="N315" s="3867"/>
      <c r="O315" s="3867"/>
      <c r="P315" s="3868"/>
      <c r="Q315" s="1908"/>
      <c r="R315" s="1865"/>
      <c r="S315" s="1865"/>
    </row>
    <row r="316" spans="1:19" s="1813" customFormat="1" ht="15.95" customHeight="1">
      <c r="A316" s="2032" t="s">
        <v>206</v>
      </c>
      <c r="B316" s="1943" t="s">
        <v>1891</v>
      </c>
      <c r="M316" s="1941">
        <v>2</v>
      </c>
      <c r="N316" s="1962"/>
      <c r="O316" s="2677"/>
      <c r="P316" s="2031"/>
      <c r="Q316" s="1972" t="str">
        <f>IF(OR($O316=$M316,$O316=0,$O316=""),"","*CHECK!*")</f>
        <v/>
      </c>
      <c r="R316" s="1957"/>
    </row>
    <row r="317" spans="1:19" ht="15.95" customHeight="1" thickBot="1">
      <c r="A317" s="1783"/>
      <c r="B317" s="1916" t="s">
        <v>1739</v>
      </c>
      <c r="C317" s="1783"/>
      <c r="D317" s="1783"/>
      <c r="E317" s="1783"/>
      <c r="F317" s="1783"/>
      <c r="G317" s="1783"/>
      <c r="H317" s="1783"/>
      <c r="I317" s="1783"/>
      <c r="J317" s="1783"/>
      <c r="K317" s="1783"/>
      <c r="M317" s="1785"/>
      <c r="O317" s="1793"/>
    </row>
    <row r="318" spans="1:19" ht="15.95" customHeight="1" thickTop="1" thickBot="1">
      <c r="A318" s="3801"/>
      <c r="B318" s="3802"/>
      <c r="C318" s="3802"/>
      <c r="D318" s="3802"/>
      <c r="E318" s="3802"/>
      <c r="F318" s="3802"/>
      <c r="G318" s="3802"/>
      <c r="H318" s="3802"/>
      <c r="I318" s="3802"/>
      <c r="J318" s="3802"/>
      <c r="K318" s="3802"/>
      <c r="L318" s="3802"/>
      <c r="M318" s="3802"/>
      <c r="N318" s="3802"/>
      <c r="O318" s="3802"/>
      <c r="P318" s="3803"/>
      <c r="Q318" s="1865"/>
      <c r="R318" s="1865"/>
    </row>
    <row r="319" spans="1:19" ht="15.95" customHeight="1" thickTop="1">
      <c r="B319" s="1905" t="s">
        <v>1399</v>
      </c>
      <c r="C319" s="1807"/>
      <c r="D319" s="1905"/>
      <c r="E319" s="1838"/>
      <c r="F319" s="1817"/>
      <c r="G319" s="1817"/>
      <c r="H319" s="1817"/>
      <c r="I319" s="1817"/>
      <c r="J319" s="1817"/>
      <c r="K319" s="1817"/>
      <c r="L319" s="1817"/>
      <c r="M319" s="1817"/>
      <c r="N319" s="1906"/>
      <c r="O319" s="1907"/>
      <c r="P319" s="1786"/>
    </row>
    <row r="320" spans="1:19" ht="15.95" customHeight="1">
      <c r="A320" s="3804"/>
      <c r="B320" s="3805"/>
      <c r="C320" s="3805"/>
      <c r="D320" s="3805"/>
      <c r="E320" s="3805"/>
      <c r="F320" s="3805"/>
      <c r="G320" s="3805"/>
      <c r="H320" s="3805"/>
      <c r="I320" s="3805"/>
      <c r="J320" s="3805"/>
      <c r="K320" s="3805"/>
      <c r="L320" s="3805"/>
      <c r="M320" s="3805"/>
      <c r="N320" s="3805"/>
      <c r="O320" s="3805"/>
      <c r="P320" s="3806"/>
      <c r="Q320" s="1908"/>
    </row>
    <row r="321" spans="1:18" ht="7.5" customHeight="1">
      <c r="A321" s="1783"/>
      <c r="B321" s="1783"/>
      <c r="C321" s="1817"/>
      <c r="D321" s="1817"/>
      <c r="E321" s="1817"/>
      <c r="F321" s="1817"/>
      <c r="G321" s="1817"/>
      <c r="H321" s="1817"/>
      <c r="I321" s="1817"/>
      <c r="J321" s="1817"/>
      <c r="K321" s="1817"/>
      <c r="L321" s="1817"/>
      <c r="M321" s="1817"/>
      <c r="N321" s="1906"/>
      <c r="O321" s="1907"/>
      <c r="P321" s="1786"/>
    </row>
    <row r="322" spans="1:18" s="1918" customFormat="1" ht="7.5" customHeight="1" thickBot="1">
      <c r="A322" s="1919"/>
      <c r="B322" s="1919"/>
      <c r="C322" s="1952"/>
      <c r="D322" s="1952"/>
      <c r="E322" s="1952"/>
      <c r="F322" s="1952"/>
      <c r="G322" s="1952"/>
      <c r="H322" s="1952"/>
      <c r="I322" s="1952"/>
      <c r="J322" s="1952"/>
      <c r="K322" s="1952"/>
      <c r="L322" s="1952"/>
      <c r="M322" s="1952"/>
      <c r="N322" s="1953"/>
      <c r="O322" s="1954"/>
      <c r="P322" s="1921"/>
    </row>
    <row r="323" spans="1:18" s="1783" customFormat="1" ht="15.95" customHeight="1" thickBot="1">
      <c r="A323" s="1990" t="s">
        <v>1536</v>
      </c>
      <c r="B323" s="1803" t="s">
        <v>1892</v>
      </c>
      <c r="D323" s="1803"/>
      <c r="E323" s="1803"/>
      <c r="L323" s="1888" t="str">
        <f>IF(OR($O323=$M323,$O323&lt;=0,$O323=""),"","* * Check Score! * *")</f>
        <v/>
      </c>
      <c r="M323" s="1786">
        <v>10</v>
      </c>
      <c r="N323" s="1785"/>
      <c r="O323" s="1858">
        <f>MIN($M$323,O325-O326+O327)</f>
        <v>10</v>
      </c>
      <c r="P323" s="1858">
        <f>MIN($M$323,P325-P326+P327)</f>
        <v>10</v>
      </c>
      <c r="Q323" s="1859" t="s">
        <v>1716</v>
      </c>
    </row>
    <row r="324" spans="1:18" s="1783" customFormat="1" ht="15.95" hidden="1" customHeight="1">
      <c r="A324" s="1990"/>
      <c r="B324" s="1803"/>
      <c r="D324" s="1803"/>
      <c r="E324" s="1803"/>
      <c r="L324" s="1888"/>
      <c r="M324" s="1786"/>
      <c r="N324" s="1785"/>
      <c r="O324" s="1785"/>
      <c r="P324" s="1785"/>
      <c r="Q324" s="1859"/>
    </row>
    <row r="325" spans="1:18" s="1783" customFormat="1" ht="15.95" customHeight="1">
      <c r="A325" s="1990"/>
      <c r="B325" s="1791" t="s">
        <v>1893</v>
      </c>
      <c r="D325" s="1803"/>
      <c r="E325" s="1803"/>
      <c r="L325" s="1888"/>
      <c r="M325" s="1786"/>
      <c r="N325" s="1785"/>
      <c r="O325" s="2033">
        <v>10</v>
      </c>
      <c r="P325" s="2033">
        <v>10</v>
      </c>
      <c r="Q325" s="1859"/>
    </row>
    <row r="326" spans="1:18" s="1783" customFormat="1" ht="15.95" customHeight="1">
      <c r="A326" s="1786" t="s">
        <v>194</v>
      </c>
      <c r="B326" s="1791" t="s">
        <v>1894</v>
      </c>
      <c r="D326" s="1803"/>
      <c r="E326" s="1803"/>
      <c r="L326" s="1888"/>
      <c r="M326" s="1786"/>
      <c r="N326" s="1785"/>
      <c r="O326" s="2034">
        <v>0</v>
      </c>
      <c r="P326" s="2001"/>
      <c r="Q326" s="1859"/>
    </row>
    <row r="327" spans="1:18" s="1783" customFormat="1" ht="15.95" customHeight="1">
      <c r="A327" s="1786" t="s">
        <v>206</v>
      </c>
      <c r="B327" s="1791" t="s">
        <v>1895</v>
      </c>
      <c r="D327" s="1803"/>
      <c r="E327" s="1803"/>
      <c r="L327" s="1888"/>
      <c r="M327" s="1786"/>
      <c r="N327" s="1785"/>
      <c r="O327" s="2035">
        <v>5</v>
      </c>
      <c r="P327" s="1900"/>
      <c r="Q327" s="1859"/>
    </row>
    <row r="328" spans="1:18" s="1783" customFormat="1" ht="15.95" customHeight="1">
      <c r="A328" s="1801"/>
      <c r="B328" s="1801" t="s">
        <v>1399</v>
      </c>
      <c r="D328" s="1801"/>
      <c r="E328" s="1951"/>
      <c r="F328" s="1951"/>
      <c r="G328" s="1951"/>
      <c r="H328" s="1951"/>
      <c r="I328" s="1951"/>
      <c r="J328" s="1951"/>
      <c r="K328" s="1951"/>
      <c r="L328" s="1951"/>
      <c r="M328" s="1951"/>
      <c r="N328" s="1924"/>
      <c r="O328" s="1787"/>
      <c r="P328" s="1786"/>
    </row>
    <row r="329" spans="1:18" ht="15.95" customHeight="1">
      <c r="A329" s="3804"/>
      <c r="B329" s="3805"/>
      <c r="C329" s="3805"/>
      <c r="D329" s="3805"/>
      <c r="E329" s="3805"/>
      <c r="F329" s="3805"/>
      <c r="G329" s="3805"/>
      <c r="H329" s="3805"/>
      <c r="I329" s="3805"/>
      <c r="J329" s="3805"/>
      <c r="K329" s="3805"/>
      <c r="L329" s="3805"/>
      <c r="M329" s="3805"/>
      <c r="N329" s="3805"/>
      <c r="O329" s="3805"/>
      <c r="P329" s="3806"/>
      <c r="Q329" s="1865"/>
      <c r="R329" s="1865"/>
    </row>
    <row r="330" spans="1:18" ht="7.5" customHeight="1">
      <c r="A330" s="1990"/>
      <c r="B330" s="1783"/>
      <c r="C330" s="1817"/>
      <c r="D330" s="1817"/>
      <c r="E330" s="1817"/>
      <c r="F330" s="1817"/>
      <c r="G330" s="1817"/>
      <c r="H330" s="1817"/>
      <c r="I330" s="1817"/>
      <c r="J330" s="1817"/>
      <c r="K330" s="1817"/>
      <c r="L330" s="1817"/>
      <c r="M330" s="1817"/>
      <c r="N330" s="1906"/>
      <c r="O330" s="1907"/>
      <c r="P330" s="1786"/>
    </row>
    <row r="331" spans="1:18" s="1918" customFormat="1" ht="7.5" customHeight="1" thickBot="1">
      <c r="A331" s="2036"/>
      <c r="B331" s="1919"/>
      <c r="C331" s="1952"/>
      <c r="D331" s="1952"/>
      <c r="E331" s="1952"/>
      <c r="F331" s="1952"/>
      <c r="G331" s="1952"/>
      <c r="H331" s="1952"/>
      <c r="I331" s="1952"/>
      <c r="J331" s="1952"/>
      <c r="K331" s="1952"/>
      <c r="L331" s="1952"/>
      <c r="M331" s="1952"/>
      <c r="N331" s="1953"/>
      <c r="O331" s="1954"/>
      <c r="P331" s="1921"/>
    </row>
    <row r="332" spans="1:18" ht="15.95" customHeight="1" thickBot="1">
      <c r="A332" s="1990" t="s">
        <v>1543</v>
      </c>
      <c r="B332" s="1803" t="s">
        <v>1896</v>
      </c>
      <c r="C332" s="1817"/>
      <c r="D332" s="1817"/>
      <c r="E332" s="1817"/>
      <c r="F332" s="1817"/>
      <c r="G332" s="1937"/>
      <c r="H332" s="1817"/>
      <c r="K332" s="1817"/>
      <c r="L332" s="1817"/>
      <c r="M332" s="1786">
        <v>3</v>
      </c>
      <c r="N332" s="1906"/>
      <c r="O332" s="1858">
        <f>IF(OR((O333+O334+O335+O336)&gt;3,(O333+O334+O335)&gt;1,O336&gt;$M$336),"Check",IF((O333+O334+O335+O336)&lt;=$M$332,(O333+O334+O335+O336),""))</f>
        <v>3</v>
      </c>
      <c r="P332" s="1858">
        <f>IF(OR((P333+P334+P335+P336)&gt;3,(P333+P334+P335)&gt;1,P336&gt;$M$336),"Check",IF((P333+P334+P335+P336)&lt;=$M$332,(P333+P334+P335+P336),""))</f>
        <v>2</v>
      </c>
      <c r="Q332" s="1859" t="s">
        <v>1716</v>
      </c>
      <c r="R332" s="1957"/>
    </row>
    <row r="333" spans="1:18" ht="15.95" customHeight="1">
      <c r="A333" s="1786" t="s">
        <v>194</v>
      </c>
      <c r="B333" s="1791" t="s">
        <v>1897</v>
      </c>
      <c r="C333" s="1783"/>
      <c r="D333" s="1783"/>
      <c r="E333" s="1791"/>
      <c r="F333" s="1783"/>
      <c r="G333" s="1783"/>
      <c r="H333" s="1783"/>
      <c r="I333" s="1783"/>
      <c r="J333" s="1783"/>
      <c r="K333" s="1785"/>
      <c r="L333" s="1910"/>
      <c r="M333" s="1785">
        <v>1</v>
      </c>
      <c r="N333" s="2037"/>
      <c r="O333" s="1966">
        <v>1</v>
      </c>
      <c r="P333" s="1967"/>
      <c r="Q333" s="1972" t="str">
        <f>IF(OR($O333=$M333,$O333=0,$O333=""),"","*CHECK!*")</f>
        <v/>
      </c>
      <c r="R333" s="1957"/>
    </row>
    <row r="334" spans="1:18" s="1813" customFormat="1" ht="15.95" customHeight="1">
      <c r="A334" s="1786" t="s">
        <v>206</v>
      </c>
      <c r="B334" s="1791" t="s">
        <v>1898</v>
      </c>
      <c r="C334" s="1911"/>
      <c r="D334" s="1911"/>
      <c r="E334" s="1911"/>
      <c r="F334" s="1911"/>
      <c r="G334" s="1783"/>
      <c r="H334" s="1911"/>
      <c r="I334" s="1911"/>
      <c r="J334" s="1911"/>
      <c r="K334" s="1911"/>
      <c r="L334" s="1911"/>
      <c r="M334" s="1785">
        <v>1</v>
      </c>
      <c r="N334" s="2037"/>
      <c r="O334" s="1896"/>
      <c r="P334" s="1897"/>
      <c r="Q334" s="1972" t="str">
        <f>IF(OR($O334=$M334,$O334=0,$O334=""),"","*CHECK!*")</f>
        <v/>
      </c>
      <c r="R334" s="1957"/>
    </row>
    <row r="335" spans="1:18" ht="15.95" customHeight="1">
      <c r="A335" s="1786" t="s">
        <v>227</v>
      </c>
      <c r="B335" s="1791" t="s">
        <v>1899</v>
      </c>
      <c r="C335" s="1783"/>
      <c r="D335" s="1783"/>
      <c r="E335" s="1783"/>
      <c r="F335" s="1783"/>
      <c r="G335" s="1783"/>
      <c r="H335" s="1783"/>
      <c r="I335" s="1783"/>
      <c r="J335" s="1783"/>
      <c r="K335" s="1783"/>
      <c r="L335" s="1783"/>
      <c r="M335" s="1785">
        <v>1</v>
      </c>
      <c r="N335" s="2037"/>
      <c r="O335" s="1948"/>
      <c r="P335" s="1949"/>
      <c r="Q335" s="1972" t="str">
        <f>IF(OR($O335=$M335,$O335=0,$O335=""),"","*CHECK!*")</f>
        <v/>
      </c>
      <c r="R335" s="1957"/>
    </row>
    <row r="336" spans="1:18" s="1783" customFormat="1" ht="15.95" customHeight="1">
      <c r="A336" s="1786" t="s">
        <v>229</v>
      </c>
      <c r="B336" s="1791" t="s">
        <v>1900</v>
      </c>
      <c r="M336" s="1785">
        <v>2</v>
      </c>
      <c r="N336" s="2037"/>
      <c r="O336" s="1958">
        <f>O337-O338</f>
        <v>2</v>
      </c>
      <c r="P336" s="1958">
        <f>P337-P338</f>
        <v>2</v>
      </c>
      <c r="Q336" s="1972" t="str">
        <f>IF(OR($O336=$M336,$O336=0,$O336=""),"","*CHECK!*")</f>
        <v/>
      </c>
    </row>
    <row r="337" spans="1:18" s="1783" customFormat="1" ht="15.95" customHeight="1">
      <c r="A337" s="1990"/>
      <c r="C337" s="1791" t="s">
        <v>1893</v>
      </c>
      <c r="D337" s="1803"/>
      <c r="E337" s="1803"/>
      <c r="L337" s="1888"/>
      <c r="M337" s="1786"/>
      <c r="N337" s="1785"/>
      <c r="O337" s="2926">
        <v>2</v>
      </c>
      <c r="P337" s="2926">
        <v>2</v>
      </c>
      <c r="Q337" s="1859"/>
    </row>
    <row r="338" spans="1:18" s="1783" customFormat="1" ht="15.95" customHeight="1">
      <c r="A338" s="1990"/>
      <c r="C338" s="1791" t="s">
        <v>1724</v>
      </c>
      <c r="D338" s="1803"/>
      <c r="E338" s="1803"/>
      <c r="L338" s="1888"/>
      <c r="M338" s="1786"/>
      <c r="N338" s="1785"/>
      <c r="O338" s="2038">
        <v>0</v>
      </c>
      <c r="P338" s="1961"/>
      <c r="Q338" s="1859"/>
      <c r="R338" s="1957"/>
    </row>
    <row r="339" spans="1:18" ht="15.95" customHeight="1" thickBot="1">
      <c r="A339" s="1783"/>
      <c r="B339" s="1916" t="s">
        <v>1739</v>
      </c>
      <c r="C339" s="1783"/>
      <c r="D339" s="1783"/>
      <c r="E339" s="1783"/>
      <c r="F339" s="1783"/>
      <c r="G339" s="1783"/>
      <c r="H339" s="1783"/>
      <c r="I339" s="1783"/>
      <c r="J339" s="1783"/>
      <c r="K339" s="1783"/>
      <c r="M339" s="1785"/>
      <c r="O339" s="1793"/>
    </row>
    <row r="340" spans="1:18" ht="37.5" customHeight="1" thickTop="1" thickBot="1">
      <c r="A340" s="3811" t="s">
        <v>7066</v>
      </c>
      <c r="B340" s="3812"/>
      <c r="C340" s="3812"/>
      <c r="D340" s="3812"/>
      <c r="E340" s="3812"/>
      <c r="F340" s="3812"/>
      <c r="G340" s="3812"/>
      <c r="H340" s="3812"/>
      <c r="I340" s="3812"/>
      <c r="J340" s="3812"/>
      <c r="K340" s="3812"/>
      <c r="L340" s="3812"/>
      <c r="M340" s="3812"/>
      <c r="N340" s="3812"/>
      <c r="O340" s="3812"/>
      <c r="P340" s="3813"/>
      <c r="Q340" s="1865"/>
      <c r="R340" s="1865"/>
    </row>
    <row r="341" spans="1:18" ht="15.95" customHeight="1" thickTop="1">
      <c r="B341" s="1905" t="s">
        <v>1399</v>
      </c>
      <c r="C341" s="1807"/>
      <c r="D341" s="1905"/>
      <c r="E341" s="1838"/>
      <c r="F341" s="1817"/>
      <c r="G341" s="1817"/>
      <c r="H341" s="1817"/>
      <c r="I341" s="1817"/>
      <c r="J341" s="1817"/>
      <c r="K341" s="1817"/>
      <c r="L341" s="1817"/>
      <c r="M341" s="1817"/>
      <c r="N341" s="1906"/>
      <c r="O341" s="1907"/>
      <c r="P341" s="1786"/>
    </row>
    <row r="342" spans="1:18" ht="15.95" customHeight="1">
      <c r="A342" s="3804"/>
      <c r="B342" s="3805"/>
      <c r="C342" s="3805"/>
      <c r="D342" s="3805"/>
      <c r="E342" s="3805"/>
      <c r="F342" s="3805"/>
      <c r="G342" s="3805"/>
      <c r="H342" s="3805"/>
      <c r="I342" s="3805"/>
      <c r="J342" s="3805"/>
      <c r="K342" s="3805"/>
      <c r="L342" s="3805"/>
      <c r="M342" s="3805"/>
      <c r="N342" s="3805"/>
      <c r="O342" s="3805"/>
      <c r="P342" s="3806"/>
      <c r="Q342" s="1908"/>
    </row>
    <row r="343" spans="1:18" ht="7.5" customHeight="1">
      <c r="A343" s="1990"/>
      <c r="B343" s="1783"/>
      <c r="C343" s="1817"/>
      <c r="D343" s="1817"/>
      <c r="E343" s="1817"/>
      <c r="F343" s="1817"/>
      <c r="G343" s="1817"/>
      <c r="H343" s="1817"/>
      <c r="I343" s="1817"/>
      <c r="J343" s="1817"/>
      <c r="K343" s="1817"/>
      <c r="L343" s="1817"/>
      <c r="M343" s="1817"/>
      <c r="N343" s="1906"/>
      <c r="O343" s="1907"/>
      <c r="P343" s="1786"/>
    </row>
    <row r="344" spans="1:18" s="1918" customFormat="1" ht="7.5" customHeight="1" thickBot="1">
      <c r="A344" s="2036"/>
      <c r="B344" s="1919"/>
      <c r="C344" s="1952"/>
      <c r="D344" s="1952"/>
      <c r="E344" s="1952"/>
      <c r="F344" s="1952"/>
      <c r="G344" s="1952"/>
      <c r="H344" s="1952"/>
      <c r="I344" s="1952"/>
      <c r="J344" s="1952"/>
      <c r="K344" s="1952"/>
      <c r="L344" s="1952"/>
      <c r="M344" s="1952"/>
      <c r="N344" s="1953"/>
      <c r="O344" s="1954"/>
      <c r="P344" s="1921"/>
    </row>
    <row r="345" spans="1:18" s="1783" customFormat="1" ht="15.95" customHeight="1" thickBot="1">
      <c r="A345" s="1990" t="s">
        <v>1556</v>
      </c>
      <c r="B345" s="1803" t="s">
        <v>1901</v>
      </c>
      <c r="D345" s="1803"/>
      <c r="E345" s="1803"/>
      <c r="L345" s="2093" t="str">
        <f>IF(AND($O345&gt;0,NOT($F$36="Preservation")),"Ineligible, not Preservation!","")</f>
        <v/>
      </c>
      <c r="M345" s="1786">
        <v>6</v>
      </c>
      <c r="N345" s="1785"/>
      <c r="O345" s="2010">
        <v>4</v>
      </c>
      <c r="P345" s="1973"/>
      <c r="Q345" s="1859" t="s">
        <v>1716</v>
      </c>
      <c r="R345" s="1957"/>
    </row>
    <row r="346" spans="1:18" ht="15.95" customHeight="1" thickBot="1">
      <c r="A346" s="1783"/>
      <c r="B346" s="1916" t="s">
        <v>1739</v>
      </c>
      <c r="C346" s="1783"/>
      <c r="D346" s="1783"/>
      <c r="E346" s="1783"/>
      <c r="F346" s="1783"/>
      <c r="G346" s="1783"/>
      <c r="H346" s="1783"/>
      <c r="I346" s="1783"/>
      <c r="J346" s="1783"/>
      <c r="K346" s="1783"/>
      <c r="M346" s="1785"/>
      <c r="O346" s="1793"/>
    </row>
    <row r="347" spans="1:18" ht="15.95" customHeight="1" thickTop="1" thickBot="1">
      <c r="A347" s="3811" t="s">
        <v>7068</v>
      </c>
      <c r="B347" s="3812"/>
      <c r="C347" s="3812"/>
      <c r="D347" s="3812"/>
      <c r="E347" s="3812"/>
      <c r="F347" s="3812"/>
      <c r="G347" s="3812"/>
      <c r="H347" s="3812"/>
      <c r="I347" s="3812"/>
      <c r="J347" s="3812"/>
      <c r="K347" s="3812"/>
      <c r="L347" s="3812"/>
      <c r="M347" s="3812"/>
      <c r="N347" s="3812"/>
      <c r="O347" s="3812"/>
      <c r="P347" s="3813"/>
      <c r="Q347" s="1865"/>
      <c r="R347" s="1865"/>
    </row>
    <row r="348" spans="1:18" s="1783" customFormat="1" ht="15.95" customHeight="1" thickTop="1">
      <c r="A348" s="1801"/>
      <c r="B348" s="1801" t="s">
        <v>1399</v>
      </c>
      <c r="D348" s="1801"/>
      <c r="E348" s="1951"/>
      <c r="F348" s="1951"/>
      <c r="G348" s="1951"/>
      <c r="H348" s="1951"/>
      <c r="I348" s="1951"/>
      <c r="J348" s="1951"/>
      <c r="K348" s="1951"/>
      <c r="L348" s="1951"/>
      <c r="M348" s="1951"/>
      <c r="N348" s="1924"/>
      <c r="O348" s="1787"/>
      <c r="P348" s="1786"/>
    </row>
    <row r="349" spans="1:18" ht="15.95" customHeight="1">
      <c r="A349" s="3804"/>
      <c r="B349" s="3805"/>
      <c r="C349" s="3805"/>
      <c r="D349" s="3805"/>
      <c r="E349" s="3805"/>
      <c r="F349" s="3805"/>
      <c r="G349" s="3805"/>
      <c r="H349" s="3805"/>
      <c r="I349" s="3805"/>
      <c r="J349" s="3805"/>
      <c r="K349" s="3805"/>
      <c r="L349" s="3805"/>
      <c r="M349" s="3805"/>
      <c r="N349" s="3805"/>
      <c r="O349" s="3805"/>
      <c r="P349" s="3806"/>
      <c r="Q349" s="1865"/>
      <c r="R349" s="1865"/>
    </row>
    <row r="350" spans="1:18" ht="9" customHeight="1">
      <c r="A350" s="1990"/>
      <c r="B350" s="1783"/>
      <c r="C350" s="1817"/>
      <c r="D350" s="1817"/>
      <c r="E350" s="1817"/>
      <c r="F350" s="1817"/>
      <c r="G350" s="1817"/>
      <c r="H350" s="1817"/>
      <c r="I350" s="1817"/>
      <c r="J350" s="1817"/>
      <c r="K350" s="1817"/>
      <c r="L350" s="1817"/>
      <c r="M350" s="1817"/>
      <c r="N350" s="1906"/>
      <c r="O350" s="1907"/>
      <c r="P350" s="1786"/>
    </row>
    <row r="351" spans="1:18" s="1918" customFormat="1" ht="9" customHeight="1" thickBot="1">
      <c r="A351" s="2036"/>
      <c r="B351" s="1919"/>
      <c r="C351" s="1952"/>
      <c r="D351" s="1952"/>
      <c r="E351" s="1952"/>
      <c r="F351" s="1952"/>
      <c r="G351" s="1952"/>
      <c r="H351" s="1952"/>
      <c r="I351" s="1952"/>
      <c r="J351" s="1952"/>
      <c r="K351" s="1952"/>
      <c r="L351" s="1952"/>
      <c r="M351" s="1952"/>
      <c r="N351" s="1953"/>
      <c r="O351" s="1954"/>
      <c r="P351" s="1921"/>
    </row>
    <row r="352" spans="1:18" s="1783" customFormat="1" ht="15.95" customHeight="1">
      <c r="A352" s="1990" t="s">
        <v>1902</v>
      </c>
      <c r="B352" s="1803" t="s">
        <v>1903</v>
      </c>
      <c r="D352" s="1803"/>
      <c r="E352" s="1803"/>
      <c r="F352" s="1796"/>
      <c r="L352" s="1972" t="str">
        <f>IF(OR($O352=$M352,$O352=0,$O352=""),"","*CHECK!*")</f>
        <v/>
      </c>
      <c r="M352" s="1786">
        <v>6</v>
      </c>
      <c r="N352" s="1785"/>
      <c r="O352" s="1785"/>
      <c r="P352" s="2039"/>
      <c r="Q352" s="1859" t="s">
        <v>1716</v>
      </c>
      <c r="R352" s="1957"/>
    </row>
    <row r="353" spans="1:18" s="1783" customFormat="1" ht="15.95" customHeight="1">
      <c r="A353" s="1990"/>
      <c r="B353" s="1783" t="s">
        <v>1904</v>
      </c>
      <c r="D353" s="1803"/>
      <c r="E353" s="1803"/>
      <c r="F353" s="1796"/>
      <c r="L353" s="1972"/>
      <c r="M353" s="1786"/>
      <c r="N353" s="1785"/>
      <c r="O353" s="1976" t="s">
        <v>1402</v>
      </c>
      <c r="P353" s="2016"/>
      <c r="Q353" s="1859"/>
      <c r="R353" s="1957"/>
    </row>
    <row r="354" spans="1:18" s="1783" customFormat="1" ht="15.95" customHeight="1">
      <c r="A354" s="1801"/>
      <c r="B354" s="1801" t="s">
        <v>1399</v>
      </c>
      <c r="D354" s="1801"/>
      <c r="E354" s="1951"/>
      <c r="F354" s="1951"/>
      <c r="G354" s="1951"/>
      <c r="H354" s="1951"/>
      <c r="I354" s="1951"/>
      <c r="J354" s="1951"/>
      <c r="K354" s="1951"/>
      <c r="L354" s="1951"/>
      <c r="M354" s="1951"/>
      <c r="N354" s="1924"/>
      <c r="O354" s="1787"/>
      <c r="P354" s="1786"/>
    </row>
    <row r="355" spans="1:18" ht="15.95" customHeight="1">
      <c r="A355" s="3804"/>
      <c r="B355" s="3805"/>
      <c r="C355" s="3805"/>
      <c r="D355" s="3805"/>
      <c r="E355" s="3805"/>
      <c r="F355" s="3805"/>
      <c r="G355" s="3805"/>
      <c r="H355" s="3805"/>
      <c r="I355" s="3805"/>
      <c r="J355" s="3805"/>
      <c r="K355" s="3805"/>
      <c r="L355" s="3805"/>
      <c r="M355" s="3805"/>
      <c r="N355" s="3805"/>
      <c r="O355" s="3805"/>
      <c r="P355" s="3806"/>
      <c r="Q355" s="1865"/>
      <c r="R355" s="1865"/>
    </row>
    <row r="356" spans="1:18" ht="9" customHeight="1">
      <c r="A356" s="1990"/>
      <c r="B356" s="1783"/>
      <c r="C356" s="1817"/>
      <c r="D356" s="1817"/>
      <c r="E356" s="1817"/>
      <c r="F356" s="1817"/>
      <c r="G356" s="1817"/>
      <c r="H356" s="1817"/>
      <c r="I356" s="1817"/>
      <c r="J356" s="1817"/>
      <c r="K356" s="1817"/>
      <c r="L356" s="1817"/>
      <c r="M356" s="1817"/>
      <c r="N356" s="1906"/>
      <c r="O356" s="1907"/>
      <c r="P356" s="1786"/>
    </row>
    <row r="357" spans="1:18" s="1918" customFormat="1" ht="9" customHeight="1" thickBot="1">
      <c r="A357" s="2036"/>
      <c r="B357" s="1919"/>
      <c r="C357" s="1952"/>
      <c r="D357" s="1952"/>
      <c r="E357" s="1952"/>
      <c r="F357" s="1952"/>
      <c r="G357" s="1952"/>
      <c r="H357" s="1952"/>
      <c r="I357" s="1952"/>
      <c r="J357" s="1952"/>
      <c r="K357" s="1952"/>
      <c r="L357" s="1952"/>
      <c r="M357" s="1952"/>
      <c r="N357" s="1953"/>
      <c r="O357" s="1954"/>
      <c r="P357" s="1921"/>
    </row>
    <row r="358" spans="1:18" s="1783" customFormat="1" ht="15.95" customHeight="1" thickBot="1">
      <c r="A358" s="1990" t="s">
        <v>1701</v>
      </c>
      <c r="B358" s="1803" t="s">
        <v>1905</v>
      </c>
      <c r="D358" s="1803"/>
      <c r="L358" s="2093" t="str">
        <f>IF(AND($O358&gt;0,NOT($F$36="Preservation")),"Ineligible, not Preservation!","")</f>
        <v/>
      </c>
      <c r="M358" s="1786">
        <v>4</v>
      </c>
      <c r="N358" s="1785"/>
      <c r="O358" s="2010">
        <v>3</v>
      </c>
      <c r="P358" s="1973"/>
      <c r="Q358" s="1859" t="s">
        <v>1716</v>
      </c>
      <c r="R358" s="1957"/>
    </row>
    <row r="359" spans="1:18" ht="15.95" customHeight="1" thickBot="1">
      <c r="A359" s="1783"/>
      <c r="B359" s="1916" t="s">
        <v>1739</v>
      </c>
      <c r="C359" s="1783"/>
      <c r="D359" s="1783"/>
      <c r="E359" s="1783"/>
      <c r="F359" s="1783"/>
      <c r="G359" s="1783"/>
      <c r="H359" s="1783"/>
      <c r="I359" s="1783"/>
      <c r="J359" s="1783"/>
      <c r="K359" s="1783"/>
      <c r="M359" s="1785"/>
      <c r="O359" s="1793"/>
    </row>
    <row r="360" spans="1:18" ht="15.95" customHeight="1" thickTop="1" thickBot="1">
      <c r="A360" s="3811" t="s">
        <v>7067</v>
      </c>
      <c r="B360" s="3812"/>
      <c r="C360" s="3812"/>
      <c r="D360" s="3812"/>
      <c r="E360" s="3812"/>
      <c r="F360" s="3812"/>
      <c r="G360" s="3812"/>
      <c r="H360" s="3812"/>
      <c r="I360" s="3812"/>
      <c r="J360" s="3812"/>
      <c r="K360" s="3812"/>
      <c r="L360" s="3812"/>
      <c r="M360" s="3812"/>
      <c r="N360" s="3812"/>
      <c r="O360" s="3812"/>
      <c r="P360" s="3813"/>
      <c r="Q360" s="1865"/>
      <c r="R360" s="1865"/>
    </row>
    <row r="361" spans="1:18" s="1783" customFormat="1" ht="15.95" customHeight="1" thickTop="1">
      <c r="A361" s="1801"/>
      <c r="B361" s="1801" t="s">
        <v>1399</v>
      </c>
      <c r="D361" s="1801"/>
      <c r="E361" s="1951"/>
      <c r="F361" s="1951"/>
      <c r="G361" s="1951"/>
      <c r="H361" s="1951"/>
      <c r="I361" s="1951"/>
      <c r="J361" s="1951"/>
      <c r="K361" s="1951"/>
      <c r="L361" s="1951"/>
      <c r="M361" s="1951"/>
      <c r="N361" s="1924"/>
      <c r="O361" s="1787"/>
      <c r="P361" s="1786"/>
    </row>
    <row r="362" spans="1:18" ht="15.95" customHeight="1">
      <c r="A362" s="3804"/>
      <c r="B362" s="3805"/>
      <c r="C362" s="3805"/>
      <c r="D362" s="3805"/>
      <c r="E362" s="3805"/>
      <c r="F362" s="3805"/>
      <c r="G362" s="3805"/>
      <c r="H362" s="3805"/>
      <c r="I362" s="3805"/>
      <c r="J362" s="3805"/>
      <c r="K362" s="3805"/>
      <c r="L362" s="3805"/>
      <c r="M362" s="3805"/>
      <c r="N362" s="3805"/>
      <c r="O362" s="3805"/>
      <c r="P362" s="3806"/>
      <c r="Q362" s="1865"/>
      <c r="R362" s="1865"/>
    </row>
    <row r="363" spans="1:18" ht="9" customHeight="1">
      <c r="A363" s="1990"/>
      <c r="B363" s="1783"/>
      <c r="C363" s="1817"/>
      <c r="D363" s="1817"/>
      <c r="E363" s="1817"/>
      <c r="F363" s="1817"/>
      <c r="G363" s="1817"/>
      <c r="H363" s="1817"/>
      <c r="I363" s="1817"/>
      <c r="J363" s="1817"/>
      <c r="K363" s="1817"/>
      <c r="L363" s="1817"/>
      <c r="M363" s="1817"/>
      <c r="N363" s="1906"/>
      <c r="O363" s="1907"/>
      <c r="P363" s="1786"/>
    </row>
    <row r="364" spans="1:18" s="1918" customFormat="1" ht="9" customHeight="1" thickBot="1">
      <c r="A364" s="2036"/>
      <c r="B364" s="1919"/>
      <c r="C364" s="1952"/>
      <c r="D364" s="1952"/>
      <c r="E364" s="1952"/>
      <c r="F364" s="1952"/>
      <c r="G364" s="1952"/>
      <c r="H364" s="1952"/>
      <c r="I364" s="1952"/>
      <c r="J364" s="1952"/>
      <c r="K364" s="1952"/>
      <c r="L364" s="1952"/>
      <c r="M364" s="1952"/>
      <c r="N364" s="1953"/>
      <c r="O364" s="1954"/>
      <c r="P364" s="1921"/>
    </row>
    <row r="365" spans="1:18" s="1783" customFormat="1" ht="15.95" customHeight="1" thickBot="1">
      <c r="A365" s="1990" t="s">
        <v>1703</v>
      </c>
      <c r="B365" s="1803" t="s">
        <v>1906</v>
      </c>
      <c r="D365" s="1803"/>
      <c r="G365" s="1937"/>
      <c r="L365" s="2093" t="str">
        <f>IF(AND(SUM(O366,O367)&gt;0,NOT($F$36="Preservation")),"Ineligible, not Preservation!","")</f>
        <v/>
      </c>
      <c r="M365" s="1786">
        <v>6</v>
      </c>
      <c r="N365" s="1785"/>
      <c r="O365" s="1858">
        <f>IF($F$36="Preservation",IF(SUM(O366:O367)&gt;$M365,"Check",SUM(O366:O367)),0)</f>
        <v>2</v>
      </c>
      <c r="P365" s="1858">
        <f>IF($F$36="Preservation",IF(SUM(P366:P367)&gt;$M365,"Check",SUM(P366:P367)),0)</f>
        <v>0</v>
      </c>
      <c r="Q365" s="1859" t="s">
        <v>1716</v>
      </c>
      <c r="R365" s="1957"/>
    </row>
    <row r="366" spans="1:18" ht="15.95" customHeight="1">
      <c r="A366" s="1786" t="s">
        <v>194</v>
      </c>
      <c r="B366" s="1791" t="s">
        <v>1907</v>
      </c>
      <c r="E366" s="1883"/>
      <c r="F366" s="1783"/>
      <c r="G366" s="1783"/>
      <c r="H366" s="1783"/>
      <c r="K366" s="1785"/>
      <c r="L366" s="1886"/>
      <c r="M366" s="1785">
        <v>6</v>
      </c>
      <c r="N366" s="2037"/>
      <c r="O366" s="2040"/>
      <c r="P366" s="2041"/>
      <c r="Q366" s="1972" t="str">
        <f>IF(OR($O366&lt;=$M366,$O366=0,$O366=""),"","*CHECK!*")</f>
        <v/>
      </c>
      <c r="R366" s="1957"/>
    </row>
    <row r="367" spans="1:18" s="1813" customFormat="1" ht="15.95" customHeight="1">
      <c r="A367" s="2000" t="s">
        <v>206</v>
      </c>
      <c r="B367" s="1943" t="s">
        <v>1908</v>
      </c>
      <c r="C367" s="1814"/>
      <c r="D367" s="1814"/>
      <c r="E367" s="1814"/>
      <c r="F367" s="1814"/>
      <c r="H367" s="1814"/>
      <c r="I367" s="1814"/>
      <c r="J367" s="1911"/>
      <c r="K367" s="1911"/>
      <c r="L367" s="1911"/>
      <c r="M367" s="1785">
        <v>4</v>
      </c>
      <c r="N367" s="2037"/>
      <c r="O367" s="1899">
        <v>2</v>
      </c>
      <c r="P367" s="1900"/>
      <c r="Q367" s="1972" t="str">
        <f>IF(OR($O367&lt;=$M367,$O367=0,$O367=""),"","*CHECK!*")</f>
        <v/>
      </c>
      <c r="R367" s="1957"/>
    </row>
    <row r="368" spans="1:18" ht="15.95" customHeight="1" thickBot="1">
      <c r="A368" s="1783"/>
      <c r="B368" s="1916" t="s">
        <v>1739</v>
      </c>
      <c r="C368" s="1783"/>
      <c r="D368" s="1783"/>
      <c r="E368" s="1783"/>
      <c r="F368" s="1783"/>
      <c r="G368" s="1783"/>
      <c r="H368" s="1783"/>
      <c r="I368" s="1783"/>
      <c r="J368" s="1783"/>
      <c r="K368" s="1783"/>
      <c r="M368" s="1785"/>
      <c r="O368" s="1793"/>
    </row>
    <row r="369" spans="1:18" ht="15.95" customHeight="1" thickTop="1" thickBot="1">
      <c r="A369" s="3811" t="s">
        <v>7069</v>
      </c>
      <c r="B369" s="3812"/>
      <c r="C369" s="3812"/>
      <c r="D369" s="3812"/>
      <c r="E369" s="3812"/>
      <c r="F369" s="3812"/>
      <c r="G369" s="3812"/>
      <c r="H369" s="3812"/>
      <c r="I369" s="3812"/>
      <c r="J369" s="3812"/>
      <c r="K369" s="3812"/>
      <c r="L369" s="3812"/>
      <c r="M369" s="3812"/>
      <c r="N369" s="3812"/>
      <c r="O369" s="3812"/>
      <c r="P369" s="3813"/>
      <c r="Q369" s="1865"/>
      <c r="R369" s="1865"/>
    </row>
    <row r="370" spans="1:18" s="1783" customFormat="1" ht="15.95" customHeight="1" thickTop="1">
      <c r="A370" s="1801"/>
      <c r="B370" s="1801" t="s">
        <v>1399</v>
      </c>
      <c r="D370" s="1801"/>
      <c r="E370" s="1951"/>
      <c r="F370" s="1951"/>
      <c r="G370" s="1951"/>
      <c r="H370" s="1951"/>
      <c r="I370" s="1951"/>
      <c r="J370" s="1951"/>
      <c r="K370" s="1951"/>
      <c r="L370" s="1951"/>
      <c r="M370" s="1951"/>
      <c r="N370" s="1924"/>
      <c r="O370" s="1787"/>
      <c r="P370" s="1786"/>
    </row>
    <row r="371" spans="1:18" ht="15.95" customHeight="1">
      <c r="A371" s="3804"/>
      <c r="B371" s="3805"/>
      <c r="C371" s="3805"/>
      <c r="D371" s="3805"/>
      <c r="E371" s="3805"/>
      <c r="F371" s="3805"/>
      <c r="G371" s="3805"/>
      <c r="H371" s="3805"/>
      <c r="I371" s="3805"/>
      <c r="J371" s="3805"/>
      <c r="K371" s="3805"/>
      <c r="L371" s="3805"/>
      <c r="M371" s="3805"/>
      <c r="N371" s="3805"/>
      <c r="O371" s="3805"/>
      <c r="P371" s="3806"/>
      <c r="Q371" s="1865"/>
      <c r="R371" s="1865"/>
    </row>
    <row r="372" spans="1:18" ht="9" customHeight="1">
      <c r="A372" s="1990"/>
      <c r="B372" s="1783"/>
      <c r="C372" s="1817"/>
      <c r="D372" s="1817"/>
      <c r="E372" s="1817"/>
      <c r="F372" s="1817"/>
      <c r="G372" s="1817"/>
      <c r="H372" s="1817"/>
      <c r="I372" s="1817"/>
      <c r="J372" s="1817"/>
      <c r="K372" s="1817"/>
      <c r="L372" s="1817"/>
      <c r="M372" s="1817"/>
      <c r="N372" s="1906"/>
      <c r="O372" s="1907"/>
      <c r="P372" s="1786"/>
    </row>
    <row r="373" spans="1:18" s="1918" customFormat="1" ht="9" customHeight="1" thickBot="1">
      <c r="A373" s="2036"/>
      <c r="B373" s="1919"/>
      <c r="C373" s="1952"/>
      <c r="D373" s="1952"/>
      <c r="E373" s="1952"/>
      <c r="F373" s="1952"/>
      <c r="G373" s="1952"/>
      <c r="H373" s="1952"/>
      <c r="I373" s="1952"/>
      <c r="J373" s="1952"/>
      <c r="K373" s="1952"/>
      <c r="L373" s="1952"/>
      <c r="M373" s="1952"/>
      <c r="N373" s="1953"/>
      <c r="O373" s="1954"/>
      <c r="P373" s="1921"/>
    </row>
    <row r="374" spans="1:18" s="1783" customFormat="1" ht="15.95" customHeight="1" thickBot="1">
      <c r="A374" s="1990" t="s">
        <v>1705</v>
      </c>
      <c r="B374" s="1803" t="s">
        <v>1909</v>
      </c>
      <c r="D374" s="1803"/>
      <c r="G374" s="1937"/>
      <c r="L374" s="1972" t="str">
        <f>IF(OR($O374&lt;=$M374,$O374=0,$O374=""),"","*CHECK!*")</f>
        <v/>
      </c>
      <c r="M374" s="1786">
        <v>16</v>
      </c>
      <c r="N374" s="1785"/>
      <c r="O374" s="1858">
        <f>IF(AND($F$36="Preservation",$O$36="4%"),IF(SUM(O375:O387)&gt;$M374,"Check",SUM(O375:O387)),0)</f>
        <v>0</v>
      </c>
      <c r="P374" s="1858">
        <f>IF(AND($F$36="Preservation",$O$36="4%"),IF(SUM(P375:P387)&gt;$M374,"Check",SUM(P375:P387)),0)</f>
        <v>0</v>
      </c>
      <c r="Q374" s="1859" t="s">
        <v>1716</v>
      </c>
      <c r="R374" s="1957"/>
    </row>
    <row r="375" spans="1:18" ht="15.95" customHeight="1">
      <c r="A375" s="1786" t="s">
        <v>194</v>
      </c>
      <c r="B375" s="1791" t="s">
        <v>1910</v>
      </c>
      <c r="F375" s="1783"/>
      <c r="G375" s="1783"/>
      <c r="H375" s="1783"/>
      <c r="K375" s="1785"/>
      <c r="L375" s="1886"/>
      <c r="M375" s="1785">
        <v>10</v>
      </c>
      <c r="N375" s="2037"/>
      <c r="O375" s="2094"/>
      <c r="P375" s="2095"/>
      <c r="Q375" s="1972" t="str">
        <f>IF(OR($O375&lt;=$M375,$O375=0,$O375=""),"","*CHECK!*")</f>
        <v/>
      </c>
      <c r="R375" s="1957"/>
    </row>
    <row r="376" spans="1:18" ht="15.95" customHeight="1">
      <c r="A376" s="1786"/>
      <c r="B376" s="1782" t="s">
        <v>1911</v>
      </c>
      <c r="D376" s="1782" t="s">
        <v>1912</v>
      </c>
      <c r="E376" s="1783"/>
      <c r="F376" s="1783"/>
      <c r="G376" s="1783" t="s">
        <v>244</v>
      </c>
      <c r="H376" s="1783"/>
      <c r="I376" s="1783"/>
      <c r="J376" s="1783" t="s">
        <v>54</v>
      </c>
      <c r="L376" s="1799" t="s">
        <v>1913</v>
      </c>
      <c r="M376" s="3782" t="s">
        <v>1914</v>
      </c>
      <c r="N376" s="3782"/>
      <c r="O376" s="3782"/>
      <c r="P376" s="3782"/>
      <c r="Q376" s="1972"/>
    </row>
    <row r="377" spans="1:18" ht="15.95" customHeight="1">
      <c r="A377" s="1783">
        <v>1</v>
      </c>
      <c r="B377" s="3853"/>
      <c r="C377" s="3853"/>
      <c r="D377" s="3853"/>
      <c r="E377" s="3853"/>
      <c r="F377" s="3853"/>
      <c r="G377" s="3853"/>
      <c r="H377" s="3853"/>
      <c r="I377" s="3853"/>
      <c r="J377" s="3853"/>
      <c r="K377" s="3853"/>
      <c r="L377" s="2096"/>
      <c r="M377" s="3779"/>
      <c r="N377" s="3780"/>
      <c r="O377" s="3780"/>
      <c r="P377" s="3781"/>
      <c r="Q377" s="1972"/>
    </row>
    <row r="378" spans="1:18" ht="15.95" customHeight="1">
      <c r="A378" s="1783">
        <v>2</v>
      </c>
      <c r="B378" s="3819"/>
      <c r="C378" s="3819"/>
      <c r="D378" s="3819"/>
      <c r="E378" s="3819"/>
      <c r="F378" s="3819"/>
      <c r="G378" s="3819"/>
      <c r="H378" s="3819"/>
      <c r="I378" s="3819"/>
      <c r="J378" s="3819"/>
      <c r="K378" s="3819"/>
      <c r="L378" s="2097"/>
      <c r="M378" s="3783"/>
      <c r="N378" s="3784"/>
      <c r="O378" s="3784"/>
      <c r="P378" s="3785"/>
      <c r="Q378" s="1972"/>
    </row>
    <row r="379" spans="1:18" ht="15.95" customHeight="1">
      <c r="A379" s="1783">
        <v>3</v>
      </c>
      <c r="B379" s="3819"/>
      <c r="C379" s="3819"/>
      <c r="D379" s="3819"/>
      <c r="E379" s="3819"/>
      <c r="F379" s="3819"/>
      <c r="G379" s="3819"/>
      <c r="H379" s="3819"/>
      <c r="I379" s="3819"/>
      <c r="J379" s="3819"/>
      <c r="K379" s="3819"/>
      <c r="L379" s="2097"/>
      <c r="M379" s="3783"/>
      <c r="N379" s="3784"/>
      <c r="O379" s="3784"/>
      <c r="P379" s="3785"/>
      <c r="Q379" s="1972"/>
    </row>
    <row r="380" spans="1:18" ht="15.95" customHeight="1">
      <c r="A380" s="1783">
        <v>4</v>
      </c>
      <c r="B380" s="3819"/>
      <c r="C380" s="3819"/>
      <c r="D380" s="3819"/>
      <c r="E380" s="3819"/>
      <c r="F380" s="3819"/>
      <c r="G380" s="3819"/>
      <c r="H380" s="3819"/>
      <c r="I380" s="3819"/>
      <c r="J380" s="3819"/>
      <c r="K380" s="3819"/>
      <c r="L380" s="2097"/>
      <c r="M380" s="3783"/>
      <c r="N380" s="3784"/>
      <c r="O380" s="3784"/>
      <c r="P380" s="3785"/>
      <c r="Q380" s="1972"/>
    </row>
    <row r="381" spans="1:18" ht="15.95" customHeight="1">
      <c r="A381" s="1783">
        <v>5</v>
      </c>
      <c r="B381" s="3819"/>
      <c r="C381" s="3819"/>
      <c r="D381" s="3819"/>
      <c r="E381" s="3819"/>
      <c r="F381" s="3819"/>
      <c r="G381" s="3819"/>
      <c r="H381" s="3819"/>
      <c r="I381" s="3819"/>
      <c r="J381" s="3819"/>
      <c r="K381" s="3819"/>
      <c r="L381" s="2097"/>
      <c r="M381" s="3783"/>
      <c r="N381" s="3784"/>
      <c r="O381" s="3784"/>
      <c r="P381" s="3785"/>
      <c r="Q381" s="1972"/>
    </row>
    <row r="382" spans="1:18" ht="15.95" customHeight="1">
      <c r="A382" s="1783">
        <v>6</v>
      </c>
      <c r="B382" s="3819"/>
      <c r="C382" s="3819"/>
      <c r="D382" s="3819"/>
      <c r="E382" s="3819"/>
      <c r="F382" s="3819"/>
      <c r="G382" s="3819"/>
      <c r="H382" s="3819"/>
      <c r="I382" s="3819"/>
      <c r="J382" s="3819"/>
      <c r="K382" s="3819"/>
      <c r="L382" s="2097"/>
      <c r="M382" s="3783"/>
      <c r="N382" s="3784"/>
      <c r="O382" s="3784"/>
      <c r="P382" s="3785"/>
      <c r="Q382" s="1972"/>
    </row>
    <row r="383" spans="1:18" ht="15.95" customHeight="1">
      <c r="A383" s="1783">
        <v>7</v>
      </c>
      <c r="B383" s="3819"/>
      <c r="C383" s="3819"/>
      <c r="D383" s="3819"/>
      <c r="E383" s="3819"/>
      <c r="F383" s="3819"/>
      <c r="G383" s="3819"/>
      <c r="H383" s="3819"/>
      <c r="I383" s="3819"/>
      <c r="J383" s="3819"/>
      <c r="K383" s="3819"/>
      <c r="L383" s="2097"/>
      <c r="M383" s="3783"/>
      <c r="N383" s="3784"/>
      <c r="O383" s="3784"/>
      <c r="P383" s="3785"/>
      <c r="Q383" s="1972"/>
    </row>
    <row r="384" spans="1:18" ht="15.95" customHeight="1">
      <c r="A384" s="1783">
        <v>8</v>
      </c>
      <c r="B384" s="3819"/>
      <c r="C384" s="3819"/>
      <c r="D384" s="3819"/>
      <c r="E384" s="3819"/>
      <c r="F384" s="3819"/>
      <c r="G384" s="3819"/>
      <c r="H384" s="3819"/>
      <c r="I384" s="3819"/>
      <c r="J384" s="3819"/>
      <c r="K384" s="3819"/>
      <c r="L384" s="2097"/>
      <c r="M384" s="3783"/>
      <c r="N384" s="3784"/>
      <c r="O384" s="3784"/>
      <c r="P384" s="3785"/>
      <c r="Q384" s="1972"/>
    </row>
    <row r="385" spans="1:19" ht="14.25">
      <c r="A385" s="1782">
        <v>9</v>
      </c>
      <c r="B385" s="3819"/>
      <c r="C385" s="3819"/>
      <c r="D385" s="3819"/>
      <c r="E385" s="3819"/>
      <c r="F385" s="3819"/>
      <c r="G385" s="3819"/>
      <c r="H385" s="3819"/>
      <c r="I385" s="3819"/>
      <c r="J385" s="3819"/>
      <c r="K385" s="3819"/>
      <c r="L385" s="2097"/>
      <c r="M385" s="3783"/>
      <c r="N385" s="3784"/>
      <c r="O385" s="3784"/>
      <c r="P385" s="3785"/>
    </row>
    <row r="386" spans="1:19" ht="15.95" customHeight="1">
      <c r="A386" s="1783">
        <v>10</v>
      </c>
      <c r="B386" s="4046"/>
      <c r="C386" s="4046"/>
      <c r="D386" s="4046"/>
      <c r="E386" s="4046"/>
      <c r="F386" s="4046"/>
      <c r="G386" s="4046"/>
      <c r="H386" s="4046"/>
      <c r="I386" s="4046"/>
      <c r="J386" s="4046"/>
      <c r="K386" s="4046"/>
      <c r="L386" s="2098"/>
      <c r="M386" s="3831"/>
      <c r="N386" s="3832"/>
      <c r="O386" s="3832"/>
      <c r="P386" s="3833"/>
      <c r="Q386" s="1972"/>
    </row>
    <row r="387" spans="1:19" s="1813" customFormat="1" ht="15.95" customHeight="1">
      <c r="A387" s="2000" t="s">
        <v>206</v>
      </c>
      <c r="B387" s="1943" t="s">
        <v>1915</v>
      </c>
      <c r="C387" s="1814"/>
      <c r="D387" s="1814"/>
      <c r="E387" s="1814"/>
      <c r="F387" s="1814"/>
      <c r="H387" s="1814"/>
      <c r="I387" s="1814"/>
      <c r="J387" s="1911"/>
      <c r="K387" s="1911"/>
      <c r="L387" s="1911"/>
      <c r="M387" s="1785">
        <v>6</v>
      </c>
      <c r="N387" s="2037"/>
      <c r="O387" s="2103"/>
      <c r="P387" s="2104"/>
      <c r="Q387" s="1972" t="str">
        <f>IF(OR($O387&lt;=$M387,$O387=0,$O387=""),"","*CHECK!*")</f>
        <v/>
      </c>
    </row>
    <row r="388" spans="1:19" ht="15.95" customHeight="1" thickBot="1">
      <c r="A388" s="1783"/>
      <c r="B388" s="1916" t="s">
        <v>1739</v>
      </c>
      <c r="C388" s="1783"/>
      <c r="D388" s="1783"/>
      <c r="E388" s="1783"/>
      <c r="F388" s="1783"/>
      <c r="G388" s="1783"/>
      <c r="H388" s="1783"/>
      <c r="I388" s="1783"/>
      <c r="J388" s="1783"/>
      <c r="K388" s="1783"/>
      <c r="M388" s="1785"/>
      <c r="O388" s="1793"/>
    </row>
    <row r="389" spans="1:19" ht="15.95" customHeight="1" thickTop="1" thickBot="1">
      <c r="A389" s="3811"/>
      <c r="B389" s="3812"/>
      <c r="C389" s="3812"/>
      <c r="D389" s="3812"/>
      <c r="E389" s="3812"/>
      <c r="F389" s="3812"/>
      <c r="G389" s="3812"/>
      <c r="H389" s="3812"/>
      <c r="I389" s="3812"/>
      <c r="J389" s="3812"/>
      <c r="K389" s="3812"/>
      <c r="L389" s="3812"/>
      <c r="M389" s="3812"/>
      <c r="N389" s="3812"/>
      <c r="O389" s="3812"/>
      <c r="P389" s="3813"/>
      <c r="Q389" s="1865"/>
      <c r="R389" s="1865"/>
    </row>
    <row r="390" spans="1:19" s="1783" customFormat="1" ht="15.95" customHeight="1" thickTop="1">
      <c r="A390" s="1801"/>
      <c r="B390" s="1801" t="s">
        <v>1399</v>
      </c>
      <c r="D390" s="1801"/>
      <c r="E390" s="1951"/>
      <c r="F390" s="1951"/>
      <c r="G390" s="1951"/>
      <c r="H390" s="1951"/>
      <c r="I390" s="1951"/>
      <c r="J390" s="1951"/>
      <c r="K390" s="1951"/>
      <c r="L390" s="1951"/>
      <c r="M390" s="1951"/>
      <c r="N390" s="1924"/>
      <c r="O390" s="1787"/>
      <c r="P390" s="1786"/>
    </row>
    <row r="391" spans="1:19" ht="15.95" customHeight="1">
      <c r="A391" s="3804"/>
      <c r="B391" s="3805"/>
      <c r="C391" s="3805"/>
      <c r="D391" s="3805"/>
      <c r="E391" s="3805"/>
      <c r="F391" s="3805"/>
      <c r="G391" s="3805"/>
      <c r="H391" s="3805"/>
      <c r="I391" s="3805"/>
      <c r="J391" s="3805"/>
      <c r="K391" s="3805"/>
      <c r="L391" s="3805"/>
      <c r="M391" s="3805"/>
      <c r="N391" s="3805"/>
      <c r="O391" s="3805"/>
      <c r="P391" s="3806"/>
      <c r="Q391" s="1865"/>
      <c r="R391" s="1865"/>
    </row>
    <row r="392" spans="1:19" ht="10.5" customHeight="1">
      <c r="A392" s="1783"/>
      <c r="B392" s="1783"/>
      <c r="C392" s="1817"/>
      <c r="D392" s="1817"/>
      <c r="E392" s="1817"/>
      <c r="F392" s="1817"/>
      <c r="G392" s="1817"/>
      <c r="H392" s="1817"/>
      <c r="I392" s="1817"/>
      <c r="J392" s="1817"/>
      <c r="K392" s="1817"/>
      <c r="L392" s="1817"/>
      <c r="M392" s="1817"/>
      <c r="N392" s="1906"/>
      <c r="O392" s="1907"/>
      <c r="P392" s="1786"/>
    </row>
    <row r="393" spans="1:19" s="1918" customFormat="1" ht="10.5" customHeight="1">
      <c r="A393" s="1919"/>
      <c r="B393" s="1919"/>
      <c r="C393" s="1952"/>
      <c r="D393" s="1952"/>
      <c r="E393" s="1952"/>
      <c r="F393" s="1952"/>
      <c r="G393" s="1952"/>
      <c r="H393" s="1952"/>
      <c r="I393" s="1952"/>
      <c r="J393" s="1952"/>
      <c r="K393" s="1952"/>
      <c r="L393" s="1952"/>
      <c r="M393" s="1952"/>
      <c r="N393" s="1953"/>
      <c r="O393" s="1954"/>
      <c r="P393" s="1921"/>
    </row>
    <row r="394" spans="1:19" ht="15.95" customHeight="1">
      <c r="A394" s="1802" t="s">
        <v>1916</v>
      </c>
      <c r="B394" s="1803" t="s">
        <v>1917</v>
      </c>
      <c r="D394" s="1882"/>
      <c r="G394" s="1817"/>
      <c r="H394" s="1817"/>
      <c r="I394" s="1817"/>
      <c r="J394" s="1817"/>
      <c r="K394" s="1817"/>
      <c r="L394" s="1817"/>
      <c r="M394" s="1817"/>
      <c r="N394" s="1817"/>
      <c r="O394" s="1817"/>
      <c r="P394" s="1817"/>
      <c r="Q394" s="1817"/>
      <c r="R394" s="1957" t="str">
        <f>IF(AND(O394&gt;0,NOT($F$36="New Supply")), "Ineligible to score in this section, not New Supply!","")</f>
        <v/>
      </c>
    </row>
    <row r="395" spans="1:19" s="1813" customFormat="1" ht="15.95" customHeight="1">
      <c r="A395" s="1867" t="s">
        <v>194</v>
      </c>
      <c r="B395" s="1791" t="s">
        <v>1918</v>
      </c>
      <c r="Q395" s="1972" t="str">
        <f>IF(OR($O395=$M395,$O395=0,$O395=""),"","*CHECK!*")</f>
        <v/>
      </c>
      <c r="R395" s="1957"/>
    </row>
    <row r="396" spans="1:19" ht="147" customHeight="1">
      <c r="A396" s="1996"/>
      <c r="B396" s="3828" t="s">
        <v>1919</v>
      </c>
      <c r="C396" s="3829"/>
      <c r="D396" s="3829"/>
      <c r="E396" s="3829"/>
      <c r="F396" s="3829"/>
      <c r="G396" s="3829"/>
      <c r="H396" s="3829"/>
      <c r="I396" s="3829"/>
      <c r="J396" s="3829"/>
      <c r="K396" s="3829"/>
      <c r="L396" s="3829"/>
      <c r="M396" s="3829"/>
      <c r="N396" s="3829"/>
      <c r="O396" s="3829"/>
      <c r="P396" s="3830"/>
      <c r="Q396" s="1908"/>
      <c r="R396" s="1865"/>
      <c r="S396" s="1865"/>
    </row>
    <row r="397" spans="1:19" s="1813" customFormat="1" ht="15.95" customHeight="1">
      <c r="A397" s="2032" t="s">
        <v>206</v>
      </c>
      <c r="B397" s="1943" t="s">
        <v>1920</v>
      </c>
      <c r="Q397" s="1972" t="str">
        <f>IF(OR($O397=$M397,$O397=0,$O397=""),"","*CHECK!*")</f>
        <v/>
      </c>
      <c r="R397" s="1957"/>
    </row>
    <row r="398" spans="1:19" ht="147" customHeight="1">
      <c r="A398" s="1996"/>
      <c r="B398" s="3828" t="s">
        <v>7090</v>
      </c>
      <c r="C398" s="3829"/>
      <c r="D398" s="3829"/>
      <c r="E398" s="3829"/>
      <c r="F398" s="3829"/>
      <c r="G398" s="3829"/>
      <c r="H398" s="3829"/>
      <c r="I398" s="3829"/>
      <c r="J398" s="3829"/>
      <c r="K398" s="3829"/>
      <c r="L398" s="3829"/>
      <c r="M398" s="3829"/>
      <c r="N398" s="3829"/>
      <c r="O398" s="3829"/>
      <c r="P398" s="3830"/>
      <c r="Q398" s="1908"/>
      <c r="R398" s="1865"/>
      <c r="S398" s="1865"/>
    </row>
    <row r="399" spans="1:19" ht="15.95" customHeight="1" thickBot="1">
      <c r="A399" s="1783"/>
      <c r="B399" s="1916" t="s">
        <v>1739</v>
      </c>
      <c r="C399" s="1783"/>
      <c r="D399" s="1783"/>
      <c r="E399" s="1783"/>
      <c r="F399" s="1783"/>
      <c r="G399" s="1783"/>
      <c r="H399" s="1783"/>
      <c r="I399" s="1783"/>
      <c r="J399" s="1783"/>
      <c r="K399" s="1783"/>
      <c r="M399" s="1785"/>
      <c r="O399" s="1793"/>
    </row>
    <row r="400" spans="1:19" ht="15.95" customHeight="1" thickTop="1" thickBot="1">
      <c r="A400" s="3811"/>
      <c r="B400" s="3812"/>
      <c r="C400" s="3812"/>
      <c r="D400" s="3812"/>
      <c r="E400" s="3812"/>
      <c r="F400" s="3812"/>
      <c r="G400" s="3812"/>
      <c r="H400" s="3812"/>
      <c r="I400" s="3812"/>
      <c r="J400" s="3812"/>
      <c r="K400" s="3812"/>
      <c r="L400" s="3812"/>
      <c r="M400" s="3812"/>
      <c r="N400" s="3812"/>
      <c r="O400" s="3812"/>
      <c r="P400" s="3813"/>
      <c r="Q400" s="1865"/>
      <c r="R400" s="1865"/>
    </row>
    <row r="401" spans="1:65" ht="15.95" customHeight="1" thickTop="1">
      <c r="B401" s="1905" t="s">
        <v>1399</v>
      </c>
      <c r="C401" s="1807"/>
      <c r="D401" s="1905"/>
      <c r="E401" s="1838"/>
      <c r="F401" s="1817"/>
      <c r="G401" s="1817"/>
      <c r="H401" s="1817"/>
      <c r="I401" s="1817"/>
      <c r="J401" s="1817"/>
      <c r="K401" s="1817"/>
      <c r="L401" s="1817"/>
      <c r="M401" s="1817"/>
      <c r="N401" s="1906"/>
      <c r="O401" s="1907"/>
      <c r="P401" s="1786"/>
    </row>
    <row r="402" spans="1:65" ht="15.95" customHeight="1">
      <c r="A402" s="3804"/>
      <c r="B402" s="3805"/>
      <c r="C402" s="3805"/>
      <c r="D402" s="3805"/>
      <c r="E402" s="3805"/>
      <c r="F402" s="3805"/>
      <c r="G402" s="3805"/>
      <c r="H402" s="3805"/>
      <c r="I402" s="3805"/>
      <c r="J402" s="3805"/>
      <c r="K402" s="3805"/>
      <c r="L402" s="3805"/>
      <c r="M402" s="3805"/>
      <c r="N402" s="3805"/>
      <c r="O402" s="3805"/>
      <c r="P402" s="3806"/>
      <c r="Q402" s="1908"/>
    </row>
    <row r="403" spans="1:65" ht="15.95" customHeight="1" thickBot="1">
      <c r="Q403" s="3837" t="s">
        <v>1921</v>
      </c>
      <c r="R403" s="3837"/>
      <c r="S403" s="3837"/>
      <c r="T403" s="3837"/>
      <c r="U403" s="3837"/>
      <c r="V403" s="3837"/>
      <c r="W403" s="3837"/>
      <c r="X403" s="3837"/>
      <c r="Y403" s="3837"/>
      <c r="Z403" s="3837"/>
      <c r="AA403" s="3837"/>
    </row>
    <row r="404" spans="1:65" s="1783" customFormat="1" ht="15.95" customHeight="1" thickTop="1" thickBot="1">
      <c r="A404" s="1791" t="s">
        <v>1922</v>
      </c>
      <c r="B404" s="1782"/>
      <c r="D404" s="1782"/>
      <c r="E404" s="1782"/>
      <c r="F404" s="1782"/>
      <c r="M404" s="2042">
        <f>IF(AND(AQ422="9%",F36="New Supply"),AG449,IF(AND(AQ422="4%",F36="New Supply"),AH449,IF(AND(AQ422="9%",F36="Rehabilitation"),AK449,IF(AND(AQ422="4%",F36="Rehabilitation"),AI449,AL449))))</f>
        <v>61</v>
      </c>
      <c r="N404" s="1794"/>
      <c r="O404" s="1795">
        <f>IF(AND($O$36="4%",($C$36-$A$36)&gt;0),((O40+O66+O77+O86+O106+O122+O152+O171+O179+O189+O200+O210+O223+O233+O253+O271+O280+O312+O323+O332+O345+O358+O365+O374)-($C$36-$A$36)),O40+O66+O77+O86+O106+O122+O152+O171+O179+O189+O200+O210+O223+O233+O253+O271+O280+O312+O323+O332+O345+O358+O365+O374)</f>
        <v>42</v>
      </c>
      <c r="P404" s="1795">
        <f>IF(AND($O$36="4%",($D$36-$A$36)&gt;0),((-P10+P40+P66+P77+P86+P106+P122+P142+P152+P171+P179+P189+P200+P210+P223+P233+P253+P262+P271+P280+P312+P323+P332+P345+P352+P358+P365+P374)-($D$36-$A$36)),-P10+P40+P66+P77+P86+P106+P122+P142+P152+P171+P179+P189+P200+P210+P223+P233+P253+P262+P271+P280+P312+P323+P332+P345+P352+P358+P365+P374)</f>
        <v>22</v>
      </c>
      <c r="Q404" s="3837"/>
      <c r="R404" s="3837"/>
      <c r="S404" s="3837"/>
      <c r="T404" s="3837"/>
      <c r="U404" s="3837"/>
      <c r="V404" s="3837"/>
      <c r="W404" s="3837"/>
      <c r="X404" s="3837"/>
      <c r="Y404" s="3837"/>
      <c r="Z404" s="3837"/>
      <c r="AA404" s="3837"/>
    </row>
    <row r="405" spans="1:65" ht="7.5" customHeight="1" thickTop="1">
      <c r="A405" s="1783"/>
      <c r="C405" s="1817"/>
      <c r="D405" s="1817"/>
      <c r="E405" s="1817"/>
      <c r="F405" s="1817"/>
      <c r="G405" s="1817"/>
      <c r="H405" s="1817"/>
      <c r="I405" s="1817"/>
      <c r="J405" s="1817"/>
      <c r="K405" s="1817"/>
      <c r="L405" s="1817"/>
      <c r="M405" s="1817"/>
      <c r="N405" s="1817"/>
      <c r="O405" s="1817"/>
      <c r="P405" s="1817"/>
      <c r="Q405" s="3837"/>
      <c r="R405" s="3837"/>
      <c r="S405" s="3837"/>
      <c r="T405" s="3837"/>
      <c r="U405" s="3837"/>
      <c r="V405" s="3837"/>
      <c r="W405" s="3837"/>
      <c r="X405" s="3837"/>
      <c r="Y405" s="3837"/>
      <c r="Z405" s="3837"/>
      <c r="AA405" s="3837"/>
    </row>
    <row r="406" spans="1:65" ht="7.5" customHeight="1">
      <c r="F406" s="1882"/>
      <c r="G406" s="1882"/>
      <c r="H406" s="1786"/>
      <c r="I406" s="1786"/>
      <c r="N406" s="1786"/>
      <c r="O406" s="1786"/>
      <c r="P406" s="1793"/>
      <c r="Q406" s="3837"/>
      <c r="R406" s="3837"/>
      <c r="S406" s="3837"/>
      <c r="T406" s="3837"/>
      <c r="U406" s="3837"/>
      <c r="V406" s="3837"/>
      <c r="W406" s="3837"/>
      <c r="X406" s="3837"/>
      <c r="Y406" s="3837"/>
      <c r="Z406" s="3837"/>
      <c r="AA406" s="3837"/>
    </row>
    <row r="407" spans="1:65" ht="45.6" customHeight="1">
      <c r="A407" s="3838" t="s">
        <v>1923</v>
      </c>
      <c r="B407" s="3838"/>
      <c r="C407" s="3838"/>
      <c r="D407" s="3838"/>
      <c r="E407" s="3838"/>
      <c r="F407" s="3838"/>
      <c r="G407" s="3838"/>
      <c r="H407" s="3838"/>
      <c r="I407" s="3838"/>
      <c r="J407" s="3838"/>
      <c r="K407" s="3838"/>
      <c r="L407" s="3838"/>
      <c r="M407" s="3838"/>
      <c r="N407" s="3838"/>
      <c r="O407" s="3838"/>
      <c r="P407" s="3838"/>
      <c r="Q407" s="3837"/>
      <c r="R407" s="3837"/>
      <c r="S407" s="3837"/>
      <c r="T407" s="3837"/>
      <c r="U407" s="3837"/>
      <c r="V407" s="3837"/>
      <c r="W407" s="3837"/>
      <c r="X407" s="3837"/>
      <c r="Y407" s="3837"/>
      <c r="Z407" s="3837"/>
      <c r="AA407" s="3837"/>
    </row>
    <row r="408" spans="1:65" ht="409.15" customHeight="1">
      <c r="A408" s="3828"/>
      <c r="B408" s="3829"/>
      <c r="C408" s="3829"/>
      <c r="D408" s="3829"/>
      <c r="E408" s="3829"/>
      <c r="F408" s="3829"/>
      <c r="G408" s="3829"/>
      <c r="H408" s="3829"/>
      <c r="I408" s="3829"/>
      <c r="J408" s="3829"/>
      <c r="K408" s="3829"/>
      <c r="L408" s="3829"/>
      <c r="M408" s="3829"/>
      <c r="N408" s="3829"/>
      <c r="O408" s="3829"/>
      <c r="P408" s="3830"/>
      <c r="Q408" s="1797"/>
      <c r="R408" s="1797"/>
      <c r="S408" s="1797"/>
      <c r="T408" s="1797"/>
      <c r="U408" s="1797"/>
      <c r="V408" s="1797"/>
      <c r="W408" s="1797"/>
      <c r="X408" s="1797"/>
      <c r="Y408" s="1797"/>
    </row>
    <row r="409" spans="1:65">
      <c r="B409" s="2043"/>
      <c r="C409" s="2043" t="s">
        <v>1637</v>
      </c>
      <c r="D409" s="2043"/>
      <c r="E409" s="2043"/>
      <c r="F409" s="2043"/>
      <c r="G409" s="2043"/>
      <c r="H409" s="2043"/>
      <c r="I409" s="2043"/>
      <c r="J409" s="2044" t="s">
        <v>1564</v>
      </c>
      <c r="K409" s="2043"/>
      <c r="L409" s="2043"/>
      <c r="M409" s="2043"/>
      <c r="N409" s="1994"/>
      <c r="O409" s="2045"/>
      <c r="P409" s="2045"/>
      <c r="Q409" s="2083"/>
      <c r="R409" s="2083"/>
      <c r="S409" s="2083"/>
      <c r="T409" s="1911"/>
      <c r="U409" s="1911"/>
      <c r="V409" s="1911"/>
      <c r="W409" s="1911"/>
      <c r="X409" s="1911"/>
      <c r="Y409" s="1911"/>
    </row>
    <row r="410" spans="1:65">
      <c r="B410" s="2043"/>
      <c r="C410" s="2043" t="s">
        <v>1924</v>
      </c>
      <c r="D410" s="2043"/>
      <c r="E410" s="2043"/>
      <c r="F410" s="2043"/>
      <c r="G410" s="2043"/>
      <c r="H410" s="2043"/>
      <c r="I410" s="2043"/>
      <c r="J410" s="2044" t="s">
        <v>1587</v>
      </c>
      <c r="K410" s="2043"/>
      <c r="L410" s="2043"/>
      <c r="M410" s="2043"/>
      <c r="N410" s="1994"/>
      <c r="O410" s="2045"/>
      <c r="P410" s="2045"/>
      <c r="Q410" s="2043"/>
      <c r="R410" s="2043"/>
      <c r="S410" s="2043"/>
    </row>
    <row r="411" spans="1:65">
      <c r="B411" s="2043"/>
      <c r="C411" s="2043" t="s">
        <v>1925</v>
      </c>
      <c r="D411" s="2043"/>
      <c r="E411" s="2043"/>
      <c r="F411" s="2043"/>
      <c r="G411" s="2043"/>
      <c r="H411" s="2043"/>
      <c r="I411" s="2043"/>
      <c r="J411" s="2044" t="s">
        <v>1926</v>
      </c>
      <c r="K411" s="2043"/>
      <c r="L411" s="2043"/>
      <c r="M411" s="2043"/>
      <c r="N411" s="1994"/>
      <c r="O411" s="2045"/>
      <c r="P411" s="2045"/>
      <c r="Q411" s="2043"/>
      <c r="R411" s="2043"/>
      <c r="S411" s="2043"/>
    </row>
    <row r="412" spans="1:65">
      <c r="B412" s="2043"/>
      <c r="C412" s="2043" t="s">
        <v>1927</v>
      </c>
      <c r="D412" s="2043"/>
      <c r="E412" s="2043"/>
      <c r="F412" s="2043"/>
      <c r="G412" s="2043"/>
      <c r="H412" s="2043"/>
      <c r="I412" s="2043"/>
      <c r="J412" s="2044" t="s">
        <v>1928</v>
      </c>
      <c r="K412" s="2043"/>
      <c r="L412" s="2043"/>
      <c r="M412" s="2043"/>
      <c r="N412" s="1994"/>
      <c r="O412" s="2045"/>
      <c r="P412" s="2045"/>
      <c r="Q412" s="2043"/>
      <c r="R412" s="2043"/>
      <c r="S412" s="2043"/>
    </row>
    <row r="413" spans="1:65">
      <c r="B413" s="2043"/>
      <c r="C413" s="2043"/>
      <c r="D413" s="2043"/>
      <c r="E413" s="2043"/>
      <c r="F413" s="2043"/>
      <c r="G413" s="2043"/>
      <c r="H413" s="2043"/>
      <c r="I413" s="2043"/>
      <c r="J413" s="2044" t="s">
        <v>1638</v>
      </c>
      <c r="K413" s="2043"/>
      <c r="L413" s="2043"/>
      <c r="M413" s="2043"/>
      <c r="N413" s="1994"/>
      <c r="O413" s="2045"/>
      <c r="P413" s="2045"/>
      <c r="Q413" s="2043"/>
      <c r="R413" s="2043"/>
      <c r="S413" s="2043"/>
    </row>
    <row r="414" spans="1:65">
      <c r="B414" s="2043"/>
      <c r="C414" s="2043" t="s">
        <v>712</v>
      </c>
      <c r="D414" s="2043"/>
      <c r="E414" s="2043"/>
      <c r="F414" s="2043"/>
      <c r="G414" s="2043"/>
      <c r="H414" s="2043"/>
      <c r="I414" s="2043"/>
      <c r="J414" s="2044" t="s">
        <v>1929</v>
      </c>
      <c r="K414" s="2043"/>
      <c r="L414" s="2043"/>
      <c r="M414" s="2043"/>
      <c r="N414" s="1994"/>
      <c r="O414" s="2045"/>
      <c r="P414" s="2045"/>
      <c r="Q414" s="2043"/>
      <c r="R414" s="2043"/>
      <c r="S414" s="2043"/>
    </row>
    <row r="415" spans="1:65" ht="15.75" thickBot="1">
      <c r="B415" s="2043"/>
      <c r="C415" s="2046" t="s">
        <v>1560</v>
      </c>
      <c r="D415" s="2043"/>
      <c r="E415" s="2043"/>
      <c r="F415" s="2043"/>
      <c r="G415" s="2043"/>
      <c r="H415" s="2043"/>
      <c r="I415" s="2043"/>
      <c r="J415" s="2044" t="s">
        <v>1930</v>
      </c>
      <c r="K415" s="2043"/>
      <c r="L415" s="2043"/>
      <c r="M415" s="2043"/>
      <c r="N415" s="1994"/>
      <c r="O415" s="2045"/>
      <c r="P415" s="2045"/>
      <c r="Q415" s="2043"/>
      <c r="R415" s="2043"/>
      <c r="S415" s="2043"/>
      <c r="AS415" s="2584"/>
      <c r="AT415" s="2584"/>
      <c r="AU415" s="1783"/>
      <c r="AV415" s="1783"/>
      <c r="AW415" s="1783"/>
      <c r="AX415" s="1783"/>
      <c r="AY415" s="1783"/>
      <c r="AZ415" s="1783"/>
      <c r="BA415" s="1783"/>
      <c r="BB415" s="3827" t="s">
        <v>1931</v>
      </c>
      <c r="BC415" s="3827"/>
      <c r="BD415" s="3827"/>
      <c r="BE415" s="3827"/>
      <c r="BF415" s="3827"/>
      <c r="BG415" s="3827"/>
      <c r="BH415" s="3827"/>
      <c r="BI415" s="3827"/>
      <c r="BJ415" s="1783"/>
      <c r="BK415" s="1783"/>
      <c r="BL415" s="1783"/>
    </row>
    <row r="416" spans="1:65" ht="15.75" thickBot="1">
      <c r="B416" s="2043"/>
      <c r="C416" s="2046" t="s">
        <v>1563</v>
      </c>
      <c r="D416" s="2043"/>
      <c r="E416" s="2043"/>
      <c r="F416" s="2043"/>
      <c r="G416" s="2043"/>
      <c r="H416" s="2043"/>
      <c r="I416" s="2043"/>
      <c r="J416" s="2044" t="s">
        <v>1573</v>
      </c>
      <c r="K416" s="2043"/>
      <c r="L416" s="2043"/>
      <c r="M416" s="2043"/>
      <c r="N416" s="1994"/>
      <c r="O416" s="2045"/>
      <c r="P416" s="2045"/>
      <c r="Q416" s="2043"/>
      <c r="R416" s="2043"/>
      <c r="S416" s="2043"/>
      <c r="Z416" s="2043"/>
      <c r="AA416" s="2043"/>
      <c r="AB416" s="2043"/>
      <c r="AC416" s="2043"/>
      <c r="AD416" s="2043"/>
      <c r="AE416" s="2043"/>
      <c r="AF416" s="2043"/>
      <c r="AG416" s="2043"/>
      <c r="AH416" s="2043"/>
      <c r="AI416" s="2043"/>
      <c r="AJ416" s="2043"/>
      <c r="AK416" s="2043"/>
      <c r="AL416" s="2043"/>
      <c r="AM416" s="2043"/>
      <c r="AN416" s="2043"/>
      <c r="AO416" s="2043"/>
      <c r="AP416" s="2043"/>
      <c r="AQ416" s="2043"/>
      <c r="AR416" s="2043"/>
      <c r="AS416" s="2108"/>
      <c r="AT416" s="2108"/>
      <c r="AU416" s="1855"/>
      <c r="AV416" s="1855"/>
      <c r="AW416" s="1855"/>
      <c r="AX416" s="1855"/>
      <c r="AY416" s="3823" t="s">
        <v>1932</v>
      </c>
      <c r="AZ416" s="3824"/>
      <c r="BA416" s="3824"/>
      <c r="BB416" s="3824"/>
      <c r="BC416" s="3824"/>
      <c r="BD416" s="3824"/>
      <c r="BE416" s="3825"/>
      <c r="BF416" s="3823" t="s">
        <v>1933</v>
      </c>
      <c r="BG416" s="3824"/>
      <c r="BH416" s="3824"/>
      <c r="BI416" s="3824"/>
      <c r="BJ416" s="3824"/>
      <c r="BK416" s="3824"/>
      <c r="BL416" s="3825"/>
      <c r="BM416" s="2043"/>
    </row>
    <row r="417" spans="2:65">
      <c r="B417" s="2043"/>
      <c r="C417" s="2046" t="s">
        <v>1566</v>
      </c>
      <c r="D417" s="2043"/>
      <c r="E417" s="2043"/>
      <c r="F417" s="2043"/>
      <c r="G417" s="2043"/>
      <c r="H417" s="2043"/>
      <c r="I417" s="2043"/>
      <c r="J417" s="2044" t="s">
        <v>1558</v>
      </c>
      <c r="K417" s="2043"/>
      <c r="L417" s="2043"/>
      <c r="M417" s="2043"/>
      <c r="N417" s="1994"/>
      <c r="O417" s="2045"/>
      <c r="P417" s="2045"/>
      <c r="Q417" s="2043"/>
      <c r="R417" s="2043"/>
      <c r="S417" s="2043"/>
      <c r="Z417" s="2043"/>
      <c r="AA417" s="2043"/>
      <c r="AB417" s="2043"/>
      <c r="AC417" s="2043"/>
      <c r="AD417" s="2043"/>
      <c r="AE417" s="2043"/>
      <c r="AF417" s="2043"/>
      <c r="AG417" s="2043"/>
      <c r="AH417" s="2043"/>
      <c r="AI417" s="2043"/>
      <c r="AJ417" s="2043"/>
      <c r="AK417" s="2043"/>
      <c r="AL417" s="2043"/>
      <c r="AM417" s="2043"/>
      <c r="AN417" s="2043"/>
      <c r="AO417" s="2043"/>
      <c r="AP417" s="2043"/>
      <c r="AQ417" s="2043"/>
      <c r="AR417" s="2043"/>
      <c r="AS417" s="2043"/>
      <c r="AT417" s="2043"/>
      <c r="AU417" s="2043"/>
      <c r="AV417" s="2043"/>
      <c r="AW417" s="2043"/>
      <c r="AX417" s="2043"/>
      <c r="AY417" s="2043"/>
      <c r="AZ417" s="2043"/>
      <c r="BA417" s="2043"/>
      <c r="BB417" s="2043"/>
      <c r="BC417" s="2043"/>
      <c r="BD417" s="2043"/>
      <c r="BE417" s="2043"/>
      <c r="BF417" s="2043"/>
      <c r="BG417" s="2043"/>
      <c r="BH417" s="2043"/>
      <c r="BI417" s="2043"/>
      <c r="BJ417" s="2043"/>
      <c r="BK417" s="2043"/>
      <c r="BL417" s="2043"/>
      <c r="BM417" s="2043"/>
    </row>
    <row r="418" spans="2:65" ht="15" customHeight="1">
      <c r="B418" s="2043"/>
      <c r="C418" s="2046" t="s">
        <v>1569</v>
      </c>
      <c r="D418" s="2043"/>
      <c r="E418" s="2043"/>
      <c r="F418" s="2043"/>
      <c r="G418" s="2043"/>
      <c r="H418" s="2043"/>
      <c r="I418" s="2043"/>
      <c r="J418" s="2044" t="s">
        <v>1570</v>
      </c>
      <c r="K418" s="2043"/>
      <c r="L418" s="2043"/>
      <c r="M418" s="2043"/>
      <c r="N418" s="1994"/>
      <c r="O418" s="2045"/>
      <c r="P418" s="2045"/>
      <c r="Q418" s="2043"/>
      <c r="R418" s="2043"/>
      <c r="S418" s="2043"/>
      <c r="Z418" s="2043"/>
      <c r="AA418" s="2109" t="s">
        <v>25</v>
      </c>
      <c r="AB418" s="2110" t="s">
        <v>1934</v>
      </c>
      <c r="AC418" s="1855"/>
      <c r="AD418" s="2043"/>
      <c r="AE418" s="2043"/>
      <c r="AF418" s="2043"/>
      <c r="AG418" s="3985" t="s">
        <v>1935</v>
      </c>
      <c r="AH418" s="3986"/>
      <c r="AI418" s="3820" t="s">
        <v>1713</v>
      </c>
      <c r="AJ418" s="3821"/>
      <c r="AK418" s="3821"/>
      <c r="AL418" s="3821"/>
      <c r="AM418" s="3822"/>
      <c r="AN418" s="3987" t="s">
        <v>1936</v>
      </c>
      <c r="AO418" s="3987"/>
      <c r="AP418" s="3987"/>
      <c r="AQ418" s="3987"/>
      <c r="AR418" s="2043"/>
      <c r="AS418" s="2111"/>
      <c r="AT418" s="2110" t="s">
        <v>1934</v>
      </c>
      <c r="AU418" s="2111"/>
      <c r="AV418" s="2111"/>
      <c r="AW418" s="2111"/>
      <c r="AX418" s="2043"/>
      <c r="AY418" s="3820" t="s">
        <v>1935</v>
      </c>
      <c r="AZ418" s="3822"/>
      <c r="BA418" s="3820" t="s">
        <v>1713</v>
      </c>
      <c r="BB418" s="3821"/>
      <c r="BC418" s="3821"/>
      <c r="BD418" s="3821"/>
      <c r="BE418" s="3822"/>
      <c r="BF418" s="3826" t="s">
        <v>1935</v>
      </c>
      <c r="BG418" s="3826"/>
      <c r="BH418" s="3826" t="s">
        <v>1713</v>
      </c>
      <c r="BI418" s="3826"/>
      <c r="BJ418" s="3826"/>
      <c r="BK418" s="3826"/>
      <c r="BL418" s="3826"/>
      <c r="BM418" s="2043"/>
    </row>
    <row r="419" spans="2:65" ht="28.5">
      <c r="B419" s="2043"/>
      <c r="C419" s="2046" t="s">
        <v>1572</v>
      </c>
      <c r="D419" s="2043"/>
      <c r="E419" s="2043"/>
      <c r="F419" s="2043"/>
      <c r="G419" s="2043"/>
      <c r="H419" s="2043"/>
      <c r="I419" s="2043"/>
      <c r="J419" s="2044" t="s">
        <v>1937</v>
      </c>
      <c r="K419" s="2043"/>
      <c r="L419" s="2043"/>
      <c r="M419" s="2043"/>
      <c r="N419" s="1994"/>
      <c r="O419" s="2045"/>
      <c r="P419" s="2045"/>
      <c r="Q419" s="2043"/>
      <c r="R419" s="2043"/>
      <c r="S419" s="2043"/>
      <c r="Z419" s="2043"/>
      <c r="AA419" s="2043"/>
      <c r="AB419" s="1855"/>
      <c r="AC419" s="2043"/>
      <c r="AD419" s="2043"/>
      <c r="AE419" s="2043"/>
      <c r="AF419" s="2043"/>
      <c r="AG419" s="2596">
        <v>0.09</v>
      </c>
      <c r="AH419" s="2596" t="s">
        <v>1938</v>
      </c>
      <c r="AI419" s="2596" t="s">
        <v>1938</v>
      </c>
      <c r="AJ419" s="2596" t="s">
        <v>1939</v>
      </c>
      <c r="AK419" s="2596" t="s">
        <v>1940</v>
      </c>
      <c r="AL419" s="2596" t="s">
        <v>1941</v>
      </c>
      <c r="AM419" s="2596" t="s">
        <v>1942</v>
      </c>
      <c r="AN419" s="3820" t="str">
        <f>'Part I-Project Identification'!F12</f>
        <v>4% Credit/TE Bond</v>
      </c>
      <c r="AO419" s="3821"/>
      <c r="AP419" s="3821"/>
      <c r="AQ419" s="3822"/>
      <c r="AR419" s="2043"/>
      <c r="AS419" s="2043"/>
      <c r="AT419" s="1855"/>
      <c r="AU419" s="2043"/>
      <c r="AV419" s="2043"/>
      <c r="AW419" s="2043"/>
      <c r="AX419" s="2043"/>
      <c r="AY419" s="2596">
        <v>0.09</v>
      </c>
      <c r="AZ419" s="2596" t="s">
        <v>1938</v>
      </c>
      <c r="BA419" s="2596" t="s">
        <v>1938</v>
      </c>
      <c r="BB419" s="2596" t="s">
        <v>1943</v>
      </c>
      <c r="BC419" s="2596" t="s">
        <v>1940</v>
      </c>
      <c r="BD419" s="2596" t="s">
        <v>1941</v>
      </c>
      <c r="BE419" s="2596" t="s">
        <v>1942</v>
      </c>
      <c r="BF419" s="2596">
        <v>0.09</v>
      </c>
      <c r="BG419" s="2596" t="s">
        <v>1938</v>
      </c>
      <c r="BH419" s="2596" t="s">
        <v>1938</v>
      </c>
      <c r="BI419" s="2596" t="s">
        <v>1943</v>
      </c>
      <c r="BJ419" s="2596" t="s">
        <v>1940</v>
      </c>
      <c r="BK419" s="2596" t="s">
        <v>1941</v>
      </c>
      <c r="BL419" s="2596" t="s">
        <v>1942</v>
      </c>
      <c r="BM419" s="2043"/>
    </row>
    <row r="420" spans="2:65">
      <c r="B420" s="2043"/>
      <c r="C420" s="2046" t="s">
        <v>1575</v>
      </c>
      <c r="D420" s="2043"/>
      <c r="E420" s="2043"/>
      <c r="F420" s="2043"/>
      <c r="G420" s="2043"/>
      <c r="H420" s="2043"/>
      <c r="I420" s="2043"/>
      <c r="J420" s="2044" t="s">
        <v>1585</v>
      </c>
      <c r="K420" s="2043"/>
      <c r="L420" s="2043"/>
      <c r="M420" s="2043"/>
      <c r="N420" s="1994"/>
      <c r="O420" s="2045"/>
      <c r="P420" s="2045"/>
      <c r="Q420" s="2043"/>
      <c r="R420" s="2043"/>
      <c r="S420" s="2043"/>
      <c r="Z420" s="2043"/>
      <c r="AA420" s="2112" t="s">
        <v>21</v>
      </c>
      <c r="AB420" s="2597" t="s">
        <v>1944</v>
      </c>
      <c r="AC420" s="2598"/>
      <c r="AD420" s="2598"/>
      <c r="AE420" s="2598"/>
      <c r="AF420" s="2598"/>
      <c r="AG420" s="2599">
        <v>0</v>
      </c>
      <c r="AH420" s="2600">
        <v>0</v>
      </c>
      <c r="AI420" s="2601">
        <v>0</v>
      </c>
      <c r="AJ420" s="2601">
        <v>0</v>
      </c>
      <c r="AK420" s="2602">
        <v>0</v>
      </c>
      <c r="AL420" s="2602">
        <v>0</v>
      </c>
      <c r="AM420" s="2603">
        <v>0</v>
      </c>
      <c r="AN420" s="2043"/>
      <c r="AO420" s="2043"/>
      <c r="AP420" s="2043"/>
      <c r="AQ420" s="2043"/>
      <c r="AR420" s="2043"/>
      <c r="AS420" s="2112" t="s">
        <v>21</v>
      </c>
      <c r="AT420" s="2597" t="s">
        <v>1944</v>
      </c>
      <c r="AU420" s="2597"/>
      <c r="AV420" s="2597"/>
      <c r="AW420" s="2597"/>
      <c r="AX420" s="2597"/>
      <c r="AY420" s="2604">
        <v>0</v>
      </c>
      <c r="AZ420" s="2605">
        <v>0</v>
      </c>
      <c r="BA420" s="2606">
        <v>0</v>
      </c>
      <c r="BB420" s="2607">
        <v>0</v>
      </c>
      <c r="BC420" s="2608">
        <v>0</v>
      </c>
      <c r="BD420" s="2608">
        <v>0</v>
      </c>
      <c r="BE420" s="2609">
        <v>0</v>
      </c>
      <c r="BF420" s="2610">
        <f>-P10</f>
        <v>0</v>
      </c>
      <c r="BG420" s="2611">
        <f>-P10</f>
        <v>0</v>
      </c>
      <c r="BH420" s="2606">
        <f>-P10</f>
        <v>0</v>
      </c>
      <c r="BI420" s="2608">
        <f>-P10</f>
        <v>0</v>
      </c>
      <c r="BJ420" s="2608">
        <f>-P10</f>
        <v>0</v>
      </c>
      <c r="BK420" s="2608">
        <f>-P10</f>
        <v>0</v>
      </c>
      <c r="BL420" s="2611">
        <f>-P10</f>
        <v>0</v>
      </c>
      <c r="BM420" s="2043"/>
    </row>
    <row r="421" spans="2:65">
      <c r="B421" s="2043"/>
      <c r="C421" s="2046" t="s">
        <v>1578</v>
      </c>
      <c r="D421" s="2043"/>
      <c r="E421" s="2043"/>
      <c r="F421" s="2043"/>
      <c r="G421" s="2043"/>
      <c r="H421" s="2043"/>
      <c r="I421" s="2043"/>
      <c r="J421" s="2044" t="s">
        <v>1945</v>
      </c>
      <c r="K421" s="2043"/>
      <c r="L421" s="2043"/>
      <c r="M421" s="2043"/>
      <c r="N421" s="1994"/>
      <c r="O421" s="2045"/>
      <c r="P421" s="2045"/>
      <c r="Q421" s="2043"/>
      <c r="R421" s="2043"/>
      <c r="S421" s="2043"/>
      <c r="Z421" s="2043"/>
      <c r="AA421" s="2112" t="s">
        <v>31</v>
      </c>
      <c r="AB421" s="2597" t="s">
        <v>1946</v>
      </c>
      <c r="AC421" s="2598"/>
      <c r="AD421" s="2598"/>
      <c r="AE421" s="2598"/>
      <c r="AF421" s="2598"/>
      <c r="AG421" s="2599">
        <v>10</v>
      </c>
      <c r="AH421" s="2600">
        <v>10</v>
      </c>
      <c r="AI421" s="2599">
        <v>10</v>
      </c>
      <c r="AJ421" s="2599">
        <v>10</v>
      </c>
      <c r="AK421" s="2612">
        <v>10</v>
      </c>
      <c r="AL421" s="2613">
        <v>10</v>
      </c>
      <c r="AM421" s="2614">
        <v>10</v>
      </c>
      <c r="AN421" s="2043"/>
      <c r="AO421" s="2043"/>
      <c r="AP421" s="2043"/>
      <c r="AQ421" s="2043"/>
      <c r="AR421" s="2043"/>
      <c r="AS421" s="2112" t="s">
        <v>31</v>
      </c>
      <c r="AT421" s="2597" t="s">
        <v>1946</v>
      </c>
      <c r="AU421" s="2598"/>
      <c r="AV421" s="2598"/>
      <c r="AW421" s="2598"/>
      <c r="AX421" s="2598"/>
      <c r="AY421" s="2604">
        <f>O40</f>
        <v>10</v>
      </c>
      <c r="AZ421" s="2605">
        <f>O40</f>
        <v>10</v>
      </c>
      <c r="BA421" s="2615">
        <f>O40</f>
        <v>10</v>
      </c>
      <c r="BB421" s="2616">
        <f>O40</f>
        <v>10</v>
      </c>
      <c r="BC421" s="2616">
        <f>O40</f>
        <v>10</v>
      </c>
      <c r="BD421" s="2616">
        <f>O40</f>
        <v>10</v>
      </c>
      <c r="BE421" s="2617">
        <f>O40</f>
        <v>10</v>
      </c>
      <c r="BF421" s="2618">
        <f>P40</f>
        <v>10</v>
      </c>
      <c r="BG421" s="2619">
        <f>P40</f>
        <v>10</v>
      </c>
      <c r="BH421" s="2615">
        <f>P40</f>
        <v>10</v>
      </c>
      <c r="BI421" s="2616">
        <f>P40</f>
        <v>10</v>
      </c>
      <c r="BJ421" s="2616">
        <f>P40</f>
        <v>10</v>
      </c>
      <c r="BK421" s="2616">
        <f>P40</f>
        <v>10</v>
      </c>
      <c r="BL421" s="2619">
        <f>P40</f>
        <v>10</v>
      </c>
      <c r="BM421" s="2043"/>
    </row>
    <row r="422" spans="2:65">
      <c r="B422" s="2043"/>
      <c r="C422" s="2046" t="s">
        <v>1581</v>
      </c>
      <c r="D422" s="2043"/>
      <c r="E422" s="2043"/>
      <c r="F422" s="2043"/>
      <c r="G422" s="2043"/>
      <c r="H422" s="2043"/>
      <c r="I422" s="2043"/>
      <c r="J422" s="2044" t="s">
        <v>1947</v>
      </c>
      <c r="K422" s="2043"/>
      <c r="L422" s="2043"/>
      <c r="M422" s="2043"/>
      <c r="N422" s="1994"/>
      <c r="O422" s="2045"/>
      <c r="P422" s="2045"/>
      <c r="Q422" s="2043"/>
      <c r="R422" s="2043"/>
      <c r="S422" s="2043"/>
      <c r="Z422" s="2043"/>
      <c r="AA422" s="2112" t="s">
        <v>50</v>
      </c>
      <c r="AB422" s="2620" t="s">
        <v>1948</v>
      </c>
      <c r="AC422" s="2621"/>
      <c r="AD422" s="2621"/>
      <c r="AE422" s="2621"/>
      <c r="AF422" s="2621"/>
      <c r="AG422" s="2622">
        <v>3</v>
      </c>
      <c r="AH422" s="2614">
        <v>3</v>
      </c>
      <c r="AI422" s="2622"/>
      <c r="AJ422" s="2622"/>
      <c r="AK422" s="2613"/>
      <c r="AL422" s="2613"/>
      <c r="AM422" s="2614"/>
      <c r="AN422" s="1854" t="s">
        <v>1949</v>
      </c>
      <c r="AO422" s="2043"/>
      <c r="AP422" s="2043"/>
      <c r="AQ422" s="2623" t="str">
        <f>IF(OR($AN$419="9% Credit Competitive Round only", $AN$419="9% Credit &amp; HOME"),"9%",IF(OR($AN$419="4% Credit/TE Bond", $AN$419="4% Credit/TE Bond &amp; HOME", $AN$419="4% Credit/TE Bond &amp; HOME NOFA", $AN$419="4% Credit &amp; NHTF", $AN$419="4% Credit &amp; NHTF &amp; HOME"),"4%",""))</f>
        <v>4%</v>
      </c>
      <c r="AR422" s="2043"/>
      <c r="AS422" s="2112" t="s">
        <v>50</v>
      </c>
      <c r="AT422" s="2620" t="s">
        <v>1948</v>
      </c>
      <c r="AU422" s="2621"/>
      <c r="AV422" s="2621"/>
      <c r="AW422" s="2621"/>
      <c r="AX422" s="2621"/>
      <c r="AY422" s="2615">
        <f>O66</f>
        <v>0</v>
      </c>
      <c r="AZ422" s="2619">
        <f>O66</f>
        <v>0</v>
      </c>
      <c r="BA422" s="2615"/>
      <c r="BB422" s="2616"/>
      <c r="BC422" s="2613"/>
      <c r="BD422" s="2616"/>
      <c r="BE422" s="2617"/>
      <c r="BF422" s="2618">
        <f>P66</f>
        <v>0</v>
      </c>
      <c r="BG422" s="2619">
        <f>P66</f>
        <v>0</v>
      </c>
      <c r="BH422" s="2615"/>
      <c r="BI422" s="2616"/>
      <c r="BJ422" s="2613"/>
      <c r="BK422" s="2616"/>
      <c r="BL422" s="2619"/>
      <c r="BM422" s="2043"/>
    </row>
    <row r="423" spans="2:65">
      <c r="B423" s="2043"/>
      <c r="C423" s="2046" t="s">
        <v>1584</v>
      </c>
      <c r="D423" s="2043"/>
      <c r="E423" s="2043"/>
      <c r="F423" s="2043"/>
      <c r="G423" s="2043"/>
      <c r="H423" s="2043"/>
      <c r="I423" s="2043"/>
      <c r="J423" s="2043"/>
      <c r="K423" s="2043"/>
      <c r="L423" s="2043"/>
      <c r="M423" s="2043"/>
      <c r="N423" s="1994"/>
      <c r="O423" s="2045"/>
      <c r="P423" s="2045"/>
      <c r="Q423" s="2043"/>
      <c r="R423" s="2043"/>
      <c r="S423" s="2043"/>
      <c r="Z423" s="2043"/>
      <c r="AA423" s="2112" t="s">
        <v>66</v>
      </c>
      <c r="AB423" s="2620" t="s">
        <v>1678</v>
      </c>
      <c r="AC423" s="2621"/>
      <c r="AD423" s="2621"/>
      <c r="AE423" s="2621"/>
      <c r="AF423" s="2621"/>
      <c r="AG423" s="2622">
        <v>20</v>
      </c>
      <c r="AH423" s="2614">
        <v>20</v>
      </c>
      <c r="AI423" s="2622"/>
      <c r="AJ423" s="2622"/>
      <c r="AK423" s="2613"/>
      <c r="AL423" s="2613"/>
      <c r="AM423" s="2614"/>
      <c r="AN423" s="2043"/>
      <c r="AO423" s="2043"/>
      <c r="AP423" s="2043"/>
      <c r="AQ423" s="2043"/>
      <c r="AR423" s="2043"/>
      <c r="AS423" s="2112" t="s">
        <v>66</v>
      </c>
      <c r="AT423" s="2620" t="s">
        <v>1678</v>
      </c>
      <c r="AU423" s="2621"/>
      <c r="AV423" s="2621"/>
      <c r="AW423" s="2621"/>
      <c r="AX423" s="2621"/>
      <c r="AY423" s="2624">
        <f>O77</f>
        <v>0</v>
      </c>
      <c r="AZ423" s="2625">
        <f>O77</f>
        <v>0</v>
      </c>
      <c r="BA423" s="2622"/>
      <c r="BB423" s="2613"/>
      <c r="BC423" s="2613"/>
      <c r="BD423" s="2613"/>
      <c r="BE423" s="2626"/>
      <c r="BF423" s="2627">
        <f>P77</f>
        <v>0</v>
      </c>
      <c r="BG423" s="2625">
        <f>P77</f>
        <v>0</v>
      </c>
      <c r="BH423" s="2622"/>
      <c r="BI423" s="2613"/>
      <c r="BJ423" s="2613"/>
      <c r="BK423" s="2613"/>
      <c r="BL423" s="2614"/>
      <c r="BM423" s="2043"/>
    </row>
    <row r="424" spans="2:65">
      <c r="B424" s="2043"/>
      <c r="C424" s="2046" t="s">
        <v>1586</v>
      </c>
      <c r="D424" s="2043"/>
      <c r="E424" s="2043"/>
      <c r="F424" s="2043"/>
      <c r="G424" s="2043"/>
      <c r="H424" s="2043"/>
      <c r="I424" s="2043"/>
      <c r="J424" s="2047" t="s">
        <v>1950</v>
      </c>
      <c r="K424" s="2043"/>
      <c r="L424" s="2043"/>
      <c r="M424" s="2043"/>
      <c r="N424" s="1994"/>
      <c r="O424" s="2047" t="s">
        <v>1951</v>
      </c>
      <c r="P424" s="2045"/>
      <c r="Q424" s="2043"/>
      <c r="R424" s="2043"/>
      <c r="S424" s="2043"/>
      <c r="Z424" s="2043"/>
      <c r="AA424" s="2112" t="s">
        <v>75</v>
      </c>
      <c r="AB424" s="2620" t="s">
        <v>1679</v>
      </c>
      <c r="AC424" s="2621"/>
      <c r="AD424" s="2621"/>
      <c r="AE424" s="2621"/>
      <c r="AF424" s="2621"/>
      <c r="AG424" s="2622">
        <v>6</v>
      </c>
      <c r="AH424" s="2614">
        <v>6</v>
      </c>
      <c r="AI424" s="2622"/>
      <c r="AJ424" s="2622"/>
      <c r="AK424" s="2613"/>
      <c r="AL424" s="2613"/>
      <c r="AM424" s="2614"/>
      <c r="AN424" s="2043"/>
      <c r="AO424" s="2043"/>
      <c r="AP424" s="2043"/>
      <c r="AQ424" s="2043"/>
      <c r="AR424" s="2043"/>
      <c r="AS424" s="2112" t="s">
        <v>75</v>
      </c>
      <c r="AT424" s="2620" t="s">
        <v>1679</v>
      </c>
      <c r="AU424" s="2621"/>
      <c r="AV424" s="2621"/>
      <c r="AW424" s="2621"/>
      <c r="AX424" s="2621"/>
      <c r="AY424" s="2624">
        <f>O86</f>
        <v>0</v>
      </c>
      <c r="AZ424" s="2625">
        <f>O86</f>
        <v>0</v>
      </c>
      <c r="BA424" s="2622"/>
      <c r="BB424" s="2613"/>
      <c r="BC424" s="2613"/>
      <c r="BD424" s="2613"/>
      <c r="BE424" s="2626"/>
      <c r="BF424" s="2627">
        <f>P86</f>
        <v>0</v>
      </c>
      <c r="BG424" s="2625">
        <f>P86</f>
        <v>0</v>
      </c>
      <c r="BH424" s="2622"/>
      <c r="BI424" s="2613"/>
      <c r="BJ424" s="2613"/>
      <c r="BK424" s="2613"/>
      <c r="BL424" s="2614"/>
      <c r="BM424" s="2043"/>
    </row>
    <row r="425" spans="2:65">
      <c r="B425" s="2043"/>
      <c r="C425" s="2046" t="s">
        <v>1588</v>
      </c>
      <c r="D425" s="2043"/>
      <c r="E425" s="2043"/>
      <c r="F425" s="2043"/>
      <c r="G425" s="2043"/>
      <c r="H425" s="2043"/>
      <c r="I425" s="2043"/>
      <c r="J425" s="2044" t="s">
        <v>1952</v>
      </c>
      <c r="K425" s="2043"/>
      <c r="L425" s="2043"/>
      <c r="M425" s="2043"/>
      <c r="N425" s="1994"/>
      <c r="O425" s="2045"/>
      <c r="P425" s="2045"/>
      <c r="Q425" s="2043"/>
      <c r="R425" s="2043"/>
      <c r="S425" s="2043"/>
      <c r="Z425" s="2043"/>
      <c r="AA425" s="2112" t="s">
        <v>77</v>
      </c>
      <c r="AB425" s="2620" t="s">
        <v>1680</v>
      </c>
      <c r="AC425" s="2621"/>
      <c r="AD425" s="2621"/>
      <c r="AE425" s="2621"/>
      <c r="AF425" s="2621"/>
      <c r="AG425" s="2622">
        <v>3</v>
      </c>
      <c r="AH425" s="2614">
        <v>3</v>
      </c>
      <c r="AI425" s="2622"/>
      <c r="AJ425" s="2622"/>
      <c r="AK425" s="2613"/>
      <c r="AL425" s="2613"/>
      <c r="AM425" s="2614"/>
      <c r="AN425" s="3975" t="s">
        <v>1953</v>
      </c>
      <c r="AO425" s="3976"/>
      <c r="AP425" s="3976"/>
      <c r="AQ425" s="3976"/>
      <c r="AR425" s="2043"/>
      <c r="AS425" s="2112" t="s">
        <v>77</v>
      </c>
      <c r="AT425" s="2620" t="s">
        <v>1680</v>
      </c>
      <c r="AU425" s="2621"/>
      <c r="AV425" s="2621"/>
      <c r="AW425" s="2621"/>
      <c r="AX425" s="2621"/>
      <c r="AY425" s="2622">
        <f>O106</f>
        <v>0</v>
      </c>
      <c r="AZ425" s="2614">
        <f>O106</f>
        <v>0</v>
      </c>
      <c r="BA425" s="2622"/>
      <c r="BB425" s="2613"/>
      <c r="BC425" s="2613"/>
      <c r="BD425" s="2613"/>
      <c r="BE425" s="2626"/>
      <c r="BF425" s="2628">
        <f>P106</f>
        <v>0</v>
      </c>
      <c r="BG425" s="2614">
        <f>P106</f>
        <v>0</v>
      </c>
      <c r="BH425" s="2622"/>
      <c r="BI425" s="2613"/>
      <c r="BJ425" s="2613"/>
      <c r="BK425" s="2613"/>
      <c r="BL425" s="2614"/>
      <c r="BM425" s="2043"/>
    </row>
    <row r="426" spans="2:65">
      <c r="B426" s="2043"/>
      <c r="C426" s="2046" t="s">
        <v>1590</v>
      </c>
      <c r="D426" s="2043"/>
      <c r="E426" s="2043"/>
      <c r="F426" s="2043"/>
      <c r="G426" s="2043"/>
      <c r="H426" s="2043"/>
      <c r="I426" s="2043"/>
      <c r="J426" s="2043" t="s">
        <v>1954</v>
      </c>
      <c r="K426" s="2043"/>
      <c r="L426" s="2043"/>
      <c r="M426" s="2043"/>
      <c r="N426" s="1994"/>
      <c r="O426" s="2045">
        <v>2</v>
      </c>
      <c r="P426" s="2045"/>
      <c r="Q426" s="2043"/>
      <c r="R426" s="2043"/>
      <c r="S426" s="2043"/>
      <c r="Z426" s="2043"/>
      <c r="AA426" s="2112" t="s">
        <v>1427</v>
      </c>
      <c r="AB426" s="2620" t="s">
        <v>1681</v>
      </c>
      <c r="AC426" s="2621"/>
      <c r="AD426" s="2621"/>
      <c r="AE426" s="2621"/>
      <c r="AF426" s="2621"/>
      <c r="AG426" s="2622">
        <v>7</v>
      </c>
      <c r="AH426" s="2614">
        <v>7</v>
      </c>
      <c r="AI426" s="2622"/>
      <c r="AJ426" s="2622"/>
      <c r="AK426" s="2613"/>
      <c r="AL426" s="2613"/>
      <c r="AM426" s="2614"/>
      <c r="AN426" s="3975"/>
      <c r="AO426" s="3976"/>
      <c r="AP426" s="3976"/>
      <c r="AQ426" s="3976"/>
      <c r="AR426" s="2043"/>
      <c r="AS426" s="2112" t="s">
        <v>1427</v>
      </c>
      <c r="AT426" s="2620" t="s">
        <v>1681</v>
      </c>
      <c r="AU426" s="2621"/>
      <c r="AV426" s="2621"/>
      <c r="AW426" s="2621"/>
      <c r="AX426" s="2621"/>
      <c r="AY426" s="2624">
        <f>O122</f>
        <v>0</v>
      </c>
      <c r="AZ426" s="2625">
        <f>O122</f>
        <v>0</v>
      </c>
      <c r="BA426" s="2624"/>
      <c r="BB426" s="2629"/>
      <c r="BC426" s="2629"/>
      <c r="BD426" s="2629"/>
      <c r="BE426" s="2630"/>
      <c r="BF426" s="2627">
        <f>P122</f>
        <v>0</v>
      </c>
      <c r="BG426" s="2625">
        <f>P122</f>
        <v>0</v>
      </c>
      <c r="BH426" s="2622"/>
      <c r="BI426" s="2613"/>
      <c r="BJ426" s="2613"/>
      <c r="BK426" s="2613"/>
      <c r="BL426" s="2614"/>
      <c r="BM426" s="2043"/>
    </row>
    <row r="427" spans="2:65">
      <c r="B427" s="2043"/>
      <c r="C427" s="2043"/>
      <c r="D427" s="2043"/>
      <c r="E427" s="2043"/>
      <c r="F427" s="2043"/>
      <c r="G427" s="2043"/>
      <c r="H427" s="2043"/>
      <c r="I427" s="2043"/>
      <c r="J427" s="2043" t="s">
        <v>1955</v>
      </c>
      <c r="K427" s="2043"/>
      <c r="L427" s="2043"/>
      <c r="M427" s="2043"/>
      <c r="N427" s="1994"/>
      <c r="O427" s="2045">
        <v>2</v>
      </c>
      <c r="P427" s="2045"/>
      <c r="Q427" s="2043"/>
      <c r="R427" s="2043"/>
      <c r="S427" s="2043"/>
      <c r="Z427" s="2043"/>
      <c r="AA427" s="2112" t="s">
        <v>1432</v>
      </c>
      <c r="AB427" s="2620" t="s">
        <v>1682</v>
      </c>
      <c r="AC427" s="2621"/>
      <c r="AD427" s="2621"/>
      <c r="AE427" s="2621"/>
      <c r="AF427" s="2621"/>
      <c r="AG427" s="2622">
        <v>3</v>
      </c>
      <c r="AH427" s="2614"/>
      <c r="AI427" s="2622"/>
      <c r="AJ427" s="2622"/>
      <c r="AK427" s="2613"/>
      <c r="AL427" s="2613"/>
      <c r="AM427" s="2614"/>
      <c r="AN427" s="1855" t="s">
        <v>1956</v>
      </c>
      <c r="AO427" s="1855"/>
      <c r="AP427" s="1855"/>
      <c r="AQ427" s="2631"/>
      <c r="AR427" s="2043"/>
      <c r="AS427" s="2112" t="s">
        <v>1432</v>
      </c>
      <c r="AT427" s="2620" t="s">
        <v>1682</v>
      </c>
      <c r="AU427" s="2621"/>
      <c r="AV427" s="2621"/>
      <c r="AW427" s="2621"/>
      <c r="AX427" s="2621"/>
      <c r="AY427" s="2622"/>
      <c r="AZ427" s="2614"/>
      <c r="BA427" s="2622"/>
      <c r="BB427" s="2613"/>
      <c r="BC427" s="2613"/>
      <c r="BD427" s="2613"/>
      <c r="BE427" s="2626"/>
      <c r="BF427" s="2618">
        <f>P142</f>
        <v>0</v>
      </c>
      <c r="BG427" s="2614"/>
      <c r="BH427" s="2622"/>
      <c r="BI427" s="2613"/>
      <c r="BJ427" s="2613"/>
      <c r="BK427" s="2613"/>
      <c r="BL427" s="2614"/>
      <c r="BM427" s="2043"/>
    </row>
    <row r="428" spans="2:65">
      <c r="B428" s="2043"/>
      <c r="C428" s="2043"/>
      <c r="D428" s="2043"/>
      <c r="E428" s="2043"/>
      <c r="F428" s="2043"/>
      <c r="G428" s="3854" t="s">
        <v>1957</v>
      </c>
      <c r="H428" s="3854"/>
      <c r="I428" s="3854"/>
      <c r="J428" s="2043" t="s">
        <v>1958</v>
      </c>
      <c r="K428" s="2043"/>
      <c r="L428" s="2043"/>
      <c r="M428" s="2043"/>
      <c r="N428" s="1994"/>
      <c r="O428" s="2045">
        <v>2</v>
      </c>
      <c r="P428" s="2045"/>
      <c r="Q428" s="2043"/>
      <c r="R428" s="2043"/>
      <c r="S428" s="2043"/>
      <c r="Z428" s="2043"/>
      <c r="AA428" s="2112" t="s">
        <v>1434</v>
      </c>
      <c r="AB428" s="2620" t="s">
        <v>1684</v>
      </c>
      <c r="AC428" s="2621"/>
      <c r="AD428" s="2621"/>
      <c r="AE428" s="2621"/>
      <c r="AF428" s="2621"/>
      <c r="AG428" s="2622">
        <v>9</v>
      </c>
      <c r="AH428" s="2614">
        <v>9</v>
      </c>
      <c r="AI428" s="2622"/>
      <c r="AJ428" s="2622"/>
      <c r="AK428" s="2613"/>
      <c r="AL428" s="2613"/>
      <c r="AM428" s="2614"/>
      <c r="AN428" s="1855" t="s">
        <v>1959</v>
      </c>
      <c r="AO428" s="1855"/>
      <c r="AP428" s="1855"/>
      <c r="AQ428" s="2632"/>
      <c r="AR428" s="2043"/>
      <c r="AS428" s="2112" t="s">
        <v>1434</v>
      </c>
      <c r="AT428" s="2620" t="s">
        <v>1684</v>
      </c>
      <c r="AU428" s="2621"/>
      <c r="AV428" s="2621"/>
      <c r="AW428" s="2621"/>
      <c r="AX428" s="2621"/>
      <c r="AY428" s="2615">
        <f>O152</f>
        <v>0</v>
      </c>
      <c r="AZ428" s="2619">
        <f>O152</f>
        <v>0</v>
      </c>
      <c r="BA428" s="2622"/>
      <c r="BB428" s="2613"/>
      <c r="BC428" s="2613"/>
      <c r="BD428" s="2613"/>
      <c r="BE428" s="2626"/>
      <c r="BF428" s="2618">
        <f>P152</f>
        <v>0</v>
      </c>
      <c r="BG428" s="2619">
        <f>P152</f>
        <v>0</v>
      </c>
      <c r="BH428" s="2622"/>
      <c r="BI428" s="2613"/>
      <c r="BJ428" s="2613"/>
      <c r="BK428" s="2613"/>
      <c r="BL428" s="2614"/>
      <c r="BM428" s="2043"/>
    </row>
    <row r="429" spans="2:65">
      <c r="B429" s="2043"/>
      <c r="C429" s="2043"/>
      <c r="D429" s="2043"/>
      <c r="E429" s="2043"/>
      <c r="F429" s="2043"/>
      <c r="G429" s="2048" t="s">
        <v>1960</v>
      </c>
      <c r="H429" s="2043" t="s">
        <v>1961</v>
      </c>
      <c r="I429" s="2048" t="s">
        <v>1962</v>
      </c>
      <c r="J429" s="2043" t="s">
        <v>1963</v>
      </c>
      <c r="K429" s="2043"/>
      <c r="L429" s="2048"/>
      <c r="M429" s="2043"/>
      <c r="N429" s="1994"/>
      <c r="O429" s="2045">
        <v>2</v>
      </c>
      <c r="P429" s="2045"/>
      <c r="Q429" s="2043"/>
      <c r="R429" s="2043"/>
      <c r="S429" s="2043"/>
      <c r="Z429" s="2043"/>
      <c r="AA429" s="2112" t="s">
        <v>1436</v>
      </c>
      <c r="AB429" s="2620" t="s">
        <v>1964</v>
      </c>
      <c r="AC429" s="2621"/>
      <c r="AD429" s="2621"/>
      <c r="AE429" s="2621"/>
      <c r="AF429" s="2621"/>
      <c r="AG429" s="2622">
        <v>1</v>
      </c>
      <c r="AH429" s="2614"/>
      <c r="AI429" s="2622"/>
      <c r="AJ429" s="2622"/>
      <c r="AK429" s="2613"/>
      <c r="AL429" s="2613"/>
      <c r="AM429" s="2614"/>
      <c r="AN429" s="2633" t="s">
        <v>1965</v>
      </c>
      <c r="AO429" s="1855"/>
      <c r="AP429" s="1855"/>
      <c r="AQ429" s="2634"/>
      <c r="AR429" s="2043"/>
      <c r="AS429" s="2112" t="s">
        <v>1436</v>
      </c>
      <c r="AT429" s="2620" t="s">
        <v>1964</v>
      </c>
      <c r="AU429" s="2621"/>
      <c r="AV429" s="2621"/>
      <c r="AW429" s="2621"/>
      <c r="AX429" s="2621"/>
      <c r="AY429" s="2615">
        <f>O171</f>
        <v>0</v>
      </c>
      <c r="AZ429" s="2614"/>
      <c r="BA429" s="2622"/>
      <c r="BB429" s="2613"/>
      <c r="BC429" s="2613"/>
      <c r="BD429" s="2613"/>
      <c r="BE429" s="2626"/>
      <c r="BF429" s="2618">
        <f>P171</f>
        <v>0</v>
      </c>
      <c r="BG429" s="2614"/>
      <c r="BH429" s="2622"/>
      <c r="BI429" s="2613"/>
      <c r="BJ429" s="2613"/>
      <c r="BK429" s="2613"/>
      <c r="BL429" s="2614"/>
      <c r="BM429" s="2043"/>
    </row>
    <row r="430" spans="2:65">
      <c r="B430" s="2043"/>
      <c r="C430" s="2049"/>
      <c r="D430" s="2043"/>
      <c r="E430" s="2043"/>
      <c r="F430" s="2043"/>
      <c r="G430" s="2050" t="s">
        <v>1966</v>
      </c>
      <c r="H430" s="2043"/>
      <c r="I430" s="2050"/>
      <c r="J430" s="2043" t="s">
        <v>1967</v>
      </c>
      <c r="K430" s="2043"/>
      <c r="L430" s="2050"/>
      <c r="M430" s="2043"/>
      <c r="N430" s="1994"/>
      <c r="O430" s="2045">
        <v>2</v>
      </c>
      <c r="P430" s="2045"/>
      <c r="Q430" s="2043"/>
      <c r="R430" s="2043"/>
      <c r="S430" s="2043"/>
      <c r="Z430" s="2043"/>
      <c r="AA430" s="2112" t="s">
        <v>1443</v>
      </c>
      <c r="AB430" s="2620" t="s">
        <v>1686</v>
      </c>
      <c r="AC430" s="2621"/>
      <c r="AD430" s="2621"/>
      <c r="AE430" s="2621"/>
      <c r="AF430" s="2621"/>
      <c r="AG430" s="2622">
        <v>10</v>
      </c>
      <c r="AH430" s="2614">
        <v>10</v>
      </c>
      <c r="AI430" s="2622"/>
      <c r="AJ430" s="2622"/>
      <c r="AK430" s="2613"/>
      <c r="AL430" s="2613"/>
      <c r="AM430" s="2614"/>
      <c r="AN430" s="2633" t="s">
        <v>1968</v>
      </c>
      <c r="AO430" s="1855"/>
      <c r="AP430" s="1855" t="s">
        <v>1969</v>
      </c>
      <c r="AQ430" s="2635" t="str">
        <f>IF('Part VII-Threshold Criteria'!$P$223="Agree","Yes","")</f>
        <v/>
      </c>
      <c r="AR430" s="2043"/>
      <c r="AS430" s="2112" t="s">
        <v>1443</v>
      </c>
      <c r="AT430" s="2620" t="s">
        <v>1686</v>
      </c>
      <c r="AU430" s="2621"/>
      <c r="AV430" s="2621"/>
      <c r="AW430" s="2621"/>
      <c r="AX430" s="2621"/>
      <c r="AY430" s="2615">
        <f>O179</f>
        <v>0</v>
      </c>
      <c r="AZ430" s="2619">
        <f>O179</f>
        <v>0</v>
      </c>
      <c r="BA430" s="2622"/>
      <c r="BB430" s="2613"/>
      <c r="BC430" s="2613"/>
      <c r="BD430" s="2613"/>
      <c r="BE430" s="2626"/>
      <c r="BF430" s="2618">
        <f>P179</f>
        <v>0</v>
      </c>
      <c r="BG430" s="2619">
        <f>P179</f>
        <v>0</v>
      </c>
      <c r="BH430" s="2622"/>
      <c r="BI430" s="2613"/>
      <c r="BJ430" s="2613"/>
      <c r="BK430" s="2613"/>
      <c r="BL430" s="2614"/>
      <c r="BM430" s="2043"/>
    </row>
    <row r="431" spans="2:65">
      <c r="B431" s="2043"/>
      <c r="C431" s="2049"/>
      <c r="D431" s="2043"/>
      <c r="E431" s="2043"/>
      <c r="F431" s="2043"/>
      <c r="G431" s="2050" t="s">
        <v>1970</v>
      </c>
      <c r="H431" s="1994" t="s">
        <v>1971</v>
      </c>
      <c r="I431" s="2048" t="s">
        <v>1082</v>
      </c>
      <c r="J431" s="2043" t="s">
        <v>1972</v>
      </c>
      <c r="K431" s="2043"/>
      <c r="L431" s="2049"/>
      <c r="M431" s="2043"/>
      <c r="N431" s="1994"/>
      <c r="O431" s="2045">
        <v>1</v>
      </c>
      <c r="P431" s="2045"/>
      <c r="Q431" s="2043"/>
      <c r="R431" s="2043"/>
      <c r="S431" s="2043"/>
      <c r="Z431" s="2043"/>
      <c r="AA431" s="2112" t="s">
        <v>1449</v>
      </c>
      <c r="AB431" s="2620" t="s">
        <v>1973</v>
      </c>
      <c r="AC431" s="2621"/>
      <c r="AD431" s="2621"/>
      <c r="AE431" s="2621"/>
      <c r="AF431" s="2621"/>
      <c r="AG431" s="2622">
        <v>3</v>
      </c>
      <c r="AH431" s="2614"/>
      <c r="AI431" s="2622"/>
      <c r="AJ431" s="2622"/>
      <c r="AK431" s="2613"/>
      <c r="AL431" s="2613"/>
      <c r="AM431" s="2614"/>
      <c r="AN431" s="2043"/>
      <c r="AO431" s="1855"/>
      <c r="AP431" s="2046" t="s">
        <v>1974</v>
      </c>
      <c r="AQ431" s="2635" t="str">
        <f>IF('Part VII-Threshold Criteria'!$P$224="Agree","Yes","")</f>
        <v/>
      </c>
      <c r="AR431" s="2043"/>
      <c r="AS431" s="2112" t="s">
        <v>1449</v>
      </c>
      <c r="AT431" s="2620" t="s">
        <v>1973</v>
      </c>
      <c r="AU431" s="2621"/>
      <c r="AV431" s="2621"/>
      <c r="AW431" s="2621"/>
      <c r="AX431" s="2621"/>
      <c r="AY431" s="2615">
        <f>O189</f>
        <v>0</v>
      </c>
      <c r="AZ431" s="2614"/>
      <c r="BA431" s="2622"/>
      <c r="BB431" s="2613"/>
      <c r="BC431" s="2613"/>
      <c r="BD431" s="2613"/>
      <c r="BE431" s="2626"/>
      <c r="BF431" s="2618">
        <f>P189</f>
        <v>0</v>
      </c>
      <c r="BG431" s="2614"/>
      <c r="BH431" s="2622"/>
      <c r="BI431" s="2613"/>
      <c r="BJ431" s="2613"/>
      <c r="BK431" s="2613"/>
      <c r="BL431" s="2614"/>
      <c r="BM431" s="2043"/>
    </row>
    <row r="432" spans="2:65">
      <c r="B432" s="2043"/>
      <c r="C432" s="2049"/>
      <c r="D432" s="2043"/>
      <c r="E432" s="2043"/>
      <c r="F432" s="2043"/>
      <c r="G432" s="2050" t="s">
        <v>1975</v>
      </c>
      <c r="H432" s="1994">
        <v>2020</v>
      </c>
      <c r="I432" s="1994" t="s">
        <v>1976</v>
      </c>
      <c r="J432" s="2043" t="s">
        <v>1977</v>
      </c>
      <c r="K432" s="2043"/>
      <c r="L432" s="2049"/>
      <c r="M432" s="2043"/>
      <c r="N432" s="1994"/>
      <c r="O432" s="2045">
        <v>1</v>
      </c>
      <c r="P432" s="2045"/>
      <c r="Q432" s="2043"/>
      <c r="R432" s="2043"/>
      <c r="S432" s="2043"/>
      <c r="Z432" s="2043"/>
      <c r="AA432" s="2112" t="s">
        <v>1472</v>
      </c>
      <c r="AB432" s="2620" t="s">
        <v>1690</v>
      </c>
      <c r="AC432" s="2621"/>
      <c r="AD432" s="2621"/>
      <c r="AE432" s="2621"/>
      <c r="AF432" s="2621"/>
      <c r="AG432" s="2622">
        <v>5</v>
      </c>
      <c r="AH432" s="2614"/>
      <c r="AI432" s="2622"/>
      <c r="AJ432" s="2622"/>
      <c r="AK432" s="2613"/>
      <c r="AL432" s="2613"/>
      <c r="AM432" s="2614"/>
      <c r="AN432" s="2633"/>
      <c r="AO432" s="1855"/>
      <c r="AP432" s="2046" t="s">
        <v>1978</v>
      </c>
      <c r="AQ432" s="2636" t="str">
        <f>IF('Part VII-Threshold Criteria'!$P$225="Agree","Yes","")</f>
        <v>Yes</v>
      </c>
      <c r="AR432" s="2043"/>
      <c r="AS432" s="2112" t="s">
        <v>1472</v>
      </c>
      <c r="AT432" s="2620" t="s">
        <v>1690</v>
      </c>
      <c r="AU432" s="2621"/>
      <c r="AV432" s="2621"/>
      <c r="AW432" s="2621"/>
      <c r="AX432" s="2621"/>
      <c r="AY432" s="2615">
        <f>O200</f>
        <v>0</v>
      </c>
      <c r="AZ432" s="2614"/>
      <c r="BA432" s="2622"/>
      <c r="BB432" s="2613"/>
      <c r="BC432" s="2613"/>
      <c r="BD432" s="2613"/>
      <c r="BE432" s="2626"/>
      <c r="BF432" s="2618">
        <f>P200</f>
        <v>0</v>
      </c>
      <c r="BG432" s="2614"/>
      <c r="BH432" s="2622"/>
      <c r="BI432" s="2613"/>
      <c r="BJ432" s="2613"/>
      <c r="BK432" s="2613"/>
      <c r="BL432" s="2614"/>
      <c r="BM432" s="2043"/>
    </row>
    <row r="433" spans="1:65">
      <c r="B433" s="2043"/>
      <c r="C433" s="2049"/>
      <c r="D433" s="2043"/>
      <c r="E433" s="2043"/>
      <c r="F433" s="2043"/>
      <c r="G433" s="2050" t="s">
        <v>1979</v>
      </c>
      <c r="H433" s="1994" t="s">
        <v>1683</v>
      </c>
      <c r="I433" s="2048" t="s">
        <v>1082</v>
      </c>
      <c r="J433" s="2043" t="s">
        <v>1980</v>
      </c>
      <c r="K433" s="2043"/>
      <c r="L433" s="2049"/>
      <c r="M433" s="2043"/>
      <c r="N433" s="1994"/>
      <c r="O433" s="2045">
        <v>1</v>
      </c>
      <c r="P433" s="2045"/>
      <c r="Q433" s="2043"/>
      <c r="R433" s="2043"/>
      <c r="S433" s="2043"/>
      <c r="Z433" s="2043"/>
      <c r="AA433" s="2112" t="s">
        <v>1470</v>
      </c>
      <c r="AB433" s="2620" t="s">
        <v>1981</v>
      </c>
      <c r="AC433" s="2621"/>
      <c r="AD433" s="2621"/>
      <c r="AE433" s="2621"/>
      <c r="AF433" s="2621"/>
      <c r="AG433" s="2622">
        <v>4</v>
      </c>
      <c r="AH433" s="2614">
        <v>4</v>
      </c>
      <c r="AI433" s="2622">
        <v>4</v>
      </c>
      <c r="AJ433" s="2622">
        <v>4</v>
      </c>
      <c r="AK433" s="2613">
        <v>4</v>
      </c>
      <c r="AL433" s="2613">
        <v>4</v>
      </c>
      <c r="AM433" s="2614">
        <v>4</v>
      </c>
      <c r="AN433" s="2637"/>
      <c r="AO433" s="2597"/>
      <c r="AP433" s="2638" t="s">
        <v>1982</v>
      </c>
      <c r="AQ433" s="2639" t="str">
        <f>IF('Part VII-Threshold Criteria'!$P$226="Agree","Yes","")</f>
        <v/>
      </c>
      <c r="AR433" s="2043"/>
      <c r="AS433" s="2112" t="s">
        <v>1470</v>
      </c>
      <c r="AT433" s="2620" t="s">
        <v>1981</v>
      </c>
      <c r="AU433" s="2621"/>
      <c r="AV433" s="2621"/>
      <c r="AW433" s="2621"/>
      <c r="AX433" s="2621"/>
      <c r="AY433" s="2615">
        <f>O210</f>
        <v>4</v>
      </c>
      <c r="AZ433" s="2619">
        <f>O210</f>
        <v>4</v>
      </c>
      <c r="BA433" s="2615">
        <f>O210</f>
        <v>4</v>
      </c>
      <c r="BB433" s="2616">
        <f>O210</f>
        <v>4</v>
      </c>
      <c r="BC433" s="2616">
        <f>O210</f>
        <v>4</v>
      </c>
      <c r="BD433" s="2616">
        <f>O210</f>
        <v>4</v>
      </c>
      <c r="BE433" s="2617">
        <f>O210</f>
        <v>4</v>
      </c>
      <c r="BF433" s="2618">
        <f>P210</f>
        <v>0</v>
      </c>
      <c r="BG433" s="2619">
        <f>P210</f>
        <v>0</v>
      </c>
      <c r="BH433" s="2615">
        <f>P210</f>
        <v>0</v>
      </c>
      <c r="BI433" s="2616">
        <f>P210</f>
        <v>0</v>
      </c>
      <c r="BJ433" s="2616">
        <f>P210</f>
        <v>0</v>
      </c>
      <c r="BK433" s="2616">
        <f>P210</f>
        <v>0</v>
      </c>
      <c r="BL433" s="2619">
        <f>P210</f>
        <v>0</v>
      </c>
      <c r="BM433" s="2043"/>
    </row>
    <row r="434" spans="1:65">
      <c r="B434" s="2043"/>
      <c r="C434" s="2049"/>
      <c r="D434" s="2043"/>
      <c r="E434" s="2043"/>
      <c r="F434" s="2043"/>
      <c r="G434" s="2050" t="s">
        <v>1983</v>
      </c>
      <c r="H434" s="1994">
        <v>2020</v>
      </c>
      <c r="I434" s="1994" t="s">
        <v>1976</v>
      </c>
      <c r="J434" s="2043" t="s">
        <v>1984</v>
      </c>
      <c r="K434" s="2043"/>
      <c r="L434" s="2049"/>
      <c r="M434" s="2043"/>
      <c r="N434" s="1994"/>
      <c r="O434" s="2045">
        <v>1</v>
      </c>
      <c r="P434" s="2045"/>
      <c r="Q434" s="2043"/>
      <c r="R434" s="2043"/>
      <c r="S434" s="2043"/>
      <c r="Z434" s="2043"/>
      <c r="AA434" s="2112" t="s">
        <v>1472</v>
      </c>
      <c r="AB434" s="2620" t="s">
        <v>1692</v>
      </c>
      <c r="AC434" s="2621"/>
      <c r="AD434" s="2621"/>
      <c r="AE434" s="2621"/>
      <c r="AF434" s="2621"/>
      <c r="AG434" s="2622">
        <v>2</v>
      </c>
      <c r="AH434" s="2614"/>
      <c r="AI434" s="2622"/>
      <c r="AJ434" s="2622"/>
      <c r="AK434" s="2613"/>
      <c r="AL434" s="2613"/>
      <c r="AM434" s="2614"/>
      <c r="AN434" s="2640" t="s">
        <v>1985</v>
      </c>
      <c r="AO434" s="2641"/>
      <c r="AP434" s="2642"/>
      <c r="AQ434" s="2631"/>
      <c r="AR434" s="2043"/>
      <c r="AS434" s="2112" t="s">
        <v>1472</v>
      </c>
      <c r="AT434" s="2620" t="s">
        <v>1692</v>
      </c>
      <c r="AU434" s="2621"/>
      <c r="AV434" s="2621"/>
      <c r="AW434" s="2621"/>
      <c r="AX434" s="2621"/>
      <c r="AY434" s="2615">
        <f>O223</f>
        <v>0</v>
      </c>
      <c r="AZ434" s="2619"/>
      <c r="BA434" s="2615"/>
      <c r="BB434" s="2616"/>
      <c r="BC434" s="2616"/>
      <c r="BD434" s="2616"/>
      <c r="BE434" s="2617"/>
      <c r="BF434" s="2618">
        <f>P223</f>
        <v>0</v>
      </c>
      <c r="BG434" s="2619"/>
      <c r="BH434" s="2615"/>
      <c r="BI434" s="2616"/>
      <c r="BJ434" s="2616"/>
      <c r="BK434" s="2616"/>
      <c r="BL434" s="2619"/>
      <c r="BM434" s="2043"/>
    </row>
    <row r="435" spans="1:65">
      <c r="B435" s="2043"/>
      <c r="C435" s="2049"/>
      <c r="D435" s="2043"/>
      <c r="E435" s="2043"/>
      <c r="F435" s="2043"/>
      <c r="G435" s="2050" t="s">
        <v>1986</v>
      </c>
      <c r="H435" s="1994">
        <v>2019</v>
      </c>
      <c r="I435" s="1994" t="s">
        <v>1976</v>
      </c>
      <c r="J435" s="2043" t="s">
        <v>1987</v>
      </c>
      <c r="K435" s="2043"/>
      <c r="L435" s="2049"/>
      <c r="M435" s="2043"/>
      <c r="N435" s="1994"/>
      <c r="O435" s="2045">
        <v>1</v>
      </c>
      <c r="P435" s="2045"/>
      <c r="Q435" s="2043"/>
      <c r="R435" s="2043"/>
      <c r="S435" s="2043"/>
      <c r="Z435" s="2043"/>
      <c r="AA435" s="2112" t="s">
        <v>1481</v>
      </c>
      <c r="AB435" s="2620" t="s">
        <v>1988</v>
      </c>
      <c r="AC435" s="2621"/>
      <c r="AD435" s="2621"/>
      <c r="AE435" s="2621"/>
      <c r="AF435" s="2621"/>
      <c r="AG435" s="2622">
        <v>2</v>
      </c>
      <c r="AH435" s="2614">
        <v>2</v>
      </c>
      <c r="AI435" s="2622">
        <v>2</v>
      </c>
      <c r="AJ435" s="2622">
        <v>2</v>
      </c>
      <c r="AK435" s="2613">
        <v>2</v>
      </c>
      <c r="AL435" s="2613">
        <v>2</v>
      </c>
      <c r="AM435" s="2614">
        <v>2</v>
      </c>
      <c r="AN435" s="2643" t="s">
        <v>1989</v>
      </c>
      <c r="AO435" s="2644"/>
      <c r="AP435" s="2645"/>
      <c r="AQ435" s="2634"/>
      <c r="AR435" s="2043"/>
      <c r="AS435" s="2112" t="s">
        <v>1481</v>
      </c>
      <c r="AT435" s="2620" t="s">
        <v>1988</v>
      </c>
      <c r="AU435" s="2621"/>
      <c r="AV435" s="2621"/>
      <c r="AW435" s="2621"/>
      <c r="AX435" s="2621"/>
      <c r="AY435" s="2615">
        <f>O233</f>
        <v>2</v>
      </c>
      <c r="AZ435" s="2619">
        <f>O233</f>
        <v>2</v>
      </c>
      <c r="BA435" s="2615">
        <f>O233</f>
        <v>2</v>
      </c>
      <c r="BB435" s="2616">
        <f>O233</f>
        <v>2</v>
      </c>
      <c r="BC435" s="2616">
        <f>O233</f>
        <v>2</v>
      </c>
      <c r="BD435" s="2616">
        <f>O233</f>
        <v>2</v>
      </c>
      <c r="BE435" s="2617">
        <f>O233</f>
        <v>2</v>
      </c>
      <c r="BF435" s="2618">
        <f>P233</f>
        <v>0</v>
      </c>
      <c r="BG435" s="2619">
        <f>P233</f>
        <v>0</v>
      </c>
      <c r="BH435" s="2615">
        <f>P233</f>
        <v>0</v>
      </c>
      <c r="BI435" s="2616">
        <f>P233</f>
        <v>0</v>
      </c>
      <c r="BJ435" s="2616">
        <f>P233</f>
        <v>0</v>
      </c>
      <c r="BK435" s="2616">
        <f>P233</f>
        <v>0</v>
      </c>
      <c r="BL435" s="2619">
        <f>P233</f>
        <v>0</v>
      </c>
      <c r="BM435" s="2043"/>
    </row>
    <row r="436" spans="1:65">
      <c r="B436" s="2043"/>
      <c r="C436" s="2049"/>
      <c r="D436" s="2043"/>
      <c r="E436" s="2043"/>
      <c r="F436" s="2043"/>
      <c r="G436" s="2050" t="s">
        <v>1990</v>
      </c>
      <c r="H436" s="1994" t="s">
        <v>1683</v>
      </c>
      <c r="I436" s="2048" t="s">
        <v>1082</v>
      </c>
      <c r="J436" s="2043" t="s">
        <v>1991</v>
      </c>
      <c r="K436" s="2043"/>
      <c r="L436" s="2049"/>
      <c r="M436" s="2043"/>
      <c r="N436" s="1994"/>
      <c r="O436" s="2045">
        <v>1</v>
      </c>
      <c r="P436" s="2045"/>
      <c r="Q436" s="2043"/>
      <c r="R436" s="2043"/>
      <c r="S436" s="2043"/>
      <c r="Z436" s="2043"/>
      <c r="AA436" s="2112" t="s">
        <v>1491</v>
      </c>
      <c r="AB436" s="2620" t="s">
        <v>1695</v>
      </c>
      <c r="AC436" s="2621"/>
      <c r="AD436" s="2621"/>
      <c r="AE436" s="2621"/>
      <c r="AF436" s="2621"/>
      <c r="AG436" s="2622">
        <v>2</v>
      </c>
      <c r="AH436" s="2614"/>
      <c r="AI436" s="2622"/>
      <c r="AJ436" s="2622"/>
      <c r="AK436" s="2613">
        <v>2</v>
      </c>
      <c r="AL436" s="2613">
        <v>2</v>
      </c>
      <c r="AM436" s="2614">
        <v>2</v>
      </c>
      <c r="AN436" s="1855" t="s">
        <v>1992</v>
      </c>
      <c r="AO436" s="1855"/>
      <c r="AP436" s="1855"/>
      <c r="AQ436" s="2113" t="str">
        <f>'Part II-Sources of Funds'!$L$14</f>
        <v>Yes</v>
      </c>
      <c r="AR436" s="2043"/>
      <c r="AS436" s="2112" t="s">
        <v>1491</v>
      </c>
      <c r="AT436" s="2620" t="s">
        <v>1695</v>
      </c>
      <c r="AU436" s="2621"/>
      <c r="AV436" s="2621"/>
      <c r="AW436" s="2621"/>
      <c r="AX436" s="2621"/>
      <c r="AY436" s="2615">
        <f>O253</f>
        <v>0</v>
      </c>
      <c r="AZ436" s="2614"/>
      <c r="BA436" s="2622"/>
      <c r="BB436" s="2613"/>
      <c r="BC436" s="2616">
        <f>O253</f>
        <v>0</v>
      </c>
      <c r="BD436" s="2616">
        <f>O253</f>
        <v>0</v>
      </c>
      <c r="BE436" s="2617">
        <f>O253</f>
        <v>0</v>
      </c>
      <c r="BF436" s="2618">
        <f>P253</f>
        <v>0</v>
      </c>
      <c r="BG436" s="2614"/>
      <c r="BH436" s="2622"/>
      <c r="BI436" s="2613"/>
      <c r="BJ436" s="2616">
        <f>P253</f>
        <v>0</v>
      </c>
      <c r="BK436" s="2616">
        <f>P253</f>
        <v>0</v>
      </c>
      <c r="BL436" s="2619">
        <f>P253</f>
        <v>0</v>
      </c>
      <c r="BM436" s="2043"/>
    </row>
    <row r="437" spans="1:65">
      <c r="B437" s="2043"/>
      <c r="C437" s="2049"/>
      <c r="D437" s="2043"/>
      <c r="E437" s="2043"/>
      <c r="F437" s="2043"/>
      <c r="G437" s="2050" t="s">
        <v>1993</v>
      </c>
      <c r="H437" s="1994">
        <v>2020</v>
      </c>
      <c r="I437" s="1994" t="s">
        <v>1976</v>
      </c>
      <c r="J437" s="2043" t="s">
        <v>1994</v>
      </c>
      <c r="K437" s="2043"/>
      <c r="L437" s="2049"/>
      <c r="M437" s="2043"/>
      <c r="N437" s="1994"/>
      <c r="O437" s="2045">
        <v>1</v>
      </c>
      <c r="P437" s="2045"/>
      <c r="Q437" s="2043"/>
      <c r="R437" s="2043"/>
      <c r="S437" s="2043"/>
      <c r="Z437" s="2043"/>
      <c r="AA437" s="2112" t="s">
        <v>1500</v>
      </c>
      <c r="AB437" s="2620" t="s">
        <v>1995</v>
      </c>
      <c r="AC437" s="2621"/>
      <c r="AD437" s="2621"/>
      <c r="AE437" s="2621"/>
      <c r="AF437" s="2621"/>
      <c r="AG437" s="2622">
        <v>2</v>
      </c>
      <c r="AH437" s="2614"/>
      <c r="AI437" s="2622"/>
      <c r="AJ437" s="2622"/>
      <c r="AK437" s="2613">
        <v>2</v>
      </c>
      <c r="AL437" s="2613">
        <v>2</v>
      </c>
      <c r="AM437" s="2614">
        <v>2</v>
      </c>
      <c r="AN437" s="2043"/>
      <c r="AO437" s="2043"/>
      <c r="AP437" s="2043"/>
      <c r="AQ437" s="2043"/>
      <c r="AR437" s="2043"/>
      <c r="AS437" s="2112" t="s">
        <v>1500</v>
      </c>
      <c r="AT437" s="2620" t="s">
        <v>1995</v>
      </c>
      <c r="AU437" s="2621"/>
      <c r="AV437" s="2621"/>
      <c r="AW437" s="2621"/>
      <c r="AX437" s="2621"/>
      <c r="AY437" s="2615"/>
      <c r="AZ437" s="2614"/>
      <c r="BA437" s="2622"/>
      <c r="BB437" s="2613"/>
      <c r="BC437" s="2616"/>
      <c r="BD437" s="2616"/>
      <c r="BE437" s="2617"/>
      <c r="BF437" s="2618">
        <f>P262</f>
        <v>0</v>
      </c>
      <c r="BG437" s="2614"/>
      <c r="BH437" s="2622"/>
      <c r="BI437" s="2613"/>
      <c r="BJ437" s="2616">
        <f>P262</f>
        <v>0</v>
      </c>
      <c r="BK437" s="2616">
        <f>P262</f>
        <v>0</v>
      </c>
      <c r="BL437" s="2619">
        <f>P262</f>
        <v>0</v>
      </c>
      <c r="BM437" s="2043"/>
    </row>
    <row r="438" spans="1:65">
      <c r="B438" s="2043"/>
      <c r="C438" s="2049"/>
      <c r="D438" s="2043"/>
      <c r="E438" s="2043"/>
      <c r="F438" s="2043"/>
      <c r="G438" s="2050" t="s">
        <v>1996</v>
      </c>
      <c r="H438" s="1994" t="s">
        <v>1971</v>
      </c>
      <c r="I438" s="2048" t="s">
        <v>1082</v>
      </c>
      <c r="J438" s="2043" t="s">
        <v>1997</v>
      </c>
      <c r="K438" s="2043"/>
      <c r="L438" s="2049"/>
      <c r="M438" s="2043"/>
      <c r="N438" s="1994"/>
      <c r="O438" s="2045">
        <v>1</v>
      </c>
      <c r="P438" s="2045"/>
      <c r="Q438" s="2043"/>
      <c r="R438" s="2043"/>
      <c r="S438" s="2043"/>
      <c r="Z438" s="2043"/>
      <c r="AA438" s="2112" t="s">
        <v>1508</v>
      </c>
      <c r="AB438" s="2620" t="s">
        <v>1696</v>
      </c>
      <c r="AC438" s="2621"/>
      <c r="AD438" s="2621"/>
      <c r="AE438" s="2621"/>
      <c r="AF438" s="2621"/>
      <c r="AG438" s="2622">
        <v>2</v>
      </c>
      <c r="AH438" s="2614"/>
      <c r="AI438" s="2622"/>
      <c r="AJ438" s="2622"/>
      <c r="AK438" s="2613">
        <v>2</v>
      </c>
      <c r="AL438" s="2613">
        <v>2</v>
      </c>
      <c r="AM438" s="2614">
        <v>2</v>
      </c>
      <c r="AN438" s="2043"/>
      <c r="AO438" s="2043"/>
      <c r="AP438" s="2043"/>
      <c r="AQ438" s="2043"/>
      <c r="AR438" s="2043"/>
      <c r="AS438" s="2112" t="s">
        <v>1508</v>
      </c>
      <c r="AT438" s="2620" t="s">
        <v>1696</v>
      </c>
      <c r="AU438" s="2621"/>
      <c r="AV438" s="2621"/>
      <c r="AW438" s="2621"/>
      <c r="AX438" s="2621"/>
      <c r="AY438" s="2615">
        <f>O271</f>
        <v>0</v>
      </c>
      <c r="AZ438" s="2619"/>
      <c r="BA438" s="2615"/>
      <c r="BB438" s="2616"/>
      <c r="BC438" s="2616">
        <f>O271</f>
        <v>0</v>
      </c>
      <c r="BD438" s="2616">
        <f>O271</f>
        <v>0</v>
      </c>
      <c r="BE438" s="2617">
        <f>O271</f>
        <v>0</v>
      </c>
      <c r="BF438" s="2618">
        <f>P271</f>
        <v>0</v>
      </c>
      <c r="BG438" s="2619"/>
      <c r="BH438" s="2615"/>
      <c r="BI438" s="2616"/>
      <c r="BJ438" s="2616">
        <f>P271</f>
        <v>0</v>
      </c>
      <c r="BK438" s="2616">
        <f>P271</f>
        <v>0</v>
      </c>
      <c r="BL438" s="2619">
        <f>P271</f>
        <v>0</v>
      </c>
      <c r="BM438" s="2043"/>
    </row>
    <row r="439" spans="1:65">
      <c r="A439" s="2043"/>
      <c r="B439" s="2043"/>
      <c r="C439" s="2043"/>
      <c r="D439" s="2043"/>
      <c r="E439" s="2043"/>
      <c r="F439" s="2043"/>
      <c r="G439" s="2050" t="s">
        <v>1998</v>
      </c>
      <c r="H439" s="1994" t="s">
        <v>1971</v>
      </c>
      <c r="I439" s="2048" t="s">
        <v>1082</v>
      </c>
      <c r="J439" s="2043" t="s">
        <v>1999</v>
      </c>
      <c r="K439" s="2043"/>
      <c r="L439" s="2049"/>
      <c r="M439" s="2043"/>
      <c r="N439" s="1994"/>
      <c r="O439" s="2045">
        <v>1</v>
      </c>
      <c r="P439" s="2045"/>
      <c r="Q439" s="2043"/>
      <c r="R439" s="2043"/>
      <c r="S439" s="2043"/>
      <c r="Z439" s="2043"/>
      <c r="AA439" s="2112" t="s">
        <v>1515</v>
      </c>
      <c r="AB439" s="2620" t="s">
        <v>1697</v>
      </c>
      <c r="AC439" s="2621"/>
      <c r="AD439" s="2621"/>
      <c r="AE439" s="2621"/>
      <c r="AF439" s="2621"/>
      <c r="AG439" s="2622">
        <v>4</v>
      </c>
      <c r="AH439" s="2614">
        <v>4</v>
      </c>
      <c r="AI439" s="2622">
        <v>4</v>
      </c>
      <c r="AJ439" s="2622">
        <v>4</v>
      </c>
      <c r="AK439" s="2613">
        <v>4</v>
      </c>
      <c r="AL439" s="2613">
        <v>4</v>
      </c>
      <c r="AM439" s="2614">
        <v>4</v>
      </c>
      <c r="AN439" s="2043"/>
      <c r="AO439" s="2043"/>
      <c r="AP439" s="2043"/>
      <c r="AQ439" s="2043"/>
      <c r="AR439" s="2043"/>
      <c r="AS439" s="2112" t="s">
        <v>1515</v>
      </c>
      <c r="AT439" s="2620" t="s">
        <v>1697</v>
      </c>
      <c r="AU439" s="2621"/>
      <c r="AV439" s="2621"/>
      <c r="AW439" s="2621"/>
      <c r="AX439" s="2621"/>
      <c r="AY439" s="2615">
        <f>O280</f>
        <v>4</v>
      </c>
      <c r="AZ439" s="2619">
        <f>O280</f>
        <v>4</v>
      </c>
      <c r="BA439" s="2615">
        <f>O280</f>
        <v>4</v>
      </c>
      <c r="BB439" s="2616">
        <f>O280</f>
        <v>4</v>
      </c>
      <c r="BC439" s="2616">
        <f>O280</f>
        <v>4</v>
      </c>
      <c r="BD439" s="2616">
        <f>O280</f>
        <v>4</v>
      </c>
      <c r="BE439" s="2617">
        <f>O280</f>
        <v>4</v>
      </c>
      <c r="BF439" s="2618">
        <f>P280</f>
        <v>0</v>
      </c>
      <c r="BG439" s="2619">
        <f>P280</f>
        <v>0</v>
      </c>
      <c r="BH439" s="2615">
        <f>P280</f>
        <v>0</v>
      </c>
      <c r="BI439" s="2616">
        <f>P280</f>
        <v>0</v>
      </c>
      <c r="BJ439" s="2616">
        <f>P280</f>
        <v>0</v>
      </c>
      <c r="BK439" s="2616">
        <f>P280</f>
        <v>0</v>
      </c>
      <c r="BL439" s="2619">
        <f>P280</f>
        <v>0</v>
      </c>
      <c r="BM439" s="2043"/>
    </row>
    <row r="440" spans="1:65">
      <c r="A440" s="2043"/>
      <c r="B440" s="2043"/>
      <c r="C440" s="2043"/>
      <c r="D440" s="2043"/>
      <c r="E440" s="2043"/>
      <c r="F440" s="2043"/>
      <c r="G440" s="2050" t="s">
        <v>2000</v>
      </c>
      <c r="H440" s="1994">
        <v>2019</v>
      </c>
      <c r="I440" s="1994" t="s">
        <v>1976</v>
      </c>
      <c r="J440" s="2043" t="s">
        <v>2001</v>
      </c>
      <c r="K440" s="2043"/>
      <c r="L440" s="2049"/>
      <c r="M440" s="2043"/>
      <c r="N440" s="1994"/>
      <c r="O440" s="2045">
        <v>1</v>
      </c>
      <c r="P440" s="2045"/>
      <c r="Q440" s="2043"/>
      <c r="R440" s="2043"/>
      <c r="S440" s="2043"/>
      <c r="Z440" s="2043"/>
      <c r="AA440" s="2112" t="s">
        <v>1529</v>
      </c>
      <c r="AB440" s="2620" t="s">
        <v>1698</v>
      </c>
      <c r="AC440" s="2621"/>
      <c r="AD440" s="2621"/>
      <c r="AE440" s="2621"/>
      <c r="AF440" s="2621"/>
      <c r="AG440" s="2622">
        <v>2</v>
      </c>
      <c r="AH440" s="2614"/>
      <c r="AI440" s="2622"/>
      <c r="AJ440" s="2622"/>
      <c r="AK440" s="2613"/>
      <c r="AL440" s="2613"/>
      <c r="AM440" s="2614"/>
      <c r="AN440" s="2043"/>
      <c r="AO440" s="2043"/>
      <c r="AP440" s="2043"/>
      <c r="AQ440" s="2043"/>
      <c r="AR440" s="2043"/>
      <c r="AS440" s="2112" t="s">
        <v>1529</v>
      </c>
      <c r="AT440" s="2620" t="s">
        <v>1698</v>
      </c>
      <c r="AU440" s="2621"/>
      <c r="AV440" s="2621"/>
      <c r="AW440" s="2621"/>
      <c r="AX440" s="2621"/>
      <c r="AY440" s="2615">
        <f>O312</f>
        <v>0</v>
      </c>
      <c r="AZ440" s="2619"/>
      <c r="BA440" s="2615"/>
      <c r="BB440" s="2616"/>
      <c r="BC440" s="2616"/>
      <c r="BD440" s="2616"/>
      <c r="BE440" s="2617"/>
      <c r="BF440" s="2618">
        <f>P312</f>
        <v>0</v>
      </c>
      <c r="BG440" s="2619"/>
      <c r="BH440" s="2615"/>
      <c r="BI440" s="2616"/>
      <c r="BJ440" s="2616"/>
      <c r="BK440" s="2616"/>
      <c r="BL440" s="2619"/>
      <c r="BM440" s="2043"/>
    </row>
    <row r="441" spans="1:65">
      <c r="A441" s="2043" t="s">
        <v>2002</v>
      </c>
      <c r="B441" s="2043"/>
      <c r="C441" s="2043"/>
      <c r="D441" s="2043"/>
      <c r="E441" s="2043"/>
      <c r="F441" s="2043"/>
      <c r="G441" s="2050" t="s">
        <v>2003</v>
      </c>
      <c r="H441" s="1994" t="s">
        <v>1971</v>
      </c>
      <c r="I441" s="2048" t="s">
        <v>1082</v>
      </c>
      <c r="J441" s="2043" t="s">
        <v>2004</v>
      </c>
      <c r="K441" s="2043"/>
      <c r="L441" s="2049"/>
      <c r="M441" s="2043"/>
      <c r="N441" s="1994"/>
      <c r="O441" s="2045">
        <v>1</v>
      </c>
      <c r="P441" s="2045"/>
      <c r="Q441" s="2043"/>
      <c r="R441" s="2043"/>
      <c r="S441" s="2043"/>
      <c r="Z441" s="2043"/>
      <c r="AA441" s="2112" t="s">
        <v>1536</v>
      </c>
      <c r="AB441" s="2620" t="s">
        <v>2005</v>
      </c>
      <c r="AC441" s="2621"/>
      <c r="AD441" s="2621"/>
      <c r="AE441" s="2621"/>
      <c r="AF441" s="2621"/>
      <c r="AG441" s="2622">
        <v>10</v>
      </c>
      <c r="AH441" s="2614">
        <v>10</v>
      </c>
      <c r="AI441" s="2622">
        <v>10</v>
      </c>
      <c r="AJ441" s="2622">
        <v>10</v>
      </c>
      <c r="AK441" s="2613">
        <v>10</v>
      </c>
      <c r="AL441" s="2613">
        <v>10</v>
      </c>
      <c r="AM441" s="2614">
        <v>10</v>
      </c>
      <c r="AN441" s="2043"/>
      <c r="AO441" s="2043"/>
      <c r="AP441" s="2043"/>
      <c r="AQ441" s="2043"/>
      <c r="AR441" s="2043"/>
      <c r="AS441" s="2112" t="s">
        <v>1536</v>
      </c>
      <c r="AT441" s="2620" t="s">
        <v>2005</v>
      </c>
      <c r="AU441" s="2621"/>
      <c r="AV441" s="2621"/>
      <c r="AW441" s="2621"/>
      <c r="AX441" s="2621"/>
      <c r="AY441" s="2615">
        <f>O323</f>
        <v>10</v>
      </c>
      <c r="AZ441" s="2619">
        <f>O323</f>
        <v>10</v>
      </c>
      <c r="BA441" s="2615">
        <f>O323</f>
        <v>10</v>
      </c>
      <c r="BB441" s="2616">
        <f>O323</f>
        <v>10</v>
      </c>
      <c r="BC441" s="2616">
        <f>O323</f>
        <v>10</v>
      </c>
      <c r="BD441" s="2616">
        <f>O323</f>
        <v>10</v>
      </c>
      <c r="BE441" s="2617">
        <f>O323</f>
        <v>10</v>
      </c>
      <c r="BF441" s="2618">
        <f>P323</f>
        <v>10</v>
      </c>
      <c r="BG441" s="2619">
        <f>P323</f>
        <v>10</v>
      </c>
      <c r="BH441" s="2615">
        <f>P323</f>
        <v>10</v>
      </c>
      <c r="BI441" s="2616">
        <f>P323</f>
        <v>10</v>
      </c>
      <c r="BJ441" s="2616">
        <f>P323</f>
        <v>10</v>
      </c>
      <c r="BK441" s="2616">
        <f>P323</f>
        <v>10</v>
      </c>
      <c r="BL441" s="2619">
        <f>P323</f>
        <v>10</v>
      </c>
      <c r="BM441" s="2043"/>
    </row>
    <row r="442" spans="1:65">
      <c r="A442" s="2043" t="s">
        <v>2006</v>
      </c>
      <c r="B442" s="2043"/>
      <c r="C442" s="2043"/>
      <c r="D442" s="2043"/>
      <c r="E442" s="2043"/>
      <c r="F442" s="2043"/>
      <c r="G442" s="2050" t="s">
        <v>2007</v>
      </c>
      <c r="H442" s="1994">
        <v>2019</v>
      </c>
      <c r="I442" s="1994" t="s">
        <v>1976</v>
      </c>
      <c r="J442" s="2043" t="s">
        <v>2008</v>
      </c>
      <c r="K442" s="2043"/>
      <c r="L442" s="2049"/>
      <c r="M442" s="2043"/>
      <c r="N442" s="1994"/>
      <c r="O442" s="2045">
        <v>1</v>
      </c>
      <c r="P442" s="2045"/>
      <c r="Q442" s="2043"/>
      <c r="R442" s="2043"/>
      <c r="S442" s="2043"/>
      <c r="Z442" s="2043"/>
      <c r="AA442" s="2112" t="s">
        <v>1543</v>
      </c>
      <c r="AB442" s="2620" t="s">
        <v>2009</v>
      </c>
      <c r="AC442" s="2621"/>
      <c r="AD442" s="2621"/>
      <c r="AE442" s="2621"/>
      <c r="AF442" s="2621"/>
      <c r="AG442" s="2622">
        <v>3</v>
      </c>
      <c r="AH442" s="2614">
        <v>3</v>
      </c>
      <c r="AI442" s="2622">
        <v>3</v>
      </c>
      <c r="AJ442" s="2622">
        <v>3</v>
      </c>
      <c r="AK442" s="2613">
        <v>3</v>
      </c>
      <c r="AL442" s="2613">
        <v>3</v>
      </c>
      <c r="AM442" s="2614">
        <v>3</v>
      </c>
      <c r="AN442" s="2043"/>
      <c r="AO442" s="2043"/>
      <c r="AP442" s="2043"/>
      <c r="AQ442" s="2043"/>
      <c r="AR442" s="2043"/>
      <c r="AS442" s="2112" t="s">
        <v>1543</v>
      </c>
      <c r="AT442" s="2620" t="s">
        <v>2009</v>
      </c>
      <c r="AU442" s="2621"/>
      <c r="AV442" s="2621"/>
      <c r="AW442" s="2621"/>
      <c r="AX442" s="2621"/>
      <c r="AY442" s="2615">
        <f>O332</f>
        <v>3</v>
      </c>
      <c r="AZ442" s="2619">
        <f>O332</f>
        <v>3</v>
      </c>
      <c r="BA442" s="2615">
        <f>O332</f>
        <v>3</v>
      </c>
      <c r="BB442" s="2616">
        <f>O332</f>
        <v>3</v>
      </c>
      <c r="BC442" s="2616">
        <f>O332</f>
        <v>3</v>
      </c>
      <c r="BD442" s="2616">
        <f>O332</f>
        <v>3</v>
      </c>
      <c r="BE442" s="2617">
        <f>O332</f>
        <v>3</v>
      </c>
      <c r="BF442" s="2618">
        <f>P332</f>
        <v>2</v>
      </c>
      <c r="BG442" s="2619">
        <f>P332</f>
        <v>2</v>
      </c>
      <c r="BH442" s="2615">
        <f>P332</f>
        <v>2</v>
      </c>
      <c r="BI442" s="2616">
        <f>P332</f>
        <v>2</v>
      </c>
      <c r="BJ442" s="2616">
        <f>P332</f>
        <v>2</v>
      </c>
      <c r="BK442" s="2616">
        <f>P332</f>
        <v>2</v>
      </c>
      <c r="BL442" s="2619">
        <f>P332</f>
        <v>2</v>
      </c>
      <c r="BM442" s="2043"/>
    </row>
    <row r="443" spans="1:65">
      <c r="A443" s="2049" t="s">
        <v>2010</v>
      </c>
      <c r="B443" s="2043"/>
      <c r="C443" s="2043"/>
      <c r="D443" s="2049"/>
      <c r="E443" s="2049">
        <v>3</v>
      </c>
      <c r="F443" s="2043"/>
      <c r="G443" s="2050" t="s">
        <v>2011</v>
      </c>
      <c r="H443" s="1994">
        <v>2019</v>
      </c>
      <c r="I443" s="1994" t="s">
        <v>1976</v>
      </c>
      <c r="J443" s="2043"/>
      <c r="K443" s="2043"/>
      <c r="L443" s="2049"/>
      <c r="M443" s="2043"/>
      <c r="N443" s="1994"/>
      <c r="O443" s="2045"/>
      <c r="P443" s="2045"/>
      <c r="Q443" s="2043"/>
      <c r="R443" s="2043"/>
      <c r="S443" s="2043"/>
      <c r="Z443" s="2043"/>
      <c r="AA443" s="2112" t="s">
        <v>1556</v>
      </c>
      <c r="AB443" s="2620" t="s">
        <v>1700</v>
      </c>
      <c r="AC443" s="2621"/>
      <c r="AD443" s="2621"/>
      <c r="AE443" s="2621"/>
      <c r="AF443" s="2621"/>
      <c r="AG443" s="2622"/>
      <c r="AH443" s="2614"/>
      <c r="AI443" s="2622">
        <v>6</v>
      </c>
      <c r="AJ443" s="2622">
        <v>6</v>
      </c>
      <c r="AK443" s="2613">
        <v>6</v>
      </c>
      <c r="AL443" s="2613">
        <v>6</v>
      </c>
      <c r="AM443" s="2614">
        <v>6</v>
      </c>
      <c r="AN443" s="2043"/>
      <c r="AO443" s="2043"/>
      <c r="AP443" s="2043"/>
      <c r="AQ443" s="2043"/>
      <c r="AR443" s="2043"/>
      <c r="AS443" s="2112" t="s">
        <v>1556</v>
      </c>
      <c r="AT443" s="2620" t="s">
        <v>1700</v>
      </c>
      <c r="AU443" s="2621"/>
      <c r="AV443" s="2621"/>
      <c r="AW443" s="2621"/>
      <c r="AX443" s="2621"/>
      <c r="AY443" s="2622"/>
      <c r="AZ443" s="2614"/>
      <c r="BA443" s="2615">
        <f>O345</f>
        <v>4</v>
      </c>
      <c r="BB443" s="2616">
        <f>O345</f>
        <v>4</v>
      </c>
      <c r="BC443" s="2616">
        <f>O345</f>
        <v>4</v>
      </c>
      <c r="BD443" s="2616">
        <f>O345</f>
        <v>4</v>
      </c>
      <c r="BE443" s="2617">
        <f>O345</f>
        <v>4</v>
      </c>
      <c r="BF443" s="2628"/>
      <c r="BG443" s="2614"/>
      <c r="BH443" s="2615">
        <f>P345</f>
        <v>0</v>
      </c>
      <c r="BI443" s="2616">
        <f>P345</f>
        <v>0</v>
      </c>
      <c r="BJ443" s="2616">
        <f>P345</f>
        <v>0</v>
      </c>
      <c r="BK443" s="2616">
        <f>P345</f>
        <v>0</v>
      </c>
      <c r="BL443" s="2619">
        <f>P345</f>
        <v>0</v>
      </c>
      <c r="BM443" s="2043"/>
    </row>
    <row r="444" spans="1:65">
      <c r="A444" s="2049" t="s">
        <v>2012</v>
      </c>
      <c r="B444" s="2043"/>
      <c r="C444" s="2043"/>
      <c r="D444" s="2049"/>
      <c r="E444" s="2049">
        <v>2</v>
      </c>
      <c r="F444" s="2043"/>
      <c r="G444" s="2050" t="s">
        <v>143</v>
      </c>
      <c r="H444" s="1994">
        <v>2019</v>
      </c>
      <c r="I444" s="1994" t="s">
        <v>1976</v>
      </c>
      <c r="J444" s="2043"/>
      <c r="K444" s="2043"/>
      <c r="L444" s="2049"/>
      <c r="M444" s="2043"/>
      <c r="N444" s="1994"/>
      <c r="O444" s="2045"/>
      <c r="P444" s="2045"/>
      <c r="Q444" s="2043"/>
      <c r="R444" s="2043"/>
      <c r="S444" s="2043"/>
      <c r="Z444" s="2043"/>
      <c r="AA444" s="2112" t="s">
        <v>1902</v>
      </c>
      <c r="AB444" s="2620" t="s">
        <v>2013</v>
      </c>
      <c r="AC444" s="2621"/>
      <c r="AD444" s="2621"/>
      <c r="AE444" s="2621"/>
      <c r="AF444" s="2621"/>
      <c r="AG444" s="2622"/>
      <c r="AH444" s="2614"/>
      <c r="AI444" s="2622">
        <v>6</v>
      </c>
      <c r="AJ444" s="2622"/>
      <c r="AK444" s="2613">
        <v>6</v>
      </c>
      <c r="AL444" s="2613">
        <v>6</v>
      </c>
      <c r="AM444" s="2614">
        <v>6</v>
      </c>
      <c r="AN444" s="2043"/>
      <c r="AO444" s="2043"/>
      <c r="AP444" s="2043"/>
      <c r="AQ444" s="2043"/>
      <c r="AR444" s="2043"/>
      <c r="AS444" s="2112" t="s">
        <v>1902</v>
      </c>
      <c r="AT444" s="2620" t="s">
        <v>2013</v>
      </c>
      <c r="AU444" s="2621"/>
      <c r="AV444" s="2621"/>
      <c r="AW444" s="2621"/>
      <c r="AX444" s="2621"/>
      <c r="AY444" s="2622"/>
      <c r="AZ444" s="2614"/>
      <c r="BA444" s="2615"/>
      <c r="BB444" s="2616"/>
      <c r="BC444" s="2616"/>
      <c r="BD444" s="2616"/>
      <c r="BE444" s="2617"/>
      <c r="BF444" s="2628"/>
      <c r="BG444" s="2614"/>
      <c r="BH444" s="2615">
        <f>P352</f>
        <v>0</v>
      </c>
      <c r="BI444" s="2616"/>
      <c r="BJ444" s="2616">
        <f>P352</f>
        <v>0</v>
      </c>
      <c r="BK444" s="2616">
        <f>P352</f>
        <v>0</v>
      </c>
      <c r="BL444" s="2619">
        <f>P352</f>
        <v>0</v>
      </c>
      <c r="BM444" s="2043"/>
    </row>
    <row r="445" spans="1:65">
      <c r="A445" s="2049" t="s">
        <v>2014</v>
      </c>
      <c r="B445" s="2043"/>
      <c r="C445" s="2043"/>
      <c r="D445" s="2049"/>
      <c r="E445" s="2049">
        <v>10</v>
      </c>
      <c r="F445" s="2043"/>
      <c r="G445" s="2050" t="s">
        <v>2015</v>
      </c>
      <c r="H445" s="1994">
        <v>2019</v>
      </c>
      <c r="I445" s="1994" t="s">
        <v>1976</v>
      </c>
      <c r="J445" s="2051" t="s">
        <v>1648</v>
      </c>
      <c r="K445" s="2043"/>
      <c r="L445" s="2049"/>
      <c r="M445" s="2043"/>
      <c r="N445" s="1994"/>
      <c r="O445" s="2045"/>
      <c r="P445" s="2045"/>
      <c r="Q445" s="2043"/>
      <c r="R445" s="2043"/>
      <c r="S445" s="2043"/>
      <c r="Z445" s="2043"/>
      <c r="AA445" s="2112" t="s">
        <v>1701</v>
      </c>
      <c r="AB445" s="2620" t="s">
        <v>1702</v>
      </c>
      <c r="AC445" s="2621"/>
      <c r="AD445" s="2621"/>
      <c r="AE445" s="2621"/>
      <c r="AF445" s="2621"/>
      <c r="AG445" s="2622"/>
      <c r="AH445" s="2614"/>
      <c r="AI445" s="2622">
        <v>4</v>
      </c>
      <c r="AJ445" s="2622">
        <v>4</v>
      </c>
      <c r="AK445" s="2613">
        <v>4</v>
      </c>
      <c r="AL445" s="2613">
        <v>4</v>
      </c>
      <c r="AM445" s="2614">
        <v>4</v>
      </c>
      <c r="AN445" s="2043"/>
      <c r="AO445" s="2043"/>
      <c r="AP445" s="2043"/>
      <c r="AQ445" s="2043"/>
      <c r="AR445" s="2043"/>
      <c r="AS445" s="2112" t="s">
        <v>1701</v>
      </c>
      <c r="AT445" s="2620" t="s">
        <v>1702</v>
      </c>
      <c r="AU445" s="2621"/>
      <c r="AV445" s="2621"/>
      <c r="AW445" s="2621"/>
      <c r="AX445" s="2621"/>
      <c r="AY445" s="2622"/>
      <c r="AZ445" s="2614"/>
      <c r="BA445" s="2615">
        <f>O358</f>
        <v>3</v>
      </c>
      <c r="BB445" s="2616">
        <f>O358</f>
        <v>3</v>
      </c>
      <c r="BC445" s="2616">
        <f>O358</f>
        <v>3</v>
      </c>
      <c r="BD445" s="2616">
        <f>O358</f>
        <v>3</v>
      </c>
      <c r="BE445" s="2617">
        <f>O358</f>
        <v>3</v>
      </c>
      <c r="BF445" s="2628"/>
      <c r="BG445" s="2614"/>
      <c r="BH445" s="2615">
        <f>P358</f>
        <v>0</v>
      </c>
      <c r="BI445" s="2616">
        <f>P358</f>
        <v>0</v>
      </c>
      <c r="BJ445" s="2616">
        <f>P358</f>
        <v>0</v>
      </c>
      <c r="BK445" s="2616">
        <f>P358</f>
        <v>0</v>
      </c>
      <c r="BL445" s="2619">
        <f>P358</f>
        <v>0</v>
      </c>
      <c r="BM445" s="2043"/>
    </row>
    <row r="446" spans="1:65">
      <c r="A446" s="2049" t="s">
        <v>2016</v>
      </c>
      <c r="B446" s="2043"/>
      <c r="C446" s="2043"/>
      <c r="D446" s="2049"/>
      <c r="E446" s="2049"/>
      <c r="F446" s="2043"/>
      <c r="G446" s="2050" t="s">
        <v>2017</v>
      </c>
      <c r="H446" s="1994">
        <v>2019</v>
      </c>
      <c r="I446" s="1994" t="s">
        <v>1976</v>
      </c>
      <c r="J446" s="2043" t="s">
        <v>1477</v>
      </c>
      <c r="K446" s="2043"/>
      <c r="L446" s="2049"/>
      <c r="M446" s="2043"/>
      <c r="N446" s="1994"/>
      <c r="O446" s="2045"/>
      <c r="P446" s="2045"/>
      <c r="Q446" s="2043"/>
      <c r="R446" s="2043"/>
      <c r="S446" s="2043"/>
      <c r="Z446" s="2043"/>
      <c r="AA446" s="2112" t="s">
        <v>1703</v>
      </c>
      <c r="AB446" s="2641" t="s">
        <v>1704</v>
      </c>
      <c r="AC446" s="2646"/>
      <c r="AD446" s="2646"/>
      <c r="AE446" s="2646"/>
      <c r="AF446" s="2646"/>
      <c r="AG446" s="2647"/>
      <c r="AH446" s="2648"/>
      <c r="AI446" s="2647">
        <v>6</v>
      </c>
      <c r="AJ446" s="2647">
        <v>6</v>
      </c>
      <c r="AK446" s="2649">
        <v>6</v>
      </c>
      <c r="AL446" s="2649">
        <v>6</v>
      </c>
      <c r="AM446" s="2648">
        <v>6</v>
      </c>
      <c r="AN446" s="2043"/>
      <c r="AO446" s="2043"/>
      <c r="AP446" s="2043"/>
      <c r="AQ446" s="2043"/>
      <c r="AR446" s="2043"/>
      <c r="AS446" s="2112" t="s">
        <v>1703</v>
      </c>
      <c r="AT446" s="2641" t="s">
        <v>1704</v>
      </c>
      <c r="AU446" s="2646"/>
      <c r="AV446" s="2646"/>
      <c r="AW446" s="2646"/>
      <c r="AX446" s="2646"/>
      <c r="AY446" s="2647"/>
      <c r="AZ446" s="2650"/>
      <c r="BA446" s="2615">
        <f>O365</f>
        <v>2</v>
      </c>
      <c r="BB446" s="2616">
        <f>O365</f>
        <v>2</v>
      </c>
      <c r="BC446" s="2651">
        <f>O365</f>
        <v>2</v>
      </c>
      <c r="BD446" s="2651">
        <f>O365</f>
        <v>2</v>
      </c>
      <c r="BE446" s="2652">
        <f>O365</f>
        <v>2</v>
      </c>
      <c r="BF446" s="2653"/>
      <c r="BG446" s="2650"/>
      <c r="BH446" s="2615">
        <f>P365</f>
        <v>0</v>
      </c>
      <c r="BI446" s="2616">
        <f>P365</f>
        <v>0</v>
      </c>
      <c r="BJ446" s="2651">
        <f>P365</f>
        <v>0</v>
      </c>
      <c r="BK446" s="2651">
        <f>P365</f>
        <v>0</v>
      </c>
      <c r="BL446" s="2650">
        <f>P365</f>
        <v>0</v>
      </c>
      <c r="BM446" s="2043"/>
    </row>
    <row r="447" spans="1:65">
      <c r="B447" s="2043"/>
      <c r="C447" s="2049"/>
      <c r="D447" s="2043"/>
      <c r="E447" s="2043"/>
      <c r="F447" s="2043"/>
      <c r="G447" s="2050" t="s">
        <v>2018</v>
      </c>
      <c r="H447" s="1994">
        <v>2020</v>
      </c>
      <c r="I447" s="1994" t="s">
        <v>1976</v>
      </c>
      <c r="J447" s="2043" t="s">
        <v>1649</v>
      </c>
      <c r="K447" s="2043"/>
      <c r="L447" s="2049"/>
      <c r="M447" s="2043"/>
      <c r="N447" s="1994"/>
      <c r="O447" s="2045"/>
      <c r="P447" s="2045"/>
      <c r="Q447" s="2043"/>
      <c r="R447" s="2043"/>
      <c r="S447" s="2043"/>
      <c r="Z447" s="2043"/>
      <c r="AA447" s="2112" t="s">
        <v>1705</v>
      </c>
      <c r="AB447" s="2654" t="s">
        <v>2019</v>
      </c>
      <c r="AC447" s="2655"/>
      <c r="AD447" s="2655"/>
      <c r="AE447" s="2655"/>
      <c r="AF447" s="2655"/>
      <c r="AG447" s="2656"/>
      <c r="AH447" s="2657"/>
      <c r="AI447" s="2658"/>
      <c r="AJ447" s="2656">
        <v>16</v>
      </c>
      <c r="AK447" s="2659"/>
      <c r="AL447" s="2659"/>
      <c r="AM447" s="2660"/>
      <c r="AN447" s="2043"/>
      <c r="AO447" s="2043"/>
      <c r="AP447" s="2043"/>
      <c r="AQ447" s="2043"/>
      <c r="AR447" s="2043"/>
      <c r="AS447" s="2112" t="s">
        <v>1705</v>
      </c>
      <c r="AT447" s="2654" t="s">
        <v>2019</v>
      </c>
      <c r="AU447" s="2655"/>
      <c r="AV447" s="2655"/>
      <c r="AW447" s="2655"/>
      <c r="AX447" s="2655"/>
      <c r="AY447" s="2656"/>
      <c r="AZ447" s="2661"/>
      <c r="BA447" s="2662"/>
      <c r="BB447" s="2663">
        <f>O374</f>
        <v>0</v>
      </c>
      <c r="BC447" s="2663"/>
      <c r="BD447" s="2663"/>
      <c r="BE447" s="2664"/>
      <c r="BF447" s="2665"/>
      <c r="BG447" s="2666"/>
      <c r="BH447" s="2662"/>
      <c r="BI447" s="2663">
        <f>P374</f>
        <v>0</v>
      </c>
      <c r="BJ447" s="2663"/>
      <c r="BK447" s="2663"/>
      <c r="BL447" s="2666"/>
      <c r="BM447" s="2043"/>
    </row>
    <row r="448" spans="1:65">
      <c r="B448" s="2043"/>
      <c r="C448" s="2049"/>
      <c r="D448" s="2043"/>
      <c r="E448" s="2043"/>
      <c r="F448" s="2043"/>
      <c r="G448" s="2050" t="s">
        <v>2020</v>
      </c>
      <c r="H448" s="1994">
        <v>2020</v>
      </c>
      <c r="I448" s="1994" t="s">
        <v>1976</v>
      </c>
      <c r="J448" s="2043" t="s">
        <v>1650</v>
      </c>
      <c r="K448" s="2043"/>
      <c r="L448" s="2049"/>
      <c r="M448" s="2043"/>
      <c r="N448" s="1994"/>
      <c r="O448" s="2045"/>
      <c r="P448" s="2045"/>
      <c r="Q448" s="2043"/>
      <c r="R448" s="2043"/>
      <c r="S448" s="2043"/>
      <c r="Z448" s="2043"/>
      <c r="AA448" s="1855"/>
      <c r="AB448" s="2114"/>
      <c r="AC448" s="1855"/>
      <c r="AD448" s="1855"/>
      <c r="AE448" s="1855"/>
      <c r="AF448" s="1855"/>
      <c r="AG448" s="1855"/>
      <c r="AH448" s="1855"/>
      <c r="AI448" s="1855"/>
      <c r="AJ448" s="1855"/>
      <c r="AK448" s="1855"/>
      <c r="AL448" s="1855"/>
      <c r="AM448" s="1855"/>
      <c r="AN448" s="2043"/>
      <c r="AO448" s="2043"/>
      <c r="AP448" s="2043"/>
      <c r="AQ448" s="2043"/>
      <c r="AR448" s="2043"/>
      <c r="AS448" s="1855"/>
      <c r="AT448" s="1855"/>
      <c r="AU448" s="1855"/>
      <c r="AV448" s="1855"/>
      <c r="AW448" s="1855"/>
      <c r="AX448" s="1855"/>
      <c r="AY448" s="1855"/>
      <c r="AZ448" s="1855"/>
      <c r="BA448" s="1855"/>
      <c r="BB448" s="1855"/>
      <c r="BC448" s="1855"/>
      <c r="BD448" s="1855"/>
      <c r="BE448" s="1855"/>
      <c r="BF448" s="1855"/>
      <c r="BG448" s="1855"/>
      <c r="BH448" s="1855"/>
      <c r="BI448" s="1855"/>
      <c r="BJ448" s="1855"/>
      <c r="BK448" s="1855"/>
      <c r="BL448" s="1855"/>
      <c r="BM448" s="2043"/>
    </row>
    <row r="449" spans="2:65">
      <c r="B449" s="2043"/>
      <c r="C449" s="2049"/>
      <c r="D449" s="2043"/>
      <c r="E449" s="2043"/>
      <c r="F449" s="2043"/>
      <c r="G449" s="2050" t="s">
        <v>2021</v>
      </c>
      <c r="H449" s="1994" t="s">
        <v>1971</v>
      </c>
      <c r="I449" s="2048" t="s">
        <v>1082</v>
      </c>
      <c r="J449" s="2043" t="s">
        <v>1651</v>
      </c>
      <c r="K449" s="2043"/>
      <c r="L449" s="2049"/>
      <c r="M449" s="2043"/>
      <c r="N449" s="1994"/>
      <c r="O449" s="2045"/>
      <c r="P449" s="2045"/>
      <c r="Q449" s="2043"/>
      <c r="R449" s="2043"/>
      <c r="S449" s="2043"/>
      <c r="Z449" s="2043"/>
      <c r="AA449" s="1855"/>
      <c r="AB449" s="2114"/>
      <c r="AC449" s="1855"/>
      <c r="AD449" s="1854" t="s">
        <v>2022</v>
      </c>
      <c r="AE449" s="1855"/>
      <c r="AF449" s="1855"/>
      <c r="AG449" s="2115"/>
      <c r="AH449" s="2116">
        <f>IF(AND($O$36="4%",($C$36-$A$36)&gt;0),(SUM(AH420:AH447)-($C$36-$A$36)),SUM(AH420:AH447))</f>
        <v>91</v>
      </c>
      <c r="AI449" s="2116">
        <f>IF(AND($O$36="4%",($C$36-$A$36)&gt;0),(SUM(AI420:AI447)-($C$36-$A$36)),SUM(AI420:AI447))</f>
        <v>55</v>
      </c>
      <c r="AJ449" s="2116">
        <f>IF(AND($O$36="4%",($C$36-$A$36)&gt;0),(SUM(AJ420:AJ447)-($C$36-$A$36)),SUM(AJ420:AJ447))</f>
        <v>65</v>
      </c>
      <c r="AK449" s="2116">
        <f t="shared" ref="AK449:AM449" si="2">SUM(AK421:AK447)</f>
        <v>61</v>
      </c>
      <c r="AL449" s="2116">
        <f t="shared" si="2"/>
        <v>61</v>
      </c>
      <c r="AM449" s="2116">
        <f t="shared" si="2"/>
        <v>61</v>
      </c>
      <c r="AN449" s="1964"/>
      <c r="AO449" s="1994"/>
      <c r="AP449" s="2042"/>
      <c r="AQ449" s="2113"/>
      <c r="AR449" s="2043"/>
      <c r="AS449" s="1855"/>
      <c r="AT449" s="1855"/>
      <c r="AU449" s="1855"/>
      <c r="AV449" s="1855"/>
      <c r="AW449" s="1855"/>
      <c r="AX449" s="1855"/>
      <c r="AY449" s="2116">
        <f>SUM(AY420:AY447)</f>
        <v>33</v>
      </c>
      <c r="AZ449" s="2116">
        <f>IF(AND($O$36="4%",($C$36-$A$36)&gt;0),(SUM(AZ420:AZ447)-($C$36-$A$36)),SUM(AZ420:AZ447))</f>
        <v>33</v>
      </c>
      <c r="BA449" s="2116">
        <f t="shared" ref="BA449:BB449" si="3">IF(AND($O$36="4%",($C$36-$A$36)&gt;0),(SUM(BA420:BA447)-($C$36-$A$36)),SUM(BA420:BA447))</f>
        <v>42</v>
      </c>
      <c r="BB449" s="2116">
        <f t="shared" si="3"/>
        <v>42</v>
      </c>
      <c r="BC449" s="2116">
        <f t="shared" ref="BC449:BL449" si="4">SUM(BC420:BC447)</f>
        <v>42</v>
      </c>
      <c r="BD449" s="2116">
        <f t="shared" si="4"/>
        <v>42</v>
      </c>
      <c r="BE449" s="2116">
        <f t="shared" si="4"/>
        <v>42</v>
      </c>
      <c r="BF449" s="2116">
        <f t="shared" si="4"/>
        <v>22</v>
      </c>
      <c r="BG449" s="2116">
        <f>IF(AND($O$36="4%",($D$36-$A$36)&gt;0),(SUM(BG420:BG447)-($D$36-$A$36)),SUM(BG420:BG447))</f>
        <v>22</v>
      </c>
      <c r="BH449" s="2116">
        <f t="shared" ref="BH449:BI449" si="5">IF(AND($O$36="4%",($D$36-$A$36)&gt;0),(SUM(BH420:BH447)-($D$36-$A$36)),SUM(BH420:BH447))</f>
        <v>22</v>
      </c>
      <c r="BI449" s="2116">
        <f t="shared" si="5"/>
        <v>22</v>
      </c>
      <c r="BJ449" s="2116">
        <f t="shared" si="4"/>
        <v>22</v>
      </c>
      <c r="BK449" s="2116">
        <f t="shared" si="4"/>
        <v>22</v>
      </c>
      <c r="BL449" s="2116">
        <f t="shared" si="4"/>
        <v>22</v>
      </c>
      <c r="BM449" s="2043"/>
    </row>
    <row r="450" spans="2:65">
      <c r="B450" s="2043"/>
      <c r="C450" s="2049"/>
      <c r="D450" s="2043"/>
      <c r="E450" s="2043"/>
      <c r="F450" s="2043"/>
      <c r="G450" s="2050" t="s">
        <v>2023</v>
      </c>
      <c r="H450" s="1994">
        <v>2019</v>
      </c>
      <c r="I450" s="1994" t="s">
        <v>1976</v>
      </c>
      <c r="J450" s="2043" t="s">
        <v>1653</v>
      </c>
      <c r="K450" s="2043"/>
      <c r="L450" s="2049"/>
      <c r="M450" s="2043"/>
      <c r="N450" s="1994"/>
      <c r="O450" s="2045"/>
      <c r="P450" s="2045"/>
      <c r="Q450" s="2043"/>
      <c r="R450" s="2043"/>
      <c r="S450" s="2043"/>
      <c r="Z450" s="2043"/>
      <c r="AA450" s="2043"/>
      <c r="AB450" s="2043"/>
      <c r="AC450" s="2043"/>
      <c r="AD450" s="2043"/>
      <c r="AE450" s="2043"/>
      <c r="AF450" s="2043"/>
      <c r="AG450" s="2043"/>
      <c r="AH450" s="2043"/>
      <c r="AI450" s="2043"/>
      <c r="AJ450" s="2043"/>
      <c r="AK450" s="2043"/>
      <c r="AL450" s="2043"/>
      <c r="AM450" s="2043"/>
      <c r="AN450" s="1964"/>
      <c r="AO450" s="1994"/>
      <c r="AP450" s="2042"/>
      <c r="AQ450" s="2113"/>
      <c r="AR450" s="2043"/>
      <c r="AS450" s="2043"/>
      <c r="AT450" s="2043"/>
      <c r="AU450" s="2043"/>
      <c r="AV450" s="2043"/>
      <c r="AW450" s="2043"/>
      <c r="AX450" s="2043"/>
      <c r="AY450" s="2043"/>
      <c r="AZ450" s="2043"/>
      <c r="BA450" s="2043"/>
      <c r="BB450" s="2043"/>
      <c r="BC450" s="2043"/>
      <c r="BD450" s="2043"/>
      <c r="BE450" s="2043"/>
      <c r="BF450" s="2043"/>
      <c r="BG450" s="2043"/>
      <c r="BH450" s="2043"/>
      <c r="BI450" s="2043"/>
      <c r="BJ450" s="2043"/>
      <c r="BK450" s="2043"/>
      <c r="BL450" s="2043"/>
      <c r="BM450" s="2043"/>
    </row>
    <row r="451" spans="2:65">
      <c r="B451" s="2043"/>
      <c r="C451" s="2043"/>
      <c r="D451" s="2043"/>
      <c r="E451" s="2043"/>
      <c r="F451" s="2043"/>
      <c r="G451" s="2050" t="s">
        <v>2024</v>
      </c>
      <c r="H451" s="1994">
        <v>2019</v>
      </c>
      <c r="I451" s="1994" t="s">
        <v>1976</v>
      </c>
      <c r="J451" s="2043" t="s">
        <v>1654</v>
      </c>
      <c r="K451" s="2043"/>
      <c r="L451" s="2049"/>
      <c r="M451" s="2043"/>
      <c r="N451" s="1994"/>
      <c r="O451" s="2045"/>
      <c r="P451" s="2045"/>
      <c r="Q451" s="2043"/>
      <c r="R451" s="2043"/>
      <c r="S451" s="2043"/>
    </row>
    <row r="452" spans="2:65">
      <c r="B452" s="2043"/>
      <c r="C452" s="2043"/>
      <c r="D452" s="2043"/>
      <c r="E452" s="2043"/>
      <c r="F452" s="2043"/>
      <c r="G452" s="2050" t="s">
        <v>2025</v>
      </c>
      <c r="H452" s="1994">
        <v>2019</v>
      </c>
      <c r="I452" s="1994" t="s">
        <v>1976</v>
      </c>
      <c r="J452" s="2043" t="s">
        <v>1655</v>
      </c>
      <c r="K452" s="2043"/>
      <c r="L452" s="2043"/>
      <c r="M452" s="2043"/>
      <c r="N452" s="1994"/>
      <c r="O452" s="2045"/>
      <c r="P452" s="2045"/>
      <c r="Q452" s="2043"/>
      <c r="R452" s="2043"/>
      <c r="S452" s="2043"/>
    </row>
    <row r="453" spans="2:65">
      <c r="B453" s="2043"/>
      <c r="C453" s="2043"/>
      <c r="D453" s="2043"/>
      <c r="E453" s="2043"/>
      <c r="F453" s="2043"/>
      <c r="G453" s="2050" t="s">
        <v>2026</v>
      </c>
      <c r="H453" s="1994" t="s">
        <v>1971</v>
      </c>
      <c r="I453" s="2048" t="s">
        <v>1082</v>
      </c>
      <c r="J453" s="2043" t="s">
        <v>1656</v>
      </c>
      <c r="K453" s="2043"/>
      <c r="L453" s="2049"/>
      <c r="M453" s="2043"/>
      <c r="N453" s="1994"/>
      <c r="O453" s="2045"/>
      <c r="P453" s="2045"/>
      <c r="Q453" s="2043"/>
      <c r="R453" s="2043"/>
      <c r="S453" s="2043"/>
    </row>
    <row r="454" spans="2:65" ht="14.25">
      <c r="B454" s="2043"/>
      <c r="C454" s="2043"/>
      <c r="D454" s="2043"/>
      <c r="E454" s="2043"/>
      <c r="F454" s="2043"/>
      <c r="G454" s="2050" t="s">
        <v>2027</v>
      </c>
      <c r="H454" s="1994">
        <v>2020</v>
      </c>
      <c r="I454" s="1994" t="s">
        <v>1976</v>
      </c>
      <c r="J454" s="2043" t="s">
        <v>1657</v>
      </c>
      <c r="K454" s="2043"/>
      <c r="L454" s="2049"/>
      <c r="M454" s="2043"/>
      <c r="N454" s="2043"/>
      <c r="O454" s="2043"/>
      <c r="P454" s="2043"/>
      <c r="Q454" s="2043"/>
      <c r="R454" s="2043"/>
      <c r="S454" s="2043"/>
    </row>
    <row r="455" spans="2:65" ht="14.25">
      <c r="B455" s="2043"/>
      <c r="C455" s="2043"/>
      <c r="D455" s="2043"/>
      <c r="E455" s="2043"/>
      <c r="F455" s="2043"/>
      <c r="G455" s="2050" t="s">
        <v>2028</v>
      </c>
      <c r="H455" s="1994">
        <v>2020</v>
      </c>
      <c r="I455" s="1994" t="s">
        <v>1976</v>
      </c>
      <c r="J455" s="2043" t="s">
        <v>2029</v>
      </c>
      <c r="K455" s="2043"/>
      <c r="L455" s="2043"/>
      <c r="M455" s="2043"/>
      <c r="N455" s="2043"/>
      <c r="O455" s="2043"/>
      <c r="P455" s="2043"/>
      <c r="Q455" s="2043"/>
      <c r="R455" s="2043"/>
      <c r="S455" s="2043"/>
    </row>
    <row r="456" spans="2:65" ht="14.25">
      <c r="B456" s="2043"/>
      <c r="C456" s="2043"/>
      <c r="D456" s="2052"/>
      <c r="E456" s="2043"/>
      <c r="F456" s="2043"/>
      <c r="G456" s="2050" t="s">
        <v>2030</v>
      </c>
      <c r="H456" s="1994" t="s">
        <v>1971</v>
      </c>
      <c r="I456" s="2048" t="s">
        <v>1082</v>
      </c>
      <c r="J456" s="2043" t="s">
        <v>1658</v>
      </c>
      <c r="K456" s="2043"/>
      <c r="L456" s="2049"/>
      <c r="M456" s="2043"/>
      <c r="N456" s="2043"/>
      <c r="O456" s="2043"/>
      <c r="P456" s="2043"/>
      <c r="Q456" s="2043"/>
      <c r="R456" s="2043"/>
      <c r="S456" s="2043"/>
    </row>
    <row r="457" spans="2:65" ht="14.25">
      <c r="B457" s="2043"/>
      <c r="C457" s="2043"/>
      <c r="D457" s="2052"/>
      <c r="E457" s="2043"/>
      <c r="F457" s="2043"/>
      <c r="G457" s="2050" t="s">
        <v>2031</v>
      </c>
      <c r="H457" s="1994" t="s">
        <v>1971</v>
      </c>
      <c r="I457" s="2048" t="s">
        <v>1082</v>
      </c>
      <c r="J457" s="2043" t="s">
        <v>1659</v>
      </c>
      <c r="K457" s="2043"/>
      <c r="L457" s="2049"/>
      <c r="M457" s="2043"/>
      <c r="N457" s="2043"/>
      <c r="O457" s="2043"/>
      <c r="P457" s="2043"/>
      <c r="Q457" s="2043"/>
      <c r="R457" s="2043"/>
      <c r="S457" s="2043"/>
    </row>
    <row r="458" spans="2:65" ht="14.25">
      <c r="B458" s="2043"/>
      <c r="C458" s="2043"/>
      <c r="D458" s="2043"/>
      <c r="E458" s="2043"/>
      <c r="F458" s="2043"/>
      <c r="G458" s="2050" t="s">
        <v>2032</v>
      </c>
      <c r="H458" s="1994">
        <v>2020</v>
      </c>
      <c r="I458" s="1994" t="s">
        <v>1976</v>
      </c>
      <c r="J458" s="2043" t="s">
        <v>1660</v>
      </c>
      <c r="K458" s="2043"/>
      <c r="L458" s="2049"/>
      <c r="M458" s="2043"/>
      <c r="N458" s="2043"/>
      <c r="O458" s="2043"/>
      <c r="P458" s="2043"/>
      <c r="Q458" s="2043"/>
      <c r="R458" s="2043"/>
      <c r="S458" s="2043"/>
    </row>
    <row r="459" spans="2:65" ht="14.25">
      <c r="B459" s="2043"/>
      <c r="C459" s="2043"/>
      <c r="D459" s="2043"/>
      <c r="E459" s="2043"/>
      <c r="F459" s="2043"/>
      <c r="G459" s="2050" t="s">
        <v>2033</v>
      </c>
      <c r="H459" s="1994">
        <v>2019</v>
      </c>
      <c r="I459" s="1994" t="s">
        <v>1976</v>
      </c>
      <c r="J459" s="2043" t="s">
        <v>1661</v>
      </c>
      <c r="K459" s="2043"/>
      <c r="L459" s="2043"/>
      <c r="M459" s="2043"/>
      <c r="N459" s="2043"/>
      <c r="O459" s="2043"/>
      <c r="P459" s="2043"/>
      <c r="Q459" s="2043"/>
      <c r="R459" s="2043"/>
      <c r="S459" s="2043"/>
    </row>
    <row r="460" spans="2:65" ht="14.25">
      <c r="B460" s="2043"/>
      <c r="C460" s="2043"/>
      <c r="D460" s="2043"/>
      <c r="E460" s="2043"/>
      <c r="F460" s="2043"/>
      <c r="G460" s="2050" t="s">
        <v>2034</v>
      </c>
      <c r="H460" s="1994">
        <v>2019</v>
      </c>
      <c r="I460" s="1994" t="s">
        <v>1976</v>
      </c>
      <c r="J460" s="2043" t="s">
        <v>1662</v>
      </c>
      <c r="K460" s="2043"/>
      <c r="L460" s="2049"/>
      <c r="M460" s="2043"/>
      <c r="N460" s="2043"/>
      <c r="O460" s="2043"/>
      <c r="P460" s="2043"/>
      <c r="Q460" s="2043"/>
      <c r="R460" s="2043"/>
      <c r="S460" s="2043"/>
    </row>
    <row r="461" spans="2:65" ht="14.25">
      <c r="B461" s="2043"/>
      <c r="C461" s="2043"/>
      <c r="D461" s="2043"/>
      <c r="E461" s="2043"/>
      <c r="F461" s="2043"/>
      <c r="G461" s="2050" t="s">
        <v>2035</v>
      </c>
      <c r="H461" s="1994">
        <v>2020</v>
      </c>
      <c r="I461" s="1994" t="s">
        <v>1976</v>
      </c>
      <c r="J461" s="2043" t="s">
        <v>2036</v>
      </c>
      <c r="K461" s="2043"/>
      <c r="L461" s="2049"/>
      <c r="M461" s="2043"/>
      <c r="N461" s="2043"/>
      <c r="O461" s="2043"/>
      <c r="P461" s="2043"/>
      <c r="Q461" s="2043"/>
      <c r="R461" s="2043"/>
      <c r="S461" s="2043"/>
    </row>
    <row r="462" spans="2:65" ht="14.25">
      <c r="B462" s="2043"/>
      <c r="C462" s="2052"/>
      <c r="D462" s="2043"/>
      <c r="E462" s="2043"/>
      <c r="F462" s="2043"/>
      <c r="G462" s="2050" t="s">
        <v>2037</v>
      </c>
      <c r="H462" s="1994">
        <v>2020</v>
      </c>
      <c r="I462" s="1994" t="s">
        <v>1976</v>
      </c>
      <c r="J462" s="2043" t="s">
        <v>2038</v>
      </c>
      <c r="K462" s="2043"/>
      <c r="L462" s="2049"/>
      <c r="M462" s="2043"/>
      <c r="N462" s="2043"/>
      <c r="O462" s="2043"/>
      <c r="P462" s="2043"/>
      <c r="Q462" s="2043"/>
      <c r="R462" s="2043"/>
      <c r="S462" s="2043"/>
    </row>
    <row r="463" spans="2:65" ht="14.25">
      <c r="B463" s="2043"/>
      <c r="C463" s="2052"/>
      <c r="D463" s="2043"/>
      <c r="E463" s="2043"/>
      <c r="F463" s="2043"/>
      <c r="G463" s="2050" t="s">
        <v>2039</v>
      </c>
      <c r="H463" s="1994" t="s">
        <v>1971</v>
      </c>
      <c r="I463" s="2048" t="s">
        <v>1082</v>
      </c>
      <c r="J463" s="2043"/>
      <c r="K463" s="2043"/>
      <c r="L463" s="2049"/>
      <c r="M463" s="2043"/>
      <c r="N463" s="2043"/>
      <c r="O463" s="2043"/>
      <c r="P463" s="2043"/>
      <c r="Q463" s="2043"/>
      <c r="R463" s="2043"/>
      <c r="S463" s="2043"/>
    </row>
    <row r="464" spans="2:65" ht="14.25">
      <c r="B464" s="2043"/>
      <c r="C464" s="2052"/>
      <c r="D464" s="2043"/>
      <c r="E464" s="2043"/>
      <c r="F464" s="2043"/>
      <c r="G464" s="2050" t="s">
        <v>2040</v>
      </c>
      <c r="H464" s="1994" t="s">
        <v>1971</v>
      </c>
      <c r="I464" s="2048" t="s">
        <v>1082</v>
      </c>
      <c r="J464" s="2043"/>
      <c r="K464" s="2043"/>
      <c r="L464" s="2049"/>
      <c r="M464" s="2043"/>
      <c r="N464" s="2043"/>
      <c r="O464" s="2043"/>
      <c r="P464" s="2043"/>
      <c r="Q464" s="2043"/>
      <c r="R464" s="2043"/>
      <c r="S464" s="2043"/>
    </row>
    <row r="465" spans="2:19" ht="14.25">
      <c r="B465" s="2043"/>
      <c r="C465" s="2052"/>
      <c r="D465" s="2043"/>
      <c r="E465" s="2043"/>
      <c r="F465" s="2043"/>
      <c r="G465" s="2050" t="s">
        <v>2041</v>
      </c>
      <c r="H465" s="1994" t="s">
        <v>1971</v>
      </c>
      <c r="I465" s="2048" t="s">
        <v>1082</v>
      </c>
      <c r="J465" s="2043"/>
      <c r="K465" s="2043"/>
      <c r="L465" s="2049"/>
      <c r="M465" s="2043"/>
      <c r="N465" s="2043"/>
      <c r="O465" s="2043"/>
      <c r="P465" s="2043"/>
      <c r="Q465" s="2043"/>
      <c r="R465" s="2043"/>
      <c r="S465" s="2043"/>
    </row>
    <row r="466" spans="2:19" ht="14.25">
      <c r="B466" s="2043"/>
      <c r="C466" s="2052"/>
      <c r="D466" s="2043"/>
      <c r="E466" s="2043"/>
      <c r="F466" s="2043"/>
      <c r="G466" s="2050" t="s">
        <v>2042</v>
      </c>
      <c r="H466" s="1994" t="s">
        <v>1971</v>
      </c>
      <c r="I466" s="2048" t="s">
        <v>1082</v>
      </c>
      <c r="J466" s="2043"/>
      <c r="K466" s="2043"/>
      <c r="L466" s="2049"/>
      <c r="M466" s="2043"/>
      <c r="N466" s="2043"/>
      <c r="O466" s="2043"/>
      <c r="P466" s="2043"/>
      <c r="Q466" s="2043"/>
      <c r="R466" s="2043"/>
      <c r="S466" s="2043"/>
    </row>
    <row r="467" spans="2:19" ht="14.25">
      <c r="B467" s="2043"/>
      <c r="C467" s="2052"/>
      <c r="D467" s="2043"/>
      <c r="E467" s="2043"/>
      <c r="F467" s="2043"/>
      <c r="G467" s="2050" t="s">
        <v>2043</v>
      </c>
      <c r="H467" s="1994">
        <v>2020</v>
      </c>
      <c r="I467" s="1994" t="s">
        <v>1976</v>
      </c>
      <c r="J467" s="2043"/>
      <c r="K467" s="2043"/>
      <c r="L467" s="2049"/>
      <c r="M467" s="2043"/>
      <c r="N467" s="2043"/>
      <c r="O467" s="2043"/>
      <c r="P467" s="2043"/>
      <c r="Q467" s="2043"/>
      <c r="R467" s="2043"/>
      <c r="S467" s="2043"/>
    </row>
    <row r="468" spans="2:19" ht="14.25">
      <c r="B468" s="2043"/>
      <c r="C468" s="2052"/>
      <c r="D468" s="2043"/>
      <c r="E468" s="2043"/>
      <c r="F468" s="2043"/>
      <c r="G468" s="2050" t="s">
        <v>2044</v>
      </c>
      <c r="H468" s="1994">
        <v>2020</v>
      </c>
      <c r="I468" s="1994" t="s">
        <v>1976</v>
      </c>
      <c r="J468" s="2043"/>
      <c r="K468" s="2043"/>
      <c r="L468" s="2043"/>
      <c r="M468" s="2043"/>
      <c r="N468" s="2043"/>
      <c r="O468" s="2043"/>
      <c r="P468" s="2043"/>
      <c r="Q468" s="2043"/>
      <c r="R468" s="2043"/>
      <c r="S468" s="2043"/>
    </row>
    <row r="469" spans="2:19" ht="14.25">
      <c r="B469" s="2043"/>
      <c r="C469" s="2043"/>
      <c r="D469" s="2043"/>
      <c r="E469" s="2043"/>
      <c r="F469" s="2043"/>
      <c r="G469" s="2050" t="s">
        <v>2045</v>
      </c>
      <c r="H469" s="1994">
        <v>2019</v>
      </c>
      <c r="I469" s="1994" t="s">
        <v>1976</v>
      </c>
      <c r="J469" s="2043"/>
      <c r="K469" s="2043"/>
      <c r="L469" s="2043"/>
      <c r="M469" s="2043"/>
      <c r="N469" s="2043"/>
      <c r="O469" s="2043"/>
      <c r="P469" s="2043"/>
      <c r="Q469" s="2043"/>
      <c r="R469" s="2043"/>
      <c r="S469" s="2043"/>
    </row>
    <row r="470" spans="2:19">
      <c r="B470" s="2043"/>
      <c r="C470" s="2043"/>
      <c r="D470" s="2043"/>
      <c r="E470" s="2043"/>
      <c r="F470" s="2043"/>
      <c r="G470" s="2050" t="s">
        <v>2046</v>
      </c>
      <c r="H470" s="2043"/>
      <c r="I470" s="2043"/>
      <c r="J470" s="2043"/>
      <c r="K470" s="2043"/>
      <c r="L470" s="2043"/>
      <c r="M470" s="2043"/>
      <c r="N470" s="1994"/>
      <c r="O470" s="2045"/>
      <c r="P470" s="2045"/>
      <c r="Q470" s="2043"/>
      <c r="R470" s="2043"/>
      <c r="S470" s="2043"/>
    </row>
    <row r="471" spans="2:19">
      <c r="B471" s="2043"/>
      <c r="C471" s="2043"/>
      <c r="D471" s="2043"/>
      <c r="E471" s="2043"/>
      <c r="F471" s="2043"/>
      <c r="G471" s="2050" t="s">
        <v>2047</v>
      </c>
      <c r="H471" s="1994">
        <v>2019</v>
      </c>
      <c r="I471" s="1994" t="s">
        <v>1976</v>
      </c>
      <c r="J471" s="2043"/>
      <c r="K471" s="2043"/>
      <c r="L471" s="2043"/>
      <c r="M471" s="2043"/>
      <c r="N471" s="1994"/>
      <c r="O471" s="2045"/>
      <c r="P471" s="2045"/>
      <c r="Q471" s="2043"/>
      <c r="R471" s="2043"/>
      <c r="S471" s="2043"/>
    </row>
    <row r="472" spans="2:19">
      <c r="B472" s="2043"/>
      <c r="C472" s="2043"/>
      <c r="D472" s="2043"/>
      <c r="E472" s="2043"/>
      <c r="F472" s="2043"/>
      <c r="G472" s="2050" t="s">
        <v>2048</v>
      </c>
      <c r="H472" s="1994">
        <v>2020</v>
      </c>
      <c r="I472" s="1994" t="s">
        <v>1976</v>
      </c>
      <c r="J472" s="2043"/>
      <c r="K472" s="2043"/>
      <c r="L472" s="2043"/>
      <c r="M472" s="2043"/>
      <c r="N472" s="1994"/>
      <c r="O472" s="2045"/>
      <c r="P472" s="2045"/>
      <c r="Q472" s="2043"/>
      <c r="R472" s="2043"/>
      <c r="S472" s="2043"/>
    </row>
    <row r="473" spans="2:19">
      <c r="B473" s="2043"/>
      <c r="C473" s="2043"/>
      <c r="D473" s="2043"/>
      <c r="E473" s="2043"/>
      <c r="F473" s="2043"/>
      <c r="G473" s="2050" t="s">
        <v>2049</v>
      </c>
      <c r="H473" s="1994">
        <v>2020</v>
      </c>
      <c r="I473" s="1994" t="s">
        <v>1976</v>
      </c>
      <c r="J473" s="2043"/>
      <c r="K473" s="2043"/>
      <c r="L473" s="2043"/>
      <c r="M473" s="2043"/>
      <c r="N473" s="1994"/>
      <c r="O473" s="2045"/>
      <c r="P473" s="2045"/>
      <c r="Q473" s="2043"/>
      <c r="R473" s="2043"/>
      <c r="S473" s="2043"/>
    </row>
    <row r="474" spans="2:19">
      <c r="B474" s="2043"/>
      <c r="C474" s="2043"/>
      <c r="D474" s="2043"/>
      <c r="E474" s="2043"/>
      <c r="F474" s="2043"/>
      <c r="G474" s="2050" t="s">
        <v>2050</v>
      </c>
      <c r="H474" s="1994">
        <v>2020</v>
      </c>
      <c r="I474" s="1994" t="s">
        <v>1976</v>
      </c>
      <c r="J474" s="2043"/>
      <c r="K474" s="2043"/>
      <c r="L474" s="2043"/>
      <c r="M474" s="2043"/>
      <c r="N474" s="1994"/>
      <c r="O474" s="2045"/>
      <c r="P474" s="2045"/>
      <c r="Q474" s="2043"/>
      <c r="R474" s="2043"/>
      <c r="S474" s="2043"/>
    </row>
    <row r="475" spans="2:19">
      <c r="B475" s="2043"/>
      <c r="C475" s="2043"/>
      <c r="D475" s="2043"/>
      <c r="E475" s="2043"/>
      <c r="F475" s="2043"/>
      <c r="G475" s="2050" t="s">
        <v>2051</v>
      </c>
      <c r="H475" s="1994">
        <v>2019</v>
      </c>
      <c r="I475" s="1994" t="s">
        <v>1976</v>
      </c>
      <c r="J475" s="2043"/>
      <c r="K475" s="2043"/>
      <c r="L475" s="2043"/>
      <c r="M475" s="2043"/>
      <c r="N475" s="1994"/>
      <c r="O475" s="2045"/>
      <c r="P475" s="2045"/>
      <c r="Q475" s="2043"/>
      <c r="R475" s="2043"/>
      <c r="S475" s="2043"/>
    </row>
    <row r="476" spans="2:19">
      <c r="B476" s="2043"/>
      <c r="C476" s="2043"/>
      <c r="D476" s="2043"/>
      <c r="E476" s="2043"/>
      <c r="F476" s="2043"/>
      <c r="G476" s="2050" t="s">
        <v>2052</v>
      </c>
      <c r="H476" s="1994">
        <v>2020</v>
      </c>
      <c r="I476" s="1994" t="s">
        <v>1976</v>
      </c>
      <c r="J476" s="2043"/>
      <c r="K476" s="2043"/>
      <c r="L476" s="2043"/>
      <c r="M476" s="2043"/>
      <c r="N476" s="1994"/>
      <c r="O476" s="2045"/>
      <c r="P476" s="2045"/>
      <c r="Q476" s="2043"/>
      <c r="R476" s="2043"/>
      <c r="S476" s="2043"/>
    </row>
    <row r="477" spans="2:19">
      <c r="B477" s="2043"/>
      <c r="C477" s="2043"/>
      <c r="D477" s="2043"/>
      <c r="E477" s="2043"/>
      <c r="F477" s="2043"/>
      <c r="G477" s="2050" t="s">
        <v>2053</v>
      </c>
      <c r="H477" s="1994">
        <v>2020</v>
      </c>
      <c r="I477" s="1994" t="s">
        <v>1976</v>
      </c>
      <c r="J477" s="2043"/>
      <c r="K477" s="2043"/>
      <c r="L477" s="2043"/>
      <c r="M477" s="2043"/>
      <c r="N477" s="1994"/>
      <c r="O477" s="2045"/>
      <c r="P477" s="2045"/>
      <c r="Q477" s="2043"/>
      <c r="R477" s="2043"/>
      <c r="S477" s="2043"/>
    </row>
    <row r="478" spans="2:19">
      <c r="B478" s="2043"/>
      <c r="C478" s="2043"/>
      <c r="D478" s="2043"/>
      <c r="E478" s="2043"/>
      <c r="F478" s="2043"/>
      <c r="G478" s="2050" t="s">
        <v>2054</v>
      </c>
      <c r="H478" s="1994" t="s">
        <v>1971</v>
      </c>
      <c r="I478" s="2048" t="s">
        <v>1082</v>
      </c>
      <c r="J478" s="2043"/>
      <c r="K478" s="2043"/>
      <c r="L478" s="2043"/>
      <c r="M478" s="2043"/>
      <c r="N478" s="1994"/>
      <c r="O478" s="2045"/>
      <c r="P478" s="2045"/>
      <c r="Q478" s="2043"/>
      <c r="R478" s="2043"/>
      <c r="S478" s="2043"/>
    </row>
    <row r="479" spans="2:19" ht="30" customHeight="1">
      <c r="B479" s="2043"/>
      <c r="C479" s="2043"/>
      <c r="D479" s="2043"/>
      <c r="E479" s="2043"/>
      <c r="F479" s="2043"/>
      <c r="G479" s="2050"/>
      <c r="H479" s="2043"/>
      <c r="I479" s="2043"/>
      <c r="J479" s="2043"/>
      <c r="K479" s="2043"/>
      <c r="L479" s="2043"/>
      <c r="M479" s="2043"/>
      <c r="N479" s="2043"/>
      <c r="O479" s="2043"/>
      <c r="P479" s="2043"/>
      <c r="Q479" s="2043"/>
      <c r="R479" s="2043"/>
      <c r="S479" s="2043"/>
    </row>
    <row r="480" spans="2:19">
      <c r="B480" s="2043"/>
      <c r="C480" s="2043"/>
      <c r="D480" s="2043"/>
      <c r="E480" s="2043"/>
      <c r="F480" s="2043"/>
      <c r="G480" s="2043"/>
      <c r="H480" s="2043"/>
      <c r="I480" s="2043"/>
      <c r="J480" s="2043"/>
      <c r="K480" s="2043"/>
      <c r="L480" s="2043"/>
      <c r="M480" s="2043"/>
      <c r="N480" s="1994"/>
      <c r="O480" s="2045"/>
      <c r="P480" s="2045"/>
      <c r="Q480" s="2043"/>
      <c r="R480" s="2043"/>
      <c r="S480" s="2043"/>
    </row>
    <row r="481" spans="2:19">
      <c r="B481" s="2043"/>
      <c r="C481" s="2043"/>
      <c r="D481" s="2043"/>
      <c r="E481" s="2043"/>
      <c r="F481" s="2043"/>
      <c r="G481" s="2043"/>
      <c r="H481" s="2043"/>
      <c r="I481" s="2043"/>
      <c r="J481" s="2043"/>
      <c r="K481" s="2043"/>
      <c r="L481" s="2043"/>
      <c r="M481" s="2043"/>
      <c r="N481" s="1994"/>
      <c r="O481" s="2045"/>
      <c r="P481" s="2045"/>
      <c r="Q481" s="2043"/>
      <c r="R481" s="2043"/>
      <c r="S481" s="2043"/>
    </row>
    <row r="482" spans="2:19">
      <c r="B482" s="2043"/>
      <c r="C482" s="2043"/>
      <c r="D482" s="2043"/>
      <c r="E482" s="2043"/>
      <c r="F482" s="2043"/>
      <c r="G482" s="2043"/>
      <c r="H482" s="2043"/>
      <c r="I482" s="2043"/>
      <c r="J482" s="2043"/>
      <c r="K482" s="2043"/>
      <c r="L482" s="2043"/>
      <c r="M482" s="2043"/>
      <c r="N482" s="1994"/>
      <c r="O482" s="2045"/>
      <c r="P482" s="2045"/>
      <c r="Q482" s="2043"/>
      <c r="R482" s="2043"/>
      <c r="S482" s="2043"/>
    </row>
    <row r="612" s="1782" customFormat="1" ht="14.25"/>
    <row r="613" s="1782" customFormat="1" ht="14.25"/>
    <row r="614" s="1782" customFormat="1" ht="14.25"/>
    <row r="615" s="1782" customFormat="1" ht="14.25"/>
    <row r="616" s="1782" customFormat="1" ht="14.25"/>
    <row r="617" s="1782" customFormat="1" ht="14.25"/>
    <row r="618" s="1782" customFormat="1" ht="14.25"/>
    <row r="619" s="1782" customFormat="1" ht="14.25"/>
    <row r="620" s="1782" customFormat="1" ht="14.25"/>
    <row r="621" s="1782" customFormat="1" ht="14.25"/>
    <row r="622" s="1782" customFormat="1" ht="14.25"/>
    <row r="623" s="1782" customFormat="1" ht="14.25"/>
    <row r="624" s="1782" customFormat="1" ht="14.25"/>
    <row r="625" s="1782" customFormat="1" ht="14.25"/>
    <row r="626" s="1782" customFormat="1" ht="14.25"/>
    <row r="627" s="1782" customFormat="1" ht="14.25"/>
    <row r="628" s="1782" customFormat="1" ht="14.25"/>
    <row r="629" s="1782" customFormat="1" ht="14.25"/>
    <row r="630" s="1782" customFormat="1" ht="14.25"/>
    <row r="631" s="1782" customFormat="1" ht="14.25"/>
    <row r="632" s="1782" customFormat="1" ht="14.25"/>
    <row r="633" s="1782" customFormat="1" ht="14.25"/>
    <row r="634" s="1782" customFormat="1" ht="14.25"/>
    <row r="635" s="1782" customFormat="1" ht="14.25"/>
    <row r="636" s="1782" customFormat="1" ht="14.25"/>
    <row r="637" s="1782" customFormat="1" ht="14.25"/>
    <row r="638" s="1782" customFormat="1" ht="14.25"/>
    <row r="639" s="1782" customFormat="1" ht="14.25"/>
    <row r="640" s="1782" customFormat="1" ht="14.25"/>
    <row r="641" s="1782" customFormat="1" ht="14.25"/>
    <row r="642" s="1782" customFormat="1" ht="14.25"/>
    <row r="643" s="1782" customFormat="1" ht="14.25"/>
    <row r="644" s="1782" customFormat="1" ht="14.25"/>
    <row r="645" s="1782" customFormat="1" ht="14.25"/>
    <row r="646" s="1782" customFormat="1" ht="14.25"/>
    <row r="647" s="1782" customFormat="1" ht="14.25"/>
    <row r="648" s="1782" customFormat="1" ht="14.25"/>
    <row r="649" s="1782" customFormat="1" ht="14.25"/>
    <row r="650" s="1782" customFormat="1" ht="14.25"/>
    <row r="651" s="1782" customFormat="1" ht="14.25"/>
    <row r="652" s="1782" customFormat="1" ht="14.25"/>
    <row r="653" s="1782" customFormat="1" ht="14.25"/>
    <row r="654" s="1782" customFormat="1" ht="14.25"/>
    <row r="655" s="1782" customFormat="1" ht="14.25"/>
    <row r="656" s="1782" customFormat="1" ht="14.25"/>
    <row r="657" s="1782" customFormat="1" ht="14.25"/>
    <row r="658" s="1782" customFormat="1" ht="14.25"/>
    <row r="659" s="1782" customFormat="1" ht="14.25"/>
    <row r="660" s="1782" customFormat="1" ht="14.25"/>
    <row r="661" s="1782" customFormat="1" ht="14.25"/>
    <row r="662" s="1782" customFormat="1" ht="14.25"/>
    <row r="663" s="1782" customFormat="1" ht="14.25"/>
    <row r="664" s="1782" customFormat="1" ht="14.25"/>
    <row r="665" s="1782" customFormat="1" ht="14.25"/>
    <row r="666" s="1782" customFormat="1" ht="14.25"/>
    <row r="667" s="1782" customFormat="1" ht="14.25"/>
    <row r="668" s="1782" customFormat="1" ht="14.25"/>
    <row r="669" s="1782" customFormat="1" ht="14.25"/>
    <row r="670" s="1782" customFormat="1" ht="14.25"/>
    <row r="671" s="1782" customFormat="1" ht="14.25"/>
    <row r="672" s="1782" customFormat="1" ht="14.25"/>
    <row r="673" s="1782" customFormat="1" ht="14.25"/>
    <row r="674" s="1782" customFormat="1" ht="14.25"/>
    <row r="675" s="1782" customFormat="1" ht="14.25"/>
    <row r="676" s="1782" customFormat="1" ht="14.25"/>
    <row r="677" s="1782" customFormat="1" ht="14.25"/>
    <row r="678" s="1782" customFormat="1" ht="14.25"/>
    <row r="679" s="1782" customFormat="1" ht="14.25"/>
    <row r="680" s="1782" customFormat="1" ht="14.25"/>
    <row r="681" s="1782" customFormat="1" ht="14.25"/>
    <row r="682" s="1782" customFormat="1" ht="14.25"/>
    <row r="683" s="1782" customFormat="1" ht="14.25"/>
    <row r="684" s="1782" customFormat="1" ht="14.25"/>
    <row r="685" s="1782" customFormat="1" ht="14.25"/>
    <row r="686" s="1782" customFormat="1" ht="14.25"/>
    <row r="687" s="1782" customFormat="1" ht="14.25"/>
    <row r="688" s="1782" customFormat="1" ht="14.25"/>
    <row r="689" s="1782" customFormat="1" ht="14.25"/>
    <row r="690" s="1782" customFormat="1" ht="14.25"/>
    <row r="691" s="1782" customFormat="1" ht="14.25"/>
    <row r="692" s="1782" customFormat="1" ht="14.25"/>
    <row r="693" s="1782" customFormat="1" ht="14.25"/>
    <row r="694" s="1782" customFormat="1" ht="14.25"/>
    <row r="695" s="1782" customFormat="1" ht="14.25"/>
    <row r="696" s="1782" customFormat="1" ht="14.25"/>
    <row r="697" s="1782" customFormat="1" ht="14.25"/>
    <row r="698" s="1782" customFormat="1" ht="14.25"/>
    <row r="699" s="1782" customFormat="1" ht="14.25"/>
    <row r="700" s="1782" customFormat="1" ht="14.25"/>
    <row r="701" s="1782" customFormat="1" ht="14.25"/>
    <row r="702" s="1782" customFormat="1" ht="14.25"/>
    <row r="703" s="1782" customFormat="1" ht="14.25"/>
    <row r="704" s="1782" customFormat="1" ht="14.25"/>
    <row r="705" s="1782" customFormat="1" ht="14.25"/>
    <row r="706" s="1782" customFormat="1" ht="14.25"/>
    <row r="707" s="1782" customFormat="1" ht="14.25"/>
    <row r="708" s="1782" customFormat="1" ht="14.25"/>
    <row r="709" s="1782" customFormat="1" ht="14.25"/>
    <row r="710" s="1782" customFormat="1" ht="14.25"/>
    <row r="711" s="1782" customFormat="1" ht="14.25"/>
    <row r="712" s="1782" customFormat="1" ht="14.25"/>
    <row r="713" s="1782" customFormat="1" ht="14.25"/>
    <row r="714" s="1782" customFormat="1" ht="14.25"/>
    <row r="715" s="1782" customFormat="1" ht="14.25"/>
    <row r="716" s="1782" customFormat="1" ht="14.25"/>
    <row r="717" s="1782" customFormat="1" ht="14.25"/>
    <row r="718" s="1782" customFormat="1" ht="14.25"/>
    <row r="719" s="1782" customFormat="1" ht="14.25"/>
    <row r="720" s="1782" customFormat="1" ht="14.25"/>
    <row r="721" s="1782" customFormat="1" ht="14.25"/>
    <row r="722" s="1782" customFormat="1" ht="14.25"/>
    <row r="723" s="1782" customFormat="1" ht="14.25"/>
    <row r="724" s="1782" customFormat="1" ht="14.25"/>
    <row r="725" s="1782" customFormat="1" ht="14.25"/>
    <row r="726" s="1782" customFormat="1" ht="14.25"/>
    <row r="727" s="1782" customFormat="1" ht="14.25"/>
    <row r="728" s="1782" customFormat="1" ht="14.25"/>
    <row r="729" s="1782" customFormat="1" ht="14.25"/>
    <row r="730" s="1782" customFormat="1" ht="14.25"/>
    <row r="731" s="1782" customFormat="1" ht="14.25"/>
    <row r="732" s="1782" customFormat="1" ht="14.25"/>
    <row r="733" s="1782" customFormat="1" ht="14.25"/>
    <row r="734" s="1782" customFormat="1" ht="14.25"/>
    <row r="735" s="1782" customFormat="1" ht="14.25"/>
    <row r="736" s="1782" customFormat="1" ht="14.25"/>
    <row r="737" s="1782" customFormat="1" ht="14.25"/>
    <row r="738" s="1782" customFormat="1" ht="14.25"/>
    <row r="739" s="1782" customFormat="1" ht="14.25"/>
    <row r="740" s="1782" customFormat="1" ht="14.25"/>
    <row r="741" s="1782" customFormat="1" ht="14.25"/>
    <row r="742" s="1782" customFormat="1" ht="14.25"/>
    <row r="743" s="1782" customFormat="1" ht="14.25"/>
    <row r="744" s="1782" customFormat="1" ht="14.25"/>
    <row r="745" s="1782" customFormat="1" ht="14.25"/>
    <row r="746" s="1782" customFormat="1" ht="14.25"/>
    <row r="747" s="1782" customFormat="1" ht="14.25"/>
    <row r="748" s="1782" customFormat="1" ht="14.25"/>
    <row r="749" s="1782" customFormat="1" ht="14.25"/>
    <row r="750" s="1782" customFormat="1" ht="14.25"/>
    <row r="751" s="1782" customFormat="1" ht="14.25"/>
    <row r="752" s="1782" customFormat="1" ht="14.25"/>
    <row r="753" s="1782" customFormat="1" ht="14.25"/>
    <row r="754" s="1782" customFormat="1" ht="14.25"/>
    <row r="755" s="1782" customFormat="1" ht="14.25"/>
    <row r="756" s="1782" customFormat="1" ht="14.25"/>
    <row r="757" s="1782" customFormat="1" ht="14.25"/>
    <row r="758" s="1782" customFormat="1" ht="14.25"/>
    <row r="759" s="1782" customFormat="1" ht="14.25"/>
    <row r="760" s="1782" customFormat="1" ht="14.25"/>
    <row r="761" s="1782" customFormat="1" ht="14.25"/>
    <row r="762" s="1782" customFormat="1" ht="14.25"/>
    <row r="763" s="1782" customFormat="1" ht="14.25"/>
    <row r="764" s="1782" customFormat="1" ht="14.25"/>
    <row r="765" s="1782" customFormat="1" ht="14.25"/>
    <row r="766" s="1782" customFormat="1" ht="14.25"/>
    <row r="767" s="1782" customFormat="1" ht="14.25"/>
    <row r="768" s="1782" customFormat="1" ht="14.25"/>
    <row r="769" s="1782" customFormat="1" ht="14.25"/>
    <row r="770" s="1782" customFormat="1" ht="14.25"/>
    <row r="771" s="1782" customFormat="1" ht="14.25"/>
    <row r="772" s="1782" customFormat="1" ht="14.25"/>
    <row r="773" s="1782" customFormat="1" ht="14.25"/>
    <row r="774" s="1782" customFormat="1" ht="14.25"/>
    <row r="775" s="1782" customFormat="1" ht="14.25"/>
    <row r="776" s="1782" customFormat="1" ht="14.25"/>
    <row r="777" s="1782" customFormat="1" ht="14.25"/>
    <row r="778" s="1782" customFormat="1" ht="14.25"/>
    <row r="779" s="1782" customFormat="1" ht="14.25"/>
    <row r="780" s="1782" customFormat="1" ht="14.25"/>
    <row r="781" s="1782" customFormat="1" ht="14.25"/>
    <row r="782" s="1782" customFormat="1" ht="14.25"/>
    <row r="783" s="1782" customFormat="1" ht="14.25"/>
    <row r="784" s="1782" customFormat="1" ht="14.25"/>
    <row r="785" s="1782" customFormat="1" ht="14.25"/>
    <row r="786" s="1782" customFormat="1" ht="14.25"/>
    <row r="787" s="1782" customFormat="1" ht="14.25"/>
    <row r="788" s="1782" customFormat="1" ht="14.25"/>
    <row r="789" s="1782" customFormat="1" ht="14.25"/>
    <row r="790" s="1782" customFormat="1" ht="14.25"/>
    <row r="791" s="1782" customFormat="1" ht="14.25"/>
    <row r="792" s="1782" customFormat="1" ht="14.25"/>
    <row r="793" s="1782" customFormat="1" ht="14.25"/>
    <row r="794" s="1782" customFormat="1" ht="14.25"/>
    <row r="795" s="1782" customFormat="1" ht="14.25"/>
    <row r="796" s="1782" customFormat="1" ht="14.25"/>
    <row r="797" s="1782" customFormat="1" ht="14.25"/>
    <row r="798" s="1782" customFormat="1" ht="14.25"/>
    <row r="799" s="1782" customFormat="1" ht="14.25"/>
    <row r="800" s="1782"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cols>
    <col min="1" max="1" width="2.28515625" style="641" customWidth="1"/>
    <col min="2" max="13" width="7.7109375" style="641" customWidth="1"/>
    <col min="14" max="15" width="5.7109375" style="641" customWidth="1"/>
    <col min="16" max="16384" width="8.7109375" style="641"/>
  </cols>
  <sheetData>
    <row r="1" spans="1:26" ht="18">
      <c r="N1" s="642" t="s">
        <v>2055</v>
      </c>
      <c r="O1" s="642"/>
      <c r="P1" s="642"/>
      <c r="Q1" s="642"/>
      <c r="R1" s="642"/>
      <c r="S1" s="642"/>
      <c r="T1" s="642"/>
      <c r="U1" s="642"/>
      <c r="V1" s="642"/>
      <c r="W1" s="642"/>
      <c r="X1" s="642"/>
      <c r="Y1" s="642"/>
      <c r="Z1" s="642"/>
    </row>
    <row r="2" spans="1:26">
      <c r="N2" s="643" t="s">
        <v>2056</v>
      </c>
      <c r="O2" s="643"/>
      <c r="P2" s="643"/>
      <c r="Q2" s="643"/>
      <c r="R2" s="643"/>
      <c r="S2" s="643"/>
      <c r="T2" s="643"/>
      <c r="U2" s="643"/>
      <c r="V2" s="643"/>
      <c r="W2" s="643"/>
      <c r="X2" s="643"/>
      <c r="Y2" s="643"/>
      <c r="Z2" s="643"/>
    </row>
    <row r="3" spans="1:26">
      <c r="N3" s="644" t="s">
        <v>2057</v>
      </c>
      <c r="O3" s="644"/>
      <c r="P3" s="644"/>
      <c r="Q3" s="644"/>
      <c r="R3" s="644"/>
      <c r="S3" s="644"/>
      <c r="T3" s="644"/>
      <c r="U3" s="644"/>
      <c r="V3" s="644"/>
      <c r="W3" s="644"/>
      <c r="X3" s="644"/>
      <c r="Y3" s="644"/>
      <c r="Z3" s="644"/>
    </row>
    <row r="4" spans="1:26" ht="16.5">
      <c r="B4" s="645"/>
      <c r="C4" s="645"/>
      <c r="D4" s="645"/>
      <c r="E4" s="645"/>
      <c r="F4" s="645"/>
      <c r="G4" s="645"/>
      <c r="H4" s="645"/>
      <c r="I4" s="645"/>
      <c r="J4" s="645"/>
      <c r="K4" s="645"/>
      <c r="L4" s="645"/>
      <c r="M4" s="645"/>
      <c r="N4" s="646" t="s">
        <v>2058</v>
      </c>
    </row>
    <row r="5" spans="1:26" ht="59.25" customHeight="1">
      <c r="A5" s="4048" t="s">
        <v>2059</v>
      </c>
      <c r="B5" s="4048"/>
      <c r="C5" s="4048"/>
      <c r="D5" s="4048"/>
      <c r="E5" s="4048"/>
      <c r="F5" s="4048"/>
      <c r="G5" s="4048"/>
      <c r="H5" s="4048"/>
      <c r="I5" s="4048"/>
      <c r="J5" s="4048"/>
      <c r="K5" s="4048"/>
      <c r="L5" s="4048"/>
      <c r="M5" s="4048"/>
    </row>
    <row r="6" spans="1:26" ht="11.65" customHeight="1">
      <c r="A6" s="645"/>
      <c r="B6" s="645"/>
      <c r="C6" s="645"/>
      <c r="D6" s="645"/>
      <c r="E6" s="645"/>
      <c r="F6" s="645"/>
      <c r="G6" s="645"/>
      <c r="H6" s="645"/>
      <c r="I6" s="645"/>
      <c r="J6" s="645"/>
      <c r="K6" s="645"/>
      <c r="L6" s="645"/>
      <c r="M6" s="645"/>
    </row>
    <row r="7" spans="1:26" ht="16.5">
      <c r="A7" s="645" t="s">
        <v>2060</v>
      </c>
      <c r="B7" s="645"/>
      <c r="C7" s="645"/>
      <c r="D7" s="645"/>
      <c r="E7" s="645"/>
      <c r="F7" s="645"/>
      <c r="G7" s="645"/>
      <c r="H7" s="645"/>
      <c r="I7" s="645"/>
      <c r="J7" s="645"/>
      <c r="K7" s="645"/>
      <c r="L7" s="645"/>
      <c r="M7" s="645"/>
    </row>
    <row r="8" spans="1:26" ht="11.65" customHeight="1">
      <c r="A8" s="645"/>
      <c r="B8" s="645"/>
      <c r="C8" s="645"/>
      <c r="D8" s="645"/>
      <c r="E8" s="645"/>
      <c r="F8" s="645"/>
      <c r="G8" s="645"/>
      <c r="H8" s="645"/>
      <c r="I8" s="645"/>
      <c r="J8" s="645"/>
      <c r="K8" s="645"/>
      <c r="L8" s="645"/>
      <c r="M8" s="645"/>
    </row>
    <row r="9" spans="1:26" ht="16.5">
      <c r="A9" s="4049" t="s">
        <v>2061</v>
      </c>
      <c r="B9" s="4049"/>
      <c r="C9" s="4049"/>
      <c r="D9" s="4049"/>
      <c r="E9" s="4049"/>
      <c r="F9" s="4049"/>
      <c r="G9" s="4049"/>
      <c r="H9" s="4049"/>
      <c r="I9" s="4049"/>
      <c r="J9" s="4049"/>
      <c r="K9" s="4049"/>
      <c r="L9" s="4049"/>
      <c r="M9" s="4049"/>
    </row>
    <row r="10" spans="1:26" ht="6.75" customHeight="1">
      <c r="A10" s="4049"/>
      <c r="B10" s="4049"/>
      <c r="C10" s="4049"/>
      <c r="D10" s="4049"/>
      <c r="E10" s="4049"/>
      <c r="F10" s="4049"/>
      <c r="G10" s="4049"/>
      <c r="H10" s="4049"/>
      <c r="I10" s="4049"/>
      <c r="J10" s="4049"/>
      <c r="K10" s="4049"/>
      <c r="L10" s="4049"/>
      <c r="M10" s="4049"/>
    </row>
    <row r="11" spans="1:26" ht="44.25" customHeight="1">
      <c r="A11" s="4050" t="s">
        <v>2062</v>
      </c>
      <c r="B11" s="4050"/>
      <c r="C11" s="4050"/>
      <c r="D11" s="4050"/>
      <c r="E11" s="4050"/>
      <c r="F11" s="4050"/>
      <c r="G11" s="4050"/>
      <c r="H11" s="4050"/>
      <c r="I11" s="4050"/>
      <c r="J11" s="4050"/>
      <c r="K11" s="4050"/>
      <c r="L11" s="4050"/>
      <c r="M11" s="4050"/>
    </row>
    <row r="12" spans="1:26" ht="3" customHeight="1">
      <c r="A12" s="4049"/>
      <c r="B12" s="4049"/>
      <c r="C12" s="4049"/>
      <c r="D12" s="4049"/>
      <c r="E12" s="4049"/>
      <c r="F12" s="4049"/>
      <c r="G12" s="4049"/>
      <c r="H12" s="4049"/>
      <c r="I12" s="4049"/>
      <c r="J12" s="4049"/>
      <c r="K12" s="4049"/>
      <c r="L12" s="4049"/>
      <c r="M12" s="4049"/>
    </row>
    <row r="13" spans="1:26" ht="101.25" customHeight="1">
      <c r="A13" s="647" t="s">
        <v>1459</v>
      </c>
      <c r="B13" s="4051" t="s">
        <v>2063</v>
      </c>
      <c r="C13" s="4051"/>
      <c r="D13" s="4051"/>
      <c r="E13" s="4051"/>
      <c r="F13" s="4051"/>
      <c r="G13" s="4051"/>
      <c r="H13" s="4051"/>
      <c r="I13" s="4051"/>
      <c r="J13" s="4051"/>
      <c r="K13" s="4051"/>
      <c r="L13" s="4051"/>
      <c r="M13" s="4051"/>
      <c r="U13" s="641" t="s">
        <v>2064</v>
      </c>
    </row>
    <row r="14" spans="1:26" ht="47.25" customHeight="1">
      <c r="A14" s="647" t="s">
        <v>1462</v>
      </c>
      <c r="B14" s="4051" t="s">
        <v>2065</v>
      </c>
      <c r="C14" s="4051"/>
      <c r="D14" s="4051"/>
      <c r="E14" s="4051"/>
      <c r="F14" s="4051"/>
      <c r="G14" s="4051"/>
      <c r="H14" s="4051"/>
      <c r="I14" s="4051"/>
      <c r="J14" s="4051"/>
      <c r="K14" s="4051"/>
      <c r="L14" s="4051"/>
      <c r="M14" s="4051"/>
    </row>
    <row r="15" spans="1:26" ht="117" customHeight="1">
      <c r="A15" s="647" t="s">
        <v>1463</v>
      </c>
      <c r="B15" s="4051" t="s">
        <v>2066</v>
      </c>
      <c r="C15" s="4051"/>
      <c r="D15" s="4051"/>
      <c r="E15" s="4051"/>
      <c r="F15" s="4051"/>
      <c r="G15" s="4051"/>
      <c r="H15" s="4051"/>
      <c r="I15" s="4051"/>
      <c r="J15" s="4051"/>
      <c r="K15" s="4051"/>
      <c r="L15" s="4051"/>
      <c r="M15" s="4051"/>
    </row>
    <row r="16" spans="1:26" ht="147" customHeight="1">
      <c r="A16" s="647" t="s">
        <v>1464</v>
      </c>
      <c r="B16" s="4051" t="s">
        <v>2067</v>
      </c>
      <c r="C16" s="4051"/>
      <c r="D16" s="4051"/>
      <c r="E16" s="4051"/>
      <c r="F16" s="4051"/>
      <c r="G16" s="4051"/>
      <c r="H16" s="4051"/>
      <c r="I16" s="4051"/>
      <c r="J16" s="4051"/>
      <c r="K16" s="4051"/>
      <c r="L16" s="4051"/>
      <c r="M16" s="4051"/>
    </row>
    <row r="17" spans="1:13" ht="48.75" customHeight="1">
      <c r="A17" s="647" t="s">
        <v>2068</v>
      </c>
      <c r="B17" s="4051" t="s">
        <v>2069</v>
      </c>
      <c r="C17" s="4051"/>
      <c r="D17" s="4051"/>
      <c r="E17" s="4051"/>
      <c r="F17" s="4051"/>
      <c r="G17" s="4051"/>
      <c r="H17" s="4051"/>
      <c r="I17" s="4051"/>
      <c r="J17" s="4051"/>
      <c r="K17" s="4051"/>
      <c r="L17" s="4051"/>
      <c r="M17" s="4051"/>
    </row>
    <row r="18" spans="1:13" ht="165" customHeight="1">
      <c r="A18" s="647" t="s">
        <v>2070</v>
      </c>
      <c r="B18" s="4051" t="s">
        <v>2071</v>
      </c>
      <c r="C18" s="4051"/>
      <c r="D18" s="4051"/>
      <c r="E18" s="4051"/>
      <c r="F18" s="4051"/>
      <c r="G18" s="4051"/>
      <c r="H18" s="4051"/>
      <c r="I18" s="4051"/>
      <c r="J18" s="4051"/>
      <c r="K18" s="4051"/>
      <c r="L18" s="4051"/>
      <c r="M18" s="4051"/>
    </row>
    <row r="19" spans="1:13" ht="48.75" customHeight="1">
      <c r="A19" s="647" t="s">
        <v>2072</v>
      </c>
      <c r="B19" s="4047" t="s">
        <v>2073</v>
      </c>
      <c r="C19" s="4047"/>
      <c r="D19" s="4047"/>
      <c r="E19" s="4047"/>
      <c r="F19" s="4047"/>
      <c r="G19" s="4047"/>
      <c r="H19" s="4047"/>
      <c r="I19" s="4047"/>
      <c r="J19" s="4047"/>
      <c r="K19" s="4047"/>
      <c r="L19" s="4047"/>
      <c r="M19" s="4047"/>
    </row>
    <row r="20" spans="1:13" ht="50.25" customHeight="1">
      <c r="A20" s="647" t="s">
        <v>2074</v>
      </c>
      <c r="B20" s="4051" t="s">
        <v>2075</v>
      </c>
      <c r="C20" s="4051"/>
      <c r="D20" s="4051"/>
      <c r="E20" s="4051"/>
      <c r="F20" s="4051"/>
      <c r="G20" s="4051"/>
      <c r="H20" s="4051"/>
      <c r="I20" s="4051"/>
      <c r="J20" s="4051"/>
      <c r="K20" s="4051"/>
      <c r="L20" s="4051"/>
      <c r="M20" s="4051"/>
    </row>
    <row r="21" spans="1:13" ht="31.5" customHeight="1">
      <c r="A21" s="647" t="s">
        <v>2076</v>
      </c>
      <c r="B21" s="4051" t="s">
        <v>2077</v>
      </c>
      <c r="C21" s="4051"/>
      <c r="D21" s="4051"/>
      <c r="E21" s="4051"/>
      <c r="F21" s="4051"/>
      <c r="G21" s="4051"/>
      <c r="H21" s="4051"/>
      <c r="I21" s="4051"/>
      <c r="J21" s="4051"/>
      <c r="K21" s="4051"/>
      <c r="L21" s="4051"/>
      <c r="M21" s="4051"/>
    </row>
    <row r="22" spans="1:13" ht="1.5" customHeight="1">
      <c r="A22" s="4049"/>
      <c r="B22" s="4049"/>
      <c r="C22" s="4049"/>
      <c r="D22" s="4049"/>
      <c r="E22" s="4049"/>
      <c r="F22" s="4049"/>
      <c r="G22" s="4049"/>
      <c r="H22" s="4049"/>
      <c r="I22" s="4049"/>
      <c r="J22" s="4049"/>
      <c r="K22" s="4049"/>
      <c r="L22" s="4049"/>
      <c r="M22" s="4049"/>
    </row>
    <row r="23" spans="1:13" ht="3" customHeight="1">
      <c r="A23" s="4049"/>
      <c r="B23" s="4049"/>
      <c r="C23" s="4049"/>
      <c r="D23" s="4049"/>
      <c r="E23" s="4049"/>
      <c r="F23" s="4049"/>
      <c r="G23" s="4049"/>
      <c r="H23" s="4049"/>
      <c r="I23" s="4049"/>
      <c r="J23" s="4049"/>
      <c r="K23" s="4049"/>
      <c r="L23" s="4049"/>
      <c r="M23" s="4049"/>
    </row>
    <row r="24" spans="1:13" ht="13.5" customHeight="1">
      <c r="A24" s="4049" t="s">
        <v>2078</v>
      </c>
      <c r="B24" s="4049"/>
      <c r="C24" s="4049"/>
      <c r="D24" s="4049"/>
      <c r="E24" s="4049"/>
      <c r="F24" s="4049"/>
      <c r="G24" s="4049"/>
      <c r="H24" s="4049"/>
      <c r="I24" s="4049"/>
      <c r="J24" s="4049"/>
      <c r="K24" s="4049"/>
      <c r="L24" s="4049"/>
      <c r="M24" s="4049"/>
    </row>
    <row r="25" spans="1:13" ht="32.25" customHeight="1">
      <c r="A25" s="647" t="s">
        <v>2079</v>
      </c>
      <c r="B25" s="4051" t="s">
        <v>2080</v>
      </c>
      <c r="C25" s="4051"/>
      <c r="D25" s="4051"/>
      <c r="E25" s="4051"/>
      <c r="F25" s="4051"/>
      <c r="G25" s="4051"/>
      <c r="H25" s="4051"/>
      <c r="I25" s="4051"/>
      <c r="J25" s="4051"/>
      <c r="K25" s="4051"/>
      <c r="L25" s="4051"/>
      <c r="M25" s="4051"/>
    </row>
    <row r="26" spans="1:13" ht="31.5" customHeight="1">
      <c r="A26" s="647" t="s">
        <v>2079</v>
      </c>
      <c r="B26" s="4051" t="s">
        <v>2081</v>
      </c>
      <c r="C26" s="4051"/>
      <c r="D26" s="4051"/>
      <c r="E26" s="4051"/>
      <c r="F26" s="4051"/>
      <c r="G26" s="4051"/>
      <c r="H26" s="4051"/>
      <c r="I26" s="4051"/>
      <c r="J26" s="4051"/>
      <c r="K26" s="4051"/>
      <c r="L26" s="4051"/>
      <c r="M26" s="4051"/>
    </row>
    <row r="27" spans="1:13" ht="78.75" customHeight="1">
      <c r="A27" s="647" t="s">
        <v>2079</v>
      </c>
      <c r="B27" s="4051" t="s">
        <v>2082</v>
      </c>
      <c r="C27" s="4051"/>
      <c r="D27" s="4051"/>
      <c r="E27" s="4051"/>
      <c r="F27" s="4051"/>
      <c r="G27" s="4051"/>
      <c r="H27" s="4051"/>
      <c r="I27" s="4051"/>
      <c r="J27" s="4051"/>
      <c r="K27" s="4051"/>
      <c r="L27" s="4051"/>
      <c r="M27" s="4051"/>
    </row>
    <row r="28" spans="1:13" ht="7.5" customHeight="1">
      <c r="A28" s="4049"/>
      <c r="B28" s="4049"/>
      <c r="C28" s="4049"/>
      <c r="D28" s="4049"/>
      <c r="E28" s="4049"/>
      <c r="F28" s="4049"/>
      <c r="G28" s="4049"/>
      <c r="H28" s="4049"/>
      <c r="I28" s="4049"/>
      <c r="J28" s="4049"/>
      <c r="K28" s="4049"/>
      <c r="L28" s="4049"/>
      <c r="M28" s="4049"/>
    </row>
    <row r="29" spans="1:13" ht="43.5" customHeight="1">
      <c r="A29" s="4051" t="s">
        <v>2083</v>
      </c>
      <c r="B29" s="4051"/>
      <c r="C29" s="4051"/>
      <c r="D29" s="4051"/>
      <c r="E29" s="4051"/>
      <c r="F29" s="4051"/>
      <c r="G29" s="4051"/>
      <c r="H29" s="4051"/>
      <c r="I29" s="4051"/>
      <c r="J29" s="4051"/>
      <c r="K29" s="4051"/>
      <c r="L29" s="4051"/>
      <c r="M29" s="4051"/>
    </row>
    <row r="30" spans="1:13" ht="3" customHeight="1">
      <c r="A30" s="4049"/>
      <c r="B30" s="4049"/>
      <c r="C30" s="4049"/>
      <c r="D30" s="4049"/>
      <c r="E30" s="4049"/>
      <c r="F30" s="4049"/>
      <c r="G30" s="4049"/>
      <c r="H30" s="4049"/>
      <c r="I30" s="4049"/>
      <c r="J30" s="4049"/>
      <c r="K30" s="4049"/>
      <c r="L30" s="4049"/>
      <c r="M30" s="4049"/>
    </row>
    <row r="31" spans="1:13" ht="32.25" customHeight="1">
      <c r="A31" s="4051" t="s">
        <v>2084</v>
      </c>
      <c r="B31" s="4051"/>
      <c r="C31" s="4051"/>
      <c r="D31" s="4051"/>
      <c r="E31" s="4051"/>
      <c r="F31" s="4051"/>
      <c r="G31" s="4051"/>
      <c r="H31" s="4051"/>
      <c r="I31" s="4051"/>
      <c r="J31" s="4051"/>
      <c r="K31" s="4051"/>
      <c r="L31" s="4051"/>
      <c r="M31" s="4051"/>
    </row>
    <row r="32" spans="1:13" ht="4.5" customHeight="1">
      <c r="A32" s="4049"/>
      <c r="B32" s="4049"/>
      <c r="C32" s="4049"/>
      <c r="D32" s="4049"/>
      <c r="E32" s="4049"/>
      <c r="F32" s="4049"/>
      <c r="G32" s="4049"/>
      <c r="H32" s="4049"/>
      <c r="I32" s="4049"/>
      <c r="J32" s="4049"/>
      <c r="K32" s="4049"/>
      <c r="L32" s="4049"/>
      <c r="M32" s="4049"/>
    </row>
    <row r="33" spans="1:13" ht="16.5">
      <c r="A33" s="4049" t="s">
        <v>2085</v>
      </c>
      <c r="B33" s="4049"/>
      <c r="C33" s="4049"/>
      <c r="D33" s="4049"/>
      <c r="E33" s="4049"/>
      <c r="F33" s="4049"/>
      <c r="G33" s="4049"/>
      <c r="H33" s="4049"/>
      <c r="I33" s="4049"/>
      <c r="J33" s="4049"/>
      <c r="K33" s="4049"/>
      <c r="L33" s="4049"/>
      <c r="M33" s="4049"/>
    </row>
    <row r="34" spans="1:13" ht="6" customHeight="1">
      <c r="A34" s="664"/>
      <c r="B34" s="664"/>
      <c r="C34" s="664"/>
      <c r="D34" s="664"/>
      <c r="E34" s="664"/>
      <c r="F34" s="664"/>
      <c r="G34" s="664"/>
      <c r="H34" s="664"/>
      <c r="I34" s="664"/>
      <c r="J34" s="664"/>
      <c r="K34" s="664"/>
      <c r="L34" s="664"/>
      <c r="M34" s="664"/>
    </row>
    <row r="35" spans="1:13" ht="16.5">
      <c r="A35" s="4052"/>
      <c r="B35" s="4052"/>
      <c r="C35" s="4052"/>
      <c r="D35" s="4052"/>
      <c r="E35" s="4052"/>
      <c r="F35" s="4052"/>
      <c r="G35" s="645"/>
      <c r="H35" s="4052"/>
      <c r="I35" s="4052"/>
      <c r="J35" s="4052"/>
      <c r="K35" s="4052"/>
      <c r="L35" s="4052"/>
      <c r="M35" s="4052"/>
    </row>
    <row r="36" spans="1:13" ht="12" customHeight="1">
      <c r="A36" s="4053" t="s">
        <v>2086</v>
      </c>
      <c r="B36" s="4053"/>
      <c r="C36" s="4053"/>
      <c r="D36" s="4053"/>
      <c r="E36" s="4053"/>
      <c r="F36" s="4053"/>
      <c r="G36" s="645"/>
      <c r="H36" s="4053" t="s">
        <v>38</v>
      </c>
      <c r="I36" s="4053"/>
      <c r="J36" s="4053"/>
      <c r="K36" s="4053"/>
      <c r="L36" s="4053"/>
      <c r="M36" s="4053"/>
    </row>
    <row r="37" spans="1:13" ht="6" customHeight="1">
      <c r="A37" s="645"/>
      <c r="B37" s="645"/>
      <c r="C37" s="645"/>
      <c r="D37" s="645"/>
      <c r="E37" s="645"/>
      <c r="F37" s="645"/>
      <c r="G37" s="645"/>
      <c r="H37" s="645"/>
      <c r="I37" s="645"/>
      <c r="J37" s="645"/>
      <c r="K37" s="645"/>
      <c r="L37" s="645"/>
      <c r="M37" s="645"/>
    </row>
    <row r="38" spans="1:13" ht="16.5">
      <c r="A38" s="4054"/>
      <c r="B38" s="4054"/>
      <c r="C38" s="4054"/>
      <c r="D38" s="4054"/>
      <c r="E38" s="4054"/>
      <c r="F38" s="4054"/>
      <c r="G38" s="645"/>
      <c r="H38" s="4055"/>
      <c r="I38" s="4055"/>
      <c r="J38" s="4055"/>
      <c r="K38" s="4055"/>
      <c r="L38" s="4055"/>
      <c r="M38" s="4055"/>
    </row>
    <row r="39" spans="1:13" ht="12" customHeight="1">
      <c r="A39" s="4053" t="s">
        <v>2087</v>
      </c>
      <c r="B39" s="4053"/>
      <c r="C39" s="4053"/>
      <c r="D39" s="4053"/>
      <c r="E39" s="4053"/>
      <c r="F39" s="4053"/>
      <c r="G39" s="645"/>
      <c r="H39" s="4053" t="s">
        <v>2088</v>
      </c>
      <c r="I39" s="4053"/>
      <c r="J39" s="4053"/>
      <c r="K39" s="4053"/>
      <c r="L39" s="4053"/>
      <c r="M39" s="4053"/>
    </row>
    <row r="40" spans="1:13" ht="3" customHeight="1">
      <c r="A40" s="648"/>
      <c r="B40" s="648"/>
      <c r="C40" s="648"/>
      <c r="D40" s="648"/>
      <c r="E40" s="648"/>
      <c r="F40" s="648"/>
      <c r="G40" s="645"/>
      <c r="H40" s="648"/>
      <c r="I40" s="648"/>
      <c r="J40" s="648"/>
      <c r="K40" s="648"/>
      <c r="L40" s="648"/>
      <c r="M40" s="648"/>
    </row>
    <row r="41" spans="1:13" ht="11.65" customHeight="1">
      <c r="A41" s="645"/>
      <c r="B41" s="645"/>
      <c r="C41" s="645"/>
      <c r="D41" s="645"/>
      <c r="E41" s="645"/>
      <c r="F41" s="645"/>
      <c r="G41" s="645"/>
      <c r="H41" s="4056" t="s">
        <v>2089</v>
      </c>
      <c r="I41" s="4056"/>
      <c r="J41" s="4056"/>
      <c r="K41" s="4056"/>
      <c r="L41" s="4056"/>
      <c r="M41" s="4056"/>
    </row>
    <row r="42" spans="1:13" ht="11.65" customHeight="1">
      <c r="A42" s="645"/>
      <c r="B42" s="645"/>
      <c r="C42" s="645"/>
      <c r="D42" s="645"/>
      <c r="E42" s="645"/>
      <c r="F42" s="645"/>
      <c r="G42" s="645"/>
    </row>
    <row r="43" spans="1:13" ht="11.65" customHeight="1">
      <c r="A43" s="645"/>
      <c r="B43" s="645"/>
      <c r="C43" s="645"/>
      <c r="D43" s="645"/>
      <c r="E43" s="645"/>
      <c r="F43" s="645"/>
      <c r="G43" s="645"/>
      <c r="H43" s="645"/>
      <c r="I43" s="645"/>
      <c r="J43" s="645"/>
      <c r="K43" s="645"/>
      <c r="L43" s="645"/>
      <c r="M43" s="645"/>
    </row>
    <row r="44" spans="1:13" ht="11.65" customHeight="1">
      <c r="A44" s="645"/>
      <c r="B44" s="645"/>
      <c r="C44" s="645"/>
      <c r="D44" s="645"/>
      <c r="E44" s="645"/>
      <c r="F44" s="645"/>
      <c r="G44" s="645"/>
      <c r="H44" s="645"/>
      <c r="I44" s="645"/>
      <c r="J44" s="645"/>
      <c r="K44" s="645"/>
      <c r="L44" s="645"/>
      <c r="M44" s="645"/>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072" customWidth="1"/>
    <col min="2" max="2" width="6.28515625" style="1072" customWidth="1"/>
    <col min="3" max="3" width="9.7109375" style="1072" customWidth="1"/>
    <col min="4" max="4" width="10.42578125" style="1072" customWidth="1"/>
    <col min="5" max="5" width="7.7109375" style="1073" customWidth="1"/>
    <col min="6" max="6" width="8" style="1072" customWidth="1"/>
    <col min="7" max="7" width="8.7109375" style="1072" customWidth="1"/>
    <col min="8" max="8" width="10.28515625" style="1072" customWidth="1"/>
    <col min="9" max="9" width="10.7109375" style="1072" customWidth="1"/>
    <col min="10" max="11" width="11.7109375" style="1072" customWidth="1"/>
    <col min="12" max="16384" width="9.28515625" style="1072"/>
  </cols>
  <sheetData>
    <row r="1" spans="1:11" ht="18.75">
      <c r="A1" s="1104" t="s">
        <v>2090</v>
      </c>
      <c r="B1" s="1104"/>
      <c r="C1" s="1104"/>
      <c r="D1" s="1104"/>
      <c r="E1" s="1104"/>
      <c r="F1" s="1104"/>
      <c r="G1" s="1104"/>
      <c r="H1" s="1104"/>
    </row>
    <row r="2" spans="1:11" ht="19.5" thickBot="1">
      <c r="A2" s="1104" t="s">
        <v>2091</v>
      </c>
      <c r="B2" s="1104"/>
      <c r="C2" s="1104"/>
      <c r="D2" s="1104"/>
      <c r="E2" s="1104"/>
      <c r="F2" s="1104"/>
      <c r="G2" s="1104"/>
      <c r="H2" s="1104"/>
    </row>
    <row r="3" spans="1:11" ht="15" customHeight="1" thickBot="1">
      <c r="A3" s="2927" t="s">
        <v>2092</v>
      </c>
      <c r="B3" s="2822"/>
      <c r="C3" s="2823"/>
      <c r="D3" s="4112" t="str">
        <f>'Part I-Project Identification'!F25</f>
        <v>Ashley Collegetown Phase I</v>
      </c>
      <c r="E3" s="4113"/>
      <c r="F3" s="4113"/>
      <c r="G3" s="4113"/>
      <c r="H3" s="4113"/>
      <c r="I3" s="4113"/>
      <c r="J3" s="4114" t="s">
        <v>2093</v>
      </c>
      <c r="K3" s="4115"/>
    </row>
    <row r="4" spans="1:11" ht="15" customHeight="1">
      <c r="A4" s="1074" t="s">
        <v>2094</v>
      </c>
      <c r="B4" s="1075"/>
      <c r="C4" s="1076"/>
      <c r="D4" s="4116"/>
      <c r="E4" s="4117"/>
      <c r="F4" s="4117"/>
      <c r="G4" s="4117"/>
      <c r="H4" s="4117"/>
      <c r="I4" s="4117"/>
      <c r="J4" s="4118" t="s">
        <v>2095</v>
      </c>
      <c r="K4" s="4119"/>
    </row>
    <row r="5" spans="1:11" ht="15" customHeight="1" thickBot="1">
      <c r="A5" s="1077" t="s">
        <v>2096</v>
      </c>
      <c r="B5" s="1078"/>
      <c r="C5" s="1079"/>
      <c r="D5" s="4122"/>
      <c r="E5" s="4123"/>
      <c r="F5" s="4123"/>
      <c r="G5" s="4123"/>
      <c r="H5" s="4123"/>
      <c r="I5" s="4123"/>
      <c r="J5" s="4120"/>
      <c r="K5" s="4121"/>
    </row>
    <row r="6" spans="1:11" ht="9" customHeight="1" thickBot="1">
      <c r="E6" s="1072"/>
    </row>
    <row r="7" spans="1:11">
      <c r="A7" s="4130" t="s">
        <v>2097</v>
      </c>
      <c r="B7" s="4131"/>
      <c r="C7" s="4131"/>
      <c r="D7" s="4131"/>
      <c r="E7" s="4131"/>
      <c r="F7" s="4131"/>
      <c r="G7" s="4131"/>
      <c r="H7" s="4131"/>
      <c r="I7" s="4131"/>
      <c r="J7" s="4131"/>
      <c r="K7" s="4132"/>
    </row>
    <row r="8" spans="1:11" ht="14.25" customHeight="1">
      <c r="A8" s="1075"/>
      <c r="B8" s="1075"/>
      <c r="C8" s="1277">
        <v>1</v>
      </c>
      <c r="D8" s="2928" t="s">
        <v>2098</v>
      </c>
      <c r="E8" s="2928"/>
      <c r="F8" s="2928"/>
      <c r="G8" s="2928"/>
      <c r="H8" s="2928"/>
      <c r="I8" s="2928"/>
      <c r="J8" s="4128"/>
      <c r="K8" s="4129"/>
    </row>
    <row r="9" spans="1:11" ht="7.15" customHeight="1">
      <c r="A9" s="4067"/>
      <c r="B9" s="4067"/>
      <c r="C9" s="4067"/>
      <c r="D9" s="4068"/>
      <c r="E9" s="4068"/>
      <c r="F9" s="4068"/>
      <c r="G9" s="4068"/>
      <c r="H9" s="4068"/>
      <c r="I9" s="4068"/>
      <c r="J9" s="4068"/>
      <c r="K9" s="2930"/>
    </row>
    <row r="10" spans="1:11">
      <c r="A10" s="4133" t="s">
        <v>2099</v>
      </c>
      <c r="B10" s="4134"/>
      <c r="C10" s="4134"/>
      <c r="D10" s="4134"/>
      <c r="E10" s="4134"/>
      <c r="F10" s="4134"/>
      <c r="G10" s="4134"/>
      <c r="H10" s="4134"/>
      <c r="I10" s="4134"/>
      <c r="J10" s="4134"/>
      <c r="K10" s="4135"/>
    </row>
    <row r="11" spans="1:11" ht="14.25" customHeight="1">
      <c r="A11" s="1075"/>
      <c r="B11" s="1075"/>
      <c r="C11" s="1277">
        <v>2</v>
      </c>
      <c r="D11" s="2928" t="s">
        <v>2100</v>
      </c>
      <c r="E11" s="2931"/>
      <c r="F11" s="2931"/>
      <c r="G11" s="2931"/>
      <c r="H11" s="2931"/>
      <c r="I11" s="2931"/>
      <c r="J11" s="4126"/>
      <c r="K11" s="4127"/>
    </row>
    <row r="12" spans="1:11" ht="7.15" customHeight="1">
      <c r="A12" s="4067"/>
      <c r="B12" s="4067"/>
      <c r="C12" s="4067"/>
      <c r="D12" s="4068"/>
      <c r="E12" s="4068"/>
      <c r="F12" s="4068"/>
      <c r="G12" s="4068"/>
      <c r="H12" s="4068"/>
      <c r="I12" s="4068"/>
      <c r="J12" s="4068"/>
      <c r="K12" s="2929"/>
    </row>
    <row r="13" spans="1:11">
      <c r="A13" s="4133" t="s">
        <v>2101</v>
      </c>
      <c r="B13" s="4134"/>
      <c r="C13" s="4134"/>
      <c r="D13" s="4134"/>
      <c r="E13" s="4134"/>
      <c r="F13" s="4134"/>
      <c r="G13" s="4134"/>
      <c r="H13" s="4134"/>
      <c r="I13" s="4134"/>
      <c r="J13" s="4134"/>
      <c r="K13" s="4135"/>
    </row>
    <row r="14" spans="1:11" ht="14.25" customHeight="1">
      <c r="A14" s="1075"/>
      <c r="B14" s="1075"/>
      <c r="C14" s="2932">
        <v>3</v>
      </c>
      <c r="D14" s="2824" t="s">
        <v>2102</v>
      </c>
      <c r="E14" s="2824"/>
      <c r="F14" s="2824"/>
      <c r="G14" s="2824"/>
      <c r="H14" s="2824"/>
      <c r="I14" s="2824"/>
      <c r="J14" s="4124"/>
      <c r="K14" s="4125"/>
    </row>
    <row r="15" spans="1:11" ht="14.25" customHeight="1">
      <c r="A15" s="1075"/>
      <c r="B15" s="1075"/>
      <c r="C15" s="1278">
        <v>4</v>
      </c>
      <c r="D15" s="1075" t="s">
        <v>2103</v>
      </c>
      <c r="E15" s="1075"/>
      <c r="F15" s="1075"/>
      <c r="G15" s="1075"/>
      <c r="H15" s="1075"/>
      <c r="I15" s="1075"/>
      <c r="J15" s="4065"/>
      <c r="K15" s="4066"/>
    </row>
    <row r="16" spans="1:11" ht="14.25" customHeight="1">
      <c r="A16" s="1075"/>
      <c r="B16" s="1075"/>
      <c r="C16" s="1278">
        <v>5</v>
      </c>
      <c r="D16" s="1075" t="s">
        <v>2104</v>
      </c>
      <c r="E16" s="1075"/>
      <c r="F16" s="1075"/>
      <c r="G16" s="1075"/>
      <c r="H16" s="1075"/>
      <c r="I16" s="1075"/>
      <c r="J16" s="4065"/>
      <c r="K16" s="4066"/>
    </row>
    <row r="17" spans="1:13" ht="14.25" customHeight="1">
      <c r="A17" s="1075"/>
      <c r="B17" s="1075"/>
      <c r="C17" s="1279">
        <v>6</v>
      </c>
      <c r="D17" s="1078" t="s">
        <v>2105</v>
      </c>
      <c r="E17" s="1078"/>
      <c r="F17" s="1078"/>
      <c r="G17" s="1078"/>
      <c r="H17" s="1078"/>
      <c r="I17" s="1078"/>
      <c r="J17" s="4063"/>
      <c r="K17" s="4064"/>
    </row>
    <row r="18" spans="1:13" ht="7.15" customHeight="1">
      <c r="A18" s="4067"/>
      <c r="B18" s="4067"/>
      <c r="C18" s="4067"/>
      <c r="D18" s="4068"/>
      <c r="E18" s="4068"/>
      <c r="F18" s="4068"/>
      <c r="G18" s="4068"/>
      <c r="H18" s="4068"/>
      <c r="I18" s="4068"/>
      <c r="J18" s="4068"/>
      <c r="K18" s="2929"/>
    </row>
    <row r="19" spans="1:13" ht="14.25" customHeight="1">
      <c r="A19" s="1075"/>
      <c r="B19" s="1075"/>
      <c r="C19" s="2932">
        <v>7</v>
      </c>
      <c r="D19" s="2824" t="s">
        <v>2106</v>
      </c>
      <c r="E19" s="2824"/>
      <c r="F19" s="2824"/>
      <c r="G19" s="2824"/>
      <c r="H19" s="2824"/>
      <c r="I19" s="2824"/>
      <c r="J19" s="4061" t="str">
        <f>IF(J17="No",J14-J15,IF(J17="Yes",J14-J15-J16,"Error"))</f>
        <v>Error</v>
      </c>
      <c r="K19" s="4062"/>
    </row>
    <row r="20" spans="1:13" ht="14.25" customHeight="1">
      <c r="A20" s="1075"/>
      <c r="B20" s="1075"/>
      <c r="C20" s="1279">
        <v>8</v>
      </c>
      <c r="D20" s="1078" t="s">
        <v>2107</v>
      </c>
      <c r="E20" s="1078"/>
      <c r="F20" s="1078"/>
      <c r="G20" s="1078"/>
      <c r="H20" s="1078"/>
      <c r="I20" s="1078"/>
      <c r="J20" s="4059" t="e">
        <f>ROUNDDOWN(J19/J8,2)</f>
        <v>#VALUE!</v>
      </c>
      <c r="K20" s="4060"/>
    </row>
    <row r="21" spans="1:13" ht="7.15" customHeight="1">
      <c r="A21" s="4067"/>
      <c r="B21" s="4067"/>
      <c r="C21" s="4067"/>
      <c r="D21" s="4068"/>
      <c r="E21" s="4068"/>
      <c r="F21" s="4068"/>
      <c r="G21" s="4068"/>
      <c r="H21" s="4068"/>
      <c r="I21" s="4068"/>
      <c r="J21" s="4068"/>
      <c r="K21" s="2929"/>
    </row>
    <row r="22" spans="1:13" ht="14.25" customHeight="1" thickBot="1">
      <c r="A22" s="1075"/>
      <c r="B22" s="1075"/>
      <c r="C22" s="1277">
        <v>9</v>
      </c>
      <c r="D22" s="1091" t="s">
        <v>2108</v>
      </c>
      <c r="E22" s="1091"/>
      <c r="F22" s="1091"/>
      <c r="G22" s="1091"/>
      <c r="H22" s="1091"/>
      <c r="I22" s="1091"/>
      <c r="J22" s="4057" t="e">
        <f>J11/J19</f>
        <v>#VALUE!</v>
      </c>
      <c r="K22" s="4058"/>
    </row>
    <row r="23" spans="1:13" ht="9" customHeight="1">
      <c r="A23" s="1082"/>
      <c r="C23" s="1083"/>
      <c r="D23" s="1083"/>
      <c r="E23" s="1083"/>
      <c r="F23" s="1083"/>
      <c r="G23" s="1083"/>
      <c r="H23" s="1083"/>
      <c r="I23" s="1083"/>
      <c r="J23" s="1083"/>
      <c r="K23" s="1084"/>
    </row>
    <row r="24" spans="1:13" ht="18.75">
      <c r="A24" s="1085" t="s">
        <v>2109</v>
      </c>
      <c r="C24" s="1083"/>
      <c r="D24" s="1083"/>
      <c r="E24" s="1083"/>
      <c r="F24" s="1083"/>
      <c r="G24" s="1083"/>
      <c r="H24" s="1083"/>
      <c r="I24" s="1083"/>
      <c r="J24" s="1083"/>
      <c r="K24" s="1084"/>
    </row>
    <row r="25" spans="1:13" ht="14.25" customHeight="1">
      <c r="A25" s="1125" t="s">
        <v>2110</v>
      </c>
      <c r="C25" s="1083"/>
      <c r="D25" s="1083"/>
      <c r="E25" s="1083"/>
      <c r="F25" s="1083"/>
      <c r="G25" s="1083"/>
      <c r="H25" s="1083"/>
      <c r="I25" s="1083"/>
      <c r="J25" s="1083"/>
      <c r="K25" s="1084"/>
    </row>
    <row r="26" spans="1:13" ht="14.25" customHeight="1">
      <c r="A26" s="1125" t="s">
        <v>2111</v>
      </c>
      <c r="C26" s="1083"/>
      <c r="D26" s="1083"/>
      <c r="E26" s="1083"/>
      <c r="F26" s="1083"/>
      <c r="G26" s="1083"/>
      <c r="H26" s="1083"/>
      <c r="I26" s="1083"/>
      <c r="J26" s="1083"/>
      <c r="K26" s="1084"/>
    </row>
    <row r="27" spans="1:13" ht="14.25" customHeight="1">
      <c r="A27" s="1125" t="s">
        <v>2112</v>
      </c>
      <c r="C27" s="1083"/>
      <c r="D27" s="1083"/>
      <c r="E27" s="1083"/>
      <c r="F27" s="1083"/>
      <c r="G27" s="1083"/>
      <c r="H27" s="1083"/>
      <c r="I27" s="1083"/>
      <c r="J27" s="1083"/>
      <c r="K27" s="1084"/>
    </row>
    <row r="28" spans="1:13" ht="14.25" customHeight="1">
      <c r="A28" s="1125" t="s">
        <v>2113</v>
      </c>
      <c r="C28" s="1083"/>
      <c r="D28" s="1083"/>
      <c r="E28" s="1083"/>
      <c r="F28" s="1083"/>
      <c r="G28" s="1083"/>
      <c r="H28" s="1083"/>
      <c r="I28" s="1083"/>
      <c r="J28" s="1083"/>
      <c r="K28" s="1084"/>
    </row>
    <row r="29" spans="1:13" ht="9" customHeight="1">
      <c r="A29" s="1083"/>
      <c r="C29" s="1083"/>
      <c r="D29" s="1083"/>
      <c r="E29" s="1083"/>
      <c r="F29" s="1083"/>
      <c r="G29" s="1083"/>
      <c r="H29" s="1083"/>
      <c r="I29" s="1083"/>
      <c r="J29" s="1083"/>
      <c r="K29" s="1084"/>
    </row>
    <row r="30" spans="1:13">
      <c r="A30" s="4100" t="s">
        <v>2114</v>
      </c>
      <c r="B30" s="4101"/>
      <c r="C30" s="4101"/>
      <c r="D30" s="4101"/>
      <c r="E30" s="4101"/>
      <c r="F30" s="4101"/>
      <c r="G30" s="4101"/>
      <c r="H30" s="4101"/>
      <c r="I30" s="4101"/>
      <c r="J30" s="4101"/>
      <c r="K30" s="4102"/>
    </row>
    <row r="31" spans="1:13">
      <c r="B31" s="4103" t="s">
        <v>2093</v>
      </c>
      <c r="C31" s="4103"/>
      <c r="D31" s="4103"/>
      <c r="E31" s="4103"/>
      <c r="F31" s="4103"/>
      <c r="G31" s="4104" t="s">
        <v>2115</v>
      </c>
      <c r="H31" s="4105"/>
      <c r="I31" s="4105"/>
      <c r="J31" s="4105"/>
      <c r="K31" s="4106"/>
    </row>
    <row r="32" spans="1:13" ht="56.25" customHeight="1">
      <c r="A32" s="1090"/>
      <c r="B32" s="1100" t="s">
        <v>2116</v>
      </c>
      <c r="C32" s="1101" t="s">
        <v>2117</v>
      </c>
      <c r="D32" s="1101" t="s">
        <v>2118</v>
      </c>
      <c r="E32" s="4107" t="s">
        <v>2119</v>
      </c>
      <c r="F32" s="4108"/>
      <c r="G32" s="1102" t="s">
        <v>2120</v>
      </c>
      <c r="H32" s="1102" t="s">
        <v>2121</v>
      </c>
      <c r="J32" s="1102" t="s">
        <v>2122</v>
      </c>
      <c r="K32" s="1102" t="s">
        <v>2123</v>
      </c>
      <c r="L32" s="4109" t="s">
        <v>2124</v>
      </c>
      <c r="M32" s="4109"/>
    </row>
    <row r="33" spans="2:14" ht="12.75" customHeight="1">
      <c r="B33" s="1268"/>
      <c r="C33" s="1269"/>
      <c r="D33" s="1270"/>
      <c r="E33" s="4110"/>
      <c r="F33" s="4111"/>
      <c r="G33" s="1115" t="e">
        <f t="shared" ref="G33:G51" si="0">$J$22*B33</f>
        <v>#VALUE!</v>
      </c>
      <c r="H33" s="1116" t="e">
        <f>ROUNDUP(G33,0)</f>
        <v>#VALUE!</v>
      </c>
      <c r="I33" s="1117"/>
      <c r="J33" s="1118" t="e">
        <f t="shared" ref="J33:J51" si="1">$J$20*E33</f>
        <v>#VALUE!</v>
      </c>
      <c r="K33" s="1118" t="e">
        <f t="shared" ref="K33:K51" si="2">ROUNDDOWN(J33*H33,0)</f>
        <v>#VALUE!</v>
      </c>
      <c r="L33" s="4109"/>
      <c r="M33" s="4109"/>
    </row>
    <row r="34" spans="2:14" ht="12.75" customHeight="1">
      <c r="B34" s="1271"/>
      <c r="C34" s="1272"/>
      <c r="D34" s="1273"/>
      <c r="E34" s="4091"/>
      <c r="F34" s="4092"/>
      <c r="G34" s="1119" t="e">
        <f t="shared" si="0"/>
        <v>#VALUE!</v>
      </c>
      <c r="H34" s="1120" t="e">
        <f t="shared" ref="H34:H51" si="3">ROUNDUP(G34,0)</f>
        <v>#VALUE!</v>
      </c>
      <c r="I34" s="1117"/>
      <c r="J34" s="1121" t="e">
        <f t="shared" si="1"/>
        <v>#VALUE!</v>
      </c>
      <c r="K34" s="1121" t="e">
        <f t="shared" si="2"/>
        <v>#VALUE!</v>
      </c>
      <c r="L34" s="4109"/>
      <c r="M34" s="4109"/>
    </row>
    <row r="35" spans="2:14" ht="12.75" customHeight="1">
      <c r="B35" s="1271"/>
      <c r="C35" s="1272"/>
      <c r="D35" s="1273"/>
      <c r="E35" s="4091"/>
      <c r="F35" s="4092"/>
      <c r="G35" s="1119" t="e">
        <f t="shared" si="0"/>
        <v>#VALUE!</v>
      </c>
      <c r="H35" s="1120" t="e">
        <f t="shared" si="3"/>
        <v>#VALUE!</v>
      </c>
      <c r="I35" s="1117"/>
      <c r="J35" s="1121" t="e">
        <f t="shared" si="1"/>
        <v>#VALUE!</v>
      </c>
      <c r="K35" s="1121" t="e">
        <f t="shared" si="2"/>
        <v>#VALUE!</v>
      </c>
      <c r="L35" s="4109"/>
      <c r="M35" s="4109"/>
    </row>
    <row r="36" spans="2:14" ht="12.75" customHeight="1">
      <c r="B36" s="1271"/>
      <c r="C36" s="1272"/>
      <c r="D36" s="1273"/>
      <c r="E36" s="4091"/>
      <c r="F36" s="4092"/>
      <c r="G36" s="1119" t="e">
        <f t="shared" si="0"/>
        <v>#VALUE!</v>
      </c>
      <c r="H36" s="1120" t="e">
        <f t="shared" si="3"/>
        <v>#VALUE!</v>
      </c>
      <c r="I36" s="1117"/>
      <c r="J36" s="1121" t="e">
        <f t="shared" si="1"/>
        <v>#VALUE!</v>
      </c>
      <c r="K36" s="1121" t="e">
        <f t="shared" si="2"/>
        <v>#VALUE!</v>
      </c>
      <c r="L36" s="4109"/>
      <c r="M36" s="4109"/>
      <c r="N36" s="1086"/>
    </row>
    <row r="37" spans="2:14" ht="12.75" customHeight="1">
      <c r="B37" s="1271"/>
      <c r="C37" s="1272"/>
      <c r="D37" s="1273"/>
      <c r="E37" s="4091"/>
      <c r="F37" s="4092"/>
      <c r="G37" s="1119" t="e">
        <f t="shared" si="0"/>
        <v>#VALUE!</v>
      </c>
      <c r="H37" s="1120" t="e">
        <f t="shared" si="3"/>
        <v>#VALUE!</v>
      </c>
      <c r="I37" s="1117"/>
      <c r="J37" s="1121" t="e">
        <f t="shared" si="1"/>
        <v>#VALUE!</v>
      </c>
      <c r="K37" s="1121" t="e">
        <f t="shared" si="2"/>
        <v>#VALUE!</v>
      </c>
      <c r="L37" s="4109"/>
      <c r="M37" s="4109"/>
    </row>
    <row r="38" spans="2:14" ht="12.75" customHeight="1">
      <c r="B38" s="1271"/>
      <c r="C38" s="1272"/>
      <c r="D38" s="1273"/>
      <c r="E38" s="4091"/>
      <c r="F38" s="4092"/>
      <c r="G38" s="1119" t="e">
        <f t="shared" si="0"/>
        <v>#VALUE!</v>
      </c>
      <c r="H38" s="1120" t="e">
        <f t="shared" si="3"/>
        <v>#VALUE!</v>
      </c>
      <c r="I38" s="1117"/>
      <c r="J38" s="1121" t="e">
        <f t="shared" si="1"/>
        <v>#VALUE!</v>
      </c>
      <c r="K38" s="1121" t="e">
        <f t="shared" si="2"/>
        <v>#VALUE!</v>
      </c>
      <c r="L38" s="4109"/>
      <c r="M38" s="4109"/>
    </row>
    <row r="39" spans="2:14" ht="12.75" customHeight="1">
      <c r="B39" s="1271"/>
      <c r="C39" s="1272"/>
      <c r="D39" s="1273"/>
      <c r="E39" s="4091"/>
      <c r="F39" s="4092"/>
      <c r="G39" s="1119" t="e">
        <f t="shared" si="0"/>
        <v>#VALUE!</v>
      </c>
      <c r="H39" s="1120" t="e">
        <f t="shared" si="3"/>
        <v>#VALUE!</v>
      </c>
      <c r="I39" s="1117"/>
      <c r="J39" s="1121" t="e">
        <f t="shared" si="1"/>
        <v>#VALUE!</v>
      </c>
      <c r="K39" s="1121" t="e">
        <f t="shared" si="2"/>
        <v>#VALUE!</v>
      </c>
      <c r="L39" s="4109"/>
      <c r="M39" s="4109"/>
    </row>
    <row r="40" spans="2:14" ht="12.75" customHeight="1">
      <c r="B40" s="1271"/>
      <c r="C40" s="1272"/>
      <c r="D40" s="1273"/>
      <c r="E40" s="4091"/>
      <c r="F40" s="4092"/>
      <c r="G40" s="1119" t="e">
        <f t="shared" si="0"/>
        <v>#VALUE!</v>
      </c>
      <c r="H40" s="1120" t="e">
        <f t="shared" si="3"/>
        <v>#VALUE!</v>
      </c>
      <c r="I40" s="1117"/>
      <c r="J40" s="1121" t="e">
        <f t="shared" si="1"/>
        <v>#VALUE!</v>
      </c>
      <c r="K40" s="1121" t="e">
        <f t="shared" si="2"/>
        <v>#VALUE!</v>
      </c>
      <c r="L40" s="4109"/>
      <c r="M40" s="4109"/>
    </row>
    <row r="41" spans="2:14" ht="12.75" customHeight="1">
      <c r="B41" s="1271"/>
      <c r="C41" s="1272"/>
      <c r="D41" s="1273"/>
      <c r="E41" s="4091"/>
      <c r="F41" s="4092"/>
      <c r="G41" s="1119" t="e">
        <f t="shared" si="0"/>
        <v>#VALUE!</v>
      </c>
      <c r="H41" s="1120" t="e">
        <f t="shared" si="3"/>
        <v>#VALUE!</v>
      </c>
      <c r="I41" s="1117"/>
      <c r="J41" s="1121" t="e">
        <f t="shared" si="1"/>
        <v>#VALUE!</v>
      </c>
      <c r="K41" s="1121" t="e">
        <f t="shared" si="2"/>
        <v>#VALUE!</v>
      </c>
      <c r="L41" s="4109"/>
      <c r="M41" s="4109"/>
    </row>
    <row r="42" spans="2:14" ht="12.75" customHeight="1">
      <c r="B42" s="1271"/>
      <c r="C42" s="1272"/>
      <c r="D42" s="1273"/>
      <c r="E42" s="4091"/>
      <c r="F42" s="4092"/>
      <c r="G42" s="1119" t="e">
        <f t="shared" si="0"/>
        <v>#VALUE!</v>
      </c>
      <c r="H42" s="1120" t="e">
        <f t="shared" si="3"/>
        <v>#VALUE!</v>
      </c>
      <c r="I42" s="1117"/>
      <c r="J42" s="1121" t="e">
        <f t="shared" si="1"/>
        <v>#VALUE!</v>
      </c>
      <c r="K42" s="1121" t="e">
        <f t="shared" si="2"/>
        <v>#VALUE!</v>
      </c>
      <c r="L42" s="4109"/>
      <c r="M42" s="4109"/>
    </row>
    <row r="43" spans="2:14" ht="12.75" customHeight="1">
      <c r="B43" s="1271"/>
      <c r="C43" s="1272"/>
      <c r="D43" s="1273"/>
      <c r="E43" s="4091"/>
      <c r="F43" s="4092"/>
      <c r="G43" s="1119" t="e">
        <f t="shared" si="0"/>
        <v>#VALUE!</v>
      </c>
      <c r="H43" s="1120" t="e">
        <f t="shared" si="3"/>
        <v>#VALUE!</v>
      </c>
      <c r="I43" s="1117"/>
      <c r="J43" s="1121" t="e">
        <f t="shared" si="1"/>
        <v>#VALUE!</v>
      </c>
      <c r="K43" s="1121" t="e">
        <f t="shared" si="2"/>
        <v>#VALUE!</v>
      </c>
      <c r="L43" s="4109"/>
      <c r="M43" s="4109"/>
    </row>
    <row r="44" spans="2:14" ht="12.75" customHeight="1">
      <c r="B44" s="1271"/>
      <c r="C44" s="1272"/>
      <c r="D44" s="1273"/>
      <c r="E44" s="4091"/>
      <c r="F44" s="4092"/>
      <c r="G44" s="1119" t="e">
        <f t="shared" si="0"/>
        <v>#VALUE!</v>
      </c>
      <c r="H44" s="1120" t="e">
        <f t="shared" si="3"/>
        <v>#VALUE!</v>
      </c>
      <c r="I44" s="1117"/>
      <c r="J44" s="1121" t="e">
        <f t="shared" si="1"/>
        <v>#VALUE!</v>
      </c>
      <c r="K44" s="1121" t="e">
        <f t="shared" si="2"/>
        <v>#VALUE!</v>
      </c>
      <c r="L44" s="4109"/>
      <c r="M44" s="4109"/>
    </row>
    <row r="45" spans="2:14" ht="12.75" customHeight="1">
      <c r="B45" s="1271"/>
      <c r="C45" s="1272"/>
      <c r="D45" s="1273"/>
      <c r="E45" s="4091"/>
      <c r="F45" s="4092"/>
      <c r="G45" s="1119" t="e">
        <f t="shared" si="0"/>
        <v>#VALUE!</v>
      </c>
      <c r="H45" s="1120" t="e">
        <f t="shared" si="3"/>
        <v>#VALUE!</v>
      </c>
      <c r="I45" s="1117"/>
      <c r="J45" s="1121" t="e">
        <f t="shared" si="1"/>
        <v>#VALUE!</v>
      </c>
      <c r="K45" s="1121" t="e">
        <f t="shared" si="2"/>
        <v>#VALUE!</v>
      </c>
      <c r="L45" s="4109"/>
      <c r="M45" s="4109"/>
    </row>
    <row r="46" spans="2:14" ht="12.75" customHeight="1">
      <c r="B46" s="1271"/>
      <c r="C46" s="1272"/>
      <c r="D46" s="1273"/>
      <c r="E46" s="4091"/>
      <c r="F46" s="4092"/>
      <c r="G46" s="1119" t="e">
        <f t="shared" si="0"/>
        <v>#VALUE!</v>
      </c>
      <c r="H46" s="1120" t="e">
        <f t="shared" si="3"/>
        <v>#VALUE!</v>
      </c>
      <c r="I46" s="1117"/>
      <c r="J46" s="1121" t="e">
        <f t="shared" si="1"/>
        <v>#VALUE!</v>
      </c>
      <c r="K46" s="1121" t="e">
        <f t="shared" si="2"/>
        <v>#VALUE!</v>
      </c>
      <c r="L46" s="4109"/>
      <c r="M46" s="4109"/>
    </row>
    <row r="47" spans="2:14" ht="12.75" customHeight="1">
      <c r="B47" s="1271"/>
      <c r="C47" s="1272"/>
      <c r="D47" s="1273"/>
      <c r="E47" s="4091"/>
      <c r="F47" s="4092"/>
      <c r="G47" s="1119" t="e">
        <f t="shared" si="0"/>
        <v>#VALUE!</v>
      </c>
      <c r="H47" s="1120" t="e">
        <f t="shared" si="3"/>
        <v>#VALUE!</v>
      </c>
      <c r="I47" s="1117"/>
      <c r="J47" s="1121" t="e">
        <f t="shared" si="1"/>
        <v>#VALUE!</v>
      </c>
      <c r="K47" s="1121" t="e">
        <f t="shared" si="2"/>
        <v>#VALUE!</v>
      </c>
      <c r="L47" s="4109"/>
      <c r="M47" s="4109"/>
    </row>
    <row r="48" spans="2:14" ht="12.75" customHeight="1">
      <c r="B48" s="1271"/>
      <c r="C48" s="1272"/>
      <c r="D48" s="1273"/>
      <c r="E48" s="4091"/>
      <c r="F48" s="4092"/>
      <c r="G48" s="1119" t="e">
        <f t="shared" si="0"/>
        <v>#VALUE!</v>
      </c>
      <c r="H48" s="1120" t="e">
        <f t="shared" si="3"/>
        <v>#VALUE!</v>
      </c>
      <c r="I48" s="1117"/>
      <c r="J48" s="1121" t="e">
        <f t="shared" si="1"/>
        <v>#VALUE!</v>
      </c>
      <c r="K48" s="1121" t="e">
        <f t="shared" si="2"/>
        <v>#VALUE!</v>
      </c>
      <c r="L48" s="4109"/>
      <c r="M48" s="4109"/>
    </row>
    <row r="49" spans="1:13" ht="12.75" customHeight="1">
      <c r="B49" s="1271"/>
      <c r="C49" s="1272"/>
      <c r="D49" s="1273"/>
      <c r="E49" s="4091"/>
      <c r="F49" s="4092"/>
      <c r="G49" s="1119" t="e">
        <f t="shared" si="0"/>
        <v>#VALUE!</v>
      </c>
      <c r="H49" s="1120" t="e">
        <f t="shared" si="3"/>
        <v>#VALUE!</v>
      </c>
      <c r="I49" s="1117"/>
      <c r="J49" s="1121" t="e">
        <f t="shared" si="1"/>
        <v>#VALUE!</v>
      </c>
      <c r="K49" s="1121" t="e">
        <f t="shared" si="2"/>
        <v>#VALUE!</v>
      </c>
      <c r="L49" s="4109"/>
      <c r="M49" s="4109"/>
    </row>
    <row r="50" spans="1:13" ht="12.75" customHeight="1">
      <c r="B50" s="1271"/>
      <c r="C50" s="1272"/>
      <c r="D50" s="1273"/>
      <c r="E50" s="4091"/>
      <c r="F50" s="4092"/>
      <c r="G50" s="1119" t="e">
        <f t="shared" si="0"/>
        <v>#VALUE!</v>
      </c>
      <c r="H50" s="1120" t="e">
        <f t="shared" si="3"/>
        <v>#VALUE!</v>
      </c>
      <c r="I50" s="1117"/>
      <c r="J50" s="1121" t="e">
        <f t="shared" si="1"/>
        <v>#VALUE!</v>
      </c>
      <c r="K50" s="1121" t="e">
        <f t="shared" si="2"/>
        <v>#VALUE!</v>
      </c>
      <c r="L50" s="4109"/>
      <c r="M50" s="4109"/>
    </row>
    <row r="51" spans="1:13" ht="12.75" customHeight="1" thickBot="1">
      <c r="B51" s="1274"/>
      <c r="C51" s="1275"/>
      <c r="D51" s="1276"/>
      <c r="E51" s="4093"/>
      <c r="F51" s="4094"/>
      <c r="G51" s="1122" t="e">
        <f t="shared" si="0"/>
        <v>#VALUE!</v>
      </c>
      <c r="H51" s="1123" t="e">
        <f t="shared" si="3"/>
        <v>#VALUE!</v>
      </c>
      <c r="I51" s="1117"/>
      <c r="J51" s="1124" t="e">
        <f t="shared" si="1"/>
        <v>#VALUE!</v>
      </c>
      <c r="K51" s="1124" t="e">
        <f t="shared" si="2"/>
        <v>#VALUE!</v>
      </c>
      <c r="L51" s="4109"/>
      <c r="M51" s="4109"/>
    </row>
    <row r="52" spans="1:13" ht="15" customHeight="1" thickBot="1">
      <c r="B52" s="2825"/>
      <c r="D52" s="2824"/>
      <c r="E52" s="2824"/>
      <c r="F52" s="2824"/>
      <c r="G52" s="2933" t="s">
        <v>2125</v>
      </c>
      <c r="H52" s="1103" t="e">
        <f>SUM(H33:H51)</f>
        <v>#VALUE!</v>
      </c>
      <c r="I52" s="2824"/>
      <c r="J52" s="2825" t="s">
        <v>2126</v>
      </c>
      <c r="K52" s="2934" t="e">
        <f>SUM(K33:K51)</f>
        <v>#VALUE!</v>
      </c>
      <c r="L52" s="4109"/>
      <c r="M52" s="4109"/>
    </row>
    <row r="53" spans="1:13" ht="15" customHeight="1">
      <c r="B53" s="1095"/>
      <c r="C53" s="4095" t="s">
        <v>2127</v>
      </c>
      <c r="D53" s="4095"/>
      <c r="E53" s="4095"/>
      <c r="F53" s="4095"/>
      <c r="G53" s="4095"/>
      <c r="H53" s="4095"/>
      <c r="I53" s="4095"/>
      <c r="J53" s="4096"/>
      <c r="K53" s="1096" t="str">
        <f>IF(J17="no",0,IF(J17="yes",J16,"Error"))</f>
        <v>Error</v>
      </c>
      <c r="L53" s="4109"/>
      <c r="M53" s="4109"/>
    </row>
    <row r="54" spans="1:13" ht="15" customHeight="1" thickBot="1">
      <c r="B54" s="1095"/>
      <c r="C54" s="4097" t="s">
        <v>2128</v>
      </c>
      <c r="D54" s="4097"/>
      <c r="E54" s="4097"/>
      <c r="F54" s="4097"/>
      <c r="G54" s="4097"/>
      <c r="H54" s="4097"/>
      <c r="I54" s="4097"/>
      <c r="J54" s="4098"/>
      <c r="K54" s="1105" t="e">
        <f>K52+K53</f>
        <v>#VALUE!</v>
      </c>
    </row>
    <row r="55" spans="1:13" ht="7.9" customHeight="1">
      <c r="A55" s="4099"/>
      <c r="B55" s="4069"/>
      <c r="C55" s="4069"/>
      <c r="D55" s="4069"/>
      <c r="E55" s="4069"/>
      <c r="F55" s="4069"/>
      <c r="G55" s="4069"/>
      <c r="H55" s="4069"/>
      <c r="I55" s="4069"/>
      <c r="J55" s="4069"/>
      <c r="K55" s="1114"/>
    </row>
    <row r="56" spans="1:13" ht="15" customHeight="1">
      <c r="A56" s="4070" t="s">
        <v>2129</v>
      </c>
      <c r="B56" s="4071"/>
      <c r="C56" s="4071"/>
      <c r="D56" s="4071"/>
      <c r="E56" s="4071"/>
      <c r="F56" s="4071"/>
      <c r="G56" s="4071"/>
      <c r="H56" s="4071"/>
      <c r="I56" s="4071"/>
      <c r="J56" s="4071"/>
      <c r="K56" s="4072"/>
    </row>
    <row r="57" spans="1:13" ht="48" customHeight="1">
      <c r="A57" s="2935"/>
      <c r="B57" s="2826"/>
      <c r="C57" s="1089" t="s">
        <v>2130</v>
      </c>
      <c r="D57" s="1202" t="s">
        <v>2131</v>
      </c>
      <c r="E57" s="4082" t="s">
        <v>2132</v>
      </c>
      <c r="F57" s="4083"/>
      <c r="G57" s="4084" t="s">
        <v>2133</v>
      </c>
      <c r="H57" s="4085"/>
      <c r="I57" s="4082" t="s">
        <v>2134</v>
      </c>
      <c r="J57" s="4083"/>
      <c r="K57" s="4086"/>
    </row>
    <row r="58" spans="1:13" ht="15" customHeight="1">
      <c r="A58" s="1185"/>
      <c r="B58" s="1110"/>
      <c r="C58" s="1092">
        <f>SUMIF(C33:C51, "0", H33:H51)</f>
        <v>0</v>
      </c>
      <c r="D58" s="1203">
        <f t="shared" ref="D58:D63" si="4">ROUNDUP(C58*1.1,0)</f>
        <v>0</v>
      </c>
      <c r="E58" s="4088" t="s">
        <v>2135</v>
      </c>
      <c r="F58" s="4089"/>
      <c r="G58" s="4076">
        <f>'DCA Underwriting Assumptions'!H129</f>
        <v>159753.60000000001</v>
      </c>
      <c r="H58" s="4077"/>
      <c r="I58" s="4090">
        <f t="shared" ref="I58:I63" si="5">D58*G58</f>
        <v>0</v>
      </c>
      <c r="J58" s="4090"/>
      <c r="K58" s="4087"/>
    </row>
    <row r="59" spans="1:13">
      <c r="A59" s="1185"/>
      <c r="B59" s="1110"/>
      <c r="C59" s="1093">
        <f>SUMIF(C33:C51, "1", H33:H51)</f>
        <v>0</v>
      </c>
      <c r="D59" s="1204">
        <f t="shared" si="4"/>
        <v>0</v>
      </c>
      <c r="E59" s="4074" t="s">
        <v>2136</v>
      </c>
      <c r="F59" s="4075"/>
      <c r="G59" s="4076">
        <f>'DCA Underwriting Assumptions'!H130</f>
        <v>183132</v>
      </c>
      <c r="H59" s="4077"/>
      <c r="I59" s="4078">
        <f t="shared" si="5"/>
        <v>0</v>
      </c>
      <c r="J59" s="4078"/>
      <c r="K59" s="4087"/>
    </row>
    <row r="60" spans="1:13" ht="15" customHeight="1">
      <c r="A60" s="1185"/>
      <c r="B60" s="1110"/>
      <c r="C60" s="1093">
        <f>SUMIF(C33:C51, "2", H33:H51)</f>
        <v>0</v>
      </c>
      <c r="D60" s="1204">
        <f t="shared" si="4"/>
        <v>0</v>
      </c>
      <c r="E60" s="4074" t="s">
        <v>2137</v>
      </c>
      <c r="F60" s="4075"/>
      <c r="G60" s="4076">
        <f>'DCA Underwriting Assumptions'!H131</f>
        <v>222693.6</v>
      </c>
      <c r="H60" s="4077"/>
      <c r="I60" s="4078">
        <f t="shared" si="5"/>
        <v>0</v>
      </c>
      <c r="J60" s="4078"/>
      <c r="K60" s="4087"/>
    </row>
    <row r="61" spans="1:13">
      <c r="A61" s="1185"/>
      <c r="B61" s="1110"/>
      <c r="C61" s="1093">
        <f>SUMIF(C33:C51, "3", H33:H51)</f>
        <v>0</v>
      </c>
      <c r="D61" s="1204">
        <f t="shared" si="4"/>
        <v>0</v>
      </c>
      <c r="E61" s="4074" t="s">
        <v>2138</v>
      </c>
      <c r="F61" s="4075"/>
      <c r="G61" s="4076">
        <f>'DCA Underwriting Assumptions'!H132</f>
        <v>288093.59999999998</v>
      </c>
      <c r="H61" s="4077"/>
      <c r="I61" s="4078">
        <f t="shared" si="5"/>
        <v>0</v>
      </c>
      <c r="J61" s="4078"/>
      <c r="K61" s="4087"/>
    </row>
    <row r="62" spans="1:13">
      <c r="A62" s="1185"/>
      <c r="B62" s="1110"/>
      <c r="C62" s="1093">
        <f>SUMIF(C33:C51, "4", H33:H51)</f>
        <v>0</v>
      </c>
      <c r="D62" s="1204">
        <f t="shared" si="4"/>
        <v>0</v>
      </c>
      <c r="E62" s="4074" t="s">
        <v>2139</v>
      </c>
      <c r="F62" s="4075"/>
      <c r="G62" s="4076">
        <f>'DCA Underwriting Assumptions'!H133</f>
        <v>316236</v>
      </c>
      <c r="H62" s="4077"/>
      <c r="I62" s="4078">
        <f t="shared" si="5"/>
        <v>0</v>
      </c>
      <c r="J62" s="4078"/>
      <c r="K62" s="4087"/>
    </row>
    <row r="63" spans="1:13">
      <c r="A63" s="1201"/>
      <c r="B63" s="1111"/>
      <c r="C63" s="1094">
        <f>SUMIF(C33:C51, "5", H33:H51)</f>
        <v>0</v>
      </c>
      <c r="D63" s="1205">
        <f t="shared" si="4"/>
        <v>0</v>
      </c>
      <c r="E63" s="4079" t="s">
        <v>2140</v>
      </c>
      <c r="F63" s="4080"/>
      <c r="G63" s="4076">
        <f>'DCA Underwriting Assumptions'!H133</f>
        <v>316236</v>
      </c>
      <c r="H63" s="4077"/>
      <c r="I63" s="4081">
        <f t="shared" si="5"/>
        <v>0</v>
      </c>
      <c r="J63" s="4081"/>
      <c r="K63" s="1113"/>
    </row>
    <row r="64" spans="1:13" ht="17.25" thickBot="1">
      <c r="A64" s="1200" t="s">
        <v>2141</v>
      </c>
      <c r="B64" s="1107">
        <f>SUM(C58:C63)</f>
        <v>0</v>
      </c>
      <c r="C64" s="1206"/>
      <c r="D64" s="1206">
        <f>SUM(D58:D63)</f>
        <v>0</v>
      </c>
      <c r="E64" s="1199"/>
      <c r="F64" s="1199"/>
      <c r="G64" s="1199"/>
      <c r="H64" s="1199"/>
      <c r="I64" s="1199"/>
      <c r="J64" s="1186" t="s">
        <v>2142</v>
      </c>
      <c r="K64" s="1106">
        <f>SUM(I58:I62)</f>
        <v>0</v>
      </c>
    </row>
    <row r="65" spans="1:11">
      <c r="A65" s="4069"/>
      <c r="B65" s="4069"/>
      <c r="C65" s="4069"/>
      <c r="D65" s="4069"/>
      <c r="E65" s="4069"/>
      <c r="F65" s="4069"/>
      <c r="G65" s="4069"/>
      <c r="H65" s="4069"/>
      <c r="I65" s="4069"/>
      <c r="J65" s="4069"/>
    </row>
    <row r="66" spans="1:11">
      <c r="A66" s="4070" t="s">
        <v>2143</v>
      </c>
      <c r="B66" s="4071"/>
      <c r="C66" s="4071"/>
      <c r="D66" s="4071"/>
      <c r="E66" s="4071"/>
      <c r="F66" s="4071"/>
      <c r="G66" s="4071"/>
      <c r="H66" s="4071"/>
      <c r="I66" s="4071"/>
      <c r="J66" s="4071"/>
      <c r="K66" s="4072"/>
    </row>
    <row r="67" spans="1:11" ht="15" customHeight="1">
      <c r="A67" s="2936"/>
      <c r="B67" s="2827"/>
      <c r="C67" s="2827"/>
      <c r="D67" s="2827"/>
      <c r="E67" s="2827" t="s">
        <v>2144</v>
      </c>
      <c r="F67" s="2827"/>
      <c r="G67" s="2827"/>
      <c r="H67" s="2827"/>
      <c r="I67" s="2827"/>
      <c r="J67" s="2826"/>
      <c r="K67" s="1087">
        <f>J11</f>
        <v>0</v>
      </c>
    </row>
    <row r="68" spans="1:11">
      <c r="A68" s="1108"/>
      <c r="E68" s="1072" t="s">
        <v>2145</v>
      </c>
      <c r="J68" s="1110"/>
      <c r="K68" s="1087" t="e">
        <f>K54</f>
        <v>#VALUE!</v>
      </c>
    </row>
    <row r="69" spans="1:11" ht="17.25" thickBot="1">
      <c r="A69" s="1109"/>
      <c r="B69" s="1080"/>
      <c r="C69" s="1080"/>
      <c r="D69" s="1080"/>
      <c r="E69" s="1080" t="s">
        <v>2146</v>
      </c>
      <c r="F69" s="1080"/>
      <c r="G69" s="1080"/>
      <c r="H69" s="1080"/>
      <c r="I69" s="1080"/>
      <c r="J69" s="1111"/>
      <c r="K69" s="2937">
        <f>K64</f>
        <v>0</v>
      </c>
    </row>
    <row r="70" spans="1:11" ht="17.25" thickBot="1">
      <c r="A70" s="1088"/>
      <c r="B70" s="1081"/>
      <c r="C70" s="4073" t="s">
        <v>2147</v>
      </c>
      <c r="D70" s="4073"/>
      <c r="E70" s="4073"/>
      <c r="F70" s="4073"/>
      <c r="G70" s="4073"/>
      <c r="H70" s="4073"/>
      <c r="I70" s="4073"/>
      <c r="J70" s="4073"/>
      <c r="K70" s="1112" t="e">
        <f>IF(ISBLANK(J11),MIN(K68:K69),MIN(K67:K69))</f>
        <v>#VALUE!</v>
      </c>
    </row>
    <row r="71" spans="1:11">
      <c r="E71" s="1072"/>
    </row>
    <row r="72" spans="1:11">
      <c r="E72" s="1072"/>
    </row>
    <row r="73" spans="1:11">
      <c r="E73" s="1072"/>
    </row>
    <row r="74" spans="1:11">
      <c r="E74" s="1072"/>
    </row>
    <row r="75" spans="1:11">
      <c r="E75" s="1072"/>
    </row>
    <row r="76" spans="1:11">
      <c r="E76" s="1072"/>
    </row>
    <row r="77" spans="1:11">
      <c r="E77" s="1072"/>
    </row>
    <row r="78" spans="1:11">
      <c r="E78" s="1072"/>
    </row>
    <row r="79" spans="1:11">
      <c r="E79" s="1072"/>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14" customWidth="1"/>
    <col min="2" max="2" width="2.5703125" style="14" customWidth="1"/>
    <col min="3" max="3" width="2.28515625" style="14" customWidth="1"/>
    <col min="4" max="10" width="8.7109375" style="14" customWidth="1"/>
    <col min="11" max="11" width="7.5703125" style="14" customWidth="1"/>
    <col min="12" max="15" width="9.28515625" style="14" customWidth="1"/>
    <col min="16" max="16" width="8.7109375" style="14" customWidth="1"/>
    <col min="17" max="17" width="9.28515625" style="14" customWidth="1"/>
    <col min="18" max="16384" width="9.28515625" style="14"/>
  </cols>
  <sheetData>
    <row r="1" spans="1:19" ht="14.1" customHeight="1">
      <c r="A1" s="3270" t="str">
        <f>CONCATENATE("PART SEVEN - THRESHOLD CRITERIA","  -  ",'Part I-Project Identification'!$O$7," ",'Part I-Project Identification'!$F$25,", ",'Part I-Project Identification'!F26,", ",'Part I-Project Identification'!J26," County")</f>
        <v>PART SEVEN - THRESHOLD CRITERIA  -  2023-5 Ashley Collegetown Phase I, Atlanta, Fulton County</v>
      </c>
      <c r="B1" s="3271"/>
      <c r="C1" s="3271"/>
      <c r="D1" s="3271"/>
      <c r="E1" s="3271"/>
      <c r="F1" s="3271"/>
      <c r="G1" s="3271"/>
      <c r="H1" s="3271"/>
      <c r="I1" s="3271"/>
      <c r="J1" s="3271"/>
      <c r="K1" s="3271"/>
      <c r="L1" s="3271"/>
      <c r="M1" s="3271"/>
      <c r="N1" s="3271"/>
      <c r="O1" s="3271"/>
      <c r="P1" s="3271"/>
      <c r="Q1" s="3271"/>
      <c r="R1" s="1489"/>
      <c r="S1" s="1489"/>
    </row>
    <row r="2" spans="1:19" customFormat="1" ht="3" customHeight="1">
      <c r="R2" s="1489"/>
      <c r="S2" s="1489"/>
    </row>
    <row r="3" spans="1:19" ht="13.5" customHeight="1">
      <c r="A3" s="424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47"/>
      <c r="C3" s="4247"/>
      <c r="D3" s="4247"/>
      <c r="E3" s="4247"/>
      <c r="F3" s="4247"/>
      <c r="G3" s="4247"/>
      <c r="H3" s="424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47"/>
      <c r="J3" s="4247"/>
      <c r="K3" s="4247"/>
      <c r="L3" s="4247"/>
      <c r="M3" s="4247"/>
      <c r="N3" s="4247"/>
      <c r="O3" s="79"/>
      <c r="P3" s="4257" t="s">
        <v>2148</v>
      </c>
      <c r="Q3" s="4296" t="s">
        <v>1374</v>
      </c>
      <c r="R3" s="1489"/>
      <c r="S3" s="1489"/>
    </row>
    <row r="4" spans="1:19" ht="3" customHeight="1">
      <c r="A4" s="542"/>
      <c r="B4" s="4248"/>
      <c r="C4" s="4248"/>
      <c r="D4" s="4248"/>
      <c r="E4" s="542"/>
      <c r="F4" s="542"/>
      <c r="G4" s="542"/>
      <c r="H4" s="542"/>
      <c r="I4" s="79"/>
      <c r="J4" s="367"/>
      <c r="K4" s="542"/>
      <c r="L4" s="542"/>
      <c r="M4" s="542"/>
      <c r="N4" s="542"/>
      <c r="O4" s="79"/>
      <c r="P4" s="4258"/>
      <c r="Q4" s="4297"/>
      <c r="R4" s="1489"/>
      <c r="S4" s="1489"/>
    </row>
    <row r="5" spans="1:19">
      <c r="A5" s="79"/>
      <c r="B5" s="79"/>
      <c r="C5" s="79"/>
      <c r="D5" s="79"/>
      <c r="E5" s="4256" t="str">
        <f>'Part I-Project Identification'!$A$6</f>
        <v>Sept 2023</v>
      </c>
      <c r="F5" s="4256"/>
      <c r="G5" s="4256"/>
      <c r="H5" s="4256"/>
      <c r="I5" s="4256"/>
      <c r="J5" s="367"/>
      <c r="K5" s="2938"/>
      <c r="L5" s="2939" t="s">
        <v>2149</v>
      </c>
      <c r="M5" s="2940" t="str">
        <f>'Part I-Project Identification'!$F$12</f>
        <v>4% Credit/TE Bond</v>
      </c>
      <c r="N5" s="2941"/>
      <c r="O5" s="2942"/>
      <c r="P5" s="4259"/>
      <c r="Q5" s="4298"/>
      <c r="R5" s="1309"/>
      <c r="S5" s="1309"/>
    </row>
    <row r="6" spans="1:19" ht="17.25" customHeight="1">
      <c r="A6" s="63" t="s">
        <v>2150</v>
      </c>
      <c r="B6" s="79"/>
      <c r="C6" s="79"/>
      <c r="D6" s="79"/>
      <c r="E6" s="79"/>
      <c r="F6" s="79"/>
      <c r="G6" s="79"/>
      <c r="H6" s="79"/>
      <c r="I6" s="367"/>
      <c r="J6" s="367"/>
      <c r="K6" s="4254" t="s">
        <v>2151</v>
      </c>
      <c r="L6" s="4254"/>
      <c r="M6" s="4254"/>
      <c r="N6" s="4254"/>
      <c r="O6" s="4255"/>
      <c r="P6" s="4249"/>
      <c r="Q6" s="4250"/>
      <c r="R6" s="1309"/>
      <c r="S6" s="1309"/>
    </row>
    <row r="7" spans="1:19" ht="12.6" customHeight="1">
      <c r="A7" s="64" t="s">
        <v>1377</v>
      </c>
      <c r="B7" s="79"/>
      <c r="C7" s="79"/>
      <c r="D7" s="79"/>
      <c r="E7" s="79"/>
      <c r="F7" s="79"/>
      <c r="G7" s="79"/>
      <c r="H7" s="811"/>
      <c r="I7" s="1488"/>
      <c r="J7" s="1488"/>
      <c r="K7" s="811"/>
      <c r="L7" s="811"/>
      <c r="M7" s="542"/>
      <c r="N7" s="542"/>
      <c r="O7" s="79"/>
      <c r="P7" s="79"/>
      <c r="Q7" s="79"/>
      <c r="R7" s="79"/>
      <c r="S7" s="79"/>
    </row>
    <row r="8" spans="1:19" ht="23.25" customHeight="1">
      <c r="A8" s="4251" t="s">
        <v>1378</v>
      </c>
      <c r="B8" s="4252"/>
      <c r="C8" s="4252"/>
      <c r="D8" s="4252"/>
      <c r="E8" s="4252"/>
      <c r="F8" s="4252"/>
      <c r="G8" s="4252"/>
      <c r="H8" s="4252"/>
      <c r="I8" s="4252"/>
      <c r="J8" s="4252"/>
      <c r="K8" s="4252"/>
      <c r="L8" s="4252"/>
      <c r="M8" s="4252"/>
      <c r="N8" s="4252"/>
      <c r="O8" s="4252"/>
      <c r="P8" s="4252"/>
      <c r="Q8" s="4253"/>
      <c r="R8" s="3001" t="s">
        <v>258</v>
      </c>
      <c r="S8" s="2964"/>
    </row>
    <row r="9" spans="1:19" ht="23.25" customHeight="1">
      <c r="A9" s="4234" t="s">
        <v>1379</v>
      </c>
      <c r="B9" s="4235"/>
      <c r="C9" s="4235"/>
      <c r="D9" s="4235"/>
      <c r="E9" s="4235"/>
      <c r="F9" s="4235"/>
      <c r="G9" s="4235"/>
      <c r="H9" s="4235"/>
      <c r="I9" s="4235"/>
      <c r="J9" s="4235"/>
      <c r="K9" s="4235"/>
      <c r="L9" s="4235"/>
      <c r="M9" s="4235"/>
      <c r="N9" s="4235"/>
      <c r="O9" s="4235"/>
      <c r="P9" s="4235"/>
      <c r="Q9" s="4236"/>
      <c r="R9" s="3001"/>
      <c r="S9" s="2964"/>
    </row>
    <row r="10" spans="1:19" ht="23.25" customHeight="1">
      <c r="A10" s="4234" t="s">
        <v>1380</v>
      </c>
      <c r="B10" s="4235"/>
      <c r="C10" s="4235"/>
      <c r="D10" s="4235"/>
      <c r="E10" s="4235"/>
      <c r="F10" s="4235"/>
      <c r="G10" s="4235"/>
      <c r="H10" s="4235"/>
      <c r="I10" s="4235"/>
      <c r="J10" s="4235"/>
      <c r="K10" s="4235"/>
      <c r="L10" s="4235"/>
      <c r="M10" s="4235"/>
      <c r="N10" s="4235"/>
      <c r="O10" s="4235"/>
      <c r="P10" s="4235"/>
      <c r="Q10" s="4236"/>
      <c r="R10" s="3001"/>
      <c r="S10" s="2964"/>
    </row>
    <row r="11" spans="1:19" ht="23.25" customHeight="1">
      <c r="A11" s="4234" t="s">
        <v>1381</v>
      </c>
      <c r="B11" s="4235"/>
      <c r="C11" s="4235"/>
      <c r="D11" s="4235"/>
      <c r="E11" s="4235"/>
      <c r="F11" s="4235"/>
      <c r="G11" s="4235"/>
      <c r="H11" s="4235"/>
      <c r="I11" s="4235"/>
      <c r="J11" s="4235"/>
      <c r="K11" s="4235"/>
      <c r="L11" s="4235"/>
      <c r="M11" s="4235"/>
      <c r="N11" s="4235"/>
      <c r="O11" s="4235"/>
      <c r="P11" s="4235"/>
      <c r="Q11" s="4236"/>
      <c r="R11" s="3001"/>
      <c r="S11" s="2964"/>
    </row>
    <row r="12" spans="1:19" ht="23.25" customHeight="1">
      <c r="A12" s="4234" t="s">
        <v>1382</v>
      </c>
      <c r="B12" s="4235"/>
      <c r="C12" s="4235"/>
      <c r="D12" s="4235"/>
      <c r="E12" s="4235"/>
      <c r="F12" s="4235"/>
      <c r="G12" s="4235"/>
      <c r="H12" s="4235"/>
      <c r="I12" s="4235"/>
      <c r="J12" s="4235"/>
      <c r="K12" s="4235"/>
      <c r="L12" s="4235"/>
      <c r="M12" s="4235"/>
      <c r="N12" s="4235"/>
      <c r="O12" s="4235"/>
      <c r="P12" s="4235"/>
      <c r="Q12" s="4236"/>
      <c r="R12" s="709"/>
      <c r="S12" s="709"/>
    </row>
    <row r="13" spans="1:19" ht="23.25" customHeight="1">
      <c r="A13" s="4234" t="s">
        <v>1383</v>
      </c>
      <c r="B13" s="4235"/>
      <c r="C13" s="4235"/>
      <c r="D13" s="4235"/>
      <c r="E13" s="4235"/>
      <c r="F13" s="4235"/>
      <c r="G13" s="4235"/>
      <c r="H13" s="4235"/>
      <c r="I13" s="4235"/>
      <c r="J13" s="4235"/>
      <c r="K13" s="4235"/>
      <c r="L13" s="4235"/>
      <c r="M13" s="4235"/>
      <c r="N13" s="4235"/>
      <c r="O13" s="4235"/>
      <c r="P13" s="4235"/>
      <c r="Q13" s="4236"/>
      <c r="R13" s="709"/>
      <c r="S13" s="709"/>
    </row>
    <row r="14" spans="1:19" ht="23.25" customHeight="1">
      <c r="A14" s="4234" t="s">
        <v>1384</v>
      </c>
      <c r="B14" s="4235"/>
      <c r="C14" s="4235"/>
      <c r="D14" s="4235"/>
      <c r="E14" s="4235"/>
      <c r="F14" s="4235"/>
      <c r="G14" s="4235"/>
      <c r="H14" s="4235"/>
      <c r="I14" s="4235"/>
      <c r="J14" s="4235"/>
      <c r="K14" s="4235"/>
      <c r="L14" s="4235"/>
      <c r="M14" s="4235"/>
      <c r="N14" s="4235"/>
      <c r="O14" s="4235"/>
      <c r="P14" s="4235"/>
      <c r="Q14" s="4236"/>
      <c r="R14" s="79"/>
      <c r="S14" s="79"/>
    </row>
    <row r="15" spans="1:19" ht="11.25" customHeight="1">
      <c r="A15" s="4234" t="s">
        <v>1385</v>
      </c>
      <c r="B15" s="4235"/>
      <c r="C15" s="4235"/>
      <c r="D15" s="4235"/>
      <c r="E15" s="4235"/>
      <c r="F15" s="4235"/>
      <c r="G15" s="4235"/>
      <c r="H15" s="4235"/>
      <c r="I15" s="4235"/>
      <c r="J15" s="4235"/>
      <c r="K15" s="4235"/>
      <c r="L15" s="4235"/>
      <c r="M15" s="4235"/>
      <c r="N15" s="4235"/>
      <c r="O15" s="4235"/>
      <c r="P15" s="4235"/>
      <c r="Q15" s="4236"/>
      <c r="R15" s="3001"/>
      <c r="S15" s="2964"/>
    </row>
    <row r="16" spans="1:19" ht="11.25" customHeight="1">
      <c r="A16" s="4234" t="s">
        <v>1386</v>
      </c>
      <c r="B16" s="4235"/>
      <c r="C16" s="4235"/>
      <c r="D16" s="4235"/>
      <c r="E16" s="4235"/>
      <c r="F16" s="4235"/>
      <c r="G16" s="4235"/>
      <c r="H16" s="4235"/>
      <c r="I16" s="4235"/>
      <c r="J16" s="4235"/>
      <c r="K16" s="4235"/>
      <c r="L16" s="4235"/>
      <c r="M16" s="4235"/>
      <c r="N16" s="4235"/>
      <c r="O16" s="4235"/>
      <c r="P16" s="4235"/>
      <c r="Q16" s="4236"/>
      <c r="R16" s="3001"/>
      <c r="S16" s="2964"/>
    </row>
    <row r="17" spans="1:31" ht="11.25" customHeight="1">
      <c r="A17" s="4234" t="s">
        <v>1387</v>
      </c>
      <c r="B17" s="4235"/>
      <c r="C17" s="4235"/>
      <c r="D17" s="4235"/>
      <c r="E17" s="4235"/>
      <c r="F17" s="4235"/>
      <c r="G17" s="4235"/>
      <c r="H17" s="4235"/>
      <c r="I17" s="4235"/>
      <c r="J17" s="4235"/>
      <c r="K17" s="4235"/>
      <c r="L17" s="4235"/>
      <c r="M17" s="4235"/>
      <c r="N17" s="4235"/>
      <c r="O17" s="4235"/>
      <c r="P17" s="4235"/>
      <c r="Q17" s="4236"/>
      <c r="R17" s="3001"/>
      <c r="S17" s="2964"/>
      <c r="T17" s="79"/>
      <c r="U17" s="79"/>
      <c r="V17" s="79"/>
      <c r="W17" s="79"/>
      <c r="X17" s="79"/>
      <c r="Y17" s="79"/>
      <c r="Z17" s="79"/>
      <c r="AA17" s="79"/>
      <c r="AB17" s="79"/>
      <c r="AC17" s="79"/>
      <c r="AD17" s="79"/>
      <c r="AE17" s="79"/>
    </row>
    <row r="18" spans="1:31" ht="11.25" customHeight="1">
      <c r="A18" s="4234" t="s">
        <v>1388</v>
      </c>
      <c r="B18" s="4235"/>
      <c r="C18" s="4235"/>
      <c r="D18" s="4235"/>
      <c r="E18" s="4235"/>
      <c r="F18" s="4235"/>
      <c r="G18" s="4235"/>
      <c r="H18" s="4235"/>
      <c r="I18" s="4235"/>
      <c r="J18" s="4235"/>
      <c r="K18" s="4235"/>
      <c r="L18" s="4235"/>
      <c r="M18" s="4235"/>
      <c r="N18" s="4235"/>
      <c r="O18" s="4235"/>
      <c r="P18" s="4235"/>
      <c r="Q18" s="4236"/>
      <c r="R18" s="3001"/>
      <c r="S18" s="2964"/>
      <c r="T18" s="79"/>
      <c r="U18" s="79"/>
      <c r="V18" s="79"/>
      <c r="W18" s="79"/>
      <c r="X18" s="79"/>
      <c r="Y18" s="79"/>
      <c r="Z18" s="79"/>
      <c r="AA18" s="79"/>
      <c r="AB18" s="79"/>
      <c r="AC18" s="79"/>
      <c r="AD18" s="79"/>
      <c r="AE18" s="79"/>
    </row>
    <row r="19" spans="1:31" ht="11.25" customHeight="1">
      <c r="A19" s="4234" t="s">
        <v>1389</v>
      </c>
      <c r="B19" s="4235"/>
      <c r="C19" s="4235"/>
      <c r="D19" s="4235"/>
      <c r="E19" s="4235"/>
      <c r="F19" s="4235"/>
      <c r="G19" s="4235"/>
      <c r="H19" s="4235"/>
      <c r="I19" s="4235"/>
      <c r="J19" s="4235"/>
      <c r="K19" s="4235"/>
      <c r="L19" s="4235"/>
      <c r="M19" s="4235"/>
      <c r="N19" s="4235"/>
      <c r="O19" s="4235"/>
      <c r="P19" s="4235"/>
      <c r="Q19" s="4236"/>
      <c r="R19" s="3001"/>
      <c r="S19" s="2964"/>
      <c r="T19" s="79"/>
      <c r="U19" s="79"/>
      <c r="V19" s="79"/>
      <c r="W19" s="79"/>
      <c r="X19" s="79"/>
      <c r="Y19" s="79"/>
      <c r="Z19" s="79"/>
      <c r="AA19" s="79"/>
      <c r="AB19" s="79"/>
      <c r="AC19" s="79"/>
      <c r="AD19" s="79"/>
      <c r="AE19" s="79"/>
    </row>
    <row r="20" spans="1:31" ht="11.25" customHeight="1">
      <c r="A20" s="4234" t="s">
        <v>1390</v>
      </c>
      <c r="B20" s="4235"/>
      <c r="C20" s="4235"/>
      <c r="D20" s="4235"/>
      <c r="E20" s="4235"/>
      <c r="F20" s="4235"/>
      <c r="G20" s="4235"/>
      <c r="H20" s="4235"/>
      <c r="I20" s="4235"/>
      <c r="J20" s="4235"/>
      <c r="K20" s="4235"/>
      <c r="L20" s="4235"/>
      <c r="M20" s="4235"/>
      <c r="N20" s="4235"/>
      <c r="O20" s="4235"/>
      <c r="P20" s="4235"/>
      <c r="Q20" s="4236"/>
      <c r="R20" s="3001"/>
      <c r="S20" s="2964"/>
      <c r="T20" s="79"/>
      <c r="U20" s="79"/>
      <c r="V20" s="79"/>
      <c r="W20" s="79"/>
      <c r="X20" s="79"/>
      <c r="Y20" s="79"/>
      <c r="Z20" s="79"/>
      <c r="AA20" s="79"/>
      <c r="AB20" s="79"/>
      <c r="AC20" s="79"/>
      <c r="AD20" s="79"/>
      <c r="AE20" s="79"/>
    </row>
    <row r="21" spans="1:31" ht="11.25" customHeight="1">
      <c r="A21" s="4234" t="s">
        <v>1391</v>
      </c>
      <c r="B21" s="4235"/>
      <c r="C21" s="4235"/>
      <c r="D21" s="4235"/>
      <c r="E21" s="4235"/>
      <c r="F21" s="4235"/>
      <c r="G21" s="4235"/>
      <c r="H21" s="4235"/>
      <c r="I21" s="4235"/>
      <c r="J21" s="4235"/>
      <c r="K21" s="4235"/>
      <c r="L21" s="4235"/>
      <c r="M21" s="4235"/>
      <c r="N21" s="4235"/>
      <c r="O21" s="4235"/>
      <c r="P21" s="4235"/>
      <c r="Q21" s="4236"/>
      <c r="R21" s="79"/>
      <c r="S21" s="79"/>
      <c r="T21" s="79"/>
      <c r="U21" s="79"/>
      <c r="V21" s="79"/>
      <c r="W21" s="79"/>
      <c r="X21" s="79"/>
      <c r="Y21" s="79"/>
      <c r="Z21" s="79"/>
      <c r="AA21" s="79"/>
      <c r="AB21" s="79"/>
      <c r="AC21" s="79"/>
      <c r="AD21" s="79"/>
      <c r="AE21" s="79"/>
    </row>
    <row r="22" spans="1:31" ht="11.25" customHeight="1">
      <c r="A22" s="4234" t="s">
        <v>1392</v>
      </c>
      <c r="B22" s="4235"/>
      <c r="C22" s="4235"/>
      <c r="D22" s="4235"/>
      <c r="E22" s="4235"/>
      <c r="F22" s="4235"/>
      <c r="G22" s="4235"/>
      <c r="H22" s="4235"/>
      <c r="I22" s="4235"/>
      <c r="J22" s="4235"/>
      <c r="K22" s="4235"/>
      <c r="L22" s="4235"/>
      <c r="M22" s="4235"/>
      <c r="N22" s="4235"/>
      <c r="O22" s="4235"/>
      <c r="P22" s="4235"/>
      <c r="Q22" s="4236"/>
      <c r="R22" s="3001"/>
      <c r="S22" s="2964"/>
      <c r="T22" s="79"/>
      <c r="U22" s="79"/>
      <c r="V22" s="79"/>
      <c r="W22" s="79"/>
      <c r="X22" s="79"/>
      <c r="Y22" s="79"/>
      <c r="Z22" s="79"/>
      <c r="AA22" s="79"/>
      <c r="AB22" s="79"/>
      <c r="AC22" s="79"/>
      <c r="AD22" s="79"/>
      <c r="AE22" s="79"/>
    </row>
    <row r="23" spans="1:31" ht="11.25" customHeight="1">
      <c r="A23" s="4234" t="s">
        <v>1393</v>
      </c>
      <c r="B23" s="4235"/>
      <c r="C23" s="4235"/>
      <c r="D23" s="4235"/>
      <c r="E23" s="4235"/>
      <c r="F23" s="4235"/>
      <c r="G23" s="4235"/>
      <c r="H23" s="4235"/>
      <c r="I23" s="4235"/>
      <c r="J23" s="4235"/>
      <c r="K23" s="4235"/>
      <c r="L23" s="4235"/>
      <c r="M23" s="4235"/>
      <c r="N23" s="4235"/>
      <c r="O23" s="4235"/>
      <c r="P23" s="4235"/>
      <c r="Q23" s="4236"/>
      <c r="R23" s="3001"/>
      <c r="S23" s="2964"/>
      <c r="T23" s="79"/>
      <c r="U23" s="79"/>
      <c r="V23" s="79"/>
      <c r="W23" s="79"/>
      <c r="X23" s="79"/>
      <c r="Y23" s="79"/>
      <c r="Z23" s="79"/>
      <c r="AA23" s="79"/>
      <c r="AB23" s="79"/>
      <c r="AC23" s="79"/>
      <c r="AD23" s="79"/>
      <c r="AE23" s="79"/>
    </row>
    <row r="24" spans="1:31" ht="11.25" customHeight="1">
      <c r="A24" s="4234" t="s">
        <v>1394</v>
      </c>
      <c r="B24" s="4235"/>
      <c r="C24" s="4235"/>
      <c r="D24" s="4235"/>
      <c r="E24" s="4235"/>
      <c r="F24" s="4235"/>
      <c r="G24" s="4235"/>
      <c r="H24" s="4235"/>
      <c r="I24" s="4235"/>
      <c r="J24" s="4235"/>
      <c r="K24" s="4235"/>
      <c r="L24" s="4235"/>
      <c r="M24" s="4235"/>
      <c r="N24" s="4235"/>
      <c r="O24" s="4235"/>
      <c r="P24" s="4235"/>
      <c r="Q24" s="4236"/>
      <c r="R24" s="3001"/>
      <c r="S24" s="2964"/>
      <c r="T24" s="79"/>
      <c r="U24" s="79"/>
      <c r="V24" s="79"/>
      <c r="W24" s="79"/>
      <c r="X24" s="79"/>
      <c r="Y24" s="79"/>
      <c r="Z24" s="79"/>
      <c r="AA24" s="79"/>
      <c r="AB24" s="79"/>
      <c r="AC24" s="79"/>
      <c r="AD24" s="79"/>
      <c r="AE24" s="79"/>
    </row>
    <row r="25" spans="1:31" ht="11.25" customHeight="1">
      <c r="A25" s="4237" t="s">
        <v>1395</v>
      </c>
      <c r="B25" s="4238"/>
      <c r="C25" s="4238"/>
      <c r="D25" s="4238"/>
      <c r="E25" s="4238"/>
      <c r="F25" s="4238"/>
      <c r="G25" s="4238"/>
      <c r="H25" s="4238"/>
      <c r="I25" s="4238"/>
      <c r="J25" s="4238"/>
      <c r="K25" s="4238"/>
      <c r="L25" s="4238"/>
      <c r="M25" s="4238"/>
      <c r="N25" s="4238"/>
      <c r="O25" s="4238"/>
      <c r="P25" s="4238"/>
      <c r="Q25" s="4239"/>
      <c r="R25" s="3001"/>
      <c r="S25" s="296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1396</v>
      </c>
      <c r="C27" s="67"/>
      <c r="D27" s="40"/>
      <c r="E27" s="40"/>
      <c r="F27" s="40"/>
      <c r="G27" s="40"/>
      <c r="H27" s="79"/>
      <c r="I27" s="714"/>
      <c r="J27" s="714"/>
      <c r="K27" s="714"/>
      <c r="L27" s="542"/>
      <c r="M27" s="542"/>
      <c r="N27" s="79"/>
      <c r="O27" s="68" t="s">
        <v>1397</v>
      </c>
      <c r="P27" s="4145"/>
      <c r="Q27" s="4146"/>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1403</v>
      </c>
      <c r="C29" s="25"/>
      <c r="D29" s="25"/>
      <c r="E29" s="25"/>
      <c r="F29" s="25"/>
      <c r="G29" s="714"/>
      <c r="H29" s="714"/>
      <c r="I29" s="714"/>
      <c r="J29" s="714"/>
      <c r="K29" s="542"/>
      <c r="L29" s="542"/>
      <c r="M29" s="542"/>
      <c r="N29" s="542"/>
      <c r="O29" s="542"/>
      <c r="P29" s="542"/>
      <c r="Q29" s="79"/>
      <c r="R29" s="79"/>
      <c r="S29" s="86"/>
      <c r="T29" s="86"/>
      <c r="U29" s="79"/>
      <c r="V29" s="79"/>
      <c r="W29" s="79"/>
      <c r="X29" s="79"/>
      <c r="Y29" s="79"/>
      <c r="Z29" s="79"/>
      <c r="AA29" s="79"/>
      <c r="AB29" s="79"/>
      <c r="AC29" s="79"/>
      <c r="AD29" s="79"/>
      <c r="AE29" s="79"/>
    </row>
    <row r="30" spans="1:31" ht="108.75" customHeight="1">
      <c r="A30" s="4153"/>
      <c r="B30" s="4154"/>
      <c r="C30" s="4154"/>
      <c r="D30" s="4154"/>
      <c r="E30" s="4154"/>
      <c r="F30" s="4154"/>
      <c r="G30" s="4154"/>
      <c r="H30" s="4154"/>
      <c r="I30" s="4154"/>
      <c r="J30" s="4154"/>
      <c r="K30" s="4154"/>
      <c r="L30" s="4154"/>
      <c r="M30" s="4154"/>
      <c r="N30" s="4154"/>
      <c r="O30" s="4154"/>
      <c r="P30" s="4154"/>
      <c r="Q30" s="4155"/>
      <c r="R30" s="258" t="s">
        <v>2152</v>
      </c>
      <c r="S30" s="259"/>
      <c r="T30" s="86"/>
      <c r="U30" s="71"/>
      <c r="V30" s="71"/>
      <c r="W30" s="71"/>
      <c r="X30" s="71"/>
      <c r="Y30" s="71"/>
      <c r="Z30" s="71"/>
      <c r="AA30" s="71"/>
      <c r="AB30" s="71"/>
      <c r="AC30" s="71"/>
      <c r="AD30" s="71"/>
      <c r="AE30" s="71"/>
    </row>
    <row r="31" spans="1:31" ht="11.25" customHeight="1">
      <c r="A31" s="79"/>
      <c r="B31" s="72" t="s">
        <v>1399</v>
      </c>
      <c r="C31" s="73"/>
      <c r="D31" s="710"/>
      <c r="E31" s="710"/>
      <c r="F31" s="710"/>
      <c r="G31" s="710"/>
      <c r="H31" s="710"/>
      <c r="I31" s="710"/>
      <c r="J31" s="710"/>
      <c r="K31" s="710"/>
      <c r="L31" s="710"/>
      <c r="M31" s="710"/>
      <c r="N31" s="710"/>
      <c r="O31" s="710"/>
      <c r="P31" s="710"/>
      <c r="Q31" s="79"/>
      <c r="R31" s="79"/>
      <c r="S31" s="79"/>
      <c r="T31" s="79"/>
      <c r="U31" s="79"/>
      <c r="V31" s="79"/>
      <c r="W31" s="79"/>
      <c r="X31" s="79"/>
      <c r="Y31" s="79"/>
      <c r="Z31" s="79"/>
      <c r="AA31" s="79"/>
      <c r="AB31" s="79"/>
      <c r="AC31" s="79"/>
      <c r="AD31" s="79"/>
      <c r="AE31" s="79"/>
    </row>
    <row r="32" spans="1:31" ht="36" customHeight="1">
      <c r="A32" s="4246"/>
      <c r="B32" s="4246"/>
      <c r="C32" s="4246"/>
      <c r="D32" s="4246"/>
      <c r="E32" s="4246"/>
      <c r="F32" s="4246"/>
      <c r="G32" s="4246"/>
      <c r="H32" s="4246"/>
      <c r="I32" s="4246"/>
      <c r="J32" s="4246"/>
      <c r="K32" s="4246"/>
      <c r="L32" s="4246"/>
      <c r="M32" s="4246"/>
      <c r="N32" s="4246"/>
      <c r="O32" s="4246"/>
      <c r="P32" s="4246"/>
      <c r="Q32" s="4246"/>
      <c r="R32" s="258" t="s">
        <v>2152</v>
      </c>
      <c r="S32" s="259"/>
      <c r="T32" s="79"/>
      <c r="U32" s="79"/>
      <c r="V32" s="79"/>
      <c r="W32" s="79"/>
      <c r="X32" s="79"/>
      <c r="Y32" s="79"/>
      <c r="Z32" s="79"/>
      <c r="AA32" s="79"/>
      <c r="AB32" s="79"/>
      <c r="AC32" s="79"/>
      <c r="AD32" s="79"/>
      <c r="AE32" s="79"/>
    </row>
    <row r="33" spans="1:31" ht="4.5" customHeight="1">
      <c r="A33" s="79"/>
      <c r="B33" s="714"/>
      <c r="C33" s="710"/>
      <c r="D33" s="710"/>
      <c r="E33" s="710"/>
      <c r="F33" s="710"/>
      <c r="G33" s="710"/>
      <c r="H33" s="710"/>
      <c r="I33" s="710"/>
      <c r="J33" s="710"/>
      <c r="K33" s="710"/>
      <c r="L33" s="710"/>
      <c r="M33" s="710"/>
      <c r="N33" s="710"/>
      <c r="O33" s="710"/>
      <c r="P33" s="710"/>
      <c r="Q33" s="542"/>
      <c r="R33" s="79"/>
      <c r="S33" s="79"/>
      <c r="T33" s="79"/>
      <c r="U33" s="79"/>
      <c r="V33" s="79"/>
      <c r="W33" s="79"/>
      <c r="X33" s="79"/>
      <c r="Y33" s="79"/>
      <c r="Z33" s="79"/>
      <c r="AA33" s="79"/>
      <c r="AB33" s="79"/>
      <c r="AC33" s="79"/>
      <c r="AD33" s="79"/>
      <c r="AE33" s="79"/>
    </row>
    <row r="34" spans="1:31" ht="12.75" customHeight="1">
      <c r="A34" s="2" t="s">
        <v>31</v>
      </c>
      <c r="B34" s="4" t="s">
        <v>1400</v>
      </c>
      <c r="C34" s="4"/>
      <c r="D34" s="4"/>
      <c r="E34" s="710"/>
      <c r="F34" s="710"/>
      <c r="G34" s="1363"/>
      <c r="H34" s="79"/>
      <c r="I34" s="79"/>
      <c r="J34" s="79"/>
      <c r="K34" s="79"/>
      <c r="L34" s="79"/>
      <c r="M34" s="79"/>
      <c r="N34" s="79"/>
      <c r="O34" s="68" t="s">
        <v>1397</v>
      </c>
      <c r="P34" s="4145"/>
      <c r="Q34" s="4146"/>
      <c r="R34" s="79"/>
      <c r="S34" s="79"/>
      <c r="T34" s="79"/>
      <c r="U34" s="79"/>
      <c r="V34" s="79"/>
      <c r="W34" s="79"/>
      <c r="X34" s="79"/>
      <c r="Y34" s="79"/>
      <c r="Z34" s="79"/>
      <c r="AA34" s="79"/>
      <c r="AB34" s="79"/>
      <c r="AC34" s="79"/>
      <c r="AD34" s="79"/>
      <c r="AE34" s="79"/>
    </row>
    <row r="35" spans="1:31" ht="12.75" customHeight="1">
      <c r="A35" s="2"/>
      <c r="B35" s="75" t="s">
        <v>2153</v>
      </c>
      <c r="C35" s="4"/>
      <c r="D35" s="4"/>
      <c r="E35" s="710"/>
      <c r="F35" s="710"/>
      <c r="G35" s="79"/>
      <c r="H35" s="710"/>
      <c r="I35" s="79"/>
      <c r="J35" s="4136" t="s">
        <v>2154</v>
      </c>
      <c r="K35" s="4137"/>
      <c r="L35" s="4138"/>
      <c r="M35" s="102" t="s">
        <v>2155</v>
      </c>
      <c r="N35" s="4139"/>
      <c r="O35" s="4140"/>
      <c r="P35" s="4140"/>
      <c r="Q35" s="4141"/>
      <c r="R35" s="79"/>
      <c r="S35" s="79"/>
      <c r="T35" s="79"/>
      <c r="U35" s="79"/>
      <c r="V35" s="79"/>
      <c r="W35" s="79"/>
      <c r="X35" s="79"/>
      <c r="Y35" s="79"/>
      <c r="Z35" s="79"/>
      <c r="AA35" s="79"/>
      <c r="AB35" s="79"/>
      <c r="AC35" s="79"/>
      <c r="AD35" s="79"/>
      <c r="AE35" s="79"/>
    </row>
    <row r="36" spans="1:31" ht="12.75" customHeight="1">
      <c r="A36" s="2"/>
      <c r="B36" s="75" t="s">
        <v>2156</v>
      </c>
      <c r="C36" s="4"/>
      <c r="D36" s="4"/>
      <c r="E36" s="710"/>
      <c r="F36" s="710"/>
      <c r="G36" s="1363"/>
      <c r="H36" s="710"/>
      <c r="I36" s="79"/>
      <c r="J36" s="4136" t="s">
        <v>2157</v>
      </c>
      <c r="K36" s="4137"/>
      <c r="L36" s="4138"/>
      <c r="M36" s="102" t="s">
        <v>2155</v>
      </c>
      <c r="N36" s="4139"/>
      <c r="O36" s="4140"/>
      <c r="P36" s="4140"/>
      <c r="Q36" s="4141"/>
      <c r="R36" s="79"/>
      <c r="S36" s="79"/>
      <c r="T36" s="79"/>
      <c r="U36" s="79"/>
      <c r="V36" s="79"/>
      <c r="W36" s="79"/>
      <c r="X36" s="79"/>
      <c r="Y36" s="79"/>
      <c r="Z36" s="79"/>
      <c r="AA36" s="79"/>
      <c r="AB36" s="79"/>
      <c r="AC36" s="79"/>
      <c r="AD36" s="79"/>
      <c r="AE36" s="79"/>
    </row>
    <row r="37" spans="1:31" ht="12.75" customHeight="1">
      <c r="A37" s="79"/>
      <c r="B37" s="46" t="s">
        <v>1403</v>
      </c>
      <c r="C37" s="79"/>
      <c r="D37" s="46"/>
      <c r="E37" s="46"/>
      <c r="F37" s="46"/>
      <c r="G37" s="46"/>
      <c r="H37" s="18"/>
      <c r="I37" s="714"/>
      <c r="J37" s="714"/>
      <c r="K37" s="1458" t="s">
        <v>1399</v>
      </c>
      <c r="L37" s="542"/>
      <c r="M37" s="542"/>
      <c r="N37" s="542"/>
      <c r="O37" s="542"/>
      <c r="P37" s="542"/>
      <c r="Q37" s="542"/>
      <c r="R37" s="79"/>
      <c r="S37" s="79"/>
      <c r="T37" s="79"/>
      <c r="U37" s="79"/>
      <c r="V37" s="79"/>
      <c r="W37" s="79"/>
      <c r="X37" s="79"/>
      <c r="Y37" s="79"/>
      <c r="Z37" s="79"/>
      <c r="AA37" s="79"/>
      <c r="AB37" s="79"/>
      <c r="AC37" s="79"/>
      <c r="AD37" s="79"/>
      <c r="AE37" s="79"/>
    </row>
    <row r="38" spans="1:31" ht="10.5" customHeight="1">
      <c r="A38" s="4153"/>
      <c r="B38" s="4154"/>
      <c r="C38" s="4154"/>
      <c r="D38" s="4154"/>
      <c r="E38" s="4154"/>
      <c r="F38" s="4154"/>
      <c r="G38" s="4154"/>
      <c r="H38" s="4154"/>
      <c r="I38" s="4154"/>
      <c r="J38" s="4155"/>
      <c r="K38" s="4150"/>
      <c r="L38" s="4151"/>
      <c r="M38" s="4151"/>
      <c r="N38" s="4151"/>
      <c r="O38" s="4151"/>
      <c r="P38" s="4151"/>
      <c r="Q38" s="4152"/>
      <c r="R38" s="258" t="s">
        <v>2152</v>
      </c>
      <c r="S38" s="79"/>
      <c r="T38" s="79"/>
      <c r="U38" s="71"/>
      <c r="V38" s="71"/>
      <c r="W38" s="71"/>
      <c r="X38" s="71"/>
      <c r="Y38" s="71"/>
      <c r="Z38" s="71"/>
      <c r="AA38" s="71"/>
      <c r="AB38" s="71"/>
      <c r="AC38" s="71"/>
      <c r="AD38" s="71"/>
      <c r="AE38" s="71"/>
    </row>
    <row r="39" spans="1:31" ht="4.5" customHeight="1">
      <c r="A39" s="542"/>
      <c r="B39" s="714"/>
      <c r="C39" s="710"/>
      <c r="D39" s="710"/>
      <c r="E39" s="710"/>
      <c r="F39" s="710"/>
      <c r="G39" s="710"/>
      <c r="H39" s="710"/>
      <c r="I39" s="710"/>
      <c r="J39" s="710"/>
      <c r="K39" s="710"/>
      <c r="L39" s="710"/>
      <c r="M39" s="710"/>
      <c r="N39" s="710"/>
      <c r="O39" s="710"/>
      <c r="P39" s="710"/>
      <c r="Q39" s="542"/>
      <c r="R39" s="79"/>
      <c r="S39" s="79"/>
      <c r="T39" s="79"/>
      <c r="U39" s="79"/>
      <c r="V39" s="79"/>
      <c r="W39" s="79"/>
      <c r="X39" s="79"/>
      <c r="Y39" s="79"/>
      <c r="Z39" s="79"/>
      <c r="AA39" s="79"/>
      <c r="AB39" s="79"/>
      <c r="AC39" s="79"/>
      <c r="AD39" s="79"/>
      <c r="AE39" s="79"/>
    </row>
    <row r="40" spans="1:31" ht="12.75" customHeight="1">
      <c r="A40" s="2" t="s">
        <v>50</v>
      </c>
      <c r="B40" s="2" t="s">
        <v>1404</v>
      </c>
      <c r="C40" s="58"/>
      <c r="D40" s="710"/>
      <c r="E40" s="710"/>
      <c r="F40" s="710"/>
      <c r="G40" s="710"/>
      <c r="H40" s="710"/>
      <c r="I40" s="710"/>
      <c r="J40" s="710"/>
      <c r="K40" s="79"/>
      <c r="L40" s="1063" t="s">
        <v>2158</v>
      </c>
      <c r="M40" s="1064" t="s">
        <v>2159</v>
      </c>
      <c r="N40" s="79"/>
      <c r="O40" s="68" t="s">
        <v>1397</v>
      </c>
      <c r="P40" s="4145"/>
      <c r="Q40" s="4146"/>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194</v>
      </c>
      <c r="B42" s="4142" t="s">
        <v>2160</v>
      </c>
      <c r="C42" s="4142"/>
      <c r="D42" s="4142"/>
      <c r="E42" s="4142"/>
      <c r="F42" s="4142"/>
      <c r="G42" s="4142"/>
      <c r="H42" s="4142"/>
      <c r="I42" s="4142"/>
      <c r="J42" s="4142"/>
      <c r="K42" s="79"/>
      <c r="L42" s="251" t="s">
        <v>2161</v>
      </c>
      <c r="M42" s="971">
        <v>2</v>
      </c>
      <c r="N42" s="75" t="s">
        <v>2162</v>
      </c>
      <c r="O42" s="79"/>
      <c r="P42" s="4275"/>
      <c r="Q42" s="4285"/>
      <c r="R42" s="79"/>
      <c r="S42" s="79"/>
      <c r="T42" s="79"/>
      <c r="U42" s="79"/>
      <c r="V42" s="79"/>
      <c r="W42" s="79"/>
      <c r="X42" s="79"/>
      <c r="Y42" s="79"/>
      <c r="Z42" s="79"/>
      <c r="AA42" s="79"/>
      <c r="AB42" s="79"/>
      <c r="AC42" s="79"/>
      <c r="AD42" s="79"/>
      <c r="AE42" s="79"/>
    </row>
    <row r="43" spans="1:31" ht="12" customHeight="1">
      <c r="A43" s="77"/>
      <c r="B43" s="4142"/>
      <c r="C43" s="4142"/>
      <c r="D43" s="4142"/>
      <c r="E43" s="4142"/>
      <c r="F43" s="4142"/>
      <c r="G43" s="4142"/>
      <c r="H43" s="4142"/>
      <c r="I43" s="4142"/>
      <c r="J43" s="4142"/>
      <c r="K43" s="79"/>
      <c r="L43" s="251" t="s">
        <v>2163</v>
      </c>
      <c r="M43" s="972">
        <v>4</v>
      </c>
      <c r="N43" s="79"/>
      <c r="O43" s="348"/>
      <c r="P43" s="4276"/>
      <c r="Q43" s="4286"/>
      <c r="R43" s="79"/>
      <c r="S43" s="79"/>
      <c r="T43" s="79"/>
      <c r="U43" s="79"/>
      <c r="V43" s="79"/>
      <c r="W43" s="79"/>
      <c r="X43" s="79"/>
      <c r="Y43" s="79"/>
      <c r="Z43" s="79"/>
      <c r="AA43" s="79"/>
      <c r="AB43" s="79"/>
      <c r="AC43" s="79"/>
      <c r="AD43" s="79"/>
      <c r="AE43" s="79"/>
    </row>
    <row r="44" spans="1:31" ht="12" customHeight="1">
      <c r="A44" s="77"/>
      <c r="B44" s="79"/>
      <c r="C44" s="79"/>
      <c r="D44" s="710"/>
      <c r="E44" s="710"/>
      <c r="F44" s="710"/>
      <c r="G44" s="710"/>
      <c r="H44" s="710"/>
      <c r="I44" s="710"/>
      <c r="J44" s="710"/>
      <c r="K44" s="79"/>
      <c r="L44" s="275" t="s">
        <v>2164</v>
      </c>
      <c r="M44" s="972"/>
      <c r="N44" s="79"/>
      <c r="O44" s="348"/>
      <c r="P44" s="1263"/>
      <c r="Q44" s="1264"/>
      <c r="R44" s="79"/>
      <c r="S44" s="79"/>
      <c r="T44" s="79"/>
      <c r="U44" s="79"/>
      <c r="V44" s="79"/>
      <c r="W44" s="79"/>
      <c r="X44" s="79"/>
      <c r="Y44" s="79"/>
      <c r="Z44" s="79"/>
      <c r="AA44" s="79"/>
      <c r="AB44" s="79"/>
      <c r="AC44" s="79"/>
      <c r="AD44" s="79"/>
      <c r="AE44" s="79"/>
    </row>
    <row r="45" spans="1:31" ht="12" customHeight="1">
      <c r="A45" s="24" t="s">
        <v>206</v>
      </c>
      <c r="B45" s="75" t="s">
        <v>2165</v>
      </c>
      <c r="C45" s="75"/>
      <c r="D45" s="75"/>
      <c r="E45" s="75"/>
      <c r="F45" s="75"/>
      <c r="G45" s="75"/>
      <c r="H45" s="75"/>
      <c r="I45" s="75"/>
      <c r="J45" s="75"/>
      <c r="K45" s="348"/>
      <c r="L45" s="75"/>
      <c r="M45" s="79"/>
      <c r="N45" s="566"/>
      <c r="O45" s="566"/>
      <c r="P45" s="566"/>
      <c r="Q45" s="79"/>
      <c r="R45" s="79"/>
      <c r="S45" s="79"/>
      <c r="T45" s="79"/>
      <c r="U45" s="79"/>
      <c r="V45" s="79"/>
      <c r="W45" s="79"/>
      <c r="X45" s="79"/>
      <c r="Y45" s="79"/>
      <c r="Z45" s="79"/>
      <c r="AA45" s="79"/>
      <c r="AB45" s="79"/>
      <c r="AC45" s="79"/>
      <c r="AD45" s="79"/>
      <c r="AE45" s="79"/>
    </row>
    <row r="46" spans="1:31" ht="12.75" customHeight="1">
      <c r="A46" s="294"/>
      <c r="B46" s="275" t="s">
        <v>1459</v>
      </c>
      <c r="C46" s="75" t="s">
        <v>2166</v>
      </c>
      <c r="D46" s="944"/>
      <c r="E46" s="944"/>
      <c r="F46" s="944"/>
      <c r="G46" s="944"/>
      <c r="H46" s="944"/>
      <c r="I46" s="944"/>
      <c r="J46" s="944"/>
      <c r="K46" s="943"/>
      <c r="L46" s="75"/>
      <c r="M46" s="79"/>
      <c r="N46" s="75" t="s">
        <v>2167</v>
      </c>
      <c r="O46" s="566"/>
      <c r="P46" s="1033"/>
      <c r="Q46" s="1034"/>
      <c r="R46" s="79"/>
      <c r="S46" s="79"/>
      <c r="T46" s="79"/>
      <c r="U46" s="79"/>
      <c r="V46" s="79"/>
      <c r="W46" s="79"/>
      <c r="X46" s="79"/>
      <c r="Y46" s="79"/>
      <c r="Z46" s="79"/>
      <c r="AA46" s="79"/>
      <c r="AB46" s="79"/>
      <c r="AC46" s="79"/>
      <c r="AD46" s="79"/>
      <c r="AE46" s="79"/>
    </row>
    <row r="47" spans="1:31" ht="12.75" customHeight="1">
      <c r="A47" s="294"/>
      <c r="B47" s="275" t="s">
        <v>1462</v>
      </c>
      <c r="C47" s="75" t="s">
        <v>2168</v>
      </c>
      <c r="D47" s="944"/>
      <c r="E47" s="944"/>
      <c r="F47" s="944"/>
      <c r="G47" s="944"/>
      <c r="H47" s="944"/>
      <c r="I47" s="944"/>
      <c r="J47" s="944"/>
      <c r="K47" s="943"/>
      <c r="L47" s="75"/>
      <c r="M47" s="79"/>
      <c r="N47" s="75" t="s">
        <v>2169</v>
      </c>
      <c r="O47" s="566"/>
      <c r="P47" s="211"/>
      <c r="Q47" s="315"/>
      <c r="R47" s="79"/>
      <c r="S47" s="79"/>
      <c r="T47" s="79"/>
      <c r="U47" s="79"/>
      <c r="V47" s="79"/>
      <c r="W47" s="79"/>
      <c r="X47" s="79"/>
      <c r="Y47" s="79"/>
      <c r="Z47" s="79"/>
      <c r="AA47" s="79"/>
      <c r="AB47" s="79"/>
      <c r="AC47" s="79"/>
      <c r="AD47" s="79"/>
      <c r="AE47" s="79"/>
    </row>
    <row r="48" spans="1:31" ht="12.75" customHeight="1">
      <c r="A48" s="942"/>
      <c r="B48" s="275" t="s">
        <v>1463</v>
      </c>
      <c r="C48" s="75" t="s">
        <v>2170</v>
      </c>
      <c r="D48" s="79"/>
      <c r="E48" s="944"/>
      <c r="F48" s="944"/>
      <c r="G48" s="944"/>
      <c r="H48" s="944"/>
      <c r="I48" s="944"/>
      <c r="J48" s="944"/>
      <c r="K48" s="943"/>
      <c r="L48" s="75"/>
      <c r="M48" s="566"/>
      <c r="N48" s="75" t="s">
        <v>2171</v>
      </c>
      <c r="O48" s="566"/>
      <c r="P48" s="211"/>
      <c r="Q48" s="315"/>
      <c r="R48" s="79"/>
      <c r="S48" s="79"/>
      <c r="T48" s="79"/>
      <c r="U48" s="79"/>
      <c r="V48" s="79"/>
      <c r="W48" s="79"/>
      <c r="X48" s="79"/>
      <c r="Y48" s="79"/>
      <c r="Z48" s="79"/>
      <c r="AA48" s="79"/>
      <c r="AB48" s="79"/>
      <c r="AC48" s="79"/>
      <c r="AD48" s="79"/>
      <c r="AE48" s="79"/>
    </row>
    <row r="49" spans="1:31" ht="12.75" customHeight="1">
      <c r="A49" s="78"/>
      <c r="B49" s="275" t="s">
        <v>1464</v>
      </c>
      <c r="C49" s="275" t="s">
        <v>2172</v>
      </c>
      <c r="D49" s="70"/>
      <c r="E49" s="70"/>
      <c r="F49" s="70"/>
      <c r="G49" s="70"/>
      <c r="H49" s="70"/>
      <c r="I49" s="45"/>
      <c r="J49" s="45"/>
      <c r="K49" s="79"/>
      <c r="L49" s="79"/>
      <c r="M49" s="79"/>
      <c r="N49" s="75" t="s">
        <v>2173</v>
      </c>
      <c r="O49" s="566"/>
      <c r="P49" s="124"/>
      <c r="Q49" s="316"/>
      <c r="R49" s="79"/>
      <c r="S49" s="79"/>
      <c r="T49" s="79"/>
      <c r="U49" s="79"/>
      <c r="V49" s="79"/>
      <c r="W49" s="79"/>
      <c r="X49" s="79"/>
      <c r="Y49" s="79"/>
      <c r="Z49" s="79"/>
      <c r="AA49" s="79"/>
      <c r="AB49" s="79"/>
      <c r="AC49" s="79"/>
      <c r="AD49" s="79"/>
      <c r="AE49" s="79"/>
    </row>
    <row r="50" spans="1:31" ht="12.75" customHeight="1">
      <c r="A50" s="78"/>
      <c r="B50" s="275"/>
      <c r="C50" s="75" t="s">
        <v>2174</v>
      </c>
      <c r="D50" s="70"/>
      <c r="E50" s="70"/>
      <c r="F50" s="70"/>
      <c r="G50" s="70"/>
      <c r="H50" s="70"/>
      <c r="I50" s="45"/>
      <c r="J50" s="45"/>
      <c r="K50" s="79"/>
      <c r="L50" s="4160"/>
      <c r="M50" s="4161"/>
      <c r="N50" s="4161"/>
      <c r="O50" s="4161"/>
      <c r="P50" s="4161"/>
      <c r="Q50" s="4195"/>
      <c r="R50" s="79"/>
      <c r="S50" s="79"/>
      <c r="T50" s="79"/>
      <c r="U50" s="79"/>
      <c r="V50" s="79"/>
      <c r="W50" s="79"/>
      <c r="X50" s="79"/>
      <c r="Y50" s="79"/>
      <c r="Z50" s="79"/>
      <c r="AA50" s="79"/>
      <c r="AB50" s="79"/>
      <c r="AC50" s="79"/>
      <c r="AD50" s="79"/>
      <c r="AE50" s="79"/>
    </row>
    <row r="51" spans="1:31" ht="12.75" customHeight="1">
      <c r="A51" s="78"/>
      <c r="B51" s="275" t="s">
        <v>2068</v>
      </c>
      <c r="C51" s="4142" t="s">
        <v>2175</v>
      </c>
      <c r="D51" s="4142"/>
      <c r="E51" s="4142"/>
      <c r="F51" s="4142"/>
      <c r="G51" s="4142"/>
      <c r="H51" s="4142"/>
      <c r="I51" s="4142"/>
      <c r="J51" s="4142"/>
      <c r="K51" s="4142"/>
      <c r="L51" s="4142"/>
      <c r="M51" s="311"/>
      <c r="N51" s="75" t="s">
        <v>2176</v>
      </c>
      <c r="O51" s="566"/>
      <c r="P51" s="276"/>
      <c r="Q51" s="314"/>
      <c r="R51" s="79"/>
      <c r="S51" s="79"/>
      <c r="T51" s="79"/>
      <c r="U51" s="79"/>
      <c r="V51" s="79"/>
      <c r="W51" s="79"/>
      <c r="X51" s="79"/>
      <c r="Y51" s="79"/>
      <c r="Z51" s="79"/>
      <c r="AA51" s="79"/>
      <c r="AB51" s="79"/>
      <c r="AC51" s="79"/>
      <c r="AD51" s="79"/>
      <c r="AE51" s="79"/>
    </row>
    <row r="52" spans="1:31" ht="12.75" customHeight="1">
      <c r="A52" s="24"/>
      <c r="B52" s="79"/>
      <c r="C52" s="4142"/>
      <c r="D52" s="4142"/>
      <c r="E52" s="4142"/>
      <c r="F52" s="4142"/>
      <c r="G52" s="4142"/>
      <c r="H52" s="4142"/>
      <c r="I52" s="4142"/>
      <c r="J52" s="4142"/>
      <c r="K52" s="4142"/>
      <c r="L52" s="4142"/>
      <c r="M52" s="311"/>
      <c r="N52" s="79"/>
      <c r="O52" s="79"/>
      <c r="P52" s="79"/>
      <c r="Q52" s="79"/>
      <c r="R52" s="79"/>
      <c r="S52" s="79"/>
      <c r="T52" s="79"/>
      <c r="U52" s="79"/>
      <c r="V52" s="79"/>
      <c r="W52" s="79"/>
      <c r="X52" s="79"/>
      <c r="Y52" s="79"/>
      <c r="Z52" s="79"/>
      <c r="AA52" s="79"/>
      <c r="AB52" s="79"/>
      <c r="AC52" s="79"/>
      <c r="AD52" s="79"/>
      <c r="AE52" s="79"/>
    </row>
    <row r="53" spans="1:31" ht="10.5" customHeight="1">
      <c r="A53" s="79"/>
      <c r="B53" s="46" t="s">
        <v>1403</v>
      </c>
      <c r="C53" s="79"/>
      <c r="D53" s="46"/>
      <c r="E53" s="46"/>
      <c r="F53" s="46"/>
      <c r="G53" s="46"/>
      <c r="H53" s="18"/>
      <c r="I53" s="714"/>
      <c r="J53" s="714"/>
      <c r="K53" s="72" t="s">
        <v>1399</v>
      </c>
      <c r="L53" s="542"/>
      <c r="M53" s="542"/>
      <c r="N53" s="542"/>
      <c r="O53" s="542"/>
      <c r="P53" s="542"/>
      <c r="Q53" s="542"/>
      <c r="R53" s="79"/>
      <c r="S53" s="79"/>
      <c r="T53" s="79"/>
      <c r="U53" s="79"/>
      <c r="V53" s="79"/>
      <c r="W53" s="79"/>
      <c r="X53" s="79"/>
      <c r="Y53" s="79"/>
      <c r="Z53" s="79"/>
      <c r="AA53" s="79"/>
      <c r="AB53" s="79"/>
      <c r="AC53" s="79"/>
      <c r="AD53" s="79"/>
      <c r="AE53" s="79"/>
    </row>
    <row r="54" spans="1:31" ht="10.5" customHeight="1">
      <c r="A54" s="4153"/>
      <c r="B54" s="4154"/>
      <c r="C54" s="4154"/>
      <c r="D54" s="4154"/>
      <c r="E54" s="4154"/>
      <c r="F54" s="4154"/>
      <c r="G54" s="4154"/>
      <c r="H54" s="4154"/>
      <c r="I54" s="4154"/>
      <c r="J54" s="4155"/>
      <c r="K54" s="4150"/>
      <c r="L54" s="4151"/>
      <c r="M54" s="4151"/>
      <c r="N54" s="4151"/>
      <c r="O54" s="4151"/>
      <c r="P54" s="4151"/>
      <c r="Q54" s="4152"/>
      <c r="R54" s="258" t="s">
        <v>2152</v>
      </c>
      <c r="S54" s="79"/>
      <c r="T54" s="79"/>
      <c r="U54" s="71"/>
      <c r="V54" s="71"/>
      <c r="W54" s="71"/>
      <c r="X54" s="71"/>
      <c r="Y54" s="71"/>
      <c r="Z54" s="71"/>
      <c r="AA54" s="71"/>
      <c r="AB54" s="71"/>
      <c r="AC54" s="71"/>
      <c r="AD54" s="71"/>
      <c r="AE54" s="71"/>
    </row>
    <row r="55" spans="1:31" ht="4.5" customHeight="1">
      <c r="A55" s="542"/>
      <c r="B55" s="714"/>
      <c r="C55" s="710"/>
      <c r="D55" s="710"/>
      <c r="E55" s="710"/>
      <c r="F55" s="710"/>
      <c r="G55" s="710"/>
      <c r="H55" s="710"/>
      <c r="I55" s="710"/>
      <c r="J55" s="710"/>
      <c r="K55" s="710"/>
      <c r="L55" s="710"/>
      <c r="M55" s="710"/>
      <c r="N55" s="710"/>
      <c r="O55" s="710"/>
      <c r="P55" s="710"/>
      <c r="Q55" s="542"/>
      <c r="R55" s="79"/>
      <c r="S55" s="79"/>
      <c r="T55" s="79"/>
      <c r="U55" s="79"/>
      <c r="V55" s="79"/>
      <c r="W55" s="79"/>
      <c r="X55" s="79"/>
      <c r="Y55" s="79"/>
      <c r="Z55" s="79"/>
      <c r="AA55" s="79"/>
      <c r="AB55" s="79"/>
      <c r="AC55" s="79"/>
      <c r="AD55" s="79"/>
      <c r="AE55" s="79"/>
    </row>
    <row r="56" spans="1:31" ht="14.1" customHeight="1">
      <c r="A56" s="2" t="s">
        <v>66</v>
      </c>
      <c r="B56" s="2" t="s">
        <v>1406</v>
      </c>
      <c r="C56" s="2"/>
      <c r="D56" s="710"/>
      <c r="E56" s="710"/>
      <c r="F56" s="710"/>
      <c r="G56" s="710"/>
      <c r="H56" s="1071" t="str">
        <f>'Part I-Project Identification'!$K$28</f>
        <v>Urban</v>
      </c>
      <c r="I56" s="79"/>
      <c r="J56" s="1490" t="s">
        <v>2177</v>
      </c>
      <c r="K56" s="322" t="str">
        <f>'Part VIII Scoring Criteria OLD'!$M$60</f>
        <v>&lt;&lt; Select Pool &gt;&gt;</v>
      </c>
      <c r="L56" s="1490" t="s">
        <v>2178</v>
      </c>
      <c r="M56" s="692" t="str">
        <f>J35</f>
        <v>&lt;&lt; Select PROPOSED Tenancy &gt;&gt;</v>
      </c>
      <c r="N56" s="79"/>
      <c r="O56" s="68" t="s">
        <v>1397</v>
      </c>
      <c r="P56" s="4145"/>
      <c r="Q56" s="4146"/>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194</v>
      </c>
      <c r="B58" s="15" t="s">
        <v>1407</v>
      </c>
      <c r="C58" s="79"/>
      <c r="D58" s="70"/>
      <c r="E58" s="70"/>
      <c r="F58" s="70"/>
      <c r="G58" s="70"/>
      <c r="H58" s="70"/>
      <c r="I58" s="45"/>
      <c r="J58" s="45"/>
      <c r="K58" s="45"/>
      <c r="L58" s="30" t="s">
        <v>194</v>
      </c>
      <c r="M58" s="4164"/>
      <c r="N58" s="4165"/>
      <c r="O58" s="4165"/>
      <c r="P58" s="3155"/>
      <c r="Q58" s="1034"/>
      <c r="R58" s="79"/>
      <c r="S58" s="79"/>
      <c r="T58" s="79"/>
      <c r="U58" s="79"/>
      <c r="V58" s="79"/>
      <c r="W58" s="79"/>
      <c r="X58" s="79"/>
      <c r="Y58" s="79"/>
      <c r="Z58" s="79"/>
      <c r="AA58" s="79"/>
      <c r="AB58" s="79"/>
      <c r="AC58" s="79"/>
      <c r="AD58" s="79"/>
      <c r="AE58" s="79"/>
    </row>
    <row r="59" spans="1:31" ht="12.75" customHeight="1">
      <c r="A59" s="24" t="s">
        <v>206</v>
      </c>
      <c r="B59" s="15" t="s">
        <v>2179</v>
      </c>
      <c r="C59" s="79"/>
      <c r="D59" s="70"/>
      <c r="E59" s="70"/>
      <c r="F59" s="70"/>
      <c r="G59" s="79"/>
      <c r="H59" s="79"/>
      <c r="I59" s="79"/>
      <c r="J59" s="79"/>
      <c r="K59" s="79"/>
      <c r="L59" s="30" t="s">
        <v>206</v>
      </c>
      <c r="M59" s="4273"/>
      <c r="N59" s="4274"/>
      <c r="O59" s="4274"/>
      <c r="P59" s="3157"/>
      <c r="Q59" s="315"/>
      <c r="R59" s="79"/>
      <c r="S59" s="79"/>
      <c r="T59" s="79"/>
      <c r="U59" s="79"/>
      <c r="V59" s="79"/>
      <c r="W59" s="79"/>
      <c r="X59" s="79"/>
      <c r="Y59" s="79"/>
      <c r="Z59" s="79"/>
      <c r="AA59" s="79"/>
      <c r="AB59" s="79"/>
      <c r="AC59" s="79"/>
      <c r="AD59" s="79"/>
      <c r="AE59" s="79"/>
    </row>
    <row r="60" spans="1:31" ht="12.75" customHeight="1">
      <c r="A60" s="24" t="s">
        <v>227</v>
      </c>
      <c r="B60" s="15" t="s">
        <v>2180</v>
      </c>
      <c r="C60" s="79"/>
      <c r="D60" s="70"/>
      <c r="E60" s="70"/>
      <c r="F60" s="70"/>
      <c r="G60" s="79"/>
      <c r="H60" s="79"/>
      <c r="I60" s="79"/>
      <c r="J60" s="79"/>
      <c r="K60" s="79"/>
      <c r="L60" s="30" t="s">
        <v>227</v>
      </c>
      <c r="M60" s="4269"/>
      <c r="N60" s="4270"/>
      <c r="O60" s="4270"/>
      <c r="P60" s="4271"/>
      <c r="Q60" s="315"/>
      <c r="R60" s="79"/>
      <c r="S60" s="79"/>
      <c r="T60" s="79"/>
      <c r="U60" s="79"/>
      <c r="V60" s="79"/>
      <c r="W60" s="79"/>
      <c r="X60" s="79"/>
      <c r="Y60" s="79"/>
      <c r="Z60" s="79"/>
      <c r="AA60" s="79"/>
      <c r="AB60" s="79"/>
      <c r="AC60" s="79"/>
      <c r="AD60" s="79"/>
      <c r="AE60" s="79"/>
    </row>
    <row r="61" spans="1:31" ht="12.75" customHeight="1">
      <c r="A61" s="24" t="s">
        <v>229</v>
      </c>
      <c r="B61" s="15" t="s">
        <v>2181</v>
      </c>
      <c r="C61" s="79"/>
      <c r="D61" s="70"/>
      <c r="E61" s="70"/>
      <c r="F61" s="70"/>
      <c r="G61" s="79"/>
      <c r="H61" s="79"/>
      <c r="I61" s="79"/>
      <c r="J61" s="30" t="s">
        <v>2182</v>
      </c>
      <c r="K61" s="1246"/>
      <c r="L61" s="1245"/>
      <c r="M61" s="2916"/>
      <c r="N61" s="2828"/>
      <c r="O61" s="2829" t="s">
        <v>2183</v>
      </c>
      <c r="P61" s="701"/>
      <c r="Q61" s="1244"/>
      <c r="R61" s="79"/>
      <c r="S61" s="79"/>
      <c r="T61" s="79"/>
      <c r="U61" s="79"/>
      <c r="V61" s="79"/>
      <c r="W61" s="79"/>
      <c r="X61" s="79"/>
      <c r="Y61" s="79"/>
      <c r="Z61" s="79"/>
      <c r="AA61" s="79"/>
      <c r="AB61" s="79"/>
      <c r="AC61" s="79"/>
      <c r="AD61" s="79"/>
      <c r="AE61" s="79"/>
    </row>
    <row r="62" spans="1:31" ht="12.75" customHeight="1">
      <c r="A62" s="24" t="s">
        <v>236</v>
      </c>
      <c r="B62" s="15" t="s">
        <v>2184</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14" t="s">
        <v>2185</v>
      </c>
      <c r="E63" s="18" t="s">
        <v>52</v>
      </c>
      <c r="F63" s="18"/>
      <c r="G63" s="79"/>
      <c r="H63" s="15"/>
      <c r="I63" s="714" t="s">
        <v>2185</v>
      </c>
      <c r="J63" s="18" t="s">
        <v>52</v>
      </c>
      <c r="K63" s="18"/>
      <c r="L63" s="79"/>
      <c r="M63" s="15"/>
      <c r="N63" s="714" t="s">
        <v>2185</v>
      </c>
      <c r="O63" s="18" t="s">
        <v>52</v>
      </c>
      <c r="P63" s="18"/>
      <c r="Q63" s="30"/>
      <c r="R63" s="79"/>
      <c r="S63" s="79"/>
      <c r="T63" s="79"/>
      <c r="U63" s="79"/>
      <c r="V63" s="79"/>
      <c r="W63" s="79"/>
      <c r="X63" s="79"/>
      <c r="Y63" s="79"/>
      <c r="Z63" s="79"/>
      <c r="AA63" s="79"/>
      <c r="AB63" s="79"/>
      <c r="AC63" s="79"/>
      <c r="AD63" s="79"/>
      <c r="AE63" s="79"/>
    </row>
    <row r="64" spans="1:31" ht="12.75" customHeight="1">
      <c r="A64" s="79"/>
      <c r="B64" s="79"/>
      <c r="C64" s="30" t="s">
        <v>1459</v>
      </c>
      <c r="D64" s="2830"/>
      <c r="E64" s="4176"/>
      <c r="F64" s="4176"/>
      <c r="G64" s="4176"/>
      <c r="H64" s="30" t="s">
        <v>1464</v>
      </c>
      <c r="I64" s="2830"/>
      <c r="J64" s="4176"/>
      <c r="K64" s="4176"/>
      <c r="L64" s="4176"/>
      <c r="M64" s="30" t="s">
        <v>2072</v>
      </c>
      <c r="N64" s="2830"/>
      <c r="O64" s="4176"/>
      <c r="P64" s="4176"/>
      <c r="Q64" s="4176"/>
      <c r="R64" s="79"/>
      <c r="S64" s="79"/>
      <c r="T64" s="79"/>
      <c r="U64" s="79"/>
      <c r="V64" s="79"/>
      <c r="W64" s="79"/>
      <c r="X64" s="79"/>
      <c r="Y64" s="79"/>
      <c r="Z64" s="79"/>
      <c r="AA64" s="79"/>
      <c r="AB64" s="79"/>
      <c r="AC64" s="79"/>
      <c r="AD64" s="79"/>
      <c r="AE64" s="79"/>
    </row>
    <row r="65" spans="1:31" ht="12.75" customHeight="1">
      <c r="A65" s="79"/>
      <c r="B65" s="79"/>
      <c r="C65" s="30" t="s">
        <v>1462</v>
      </c>
      <c r="D65" s="1460"/>
      <c r="E65" s="4177"/>
      <c r="F65" s="4177"/>
      <c r="G65" s="4177"/>
      <c r="H65" s="30" t="s">
        <v>2068</v>
      </c>
      <c r="I65" s="1460"/>
      <c r="J65" s="4177"/>
      <c r="K65" s="4177"/>
      <c r="L65" s="4177"/>
      <c r="M65" s="30" t="s">
        <v>2074</v>
      </c>
      <c r="N65" s="1460"/>
      <c r="O65" s="4177"/>
      <c r="P65" s="4177"/>
      <c r="Q65" s="4177"/>
      <c r="R65" s="79"/>
      <c r="S65" s="79"/>
      <c r="T65" s="79"/>
      <c r="U65" s="79"/>
      <c r="V65" s="79"/>
      <c r="W65" s="79"/>
      <c r="X65" s="79"/>
      <c r="Y65" s="79"/>
      <c r="Z65" s="79"/>
      <c r="AA65" s="79"/>
      <c r="AB65" s="79"/>
      <c r="AC65" s="79"/>
      <c r="AD65" s="79"/>
      <c r="AE65" s="79"/>
    </row>
    <row r="66" spans="1:31" ht="12.75" customHeight="1">
      <c r="A66" s="79"/>
      <c r="B66" s="79"/>
      <c r="C66" s="30" t="s">
        <v>1463</v>
      </c>
      <c r="D66" s="286"/>
      <c r="E66" s="4178"/>
      <c r="F66" s="4178"/>
      <c r="G66" s="4178"/>
      <c r="H66" s="30" t="s">
        <v>2070</v>
      </c>
      <c r="I66" s="286"/>
      <c r="J66" s="4178"/>
      <c r="K66" s="4178"/>
      <c r="L66" s="4178"/>
      <c r="M66" s="30" t="s">
        <v>2076</v>
      </c>
      <c r="N66" s="286"/>
      <c r="O66" s="4178"/>
      <c r="P66" s="4178"/>
      <c r="Q66" s="4178"/>
      <c r="R66" s="79"/>
      <c r="S66" s="79"/>
      <c r="T66" s="79"/>
      <c r="U66" s="79"/>
      <c r="V66" s="79"/>
      <c r="W66" s="79"/>
      <c r="X66" s="79"/>
      <c r="Y66" s="79"/>
      <c r="Z66" s="79"/>
      <c r="AA66" s="79"/>
      <c r="AB66" s="79"/>
      <c r="AC66" s="79"/>
      <c r="AD66" s="79"/>
      <c r="AE66" s="79"/>
    </row>
    <row r="67" spans="1:31" ht="12.75" customHeight="1">
      <c r="A67" s="24" t="s">
        <v>238</v>
      </c>
      <c r="B67" s="15" t="s">
        <v>2186</v>
      </c>
      <c r="C67" s="79"/>
      <c r="D67" s="70"/>
      <c r="E67" s="70"/>
      <c r="F67" s="70"/>
      <c r="G67" s="70"/>
      <c r="H67" s="70"/>
      <c r="I67" s="45"/>
      <c r="J67" s="45"/>
      <c r="K67" s="70"/>
      <c r="L67" s="712"/>
      <c r="M67" s="712"/>
      <c r="N67" s="79"/>
      <c r="O67" s="30" t="s">
        <v>238</v>
      </c>
      <c r="P67" s="1033"/>
      <c r="Q67" s="1034"/>
      <c r="R67" s="79"/>
      <c r="S67" s="79"/>
      <c r="T67" s="79"/>
      <c r="U67" s="79"/>
      <c r="V67" s="79"/>
      <c r="W67" s="79"/>
      <c r="X67" s="79"/>
      <c r="Y67" s="79"/>
      <c r="Z67" s="79"/>
      <c r="AA67" s="79"/>
      <c r="AB67" s="79"/>
      <c r="AC67" s="79"/>
      <c r="AD67" s="79"/>
      <c r="AE67" s="79"/>
    </row>
    <row r="68" spans="1:31" ht="12.75" customHeight="1">
      <c r="A68" s="24" t="s">
        <v>2187</v>
      </c>
      <c r="B68" s="15" t="s">
        <v>2188</v>
      </c>
      <c r="C68" s="79"/>
      <c r="D68" s="70"/>
      <c r="E68" s="70"/>
      <c r="F68" s="70"/>
      <c r="G68" s="70"/>
      <c r="H68" s="70"/>
      <c r="I68" s="45"/>
      <c r="J68" s="45"/>
      <c r="K68" s="70"/>
      <c r="L68" s="712"/>
      <c r="M68" s="712"/>
      <c r="N68" s="79"/>
      <c r="O68" s="30" t="s">
        <v>2187</v>
      </c>
      <c r="P68" s="211"/>
      <c r="Q68" s="315"/>
      <c r="R68" s="79"/>
      <c r="S68" s="79"/>
      <c r="T68" s="79"/>
      <c r="U68" s="79"/>
      <c r="V68" s="79"/>
      <c r="W68" s="79"/>
      <c r="X68" s="79"/>
      <c r="Y68" s="79"/>
      <c r="Z68" s="79"/>
      <c r="AA68" s="79"/>
      <c r="AB68" s="79"/>
      <c r="AC68" s="79"/>
      <c r="AD68" s="79"/>
      <c r="AE68" s="79"/>
    </row>
    <row r="69" spans="1:31" ht="10.5" customHeight="1">
      <c r="A69" s="24" t="s">
        <v>2189</v>
      </c>
      <c r="B69" s="15" t="s">
        <v>2190</v>
      </c>
      <c r="C69" s="79"/>
      <c r="D69" s="70"/>
      <c r="E69" s="70"/>
      <c r="F69" s="70"/>
      <c r="G69" s="70"/>
      <c r="H69" s="70"/>
      <c r="I69" s="45"/>
      <c r="J69" s="45"/>
      <c r="K69" s="70"/>
      <c r="L69" s="712"/>
      <c r="M69" s="712"/>
      <c r="N69" s="79"/>
      <c r="O69" s="30" t="s">
        <v>2189</v>
      </c>
      <c r="P69" s="701"/>
      <c r="Q69" s="1244"/>
      <c r="R69" s="79"/>
      <c r="S69" s="79"/>
      <c r="T69" s="79"/>
      <c r="U69" s="79"/>
      <c r="V69" s="79"/>
      <c r="W69" s="79"/>
      <c r="X69" s="79"/>
      <c r="Y69" s="79"/>
      <c r="Z69" s="79"/>
      <c r="AA69" s="79"/>
      <c r="AB69" s="79"/>
      <c r="AC69" s="79"/>
      <c r="AD69" s="79"/>
      <c r="AE69" s="79"/>
    </row>
    <row r="70" spans="1:31" ht="9.75" customHeight="1">
      <c r="A70" s="79"/>
      <c r="B70" s="76" t="s">
        <v>1403</v>
      </c>
      <c r="C70" s="79"/>
      <c r="D70" s="76"/>
      <c r="E70" s="76"/>
      <c r="F70" s="76"/>
      <c r="G70" s="76"/>
      <c r="H70" s="18"/>
      <c r="I70" s="714"/>
      <c r="J70" s="714"/>
      <c r="K70" s="714"/>
      <c r="L70" s="542"/>
      <c r="M70" s="542"/>
      <c r="N70" s="542"/>
      <c r="O70" s="542"/>
      <c r="P70" s="542"/>
      <c r="Q70" s="542"/>
      <c r="R70" s="79"/>
      <c r="S70" s="79"/>
      <c r="T70" s="79"/>
      <c r="U70" s="79"/>
      <c r="V70" s="79"/>
      <c r="W70" s="79"/>
      <c r="X70" s="79"/>
      <c r="Y70" s="79"/>
      <c r="Z70" s="79"/>
      <c r="AA70" s="79"/>
      <c r="AB70" s="79"/>
      <c r="AC70" s="79"/>
      <c r="AD70" s="79"/>
      <c r="AE70" s="79"/>
    </row>
    <row r="71" spans="1:31" ht="33" customHeight="1">
      <c r="A71" s="4153"/>
      <c r="B71" s="4154"/>
      <c r="C71" s="4154"/>
      <c r="D71" s="4154"/>
      <c r="E71" s="4154"/>
      <c r="F71" s="4154"/>
      <c r="G71" s="4154"/>
      <c r="H71" s="4154"/>
      <c r="I71" s="4154"/>
      <c r="J71" s="4154"/>
      <c r="K71" s="4154"/>
      <c r="L71" s="4154"/>
      <c r="M71" s="4154"/>
      <c r="N71" s="4154"/>
      <c r="O71" s="4154"/>
      <c r="P71" s="4154"/>
      <c r="Q71" s="4155"/>
      <c r="R71" s="79"/>
      <c r="S71" s="79"/>
      <c r="T71" s="79"/>
      <c r="U71" s="71"/>
      <c r="V71" s="71"/>
      <c r="W71" s="71"/>
      <c r="X71" s="71"/>
      <c r="Y71" s="71"/>
      <c r="Z71" s="71"/>
      <c r="AA71" s="71"/>
      <c r="AB71" s="71"/>
      <c r="AC71" s="71"/>
      <c r="AD71" s="71"/>
      <c r="AE71" s="71"/>
    </row>
    <row r="72" spans="1:31" ht="9.75" customHeight="1">
      <c r="A72" s="79"/>
      <c r="B72" s="72" t="s">
        <v>1399</v>
      </c>
      <c r="C72" s="73"/>
      <c r="D72" s="710"/>
      <c r="E72" s="710"/>
      <c r="F72" s="710"/>
      <c r="G72" s="710"/>
      <c r="H72" s="710"/>
      <c r="I72" s="710"/>
      <c r="J72" s="710"/>
      <c r="K72" s="710"/>
      <c r="L72" s="710"/>
      <c r="M72" s="710"/>
      <c r="N72" s="710"/>
      <c r="O72" s="710"/>
      <c r="P72" s="710"/>
      <c r="Q72" s="710"/>
      <c r="R72" s="79"/>
      <c r="S72" s="79"/>
      <c r="T72" s="79"/>
      <c r="U72" s="79"/>
      <c r="V72" s="79"/>
      <c r="W72" s="79"/>
      <c r="X72" s="79"/>
      <c r="Y72" s="79"/>
      <c r="Z72" s="79"/>
      <c r="AA72" s="79"/>
      <c r="AB72" s="79"/>
      <c r="AC72" s="79"/>
      <c r="AD72" s="79"/>
      <c r="AE72" s="79"/>
    </row>
    <row r="73" spans="1:31" ht="33" customHeight="1">
      <c r="A73" s="4150"/>
      <c r="B73" s="4151"/>
      <c r="C73" s="4151"/>
      <c r="D73" s="4151"/>
      <c r="E73" s="4151"/>
      <c r="F73" s="4151"/>
      <c r="G73" s="4151"/>
      <c r="H73" s="4151"/>
      <c r="I73" s="4151"/>
      <c r="J73" s="4151"/>
      <c r="K73" s="4151"/>
      <c r="L73" s="4151"/>
      <c r="M73" s="4151"/>
      <c r="N73" s="4151"/>
      <c r="O73" s="4151"/>
      <c r="P73" s="4151"/>
      <c r="Q73" s="4152"/>
      <c r="R73" s="79"/>
      <c r="S73" s="79"/>
      <c r="T73" s="79"/>
      <c r="U73" s="79"/>
      <c r="V73" s="79"/>
      <c r="W73" s="79"/>
      <c r="X73" s="79"/>
      <c r="Y73" s="79"/>
      <c r="Z73" s="79"/>
      <c r="AA73" s="79"/>
      <c r="AB73" s="79"/>
      <c r="AC73" s="79"/>
      <c r="AD73" s="79"/>
      <c r="AE73" s="79"/>
    </row>
    <row r="74" spans="1:31" ht="14.1" customHeight="1">
      <c r="A74" s="2" t="s">
        <v>75</v>
      </c>
      <c r="B74" s="2" t="s">
        <v>1412</v>
      </c>
      <c r="C74" s="2"/>
      <c r="D74" s="710"/>
      <c r="E74" s="710"/>
      <c r="F74" s="710"/>
      <c r="G74" s="710"/>
      <c r="H74" s="710"/>
      <c r="I74" s="710"/>
      <c r="J74" s="710"/>
      <c r="K74" s="710"/>
      <c r="L74" s="710"/>
      <c r="M74" s="710"/>
      <c r="N74" s="79"/>
      <c r="O74" s="68" t="s">
        <v>1397</v>
      </c>
      <c r="P74" s="4145"/>
      <c r="Q74" s="4146"/>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194</v>
      </c>
      <c r="B76" s="15" t="s">
        <v>2191</v>
      </c>
      <c r="C76" s="15"/>
      <c r="D76" s="79"/>
      <c r="E76" s="15"/>
      <c r="F76" s="15"/>
      <c r="G76" s="15"/>
      <c r="H76" s="15"/>
      <c r="I76" s="15"/>
      <c r="J76" s="15"/>
      <c r="K76" s="15"/>
      <c r="L76" s="18"/>
      <c r="M76" s="18"/>
      <c r="N76" s="79"/>
      <c r="O76" s="30" t="s">
        <v>194</v>
      </c>
      <c r="P76" s="276"/>
      <c r="Q76" s="1034"/>
      <c r="R76" s="79"/>
      <c r="S76" s="79"/>
      <c r="T76" s="79"/>
      <c r="U76" s="79"/>
      <c r="V76" s="79"/>
      <c r="W76" s="79"/>
      <c r="X76" s="79"/>
      <c r="Y76" s="79"/>
      <c r="Z76" s="79"/>
      <c r="AA76" s="79"/>
      <c r="AB76" s="79"/>
      <c r="AC76" s="79"/>
      <c r="AD76" s="79"/>
      <c r="AE76" s="79"/>
    </row>
    <row r="77" spans="1:31" ht="12.75" customHeight="1">
      <c r="A77" s="79"/>
      <c r="B77" s="275" t="s">
        <v>1459</v>
      </c>
      <c r="C77" s="15" t="s">
        <v>2192</v>
      </c>
      <c r="D77" s="79"/>
      <c r="E77" s="45"/>
      <c r="F77" s="45"/>
      <c r="G77" s="45"/>
      <c r="H77" s="45"/>
      <c r="I77" s="45"/>
      <c r="J77" s="79"/>
      <c r="K77" s="79"/>
      <c r="L77" s="30" t="s">
        <v>2193</v>
      </c>
      <c r="M77" s="4160"/>
      <c r="N77" s="4161"/>
      <c r="O77" s="4161"/>
      <c r="P77" s="4162"/>
      <c r="Q77" s="315"/>
      <c r="R77" s="79"/>
      <c r="S77" s="79"/>
      <c r="T77" s="79"/>
      <c r="U77" s="79"/>
      <c r="V77" s="79"/>
      <c r="W77" s="79"/>
      <c r="X77" s="79"/>
      <c r="Y77" s="79"/>
      <c r="Z77" s="79"/>
      <c r="AA77" s="79"/>
      <c r="AB77" s="79"/>
      <c r="AC77" s="79"/>
      <c r="AD77" s="79"/>
      <c r="AE77" s="79"/>
    </row>
    <row r="78" spans="1:31" s="20" customFormat="1" ht="12.75" customHeight="1">
      <c r="A78" s="45"/>
      <c r="B78" s="18" t="s">
        <v>1462</v>
      </c>
      <c r="C78" s="15" t="s">
        <v>2194</v>
      </c>
      <c r="D78" s="45"/>
      <c r="E78" s="45"/>
      <c r="F78" s="45"/>
      <c r="G78" s="45"/>
      <c r="H78" s="45"/>
      <c r="I78" s="45"/>
      <c r="J78" s="45"/>
      <c r="K78" s="45"/>
      <c r="L78" s="45"/>
      <c r="M78" s="45"/>
      <c r="N78" s="45"/>
      <c r="O78" s="30" t="s">
        <v>1462</v>
      </c>
      <c r="P78" s="1033"/>
      <c r="Q78" s="1034"/>
      <c r="R78" s="45"/>
      <c r="S78" s="45"/>
      <c r="T78" s="45"/>
      <c r="U78" s="45"/>
      <c r="V78" s="45"/>
      <c r="W78" s="45"/>
      <c r="X78" s="45"/>
      <c r="Y78" s="45"/>
      <c r="Z78" s="45"/>
      <c r="AA78" s="45"/>
      <c r="AB78" s="45"/>
      <c r="AC78" s="45"/>
      <c r="AD78" s="45"/>
      <c r="AE78" s="45"/>
    </row>
    <row r="79" spans="1:31" s="20" customFormat="1" ht="12.75" customHeight="1">
      <c r="A79" s="45"/>
      <c r="B79" s="275" t="s">
        <v>1463</v>
      </c>
      <c r="C79" s="15" t="s">
        <v>2195</v>
      </c>
      <c r="D79" s="45"/>
      <c r="E79" s="45"/>
      <c r="F79" s="45"/>
      <c r="G79" s="45"/>
      <c r="H79" s="45"/>
      <c r="I79" s="45"/>
      <c r="J79" s="45"/>
      <c r="K79" s="45"/>
      <c r="L79" s="45"/>
      <c r="M79" s="45"/>
      <c r="N79" s="45"/>
      <c r="O79" s="88" t="s">
        <v>1463</v>
      </c>
      <c r="P79" s="1129"/>
      <c r="Q79" s="1130"/>
      <c r="R79" s="45"/>
      <c r="S79" s="45"/>
      <c r="T79" s="45"/>
      <c r="U79" s="45"/>
      <c r="V79" s="45"/>
      <c r="W79" s="45"/>
      <c r="X79" s="45"/>
      <c r="Y79" s="45"/>
      <c r="Z79" s="45"/>
      <c r="AA79" s="45"/>
      <c r="AB79" s="45"/>
      <c r="AC79" s="45"/>
      <c r="AD79" s="45"/>
      <c r="AE79" s="45"/>
    </row>
    <row r="80" spans="1:31" ht="12.75" customHeight="1">
      <c r="A80" s="714"/>
      <c r="B80" s="275" t="s">
        <v>1464</v>
      </c>
      <c r="C80" s="18" t="s">
        <v>2196</v>
      </c>
      <c r="D80" s="637"/>
      <c r="E80" s="637"/>
      <c r="F80" s="637"/>
      <c r="G80" s="637"/>
      <c r="H80" s="637"/>
      <c r="I80" s="637"/>
      <c r="J80" s="637"/>
      <c r="K80" s="637"/>
      <c r="L80" s="637"/>
      <c r="M80" s="637"/>
      <c r="N80" s="79"/>
      <c r="O80" s="88" t="s">
        <v>1464</v>
      </c>
      <c r="P80" s="632"/>
      <c r="Q80" s="315"/>
      <c r="R80" s="79"/>
      <c r="S80" s="79"/>
      <c r="T80" s="79"/>
      <c r="U80" s="79"/>
      <c r="V80" s="79"/>
      <c r="W80" s="79"/>
      <c r="X80" s="79"/>
      <c r="Y80" s="79"/>
      <c r="Z80" s="79"/>
      <c r="AA80" s="79"/>
      <c r="AB80" s="79"/>
      <c r="AC80" s="79"/>
      <c r="AD80" s="79"/>
      <c r="AE80" s="79"/>
    </row>
    <row r="81" spans="1:31" ht="12.75" customHeight="1">
      <c r="A81" s="714"/>
      <c r="B81" s="275" t="s">
        <v>2068</v>
      </c>
      <c r="C81" s="18" t="s">
        <v>2197</v>
      </c>
      <c r="D81" s="637"/>
      <c r="E81" s="637"/>
      <c r="F81" s="637"/>
      <c r="G81" s="637"/>
      <c r="H81" s="637"/>
      <c r="I81" s="637"/>
      <c r="J81" s="637"/>
      <c r="K81" s="637"/>
      <c r="L81" s="637"/>
      <c r="M81" s="637"/>
      <c r="N81" s="79"/>
      <c r="O81" s="88" t="s">
        <v>2068</v>
      </c>
      <c r="P81" s="211"/>
      <c r="Q81" s="315"/>
      <c r="R81" s="79"/>
      <c r="S81" s="79"/>
      <c r="T81" s="79"/>
      <c r="U81" s="79"/>
      <c r="V81" s="79"/>
      <c r="W81" s="79"/>
      <c r="X81" s="79"/>
      <c r="Y81" s="79"/>
      <c r="Z81" s="79"/>
      <c r="AA81" s="79"/>
      <c r="AB81" s="79"/>
      <c r="AC81" s="79"/>
      <c r="AD81" s="79"/>
      <c r="AE81" s="79"/>
    </row>
    <row r="82" spans="1:31" ht="12.75" customHeight="1">
      <c r="A82" s="714"/>
      <c r="B82" s="275" t="s">
        <v>2070</v>
      </c>
      <c r="C82" s="18" t="s">
        <v>2198</v>
      </c>
      <c r="D82" s="637"/>
      <c r="E82" s="637"/>
      <c r="F82" s="637"/>
      <c r="G82" s="637"/>
      <c r="H82" s="637"/>
      <c r="I82" s="637"/>
      <c r="J82" s="637"/>
      <c r="K82" s="637"/>
      <c r="L82" s="637"/>
      <c r="M82" s="637"/>
      <c r="N82" s="79"/>
      <c r="O82" s="88" t="s">
        <v>2070</v>
      </c>
      <c r="P82" s="211"/>
      <c r="Q82" s="315"/>
      <c r="R82" s="79"/>
      <c r="S82" s="79"/>
      <c r="T82" s="79"/>
      <c r="U82" s="79"/>
      <c r="V82" s="79"/>
      <c r="W82" s="79"/>
      <c r="X82" s="79"/>
      <c r="Y82" s="79"/>
      <c r="Z82" s="79"/>
      <c r="AA82" s="79"/>
      <c r="AB82" s="79"/>
      <c r="AC82" s="79"/>
      <c r="AD82" s="79"/>
      <c r="AE82" s="79"/>
    </row>
    <row r="83" spans="1:31" ht="12.75" customHeight="1">
      <c r="A83" s="714"/>
      <c r="B83" s="275" t="s">
        <v>2072</v>
      </c>
      <c r="C83" s="18" t="s">
        <v>2199</v>
      </c>
      <c r="D83" s="18"/>
      <c r="E83" s="18"/>
      <c r="F83" s="18"/>
      <c r="G83" s="18"/>
      <c r="H83" s="18"/>
      <c r="I83" s="18"/>
      <c r="J83" s="18"/>
      <c r="K83" s="18"/>
      <c r="L83" s="18"/>
      <c r="M83" s="552"/>
      <c r="N83" s="79"/>
      <c r="O83" s="88" t="s">
        <v>2072</v>
      </c>
      <c r="P83" s="211"/>
      <c r="Q83" s="315"/>
      <c r="R83" s="79"/>
      <c r="S83" s="79"/>
      <c r="T83" s="79"/>
      <c r="U83" s="79"/>
      <c r="V83" s="79"/>
      <c r="W83" s="79"/>
      <c r="X83" s="79"/>
      <c r="Y83" s="79"/>
      <c r="Z83" s="79"/>
      <c r="AA83" s="79"/>
      <c r="AB83" s="79"/>
      <c r="AC83" s="79"/>
      <c r="AD83" s="79"/>
      <c r="AE83" s="79"/>
    </row>
    <row r="84" spans="1:31" s="69" customFormat="1" ht="23.25" customHeight="1">
      <c r="A84" s="251"/>
      <c r="B84" s="275" t="s">
        <v>2074</v>
      </c>
      <c r="C84" s="4142" t="s">
        <v>2200</v>
      </c>
      <c r="D84" s="4142"/>
      <c r="E84" s="4142"/>
      <c r="F84" s="4142"/>
      <c r="G84" s="4142"/>
      <c r="H84" s="4142"/>
      <c r="I84" s="4142"/>
      <c r="J84" s="4142"/>
      <c r="K84" s="4142"/>
      <c r="L84" s="4142"/>
      <c r="M84" s="4142"/>
      <c r="N84" s="4142"/>
      <c r="O84" s="88" t="s">
        <v>2074</v>
      </c>
      <c r="P84" s="717"/>
      <c r="Q84" s="716"/>
      <c r="R84" s="239"/>
      <c r="S84" s="239"/>
      <c r="T84" s="239"/>
      <c r="U84" s="239"/>
      <c r="V84" s="239"/>
      <c r="W84" s="239"/>
      <c r="X84" s="239"/>
      <c r="Y84" s="239"/>
      <c r="Z84" s="239"/>
      <c r="AA84" s="239"/>
      <c r="AB84" s="239"/>
      <c r="AC84" s="239"/>
      <c r="AD84" s="239"/>
      <c r="AE84" s="239"/>
    </row>
    <row r="85" spans="1:31" ht="12.75" customHeight="1">
      <c r="A85" s="24" t="s">
        <v>206</v>
      </c>
      <c r="B85" s="15" t="s">
        <v>1414</v>
      </c>
      <c r="C85" s="15"/>
      <c r="D85" s="79"/>
      <c r="E85" s="15"/>
      <c r="F85" s="15"/>
      <c r="G85" s="15"/>
      <c r="H85" s="15"/>
      <c r="I85" s="15"/>
      <c r="J85" s="15"/>
      <c r="K85" s="15"/>
      <c r="L85" s="15"/>
      <c r="M85" s="15"/>
      <c r="N85" s="79"/>
      <c r="O85" s="30" t="s">
        <v>206</v>
      </c>
      <c r="P85" s="1033"/>
      <c r="Q85" s="1034"/>
      <c r="R85" s="79"/>
      <c r="S85" s="79"/>
      <c r="T85" s="79"/>
      <c r="U85" s="79"/>
      <c r="V85" s="79"/>
      <c r="W85" s="79"/>
      <c r="X85" s="79"/>
      <c r="Y85" s="79"/>
      <c r="Z85" s="79"/>
      <c r="AA85" s="79"/>
      <c r="AB85" s="79"/>
      <c r="AC85" s="79"/>
      <c r="AD85" s="79"/>
      <c r="AE85" s="79"/>
    </row>
    <row r="86" spans="1:31" ht="12.75" customHeight="1">
      <c r="A86" s="79"/>
      <c r="B86" s="275" t="s">
        <v>1459</v>
      </c>
      <c r="C86" s="15" t="s">
        <v>2201</v>
      </c>
      <c r="D86" s="15"/>
      <c r="E86" s="15"/>
      <c r="F86" s="15"/>
      <c r="G86" s="15"/>
      <c r="H86" s="15"/>
      <c r="I86" s="15"/>
      <c r="J86" s="15"/>
      <c r="K86" s="15"/>
      <c r="L86" s="15"/>
      <c r="M86" s="15"/>
      <c r="N86" s="79"/>
      <c r="O86" s="88" t="s">
        <v>1459</v>
      </c>
      <c r="P86" s="1033"/>
      <c r="Q86" s="1034"/>
      <c r="R86" s="79"/>
      <c r="S86" s="79"/>
      <c r="T86" s="79"/>
      <c r="U86" s="79"/>
      <c r="V86" s="79"/>
      <c r="W86" s="79"/>
      <c r="X86" s="79"/>
      <c r="Y86" s="79"/>
      <c r="Z86" s="79"/>
      <c r="AA86" s="79"/>
      <c r="AB86" s="79"/>
      <c r="AC86" s="79"/>
      <c r="AD86" s="79"/>
      <c r="AE86" s="79"/>
    </row>
    <row r="87" spans="1:31" ht="12.75" customHeight="1">
      <c r="A87" s="24"/>
      <c r="B87" s="18" t="s">
        <v>1462</v>
      </c>
      <c r="C87" s="15" t="s">
        <v>2202</v>
      </c>
      <c r="D87" s="15"/>
      <c r="E87" s="15"/>
      <c r="F87" s="15"/>
      <c r="G87" s="15"/>
      <c r="H87" s="15"/>
      <c r="I87" s="15"/>
      <c r="J87" s="15"/>
      <c r="K87" s="15"/>
      <c r="L87" s="15"/>
      <c r="M87" s="15"/>
      <c r="N87" s="79"/>
      <c r="O87" s="30" t="s">
        <v>1462</v>
      </c>
      <c r="P87" s="1127"/>
      <c r="Q87" s="1126"/>
      <c r="R87" s="79"/>
      <c r="S87" s="79"/>
      <c r="T87" s="79"/>
      <c r="U87" s="79"/>
      <c r="V87" s="79"/>
      <c r="W87" s="79"/>
      <c r="X87" s="79"/>
      <c r="Y87" s="79"/>
      <c r="Z87" s="79"/>
      <c r="AA87" s="79"/>
      <c r="AB87" s="79"/>
      <c r="AC87" s="79"/>
      <c r="AD87" s="79"/>
      <c r="AE87" s="79"/>
    </row>
    <row r="88" spans="1:31" ht="10.5" customHeight="1">
      <c r="A88" s="79"/>
      <c r="B88" s="76" t="s">
        <v>1403</v>
      </c>
      <c r="C88" s="79"/>
      <c r="D88" s="76"/>
      <c r="E88" s="76"/>
      <c r="F88" s="76"/>
      <c r="G88" s="76"/>
      <c r="H88" s="18"/>
      <c r="I88" s="714"/>
      <c r="J88" s="714"/>
      <c r="K88" s="714"/>
      <c r="L88" s="542"/>
      <c r="M88" s="542"/>
      <c r="N88" s="542"/>
      <c r="O88" s="542"/>
      <c r="P88" s="542"/>
      <c r="Q88" s="542"/>
      <c r="R88" s="79"/>
      <c r="S88" s="79"/>
      <c r="T88" s="79"/>
      <c r="U88" s="79"/>
      <c r="V88" s="79"/>
      <c r="W88" s="79"/>
      <c r="X88" s="79"/>
      <c r="Y88" s="79"/>
      <c r="Z88" s="79"/>
      <c r="AA88" s="79"/>
      <c r="AB88" s="79"/>
      <c r="AC88" s="79"/>
      <c r="AD88" s="79"/>
      <c r="AE88" s="79"/>
    </row>
    <row r="89" spans="1:31" ht="22.5" customHeight="1">
      <c r="A89" s="4153"/>
      <c r="B89" s="4154"/>
      <c r="C89" s="4154"/>
      <c r="D89" s="4154"/>
      <c r="E89" s="4154"/>
      <c r="F89" s="4154"/>
      <c r="G89" s="4154"/>
      <c r="H89" s="4154"/>
      <c r="I89" s="4154"/>
      <c r="J89" s="4154"/>
      <c r="K89" s="4154"/>
      <c r="L89" s="4154"/>
      <c r="M89" s="4154"/>
      <c r="N89" s="4154"/>
      <c r="O89" s="4154"/>
      <c r="P89" s="4154"/>
      <c r="Q89" s="4155"/>
      <c r="R89" s="79"/>
      <c r="S89" s="79"/>
      <c r="T89" s="79"/>
      <c r="U89" s="71"/>
      <c r="V89" s="71"/>
      <c r="W89" s="71"/>
      <c r="X89" s="71"/>
      <c r="Y89" s="71"/>
      <c r="Z89" s="71"/>
      <c r="AA89" s="71"/>
      <c r="AB89" s="71"/>
      <c r="AC89" s="71"/>
      <c r="AD89" s="71"/>
      <c r="AE89" s="71"/>
    </row>
    <row r="90" spans="1:31" ht="11.25" customHeight="1">
      <c r="A90" s="79"/>
      <c r="B90" s="72" t="s">
        <v>1399</v>
      </c>
      <c r="C90" s="73"/>
      <c r="D90" s="710"/>
      <c r="E90" s="710"/>
      <c r="F90" s="710"/>
      <c r="G90" s="710"/>
      <c r="H90" s="710"/>
      <c r="I90" s="710"/>
      <c r="J90" s="710"/>
      <c r="K90" s="710"/>
      <c r="L90" s="710"/>
      <c r="M90" s="710"/>
      <c r="N90" s="710"/>
      <c r="O90" s="710"/>
      <c r="P90" s="710"/>
      <c r="Q90" s="710"/>
      <c r="R90" s="79"/>
      <c r="S90" s="79"/>
      <c r="T90" s="79"/>
      <c r="U90" s="79"/>
      <c r="V90" s="79"/>
      <c r="W90" s="79"/>
      <c r="X90" s="79"/>
      <c r="Y90" s="79"/>
      <c r="Z90" s="79"/>
      <c r="AA90" s="79"/>
      <c r="AB90" s="79"/>
      <c r="AC90" s="79"/>
      <c r="AD90" s="79"/>
      <c r="AE90" s="79"/>
    </row>
    <row r="91" spans="1:31" ht="22.5" customHeight="1">
      <c r="A91" s="4150"/>
      <c r="B91" s="4151"/>
      <c r="C91" s="4151"/>
      <c r="D91" s="4151"/>
      <c r="E91" s="4151"/>
      <c r="F91" s="4151"/>
      <c r="G91" s="4151"/>
      <c r="H91" s="4151"/>
      <c r="I91" s="4151"/>
      <c r="J91" s="4151"/>
      <c r="K91" s="4151"/>
      <c r="L91" s="4151"/>
      <c r="M91" s="4151"/>
      <c r="N91" s="4151"/>
      <c r="O91" s="4151"/>
      <c r="P91" s="4151"/>
      <c r="Q91" s="4152"/>
      <c r="R91" s="79"/>
      <c r="S91" s="79"/>
      <c r="T91" s="79"/>
      <c r="U91" s="79"/>
      <c r="V91" s="79"/>
      <c r="W91" s="79"/>
      <c r="X91" s="79"/>
      <c r="Y91" s="79"/>
      <c r="Z91" s="79"/>
      <c r="AA91" s="79"/>
      <c r="AB91" s="79"/>
      <c r="AC91" s="79"/>
      <c r="AD91" s="79"/>
      <c r="AE91" s="79"/>
    </row>
    <row r="92" spans="1:31" ht="14.1" customHeight="1">
      <c r="A92" s="2" t="s">
        <v>77</v>
      </c>
      <c r="B92" s="2" t="s">
        <v>1417</v>
      </c>
      <c r="C92" s="18"/>
      <c r="D92" s="710"/>
      <c r="E92" s="710"/>
      <c r="F92" s="710"/>
      <c r="G92" s="710"/>
      <c r="H92" s="710"/>
      <c r="I92" s="710"/>
      <c r="J92" s="710"/>
      <c r="K92" s="710"/>
      <c r="L92" s="710"/>
      <c r="M92" s="710"/>
      <c r="N92" s="684" t="s">
        <v>2203</v>
      </c>
      <c r="O92" s="68" t="s">
        <v>1397</v>
      </c>
      <c r="P92" s="4145"/>
      <c r="Q92" s="4146"/>
      <c r="R92" s="686" t="s">
        <v>2204</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194</v>
      </c>
      <c r="B94" s="15" t="s">
        <v>2205</v>
      </c>
      <c r="C94" s="79"/>
      <c r="D94" s="70"/>
      <c r="E94" s="70"/>
      <c r="F94" s="70"/>
      <c r="G94" s="70"/>
      <c r="H94" s="70"/>
      <c r="I94" s="45"/>
      <c r="J94" s="45"/>
      <c r="K94" s="30" t="s">
        <v>194</v>
      </c>
      <c r="L94" s="4179"/>
      <c r="M94" s="4179"/>
      <c r="N94" s="4179"/>
      <c r="O94" s="4179"/>
      <c r="P94" s="4180"/>
      <c r="Q94" s="2943"/>
      <c r="R94" s="79"/>
      <c r="S94" s="79"/>
      <c r="T94" s="79"/>
      <c r="U94" s="79"/>
      <c r="V94" s="79"/>
      <c r="W94" s="79"/>
      <c r="X94" s="79"/>
      <c r="Y94" s="79"/>
      <c r="Z94" s="79"/>
      <c r="AA94" s="79"/>
      <c r="AB94" s="79"/>
      <c r="AC94" s="79"/>
      <c r="AD94" s="79"/>
      <c r="AE94" s="79"/>
    </row>
    <row r="95" spans="1:31" ht="12" customHeight="1">
      <c r="A95" s="79"/>
      <c r="B95" s="27" t="s">
        <v>2206</v>
      </c>
      <c r="C95" s="79"/>
      <c r="D95" s="79"/>
      <c r="E95" s="79"/>
      <c r="F95" s="79"/>
      <c r="G95" s="79"/>
      <c r="H95" s="79"/>
      <c r="I95" s="79"/>
      <c r="J95" s="79"/>
      <c r="K95" s="79"/>
      <c r="L95" s="79"/>
      <c r="M95" s="79"/>
      <c r="N95" s="79"/>
      <c r="O95" s="30" t="s">
        <v>1462</v>
      </c>
      <c r="P95" s="211"/>
      <c r="Q95" s="315"/>
      <c r="R95" s="79"/>
      <c r="S95" s="79"/>
      <c r="T95" s="79"/>
      <c r="U95" s="79"/>
      <c r="V95" s="79"/>
      <c r="W95" s="79"/>
      <c r="X95" s="79"/>
      <c r="Y95" s="79"/>
      <c r="Z95" s="79"/>
      <c r="AA95" s="79"/>
      <c r="AB95" s="79"/>
      <c r="AC95" s="79"/>
      <c r="AD95" s="79"/>
      <c r="AE95" s="79"/>
    </row>
    <row r="96" spans="1:31" ht="12" customHeight="1">
      <c r="A96" s="79"/>
      <c r="B96" s="27" t="s">
        <v>2207</v>
      </c>
      <c r="C96" s="79"/>
      <c r="D96" s="79"/>
      <c r="E96" s="79"/>
      <c r="F96" s="79"/>
      <c r="G96" s="79"/>
      <c r="H96" s="79"/>
      <c r="I96" s="27" t="s">
        <v>2208</v>
      </c>
      <c r="J96" s="79"/>
      <c r="K96" s="1483"/>
      <c r="L96" s="1484"/>
      <c r="M96" s="79"/>
      <c r="N96" s="27" t="s">
        <v>2209</v>
      </c>
      <c r="O96" s="79"/>
      <c r="P96" s="1481"/>
      <c r="Q96" s="1482"/>
      <c r="R96" s="79"/>
      <c r="S96" s="79"/>
      <c r="T96" s="79"/>
      <c r="U96" s="79"/>
      <c r="V96" s="79"/>
      <c r="W96" s="79"/>
      <c r="X96" s="79"/>
      <c r="Y96" s="79"/>
      <c r="Z96" s="79"/>
      <c r="AA96" s="79"/>
      <c r="AB96" s="79"/>
      <c r="AC96" s="79"/>
      <c r="AD96" s="79"/>
      <c r="AE96" s="79"/>
    </row>
    <row r="97" spans="1:17" ht="12" customHeight="1">
      <c r="A97" s="24" t="s">
        <v>206</v>
      </c>
      <c r="B97" s="15" t="s">
        <v>1420</v>
      </c>
      <c r="C97" s="79"/>
      <c r="D97" s="70"/>
      <c r="E97" s="70"/>
      <c r="F97" s="70"/>
      <c r="G97" s="70"/>
      <c r="H97" s="70"/>
      <c r="I97" s="45"/>
      <c r="J97" s="45"/>
      <c r="K97" s="70"/>
      <c r="L97" s="712"/>
      <c r="M97" s="79"/>
      <c r="N97" s="79"/>
      <c r="O97" s="30" t="s">
        <v>206</v>
      </c>
      <c r="P97" s="276"/>
      <c r="Q97" s="314"/>
    </row>
    <row r="98" spans="1:17" ht="12" customHeight="1">
      <c r="A98" s="24" t="s">
        <v>227</v>
      </c>
      <c r="B98" s="15" t="s">
        <v>2210</v>
      </c>
      <c r="C98" s="79"/>
      <c r="D98" s="70"/>
      <c r="E98" s="70"/>
      <c r="F98" s="70"/>
      <c r="G98" s="70"/>
      <c r="H98" s="70"/>
      <c r="I98" s="45"/>
      <c r="J98" s="45"/>
      <c r="K98" s="712"/>
      <c r="L98" s="109"/>
      <c r="M98" s="2831"/>
      <c r="N98" s="2831"/>
      <c r="O98" s="1480" t="s">
        <v>227</v>
      </c>
      <c r="P98" s="1479"/>
      <c r="Q98" s="1478"/>
    </row>
    <row r="99" spans="1:17" ht="12" customHeight="1">
      <c r="A99" s="24"/>
      <c r="B99" s="18" t="s">
        <v>1459</v>
      </c>
      <c r="C99" s="15" t="s">
        <v>2211</v>
      </c>
      <c r="D99" s="79"/>
      <c r="E99" s="70"/>
      <c r="F99" s="70"/>
      <c r="G99" s="70"/>
      <c r="H99" s="70"/>
      <c r="I99" s="45"/>
      <c r="J99" s="45"/>
      <c r="K99" s="30" t="s">
        <v>1459</v>
      </c>
      <c r="L99" s="4287"/>
      <c r="M99" s="4287"/>
      <c r="N99" s="4287"/>
      <c r="O99" s="4287"/>
      <c r="P99" s="4288"/>
      <c r="Q99" s="315"/>
    </row>
    <row r="100" spans="1:17" ht="12" customHeight="1">
      <c r="A100" s="74"/>
      <c r="B100" s="18" t="s">
        <v>1462</v>
      </c>
      <c r="C100" s="15" t="s">
        <v>2212</v>
      </c>
      <c r="D100" s="79"/>
      <c r="E100" s="45"/>
      <c r="F100" s="45"/>
      <c r="G100" s="45"/>
      <c r="H100" s="15"/>
      <c r="I100" s="45"/>
      <c r="J100" s="45"/>
      <c r="K100" s="70"/>
      <c r="L100" s="2832"/>
      <c r="M100" s="2832"/>
      <c r="N100" s="2833"/>
      <c r="O100" s="2834" t="s">
        <v>1462</v>
      </c>
      <c r="P100" s="632"/>
      <c r="Q100" s="568"/>
    </row>
    <row r="101" spans="1:17" ht="12" customHeight="1">
      <c r="A101" s="74"/>
      <c r="B101" s="18" t="s">
        <v>1463</v>
      </c>
      <c r="C101" s="15" t="s">
        <v>2213</v>
      </c>
      <c r="D101" s="79"/>
      <c r="E101" s="45"/>
      <c r="F101" s="45"/>
      <c r="G101" s="45"/>
      <c r="H101" s="15"/>
      <c r="I101" s="45"/>
      <c r="J101" s="45"/>
      <c r="K101" s="70"/>
      <c r="L101" s="712"/>
      <c r="M101" s="712"/>
      <c r="N101" s="79"/>
      <c r="O101" s="30" t="s">
        <v>1463</v>
      </c>
      <c r="P101" s="124"/>
      <c r="Q101" s="316"/>
    </row>
    <row r="102" spans="1:17" s="79" customFormat="1" ht="12" customHeight="1">
      <c r="A102" s="24" t="s">
        <v>229</v>
      </c>
      <c r="B102" s="15" t="s">
        <v>2214</v>
      </c>
      <c r="D102" s="70"/>
      <c r="E102" s="70"/>
      <c r="F102" s="70"/>
      <c r="G102" s="70"/>
      <c r="H102" s="70"/>
      <c r="I102" s="45"/>
      <c r="J102" s="45"/>
      <c r="K102" s="70"/>
      <c r="L102" s="712"/>
      <c r="M102" s="712"/>
      <c r="N102" s="712"/>
      <c r="O102" s="30" t="s">
        <v>229</v>
      </c>
    </row>
    <row r="103" spans="1:17" s="79" customFormat="1" ht="12" customHeight="1">
      <c r="A103" s="24"/>
      <c r="B103" s="18" t="s">
        <v>1459</v>
      </c>
      <c r="C103" s="15" t="s">
        <v>2215</v>
      </c>
      <c r="E103" s="70"/>
      <c r="F103" s="70"/>
      <c r="G103" s="70"/>
      <c r="H103" s="70"/>
      <c r="I103" s="45"/>
      <c r="J103" s="45"/>
      <c r="K103" s="70"/>
      <c r="L103" s="712"/>
      <c r="M103" s="712"/>
      <c r="O103" s="30" t="s">
        <v>1459</v>
      </c>
      <c r="P103" s="1033"/>
      <c r="Q103" s="1034"/>
    </row>
    <row r="104" spans="1:17" s="79" customFormat="1" ht="12" customHeight="1">
      <c r="A104" s="24"/>
      <c r="B104" s="18" t="s">
        <v>1462</v>
      </c>
      <c r="C104" s="15" t="s">
        <v>2216</v>
      </c>
      <c r="E104" s="70"/>
      <c r="F104" s="70"/>
      <c r="G104" s="70"/>
      <c r="H104" s="45"/>
      <c r="I104" s="45"/>
      <c r="J104" s="45"/>
      <c r="K104" s="70"/>
      <c r="L104" s="712"/>
      <c r="M104" s="712"/>
      <c r="O104" s="30" t="s">
        <v>1462</v>
      </c>
      <c r="P104" s="211"/>
      <c r="Q104" s="315"/>
    </row>
    <row r="105" spans="1:17" s="79" customFormat="1" ht="12" customHeight="1">
      <c r="A105" s="24"/>
      <c r="B105" s="18"/>
      <c r="C105" s="15" t="s">
        <v>2217</v>
      </c>
      <c r="E105" s="30" t="s">
        <v>2218</v>
      </c>
      <c r="F105" s="15" t="s">
        <v>2219</v>
      </c>
      <c r="G105" s="45"/>
      <c r="H105" s="15"/>
      <c r="I105" s="45"/>
      <c r="J105" s="45"/>
      <c r="K105" s="70"/>
      <c r="L105" s="712"/>
      <c r="M105" s="712"/>
      <c r="O105" s="30" t="s">
        <v>2218</v>
      </c>
      <c r="P105" s="1543"/>
      <c r="Q105" s="1544"/>
    </row>
    <row r="106" spans="1:17" s="79" customFormat="1" ht="12" customHeight="1">
      <c r="A106" s="24"/>
      <c r="B106" s="18"/>
      <c r="E106" s="30" t="s">
        <v>2220</v>
      </c>
      <c r="F106" s="15" t="s">
        <v>2221</v>
      </c>
      <c r="G106" s="45"/>
      <c r="H106" s="15"/>
      <c r="I106" s="45"/>
      <c r="J106" s="45"/>
      <c r="K106" s="70"/>
      <c r="L106" s="712"/>
      <c r="M106" s="712"/>
      <c r="O106" s="30" t="s">
        <v>2220</v>
      </c>
      <c r="P106" s="211"/>
      <c r="Q106" s="315"/>
    </row>
    <row r="107" spans="1:17" s="79" customFormat="1" ht="12" customHeight="1">
      <c r="A107" s="24"/>
      <c r="B107" s="18" t="s">
        <v>1463</v>
      </c>
      <c r="C107" s="15" t="s">
        <v>2222</v>
      </c>
      <c r="E107" s="70"/>
      <c r="F107" s="70"/>
      <c r="G107" s="70"/>
      <c r="H107" s="15"/>
      <c r="I107" s="45"/>
      <c r="J107" s="45"/>
      <c r="K107" s="70"/>
      <c r="L107" s="712"/>
      <c r="M107" s="712"/>
      <c r="O107" s="30" t="s">
        <v>1463</v>
      </c>
      <c r="P107" s="211"/>
      <c r="Q107" s="315"/>
    </row>
    <row r="108" spans="1:17" s="79" customFormat="1" ht="12" customHeight="1">
      <c r="A108" s="24"/>
      <c r="B108" s="30"/>
      <c r="C108" s="15" t="s">
        <v>2217</v>
      </c>
      <c r="E108" s="30" t="s">
        <v>2218</v>
      </c>
      <c r="F108" s="15" t="s">
        <v>2223</v>
      </c>
      <c r="G108" s="45"/>
      <c r="H108" s="15"/>
      <c r="I108" s="45"/>
      <c r="J108" s="45"/>
      <c r="K108" s="70"/>
      <c r="L108" s="712"/>
      <c r="O108" s="30" t="s">
        <v>2218</v>
      </c>
      <c r="P108" s="1543"/>
      <c r="Q108" s="1544"/>
    </row>
    <row r="109" spans="1:17" s="79" customFormat="1" ht="12" customHeight="1">
      <c r="A109" s="24"/>
      <c r="B109" s="30"/>
      <c r="E109" s="30" t="s">
        <v>2220</v>
      </c>
      <c r="F109" s="15" t="s">
        <v>2224</v>
      </c>
      <c r="G109" s="45"/>
      <c r="H109" s="15"/>
      <c r="I109" s="45"/>
      <c r="J109" s="45"/>
      <c r="O109" s="30" t="s">
        <v>2220</v>
      </c>
      <c r="P109" s="124"/>
      <c r="Q109" s="316"/>
    </row>
    <row r="110" spans="1:17" ht="12" customHeight="1">
      <c r="A110" s="24" t="s">
        <v>236</v>
      </c>
      <c r="B110" s="18" t="s">
        <v>2225</v>
      </c>
      <c r="C110" s="79"/>
      <c r="D110" s="70"/>
      <c r="E110" s="70"/>
      <c r="F110" s="70"/>
      <c r="G110" s="70"/>
      <c r="H110" s="70"/>
      <c r="I110" s="45"/>
      <c r="J110" s="45"/>
      <c r="K110" s="70"/>
      <c r="L110" s="79"/>
      <c r="M110" s="712"/>
      <c r="N110" s="712"/>
      <c r="O110" s="712"/>
      <c r="P110" s="712"/>
      <c r="Q110" s="712"/>
    </row>
    <row r="111" spans="1:17" ht="12" customHeight="1">
      <c r="A111" s="24"/>
      <c r="B111" s="18" t="s">
        <v>1459</v>
      </c>
      <c r="C111" s="15" t="s">
        <v>2222</v>
      </c>
      <c r="D111" s="70"/>
      <c r="E111" s="18"/>
      <c r="F111" s="1033"/>
      <c r="G111" s="1034"/>
      <c r="H111" s="30" t="s">
        <v>2226</v>
      </c>
      <c r="I111" s="15" t="s">
        <v>2227</v>
      </c>
      <c r="J111" s="1033"/>
      <c r="K111" s="1034"/>
      <c r="L111" s="30" t="s">
        <v>2228</v>
      </c>
      <c r="M111" s="75" t="s">
        <v>2229</v>
      </c>
      <c r="N111" s="79"/>
      <c r="O111" s="79"/>
      <c r="P111" s="1033"/>
      <c r="Q111" s="1034"/>
    </row>
    <row r="112" spans="1:17" ht="12.75" customHeight="1">
      <c r="A112" s="79"/>
      <c r="B112" s="18" t="s">
        <v>1462</v>
      </c>
      <c r="C112" s="15" t="s">
        <v>2230</v>
      </c>
      <c r="D112" s="79"/>
      <c r="E112" s="70"/>
      <c r="F112" s="211"/>
      <c r="G112" s="315"/>
      <c r="H112" s="30" t="s">
        <v>2231</v>
      </c>
      <c r="I112" s="15" t="s">
        <v>2232</v>
      </c>
      <c r="J112" s="211"/>
      <c r="K112" s="315"/>
      <c r="L112" s="30" t="s">
        <v>2233</v>
      </c>
      <c r="M112" s="27" t="s">
        <v>2234</v>
      </c>
      <c r="N112" s="79"/>
      <c r="O112" s="712"/>
      <c r="P112" s="211"/>
      <c r="Q112" s="315"/>
    </row>
    <row r="113" spans="1:31" ht="12" customHeight="1">
      <c r="A113" s="15"/>
      <c r="B113" s="18" t="s">
        <v>1463</v>
      </c>
      <c r="C113" s="15" t="s">
        <v>2235</v>
      </c>
      <c r="D113" s="79"/>
      <c r="E113" s="70"/>
      <c r="F113" s="211"/>
      <c r="G113" s="315"/>
      <c r="H113" s="30" t="s">
        <v>2236</v>
      </c>
      <c r="I113" s="15" t="s">
        <v>2237</v>
      </c>
      <c r="J113" s="211"/>
      <c r="K113" s="315"/>
      <c r="L113" s="30" t="s">
        <v>2238</v>
      </c>
      <c r="M113" s="15" t="s">
        <v>2239</v>
      </c>
      <c r="N113" s="79"/>
      <c r="O113" s="79"/>
      <c r="P113" s="211"/>
      <c r="Q113" s="315"/>
      <c r="R113" s="79"/>
      <c r="S113" s="79"/>
      <c r="T113" s="79"/>
      <c r="U113" s="79"/>
      <c r="V113" s="79"/>
      <c r="W113" s="79"/>
      <c r="X113" s="79"/>
      <c r="Y113" s="79"/>
      <c r="Z113" s="79"/>
      <c r="AA113" s="79"/>
      <c r="AB113" s="79"/>
      <c r="AC113" s="79"/>
      <c r="AD113" s="79"/>
      <c r="AE113" s="79"/>
    </row>
    <row r="114" spans="1:31" ht="12" customHeight="1">
      <c r="A114" s="15"/>
      <c r="B114" s="18" t="s">
        <v>1464</v>
      </c>
      <c r="C114" s="27" t="s">
        <v>2240</v>
      </c>
      <c r="D114" s="79"/>
      <c r="E114" s="70"/>
      <c r="F114" s="124"/>
      <c r="G114" s="316"/>
      <c r="H114" s="30" t="s">
        <v>2241</v>
      </c>
      <c r="I114" s="27" t="s">
        <v>2242</v>
      </c>
      <c r="J114" s="124"/>
      <c r="K114" s="316"/>
      <c r="L114" s="30" t="s">
        <v>2243</v>
      </c>
      <c r="M114" s="27" t="s">
        <v>2244</v>
      </c>
      <c r="N114" s="79"/>
      <c r="O114" s="79"/>
      <c r="P114" s="124"/>
      <c r="Q114" s="316"/>
      <c r="R114" s="79"/>
      <c r="S114" s="79"/>
      <c r="T114" s="79"/>
      <c r="U114" s="79"/>
      <c r="V114" s="79"/>
      <c r="W114" s="79"/>
      <c r="X114" s="79"/>
      <c r="Y114" s="79"/>
      <c r="Z114" s="79"/>
      <c r="AA114" s="79"/>
      <c r="AB114" s="79"/>
      <c r="AC114" s="79"/>
      <c r="AD114" s="79"/>
      <c r="AE114" s="79"/>
    </row>
    <row r="115" spans="1:31" ht="12" customHeight="1">
      <c r="A115" s="15"/>
      <c r="B115" s="30" t="s">
        <v>2245</v>
      </c>
      <c r="C115" s="15" t="s">
        <v>2246</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272"/>
      <c r="D116" s="4272"/>
      <c r="E116" s="4272"/>
      <c r="F116" s="4272"/>
      <c r="G116" s="4272"/>
      <c r="H116" s="4272"/>
      <c r="I116" s="4272"/>
      <c r="J116" s="4272"/>
      <c r="K116" s="4272"/>
      <c r="L116" s="4272"/>
      <c r="M116" s="4272"/>
      <c r="N116" s="4272"/>
      <c r="O116" s="4272"/>
      <c r="P116" s="4272"/>
      <c r="Q116" s="4272"/>
      <c r="R116" s="79"/>
      <c r="S116" s="79"/>
      <c r="T116" s="79"/>
      <c r="U116" s="79"/>
      <c r="V116" s="79"/>
      <c r="W116" s="79"/>
      <c r="X116" s="79"/>
      <c r="Y116" s="79"/>
      <c r="Z116" s="79"/>
      <c r="AA116" s="79"/>
      <c r="AB116" s="79"/>
      <c r="AC116" s="79"/>
      <c r="AD116" s="79"/>
      <c r="AE116" s="79"/>
    </row>
    <row r="117" spans="1:31" ht="12" customHeight="1">
      <c r="A117" s="77" t="s">
        <v>238</v>
      </c>
      <c r="B117" s="15" t="s">
        <v>2247</v>
      </c>
      <c r="C117" s="79"/>
      <c r="D117" s="70"/>
      <c r="E117" s="70"/>
      <c r="F117" s="70"/>
      <c r="G117" s="70"/>
      <c r="H117" s="70"/>
      <c r="I117" s="45"/>
      <c r="J117" s="45"/>
      <c r="K117" s="70"/>
      <c r="L117" s="70"/>
      <c r="M117" s="712"/>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1459</v>
      </c>
      <c r="C118" s="15" t="s">
        <v>2248</v>
      </c>
      <c r="D118" s="79"/>
      <c r="E118" s="70"/>
      <c r="F118" s="70"/>
      <c r="G118" s="70"/>
      <c r="H118" s="70"/>
      <c r="I118" s="79"/>
      <c r="J118" s="79"/>
      <c r="K118" s="79"/>
      <c r="L118" s="79"/>
      <c r="M118" s="79"/>
      <c r="N118" s="79"/>
      <c r="O118" s="30" t="s">
        <v>2249</v>
      </c>
      <c r="P118" s="1033"/>
      <c r="Q118" s="1034"/>
      <c r="R118" s="79"/>
      <c r="S118" s="79"/>
      <c r="T118" s="79"/>
      <c r="U118" s="79"/>
      <c r="V118" s="79"/>
      <c r="W118" s="79"/>
      <c r="X118" s="79"/>
      <c r="Y118" s="79"/>
      <c r="Z118" s="79"/>
      <c r="AA118" s="79"/>
      <c r="AB118" s="79"/>
      <c r="AC118" s="79"/>
      <c r="AD118" s="79"/>
      <c r="AE118" s="79"/>
    </row>
    <row r="119" spans="1:31" ht="12.75" customHeight="1">
      <c r="A119" s="714"/>
      <c r="B119" s="18" t="s">
        <v>1462</v>
      </c>
      <c r="C119" s="15" t="s">
        <v>2250</v>
      </c>
      <c r="D119" s="79"/>
      <c r="E119" s="15"/>
      <c r="F119" s="15"/>
      <c r="G119" s="15"/>
      <c r="H119" s="15"/>
      <c r="I119" s="45"/>
      <c r="J119" s="45"/>
      <c r="K119" s="15"/>
      <c r="L119" s="15"/>
      <c r="M119" s="15"/>
      <c r="N119" s="79"/>
      <c r="O119" s="30" t="s">
        <v>1462</v>
      </c>
      <c r="P119" s="211"/>
      <c r="Q119" s="315"/>
      <c r="R119" s="79"/>
      <c r="S119" s="79"/>
      <c r="T119" s="79"/>
      <c r="U119" s="79"/>
      <c r="V119" s="79"/>
      <c r="W119" s="79"/>
      <c r="X119" s="79"/>
      <c r="Y119" s="79"/>
      <c r="Z119" s="79"/>
      <c r="AA119" s="79"/>
      <c r="AB119" s="79"/>
      <c r="AC119" s="79"/>
      <c r="AD119" s="79"/>
      <c r="AE119" s="79"/>
    </row>
    <row r="120" spans="1:31" ht="12.75" customHeight="1">
      <c r="A120" s="714"/>
      <c r="B120" s="18" t="s">
        <v>1463</v>
      </c>
      <c r="C120" s="15" t="s">
        <v>2251</v>
      </c>
      <c r="D120" s="79"/>
      <c r="E120" s="15"/>
      <c r="F120" s="15"/>
      <c r="G120" s="15"/>
      <c r="H120" s="15"/>
      <c r="I120" s="45"/>
      <c r="J120" s="45"/>
      <c r="K120" s="15"/>
      <c r="L120" s="15"/>
      <c r="M120" s="15"/>
      <c r="N120" s="79"/>
      <c r="O120" s="30" t="s">
        <v>1463</v>
      </c>
      <c r="P120" s="211"/>
      <c r="Q120" s="315"/>
      <c r="R120" s="79"/>
      <c r="S120" s="79"/>
      <c r="T120" s="79"/>
      <c r="U120" s="79"/>
      <c r="V120" s="79"/>
      <c r="W120" s="79"/>
      <c r="X120" s="79"/>
      <c r="Y120" s="79"/>
      <c r="Z120" s="79"/>
      <c r="AA120" s="79"/>
      <c r="AB120" s="79"/>
      <c r="AC120" s="79"/>
      <c r="AD120" s="79"/>
      <c r="AE120" s="79"/>
    </row>
    <row r="121" spans="1:31" ht="12.75" customHeight="1">
      <c r="A121" s="714"/>
      <c r="B121" s="18" t="s">
        <v>1464</v>
      </c>
      <c r="C121" s="15" t="s">
        <v>2252</v>
      </c>
      <c r="D121" s="79"/>
      <c r="E121" s="15"/>
      <c r="F121" s="15"/>
      <c r="G121" s="15"/>
      <c r="H121" s="15"/>
      <c r="I121" s="45"/>
      <c r="J121" s="45"/>
      <c r="K121" s="15"/>
      <c r="L121" s="15"/>
      <c r="M121" s="15"/>
      <c r="N121" s="79"/>
      <c r="O121" s="30" t="s">
        <v>1464</v>
      </c>
      <c r="P121" s="124"/>
      <c r="Q121" s="316"/>
      <c r="R121" s="79"/>
      <c r="S121" s="79"/>
      <c r="T121" s="79"/>
      <c r="U121" s="79"/>
      <c r="V121" s="79"/>
      <c r="W121" s="79"/>
      <c r="X121" s="79"/>
      <c r="Y121" s="79"/>
      <c r="Z121" s="79"/>
      <c r="AA121" s="79"/>
      <c r="AB121" s="79"/>
      <c r="AC121" s="79"/>
      <c r="AD121" s="79"/>
      <c r="AE121" s="79"/>
    </row>
    <row r="122" spans="1:31" ht="12" customHeight="1">
      <c r="A122" s="41" t="s">
        <v>2253</v>
      </c>
      <c r="B122" s="79"/>
      <c r="C122" s="15"/>
      <c r="D122" s="70"/>
      <c r="E122" s="70"/>
      <c r="F122" s="70"/>
      <c r="G122" s="70"/>
      <c r="H122" s="70"/>
      <c r="I122" s="45"/>
      <c r="J122" s="45"/>
      <c r="K122" s="70"/>
      <c r="L122" s="70"/>
      <c r="M122" s="712"/>
      <c r="N122" s="712"/>
      <c r="O122" s="712"/>
      <c r="P122" s="712"/>
      <c r="Q122" s="712"/>
      <c r="R122" s="712"/>
      <c r="S122" s="79"/>
      <c r="T122" s="79"/>
      <c r="U122" s="79"/>
      <c r="V122" s="79"/>
      <c r="W122" s="79"/>
      <c r="X122" s="79"/>
      <c r="Y122" s="79"/>
      <c r="Z122" s="79"/>
      <c r="AA122" s="79"/>
      <c r="AB122" s="79"/>
      <c r="AC122" s="79"/>
      <c r="AD122" s="79"/>
      <c r="AE122" s="79"/>
    </row>
    <row r="123" spans="1:31" s="1" customFormat="1" ht="24" customHeight="1">
      <c r="A123" s="77" t="s">
        <v>2187</v>
      </c>
      <c r="B123" s="4142" t="s">
        <v>2254</v>
      </c>
      <c r="C123" s="4142"/>
      <c r="D123" s="4142"/>
      <c r="E123" s="4142"/>
      <c r="F123" s="4142"/>
      <c r="G123" s="4142"/>
      <c r="H123" s="4142"/>
      <c r="I123" s="4142"/>
      <c r="J123" s="4142"/>
      <c r="K123" s="4142"/>
      <c r="L123" s="4142"/>
      <c r="M123" s="88" t="s">
        <v>2187</v>
      </c>
      <c r="N123" s="4300" t="s">
        <v>712</v>
      </c>
      <c r="O123" s="4301"/>
      <c r="P123" s="4302" t="s">
        <v>712</v>
      </c>
      <c r="Q123" s="4303"/>
      <c r="R123" s="45"/>
      <c r="S123" s="45"/>
      <c r="T123" s="45"/>
      <c r="U123" s="45"/>
      <c r="V123" s="45"/>
      <c r="W123" s="45"/>
      <c r="X123" s="45"/>
      <c r="Y123" s="45"/>
      <c r="Z123" s="45"/>
      <c r="AA123" s="45"/>
      <c r="AB123" s="45"/>
      <c r="AC123" s="45"/>
      <c r="AD123" s="45"/>
      <c r="AE123" s="45"/>
    </row>
    <row r="124" spans="1:31" ht="11.25" customHeight="1">
      <c r="A124" s="79"/>
      <c r="B124" s="76" t="s">
        <v>1403</v>
      </c>
      <c r="C124" s="79"/>
      <c r="D124" s="76"/>
      <c r="E124" s="76"/>
      <c r="F124" s="76"/>
      <c r="G124" s="76"/>
      <c r="H124" s="18"/>
      <c r="I124" s="714"/>
      <c r="J124" s="714"/>
      <c r="K124" s="714"/>
      <c r="L124" s="542"/>
      <c r="M124" s="542"/>
      <c r="N124" s="542"/>
      <c r="O124" s="542"/>
      <c r="P124" s="542"/>
      <c r="Q124" s="542"/>
      <c r="R124" s="79"/>
      <c r="S124" s="79"/>
      <c r="T124" s="79"/>
      <c r="U124" s="79"/>
      <c r="V124" s="79"/>
      <c r="W124" s="79"/>
      <c r="X124" s="79"/>
      <c r="Y124" s="79"/>
      <c r="Z124" s="79"/>
      <c r="AA124" s="79"/>
      <c r="AB124" s="79"/>
      <c r="AC124" s="79"/>
      <c r="AD124" s="79"/>
      <c r="AE124" s="79"/>
    </row>
    <row r="125" spans="1:31" ht="45" customHeight="1">
      <c r="A125" s="4153"/>
      <c r="B125" s="4154"/>
      <c r="C125" s="4154"/>
      <c r="D125" s="4154"/>
      <c r="E125" s="4154"/>
      <c r="F125" s="4154"/>
      <c r="G125" s="4154"/>
      <c r="H125" s="4154"/>
      <c r="I125" s="4154"/>
      <c r="J125" s="4154"/>
      <c r="K125" s="4154"/>
      <c r="L125" s="4154"/>
      <c r="M125" s="4154"/>
      <c r="N125" s="4154"/>
      <c r="O125" s="4154"/>
      <c r="P125" s="4154"/>
      <c r="Q125" s="4155"/>
      <c r="R125" s="259" t="s">
        <v>2152</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1399</v>
      </c>
      <c r="C127" s="73"/>
      <c r="D127" s="710"/>
      <c r="E127" s="710"/>
      <c r="F127" s="710"/>
      <c r="G127" s="710"/>
      <c r="H127" s="710"/>
      <c r="I127" s="710"/>
      <c r="J127" s="710"/>
      <c r="K127" s="710"/>
      <c r="L127" s="710"/>
      <c r="M127" s="710"/>
      <c r="N127" s="710"/>
      <c r="O127" s="710"/>
      <c r="P127" s="710"/>
      <c r="Q127" s="710"/>
      <c r="R127" s="79"/>
      <c r="S127" s="79"/>
      <c r="T127" s="79"/>
      <c r="U127" s="79"/>
      <c r="V127" s="79"/>
      <c r="W127" s="79"/>
      <c r="X127" s="79"/>
      <c r="Y127" s="79"/>
      <c r="Z127" s="79"/>
      <c r="AA127" s="79"/>
      <c r="AB127" s="79"/>
      <c r="AC127" s="79"/>
      <c r="AD127" s="79"/>
      <c r="AE127" s="79"/>
    </row>
    <row r="128" spans="1:31" ht="45" customHeight="1">
      <c r="A128" s="4150"/>
      <c r="B128" s="4151"/>
      <c r="C128" s="4151"/>
      <c r="D128" s="4151"/>
      <c r="E128" s="4151"/>
      <c r="F128" s="4151"/>
      <c r="G128" s="4151"/>
      <c r="H128" s="4151"/>
      <c r="I128" s="4151"/>
      <c r="J128" s="4151"/>
      <c r="K128" s="4151"/>
      <c r="L128" s="4151"/>
      <c r="M128" s="4151"/>
      <c r="N128" s="4151"/>
      <c r="O128" s="4151"/>
      <c r="P128" s="4151"/>
      <c r="Q128" s="4152"/>
      <c r="R128" s="79"/>
      <c r="S128" s="79"/>
      <c r="T128" s="79"/>
      <c r="U128" s="79"/>
      <c r="V128" s="79"/>
      <c r="W128" s="79"/>
      <c r="X128" s="79"/>
      <c r="Y128" s="79"/>
      <c r="Z128" s="79"/>
      <c r="AA128" s="79"/>
      <c r="AB128" s="79"/>
      <c r="AC128" s="79"/>
      <c r="AD128" s="79"/>
      <c r="AE128" s="79"/>
    </row>
    <row r="129" spans="1:31" ht="3" customHeight="1">
      <c r="A129" s="542"/>
      <c r="B129" s="714"/>
      <c r="C129" s="710"/>
      <c r="D129" s="710"/>
      <c r="E129" s="710"/>
      <c r="F129" s="710"/>
      <c r="G129" s="710"/>
      <c r="H129" s="710"/>
      <c r="I129" s="710"/>
      <c r="J129" s="710"/>
      <c r="K129" s="710"/>
      <c r="L129" s="710"/>
      <c r="M129" s="710"/>
      <c r="N129" s="710"/>
      <c r="O129" s="710"/>
      <c r="P129" s="710"/>
      <c r="Q129" s="542"/>
      <c r="R129" s="79"/>
      <c r="S129" s="79"/>
      <c r="T129" s="79"/>
      <c r="U129" s="79"/>
      <c r="V129" s="79"/>
      <c r="W129" s="79"/>
      <c r="X129" s="79"/>
      <c r="Y129" s="79"/>
      <c r="Z129" s="79"/>
      <c r="AA129" s="79"/>
      <c r="AB129" s="79"/>
      <c r="AC129" s="79"/>
      <c r="AD129" s="79"/>
      <c r="AE129" s="79"/>
    </row>
    <row r="130" spans="1:31" ht="14.1" customHeight="1">
      <c r="A130" s="2" t="s">
        <v>1427</v>
      </c>
      <c r="B130" s="2" t="s">
        <v>1428</v>
      </c>
      <c r="C130" s="2"/>
      <c r="D130" s="710"/>
      <c r="E130" s="710"/>
      <c r="F130" s="710"/>
      <c r="G130" s="710"/>
      <c r="H130" s="710"/>
      <c r="I130" s="710"/>
      <c r="J130" s="710"/>
      <c r="K130" s="710"/>
      <c r="L130" s="79"/>
      <c r="M130" s="79"/>
      <c r="N130" s="684" t="s">
        <v>2203</v>
      </c>
      <c r="O130" s="68" t="s">
        <v>1397</v>
      </c>
      <c r="P130" s="4145"/>
      <c r="Q130" s="4146"/>
      <c r="R130" s="686" t="s">
        <v>2204</v>
      </c>
      <c r="S130" s="79"/>
      <c r="T130" s="79"/>
      <c r="U130" s="79"/>
      <c r="V130" s="79"/>
      <c r="W130" s="79"/>
      <c r="X130" s="79"/>
      <c r="Y130" s="79"/>
      <c r="Z130" s="79"/>
      <c r="AA130" s="79"/>
      <c r="AB130" s="79"/>
      <c r="AC130" s="79"/>
      <c r="AD130" s="79"/>
      <c r="AE130" s="79"/>
    </row>
    <row r="131" spans="1:31" ht="12" customHeight="1">
      <c r="A131" s="24" t="s">
        <v>194</v>
      </c>
      <c r="B131" s="18" t="s">
        <v>1459</v>
      </c>
      <c r="C131" s="15" t="s">
        <v>2255</v>
      </c>
      <c r="D131" s="15"/>
      <c r="E131" s="15"/>
      <c r="F131" s="15"/>
      <c r="G131" s="15"/>
      <c r="H131" s="79"/>
      <c r="I131" s="79"/>
      <c r="J131" s="79"/>
      <c r="K131" s="15" t="s">
        <v>2256</v>
      </c>
      <c r="L131" s="79"/>
      <c r="M131" s="4240"/>
      <c r="N131" s="4241"/>
      <c r="O131" s="30" t="s">
        <v>1459</v>
      </c>
      <c r="P131" s="276"/>
      <c r="Q131" s="314"/>
      <c r="R131" s="79"/>
      <c r="S131" s="79"/>
      <c r="T131" s="79"/>
      <c r="U131" s="79"/>
      <c r="V131" s="79"/>
      <c r="W131" s="79"/>
      <c r="X131" s="79"/>
      <c r="Y131" s="79"/>
      <c r="Z131" s="79"/>
      <c r="AA131" s="79"/>
      <c r="AB131" s="79"/>
      <c r="AC131" s="79"/>
      <c r="AD131" s="79"/>
      <c r="AE131" s="79"/>
    </row>
    <row r="132" spans="1:31" ht="12" customHeight="1">
      <c r="A132" s="24"/>
      <c r="B132" s="18" t="s">
        <v>1462</v>
      </c>
      <c r="C132" s="15" t="s">
        <v>2257</v>
      </c>
      <c r="D132" s="15"/>
      <c r="E132" s="15"/>
      <c r="F132" s="15"/>
      <c r="G132" s="15"/>
      <c r="H132" s="79"/>
      <c r="I132" s="79"/>
      <c r="J132" s="79"/>
      <c r="K132" s="15" t="s">
        <v>2256</v>
      </c>
      <c r="L132" s="79"/>
      <c r="M132" s="4240"/>
      <c r="N132" s="4241"/>
      <c r="O132" s="30" t="s">
        <v>1462</v>
      </c>
      <c r="P132" s="276"/>
      <c r="Q132" s="314"/>
      <c r="R132" s="79"/>
      <c r="S132" s="79"/>
      <c r="T132" s="79"/>
      <c r="U132" s="79"/>
      <c r="V132" s="79"/>
      <c r="W132" s="79"/>
      <c r="X132" s="79"/>
      <c r="Y132" s="79"/>
      <c r="Z132" s="79"/>
      <c r="AA132" s="79"/>
      <c r="AB132" s="79"/>
      <c r="AC132" s="79"/>
      <c r="AD132" s="79"/>
      <c r="AE132" s="79"/>
    </row>
    <row r="133" spans="1:31" ht="12" customHeight="1">
      <c r="A133" s="24" t="s">
        <v>206</v>
      </c>
      <c r="B133" s="75" t="s">
        <v>1429</v>
      </c>
      <c r="C133" s="79"/>
      <c r="D133" s="75"/>
      <c r="E133" s="75"/>
      <c r="F133" s="15" t="str">
        <f>IF(M133="Ground lease/Option","Ground lease/Option:","")</f>
        <v>Ground lease/Option:</v>
      </c>
      <c r="G133" s="79"/>
      <c r="H133" s="15" t="str">
        <f>IF(M133="Ground lease/Option","Annual Pymt:","")</f>
        <v>Annual Pymt:</v>
      </c>
      <c r="I133" s="997">
        <f>IF(M133="Ground lease/Option",'Part V-Revenues &amp; Expenses'!$K$251,"")</f>
        <v>10</v>
      </c>
      <c r="J133" s="30" t="str">
        <f>IF(M133="Ground lease/Option","Term:","")</f>
        <v>Term:</v>
      </c>
      <c r="K133" s="1310">
        <f>IF(M133="Ground lease/Option",'Part V-Revenues &amp; Expenses'!$N$251,"")</f>
        <v>45</v>
      </c>
      <c r="L133" s="30" t="s">
        <v>206</v>
      </c>
      <c r="M133" s="4242" t="s">
        <v>2258</v>
      </c>
      <c r="N133" s="4243"/>
      <c r="O133" s="79"/>
      <c r="P133" s="4244" t="s">
        <v>712</v>
      </c>
      <c r="Q133" s="4245"/>
      <c r="R133" s="79"/>
      <c r="S133" s="79"/>
      <c r="T133" s="79"/>
      <c r="U133" s="79"/>
      <c r="V133" s="79"/>
      <c r="W133" s="79"/>
      <c r="X133" s="79"/>
      <c r="Y133" s="79"/>
      <c r="Z133" s="79"/>
      <c r="AA133" s="79"/>
      <c r="AB133" s="79"/>
      <c r="AC133" s="79"/>
      <c r="AD133" s="79"/>
      <c r="AE133" s="79"/>
    </row>
    <row r="134" spans="1:31" ht="12" customHeight="1">
      <c r="A134" s="24" t="s">
        <v>227</v>
      </c>
      <c r="B134" s="75" t="s">
        <v>1431</v>
      </c>
      <c r="C134" s="79"/>
      <c r="D134" s="75"/>
      <c r="E134" s="75"/>
      <c r="F134" s="75"/>
      <c r="G134" s="75"/>
      <c r="H134" s="75"/>
      <c r="I134" s="79"/>
      <c r="J134" s="30" t="s">
        <v>227</v>
      </c>
      <c r="K134" s="4160"/>
      <c r="L134" s="4161"/>
      <c r="M134" s="4161"/>
      <c r="N134" s="4161"/>
      <c r="O134" s="4161"/>
      <c r="P134" s="4195"/>
      <c r="Q134" s="314"/>
      <c r="R134" s="79"/>
      <c r="S134" s="79"/>
      <c r="T134" s="79"/>
      <c r="U134" s="79"/>
      <c r="V134" s="79"/>
      <c r="W134" s="79"/>
      <c r="X134" s="79"/>
      <c r="Y134" s="79"/>
      <c r="Z134" s="79"/>
      <c r="AA134" s="79"/>
      <c r="AB134" s="79"/>
      <c r="AC134" s="79"/>
      <c r="AD134" s="79"/>
      <c r="AE134" s="79"/>
    </row>
    <row r="135" spans="1:31" ht="21.75" customHeight="1">
      <c r="A135" s="77" t="s">
        <v>229</v>
      </c>
      <c r="B135" s="4142" t="s">
        <v>2259</v>
      </c>
      <c r="C135" s="4142"/>
      <c r="D135" s="4142"/>
      <c r="E135" s="4142"/>
      <c r="F135" s="4142"/>
      <c r="G135" s="4142"/>
      <c r="H135" s="4142"/>
      <c r="I135" s="4142"/>
      <c r="J135" s="4142"/>
      <c r="K135" s="4142"/>
      <c r="L135" s="4142"/>
      <c r="M135" s="4142"/>
      <c r="N135" s="4142"/>
      <c r="O135" s="88" t="s">
        <v>229</v>
      </c>
      <c r="P135" s="717"/>
      <c r="Q135" s="716"/>
      <c r="R135" s="79"/>
      <c r="S135" s="79"/>
      <c r="T135" s="79"/>
      <c r="U135" s="79"/>
      <c r="V135" s="79"/>
      <c r="W135" s="79"/>
      <c r="X135" s="79"/>
      <c r="Y135" s="79"/>
      <c r="Z135" s="79"/>
      <c r="AA135" s="79"/>
      <c r="AB135" s="79"/>
      <c r="AC135" s="79"/>
      <c r="AD135" s="79"/>
      <c r="AE135" s="79"/>
    </row>
    <row r="136" spans="1:31" ht="12" customHeight="1">
      <c r="A136" s="79"/>
      <c r="B136" s="76" t="s">
        <v>1403</v>
      </c>
      <c r="C136" s="79"/>
      <c r="D136" s="76"/>
      <c r="E136" s="76"/>
      <c r="F136" s="76"/>
      <c r="G136" s="76"/>
      <c r="H136" s="18"/>
      <c r="I136" s="714"/>
      <c r="J136" s="714"/>
      <c r="K136" s="714"/>
      <c r="L136" s="542"/>
      <c r="M136" s="542"/>
      <c r="N136" s="542"/>
      <c r="O136" s="542"/>
      <c r="P136" s="542"/>
      <c r="Q136" s="542"/>
      <c r="R136" s="79"/>
      <c r="S136" s="79"/>
      <c r="T136" s="79"/>
      <c r="U136" s="79"/>
      <c r="V136" s="79"/>
      <c r="W136" s="79"/>
      <c r="X136" s="79"/>
      <c r="Y136" s="79"/>
      <c r="Z136" s="79"/>
      <c r="AA136" s="79"/>
      <c r="AB136" s="79"/>
      <c r="AC136" s="79"/>
      <c r="AD136" s="79"/>
      <c r="AE136" s="79"/>
    </row>
    <row r="137" spans="1:31" ht="11.65" customHeight="1">
      <c r="A137" s="4153"/>
      <c r="B137" s="4154"/>
      <c r="C137" s="4154"/>
      <c r="D137" s="4154"/>
      <c r="E137" s="4154"/>
      <c r="F137" s="4154"/>
      <c r="G137" s="4154"/>
      <c r="H137" s="4154"/>
      <c r="I137" s="4154"/>
      <c r="J137" s="4154"/>
      <c r="K137" s="4154"/>
      <c r="L137" s="4154"/>
      <c r="M137" s="4154"/>
      <c r="N137" s="4154"/>
      <c r="O137" s="4154"/>
      <c r="P137" s="4154"/>
      <c r="Q137" s="4155"/>
      <c r="R137" s="79"/>
      <c r="S137" s="79"/>
      <c r="T137" s="79"/>
      <c r="U137" s="71"/>
      <c r="V137" s="71"/>
      <c r="W137" s="71"/>
      <c r="X137" s="71"/>
      <c r="Y137" s="71"/>
      <c r="Z137" s="71"/>
      <c r="AA137" s="71"/>
      <c r="AB137" s="71"/>
      <c r="AC137" s="71"/>
      <c r="AD137" s="71"/>
      <c r="AE137" s="71"/>
    </row>
    <row r="138" spans="1:31" ht="12" customHeight="1">
      <c r="A138" s="79"/>
      <c r="B138" s="72" t="s">
        <v>1399</v>
      </c>
      <c r="C138" s="73"/>
      <c r="D138" s="710"/>
      <c r="E138" s="710"/>
      <c r="F138" s="710"/>
      <c r="G138" s="710"/>
      <c r="H138" s="710"/>
      <c r="I138" s="710"/>
      <c r="J138" s="710"/>
      <c r="K138" s="710"/>
      <c r="L138" s="710"/>
      <c r="M138" s="710"/>
      <c r="N138" s="710"/>
      <c r="O138" s="710"/>
      <c r="P138" s="710"/>
      <c r="Q138" s="710"/>
      <c r="R138" s="79"/>
      <c r="S138" s="79"/>
      <c r="T138" s="79"/>
      <c r="U138" s="79"/>
      <c r="V138" s="79"/>
      <c r="W138" s="79"/>
      <c r="X138" s="79"/>
      <c r="Y138" s="79"/>
      <c r="Z138" s="79"/>
      <c r="AA138" s="79"/>
      <c r="AB138" s="79"/>
      <c r="AC138" s="79"/>
      <c r="AD138" s="79"/>
      <c r="AE138" s="79"/>
    </row>
    <row r="139" spans="1:31" ht="11.65" customHeight="1">
      <c r="A139" s="4150"/>
      <c r="B139" s="4151"/>
      <c r="C139" s="4151"/>
      <c r="D139" s="4151"/>
      <c r="E139" s="4151"/>
      <c r="F139" s="4151"/>
      <c r="G139" s="4151"/>
      <c r="H139" s="4151"/>
      <c r="I139" s="4151"/>
      <c r="J139" s="4151"/>
      <c r="K139" s="4151"/>
      <c r="L139" s="4151"/>
      <c r="M139" s="4151"/>
      <c r="N139" s="4151"/>
      <c r="O139" s="4151"/>
      <c r="P139" s="4151"/>
      <c r="Q139" s="4152"/>
      <c r="R139" s="79"/>
      <c r="S139" s="79"/>
      <c r="T139" s="79"/>
      <c r="U139" s="79"/>
      <c r="V139" s="79"/>
      <c r="W139" s="79"/>
      <c r="X139" s="79"/>
      <c r="Y139" s="79"/>
      <c r="Z139" s="79"/>
      <c r="AA139" s="79"/>
      <c r="AB139" s="79"/>
      <c r="AC139" s="79"/>
      <c r="AD139" s="79"/>
      <c r="AE139" s="79"/>
    </row>
    <row r="140" spans="1:31" ht="3" customHeight="1">
      <c r="A140" s="542"/>
      <c r="B140" s="714"/>
      <c r="C140" s="710"/>
      <c r="D140" s="710"/>
      <c r="E140" s="710"/>
      <c r="F140" s="710"/>
      <c r="G140" s="710"/>
      <c r="H140" s="710"/>
      <c r="I140" s="710"/>
      <c r="J140" s="710"/>
      <c r="K140" s="710"/>
      <c r="L140" s="710"/>
      <c r="M140" s="710"/>
      <c r="N140" s="79"/>
      <c r="O140" s="79"/>
      <c r="P140" s="79"/>
      <c r="Q140" s="542"/>
      <c r="R140" s="79"/>
      <c r="S140" s="79"/>
      <c r="T140" s="79"/>
      <c r="U140" s="79"/>
      <c r="V140" s="79"/>
      <c r="W140" s="79"/>
      <c r="X140" s="79"/>
      <c r="Y140" s="79"/>
      <c r="Z140" s="79"/>
      <c r="AA140" s="79"/>
      <c r="AB140" s="79"/>
      <c r="AC140" s="79"/>
      <c r="AD140" s="79"/>
      <c r="AE140" s="79"/>
    </row>
    <row r="141" spans="1:31" ht="14.1" customHeight="1">
      <c r="A141" s="2" t="s">
        <v>1432</v>
      </c>
      <c r="B141" s="2" t="s">
        <v>1433</v>
      </c>
      <c r="C141" s="2"/>
      <c r="D141" s="710"/>
      <c r="E141" s="710"/>
      <c r="F141" s="710"/>
      <c r="G141" s="710"/>
      <c r="H141" s="710"/>
      <c r="I141" s="710"/>
      <c r="J141" s="710"/>
      <c r="K141" s="710"/>
      <c r="L141" s="710"/>
      <c r="M141" s="710"/>
      <c r="N141" s="79"/>
      <c r="O141" s="68" t="s">
        <v>1397</v>
      </c>
      <c r="P141" s="4145"/>
      <c r="Q141" s="4146"/>
      <c r="R141" s="79"/>
      <c r="S141" s="79"/>
      <c r="T141" s="79"/>
      <c r="U141" s="79"/>
      <c r="V141" s="79"/>
      <c r="W141" s="79"/>
      <c r="X141" s="79"/>
      <c r="Y141" s="79"/>
      <c r="Z141" s="79"/>
      <c r="AA141" s="79"/>
      <c r="AB141" s="79"/>
      <c r="AC141" s="79"/>
      <c r="AD141" s="79"/>
      <c r="AE141" s="79"/>
    </row>
    <row r="142" spans="1:31" ht="21.75" customHeight="1">
      <c r="A142" s="77" t="s">
        <v>194</v>
      </c>
      <c r="B142" s="4142" t="s">
        <v>2260</v>
      </c>
      <c r="C142" s="4142"/>
      <c r="D142" s="4142"/>
      <c r="E142" s="4142"/>
      <c r="F142" s="4142"/>
      <c r="G142" s="4142"/>
      <c r="H142" s="4142"/>
      <c r="I142" s="4142"/>
      <c r="J142" s="4142"/>
      <c r="K142" s="4142"/>
      <c r="L142" s="4142"/>
      <c r="M142" s="4142"/>
      <c r="N142" s="4142"/>
      <c r="O142" s="88" t="s">
        <v>194</v>
      </c>
      <c r="P142" s="1493"/>
      <c r="Q142" s="1494"/>
      <c r="R142" s="79"/>
      <c r="S142" s="79"/>
      <c r="T142" s="79"/>
      <c r="U142" s="79"/>
      <c r="V142" s="79"/>
      <c r="W142" s="79"/>
      <c r="X142" s="79"/>
      <c r="Y142" s="79"/>
      <c r="Z142" s="79"/>
      <c r="AA142" s="79"/>
      <c r="AB142" s="79"/>
      <c r="AC142" s="79"/>
      <c r="AD142" s="79"/>
      <c r="AE142" s="79"/>
    </row>
    <row r="143" spans="1:31" ht="22.35" customHeight="1">
      <c r="A143" s="77" t="s">
        <v>206</v>
      </c>
      <c r="B143" s="4142" t="s">
        <v>2261</v>
      </c>
      <c r="C143" s="4142"/>
      <c r="D143" s="4142"/>
      <c r="E143" s="4142"/>
      <c r="F143" s="4142"/>
      <c r="G143" s="4142"/>
      <c r="H143" s="4142"/>
      <c r="I143" s="4142"/>
      <c r="J143" s="4142"/>
      <c r="K143" s="4142"/>
      <c r="L143" s="4142"/>
      <c r="M143" s="4142"/>
      <c r="N143" s="4142"/>
      <c r="O143" s="88" t="s">
        <v>206</v>
      </c>
      <c r="P143" s="323"/>
      <c r="Q143" s="317"/>
      <c r="R143" s="79"/>
      <c r="S143" s="79"/>
      <c r="T143" s="79"/>
      <c r="U143" s="79"/>
      <c r="V143" s="79"/>
      <c r="W143" s="79"/>
      <c r="X143" s="79"/>
      <c r="Y143" s="79"/>
      <c r="Z143" s="79"/>
      <c r="AA143" s="79"/>
      <c r="AB143" s="79"/>
      <c r="AC143" s="79"/>
      <c r="AD143" s="79"/>
      <c r="AE143" s="79"/>
    </row>
    <row r="144" spans="1:31" ht="22.35" customHeight="1">
      <c r="A144" s="77" t="s">
        <v>227</v>
      </c>
      <c r="B144" s="4142" t="s">
        <v>2262</v>
      </c>
      <c r="C144" s="4142"/>
      <c r="D144" s="4142"/>
      <c r="E144" s="4142"/>
      <c r="F144" s="4142"/>
      <c r="G144" s="4142"/>
      <c r="H144" s="4142"/>
      <c r="I144" s="4142"/>
      <c r="J144" s="4142"/>
      <c r="K144" s="4142"/>
      <c r="L144" s="4142"/>
      <c r="M144" s="4142"/>
      <c r="N144" s="4142"/>
      <c r="O144" s="88" t="s">
        <v>227</v>
      </c>
      <c r="P144" s="323"/>
      <c r="Q144" s="317"/>
      <c r="R144" s="79"/>
      <c r="S144" s="79"/>
      <c r="T144" s="79"/>
      <c r="U144" s="79"/>
      <c r="V144" s="79"/>
      <c r="W144" s="79"/>
      <c r="X144" s="79"/>
      <c r="Y144" s="79"/>
      <c r="Z144" s="79"/>
      <c r="AA144" s="79"/>
      <c r="AB144" s="79"/>
      <c r="AC144" s="79"/>
      <c r="AD144" s="79"/>
      <c r="AE144" s="79"/>
    </row>
    <row r="145" spans="1:44" ht="21.75" customHeight="1">
      <c r="A145" s="77" t="s">
        <v>229</v>
      </c>
      <c r="B145" s="4142" t="s">
        <v>2263</v>
      </c>
      <c r="C145" s="4142"/>
      <c r="D145" s="4142"/>
      <c r="E145" s="4142"/>
      <c r="F145" s="4142"/>
      <c r="G145" s="4142"/>
      <c r="H145" s="4142"/>
      <c r="I145" s="4142"/>
      <c r="J145" s="4142"/>
      <c r="K145" s="4142"/>
      <c r="L145" s="4142"/>
      <c r="M145" s="4142"/>
      <c r="N145" s="4142"/>
      <c r="O145" s="88" t="s">
        <v>229</v>
      </c>
      <c r="P145" s="717"/>
      <c r="Q145" s="716"/>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1403</v>
      </c>
      <c r="C146" s="79"/>
      <c r="D146" s="76"/>
      <c r="E146" s="76"/>
      <c r="F146" s="76"/>
      <c r="G146" s="76"/>
      <c r="H146" s="18"/>
      <c r="I146" s="714"/>
      <c r="J146" s="714"/>
      <c r="K146" s="714"/>
      <c r="L146" s="542"/>
      <c r="M146" s="542"/>
      <c r="N146" s="542"/>
      <c r="O146" s="542"/>
      <c r="P146" s="542"/>
      <c r="Q146" s="542"/>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153"/>
      <c r="B147" s="4154"/>
      <c r="C147" s="4154"/>
      <c r="D147" s="4154"/>
      <c r="E147" s="4154"/>
      <c r="F147" s="4154"/>
      <c r="G147" s="4154"/>
      <c r="H147" s="4154"/>
      <c r="I147" s="4154"/>
      <c r="J147" s="4154"/>
      <c r="K147" s="4154"/>
      <c r="L147" s="4154"/>
      <c r="M147" s="4154"/>
      <c r="N147" s="4154"/>
      <c r="O147" s="4154"/>
      <c r="P147" s="4154"/>
      <c r="Q147" s="4155"/>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1399</v>
      </c>
      <c r="C148" s="73"/>
      <c r="D148" s="710"/>
      <c r="E148" s="710"/>
      <c r="F148" s="710"/>
      <c r="G148" s="710"/>
      <c r="H148" s="710"/>
      <c r="I148" s="710"/>
      <c r="J148" s="710"/>
      <c r="K148" s="710"/>
      <c r="L148" s="710"/>
      <c r="M148" s="710"/>
      <c r="N148" s="710"/>
      <c r="O148" s="710"/>
      <c r="P148" s="710"/>
      <c r="Q148" s="710"/>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150"/>
      <c r="B149" s="4151"/>
      <c r="C149" s="4151"/>
      <c r="D149" s="4151"/>
      <c r="E149" s="4151"/>
      <c r="F149" s="4151"/>
      <c r="G149" s="4151"/>
      <c r="H149" s="4151"/>
      <c r="I149" s="4151"/>
      <c r="J149" s="4151"/>
      <c r="K149" s="4151"/>
      <c r="L149" s="4151"/>
      <c r="M149" s="4151"/>
      <c r="N149" s="4151"/>
      <c r="O149" s="4151"/>
      <c r="P149" s="4151"/>
      <c r="Q149" s="4152"/>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14"/>
      <c r="C150" s="710"/>
      <c r="D150" s="710"/>
      <c r="E150" s="710"/>
      <c r="F150" s="710"/>
      <c r="G150" s="710"/>
      <c r="H150" s="710"/>
      <c r="I150" s="710"/>
      <c r="J150" s="710"/>
      <c r="K150" s="710"/>
      <c r="L150" s="710"/>
      <c r="M150" s="710"/>
      <c r="N150" s="710"/>
      <c r="O150" s="710"/>
      <c r="P150" s="710"/>
      <c r="Q150" s="542"/>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1434</v>
      </c>
      <c r="B151" s="3536" t="s">
        <v>1435</v>
      </c>
      <c r="C151" s="3536"/>
      <c r="D151" s="3536"/>
      <c r="E151" s="153"/>
      <c r="F151" s="79"/>
      <c r="G151" s="79"/>
      <c r="H151" s="79"/>
      <c r="I151" s="79"/>
      <c r="J151" s="79"/>
      <c r="K151" s="79"/>
      <c r="L151" s="79"/>
      <c r="M151" s="79"/>
      <c r="N151" s="684" t="s">
        <v>2203</v>
      </c>
      <c r="O151" s="68" t="s">
        <v>1397</v>
      </c>
      <c r="P151" s="4145"/>
      <c r="Q151" s="4146"/>
      <c r="R151" s="686" t="s">
        <v>2204</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2264</v>
      </c>
      <c r="N152" s="60"/>
      <c r="O152" s="60"/>
      <c r="P152" s="60"/>
      <c r="Q152" s="60"/>
      <c r="S152" s="1137"/>
      <c r="T152" s="1137"/>
      <c r="U152" s="1137"/>
      <c r="V152" s="1137"/>
      <c r="W152" s="1137"/>
      <c r="X152" s="1137"/>
      <c r="Y152" s="1137"/>
      <c r="Z152" s="1137"/>
      <c r="AA152" s="1137"/>
      <c r="AB152" s="1137"/>
      <c r="AC152" s="1137"/>
      <c r="AD152" s="1137"/>
      <c r="AE152" s="1137"/>
      <c r="AF152" s="1137"/>
      <c r="AG152" s="1137"/>
      <c r="AH152" s="1137"/>
      <c r="AI152" s="1137"/>
      <c r="AJ152" s="1137"/>
      <c r="AK152" s="1137"/>
      <c r="AL152" s="1137"/>
      <c r="AM152" s="1137"/>
      <c r="AN152" s="1137"/>
      <c r="AO152" s="1137"/>
      <c r="AP152" s="1137"/>
      <c r="AQ152" s="1137"/>
      <c r="AR152" s="1137"/>
    </row>
    <row r="153" spans="1:44" ht="12" customHeight="1">
      <c r="A153" s="77" t="s">
        <v>194</v>
      </c>
      <c r="B153" s="275" t="s">
        <v>2265</v>
      </c>
      <c r="C153" s="79"/>
      <c r="D153" s="275"/>
      <c r="E153" s="275"/>
      <c r="F153" s="275"/>
      <c r="G153" s="275"/>
      <c r="H153" s="275"/>
      <c r="I153" s="275"/>
      <c r="J153" s="275"/>
      <c r="K153" s="275"/>
      <c r="L153" s="275"/>
      <c r="M153" s="275"/>
      <c r="N153" s="79"/>
      <c r="O153" s="88" t="s">
        <v>194</v>
      </c>
      <c r="P153" s="1033"/>
      <c r="Q153" s="1034"/>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206</v>
      </c>
      <c r="B154" s="275" t="s">
        <v>2266</v>
      </c>
      <c r="C154" s="79"/>
      <c r="D154" s="275"/>
      <c r="E154" s="275"/>
      <c r="F154" s="275"/>
      <c r="G154" s="275"/>
      <c r="H154" s="275"/>
      <c r="I154" s="275"/>
      <c r="J154" s="275"/>
      <c r="K154" s="275"/>
      <c r="L154" s="275"/>
      <c r="M154" s="275"/>
      <c r="N154" s="79"/>
      <c r="O154" s="88" t="s">
        <v>206</v>
      </c>
      <c r="P154" s="211"/>
      <c r="Q154" s="315"/>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227</v>
      </c>
      <c r="B155" s="275" t="s">
        <v>2267</v>
      </c>
      <c r="C155" s="79"/>
      <c r="D155" s="275"/>
      <c r="E155" s="275"/>
      <c r="F155" s="275"/>
      <c r="G155" s="275"/>
      <c r="H155" s="275"/>
      <c r="I155" s="275"/>
      <c r="J155" s="75" t="s">
        <v>2268</v>
      </c>
      <c r="K155" s="79"/>
      <c r="L155" s="275"/>
      <c r="M155" s="275"/>
      <c r="N155" s="79"/>
      <c r="O155" s="88" t="s">
        <v>227</v>
      </c>
      <c r="P155" s="211"/>
      <c r="Q155" s="315"/>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1459</v>
      </c>
      <c r="C156" s="18" t="s">
        <v>2269</v>
      </c>
      <c r="D156" s="79"/>
      <c r="E156" s="79"/>
      <c r="F156" s="79"/>
      <c r="G156" s="275"/>
      <c r="H156" s="275"/>
      <c r="I156" s="79"/>
      <c r="J156" s="275"/>
      <c r="K156" s="275"/>
      <c r="L156" s="275"/>
      <c r="M156" s="275"/>
      <c r="N156" s="79"/>
      <c r="O156" s="256" t="s">
        <v>1459</v>
      </c>
      <c r="P156" s="211"/>
      <c r="Q156" s="315"/>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1462</v>
      </c>
      <c r="C157" s="18" t="s">
        <v>2270</v>
      </c>
      <c r="D157" s="79"/>
      <c r="E157" s="79"/>
      <c r="F157" s="79"/>
      <c r="G157" s="275"/>
      <c r="H157" s="275"/>
      <c r="I157" s="275"/>
      <c r="J157" s="275"/>
      <c r="K157" s="275"/>
      <c r="L157" s="275"/>
      <c r="M157" s="275"/>
      <c r="N157" s="79"/>
      <c r="O157" s="256" t="s">
        <v>1462</v>
      </c>
      <c r="P157" s="211"/>
      <c r="Q157" s="315"/>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1463</v>
      </c>
      <c r="C158" s="4142" t="s">
        <v>2271</v>
      </c>
      <c r="D158" s="4142"/>
      <c r="E158" s="4142"/>
      <c r="F158" s="4142"/>
      <c r="G158" s="4142"/>
      <c r="H158" s="4142"/>
      <c r="I158" s="4142"/>
      <c r="J158" s="4142"/>
      <c r="K158" s="4142"/>
      <c r="L158" s="4142"/>
      <c r="M158" s="4142"/>
      <c r="N158" s="4142"/>
      <c r="O158" s="88" t="s">
        <v>1463</v>
      </c>
      <c r="P158" s="323"/>
      <c r="Q158" s="317"/>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1464</v>
      </c>
      <c r="C159" s="18" t="s">
        <v>2272</v>
      </c>
      <c r="D159" s="79"/>
      <c r="E159" s="79"/>
      <c r="F159" s="79"/>
      <c r="G159" s="275"/>
      <c r="H159" s="275"/>
      <c r="I159" s="275"/>
      <c r="J159" s="275"/>
      <c r="K159" s="275"/>
      <c r="L159" s="275"/>
      <c r="M159" s="275"/>
      <c r="N159" s="79"/>
      <c r="O159" s="256" t="s">
        <v>1464</v>
      </c>
      <c r="P159" s="211"/>
      <c r="Q159" s="315"/>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2068</v>
      </c>
      <c r="C160" s="4142" t="s">
        <v>2273</v>
      </c>
      <c r="D160" s="4142"/>
      <c r="E160" s="4142"/>
      <c r="F160" s="4142"/>
      <c r="G160" s="4142"/>
      <c r="H160" s="4142"/>
      <c r="I160" s="4142"/>
      <c r="J160" s="4142"/>
      <c r="K160" s="4142"/>
      <c r="L160" s="4142"/>
      <c r="M160" s="4142"/>
      <c r="N160" s="4142"/>
      <c r="O160" s="88" t="s">
        <v>2068</v>
      </c>
      <c r="P160" s="323"/>
      <c r="Q160" s="317"/>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2070</v>
      </c>
      <c r="C161" s="4142" t="s">
        <v>2274</v>
      </c>
      <c r="D161" s="4142"/>
      <c r="E161" s="4142"/>
      <c r="F161" s="4142"/>
      <c r="G161" s="4142"/>
      <c r="H161" s="4142"/>
      <c r="I161" s="4142"/>
      <c r="J161" s="4142"/>
      <c r="K161" s="4142"/>
      <c r="L161" s="4142"/>
      <c r="M161" s="4142"/>
      <c r="N161" s="4142"/>
      <c r="O161" s="88" t="s">
        <v>2070</v>
      </c>
      <c r="P161" s="323"/>
      <c r="Q161" s="317"/>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229</v>
      </c>
      <c r="B162" s="4142" t="s">
        <v>2275</v>
      </c>
      <c r="C162" s="4142"/>
      <c r="D162" s="4142"/>
      <c r="E162" s="4142"/>
      <c r="F162" s="4142"/>
      <c r="G162" s="4142"/>
      <c r="H162" s="4142"/>
      <c r="I162" s="4142"/>
      <c r="J162" s="4142"/>
      <c r="K162" s="4142"/>
      <c r="L162" s="4142"/>
      <c r="M162" s="4142"/>
      <c r="N162" s="4142"/>
      <c r="O162" s="88" t="s">
        <v>229</v>
      </c>
      <c r="P162" s="323"/>
      <c r="Q162" s="317"/>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236</v>
      </c>
      <c r="B163" s="275" t="s">
        <v>2276</v>
      </c>
      <c r="C163" s="79"/>
      <c r="D163" s="275"/>
      <c r="E163" s="275"/>
      <c r="F163" s="275"/>
      <c r="G163" s="275"/>
      <c r="H163" s="275"/>
      <c r="I163" s="275"/>
      <c r="J163" s="275"/>
      <c r="K163" s="275"/>
      <c r="L163" s="275"/>
      <c r="M163" s="275"/>
      <c r="N163" s="79"/>
      <c r="O163" s="88" t="s">
        <v>236</v>
      </c>
      <c r="P163" s="124"/>
      <c r="Q163" s="316"/>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1403</v>
      </c>
      <c r="C164" s="79"/>
      <c r="D164" s="76"/>
      <c r="E164" s="76"/>
      <c r="F164" s="76"/>
      <c r="G164" s="76"/>
      <c r="H164" s="18"/>
      <c r="I164" s="714"/>
      <c r="J164" s="714"/>
      <c r="K164" s="714"/>
      <c r="L164" s="542"/>
      <c r="M164" s="542"/>
      <c r="N164" s="542"/>
      <c r="O164" s="542"/>
      <c r="P164" s="542"/>
      <c r="Q164" s="542"/>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153"/>
      <c r="B165" s="4154"/>
      <c r="C165" s="4154"/>
      <c r="D165" s="4154"/>
      <c r="E165" s="4154"/>
      <c r="F165" s="4154"/>
      <c r="G165" s="4154"/>
      <c r="H165" s="4154"/>
      <c r="I165" s="4154"/>
      <c r="J165" s="4154"/>
      <c r="K165" s="4154"/>
      <c r="L165" s="4154"/>
      <c r="M165" s="4154"/>
      <c r="N165" s="4154"/>
      <c r="O165" s="4154"/>
      <c r="P165" s="4154"/>
      <c r="Q165" s="4155"/>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1399</v>
      </c>
      <c r="C166" s="73"/>
      <c r="D166" s="710"/>
      <c r="E166" s="710"/>
      <c r="F166" s="710"/>
      <c r="G166" s="710"/>
      <c r="H166" s="710"/>
      <c r="I166" s="710"/>
      <c r="J166" s="710"/>
      <c r="K166" s="710"/>
      <c r="L166" s="710"/>
      <c r="M166" s="710"/>
      <c r="N166" s="710"/>
      <c r="O166" s="710"/>
      <c r="P166" s="710"/>
      <c r="Q166" s="710"/>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150"/>
      <c r="B167" s="4151"/>
      <c r="C167" s="4151"/>
      <c r="D167" s="4151"/>
      <c r="E167" s="4151"/>
      <c r="F167" s="4151"/>
      <c r="G167" s="4151"/>
      <c r="H167" s="4151"/>
      <c r="I167" s="4151"/>
      <c r="J167" s="4151"/>
      <c r="K167" s="4151"/>
      <c r="L167" s="4151"/>
      <c r="M167" s="4151"/>
      <c r="N167" s="4151"/>
      <c r="O167" s="4151"/>
      <c r="P167" s="4151"/>
      <c r="Q167" s="4152"/>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2"/>
      <c r="B168" s="714"/>
      <c r="C168" s="710"/>
      <c r="D168" s="710"/>
      <c r="E168" s="710"/>
      <c r="F168" s="710"/>
      <c r="G168" s="710"/>
      <c r="H168" s="710"/>
      <c r="I168" s="710"/>
      <c r="J168" s="710"/>
      <c r="K168" s="710"/>
      <c r="L168" s="710"/>
      <c r="M168" s="710"/>
      <c r="N168" s="710"/>
      <c r="O168" s="710"/>
      <c r="P168" s="710"/>
      <c r="Q168" s="542"/>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1436</v>
      </c>
      <c r="B169" s="2" t="s">
        <v>1437</v>
      </c>
      <c r="C169" s="2"/>
      <c r="D169" s="710"/>
      <c r="E169" s="2678"/>
      <c r="F169" s="153"/>
      <c r="G169" s="710"/>
      <c r="H169" s="79"/>
      <c r="I169" s="79"/>
      <c r="J169" s="348"/>
      <c r="K169" s="348"/>
      <c r="L169" s="348"/>
      <c r="M169" s="348"/>
      <c r="N169" s="684" t="s">
        <v>2203</v>
      </c>
      <c r="O169" s="68" t="s">
        <v>1397</v>
      </c>
      <c r="P169" s="4145"/>
      <c r="Q169" s="4146"/>
      <c r="R169" s="686" t="s">
        <v>2204</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2264</v>
      </c>
      <c r="N170" s="60"/>
      <c r="O170" s="60"/>
      <c r="P170" s="60"/>
      <c r="Q170" s="60"/>
      <c r="S170" s="1137"/>
      <c r="T170" s="1137"/>
      <c r="U170" s="1137"/>
      <c r="V170" s="1137"/>
      <c r="W170" s="1137"/>
      <c r="X170" s="1137"/>
      <c r="Y170" s="1137"/>
      <c r="Z170" s="1137"/>
      <c r="AA170" s="1137"/>
      <c r="AB170" s="1137"/>
      <c r="AC170" s="1137"/>
      <c r="AD170" s="1137"/>
      <c r="AE170" s="1137"/>
      <c r="AF170" s="1137"/>
      <c r="AG170" s="1137"/>
      <c r="AH170" s="1137"/>
      <c r="AI170" s="1137"/>
      <c r="AJ170" s="1137"/>
      <c r="AK170" s="1137"/>
      <c r="AL170" s="1137"/>
      <c r="AM170" s="1137"/>
      <c r="AN170" s="1137"/>
      <c r="AO170" s="1137"/>
      <c r="AP170" s="1137"/>
      <c r="AQ170" s="1137"/>
      <c r="AR170" s="1137"/>
    </row>
    <row r="171" spans="1:44" ht="12.75" customHeight="1">
      <c r="A171" s="74"/>
      <c r="B171" s="75" t="s">
        <v>2277</v>
      </c>
      <c r="C171" s="79"/>
      <c r="D171" s="75"/>
      <c r="E171" s="75"/>
      <c r="F171" s="75"/>
      <c r="G171" s="75"/>
      <c r="H171" s="30" t="s">
        <v>1459</v>
      </c>
      <c r="I171" s="15" t="s">
        <v>2278</v>
      </c>
      <c r="J171" s="4164" t="s">
        <v>1440</v>
      </c>
      <c r="K171" s="4165"/>
      <c r="L171" s="4165"/>
      <c r="M171" s="4165"/>
      <c r="N171" s="4166"/>
      <c r="O171" s="30" t="s">
        <v>1459</v>
      </c>
      <c r="P171" s="1033"/>
      <c r="Q171" s="1034"/>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1403</v>
      </c>
      <c r="C172" s="51"/>
      <c r="D172" s="51"/>
      <c r="E172" s="51"/>
      <c r="F172" s="51"/>
      <c r="G172" s="79"/>
      <c r="H172" s="30" t="s">
        <v>1462</v>
      </c>
      <c r="I172" s="15" t="s">
        <v>770</v>
      </c>
      <c r="J172" s="4188" t="s">
        <v>1440</v>
      </c>
      <c r="K172" s="4189"/>
      <c r="L172" s="4189"/>
      <c r="M172" s="4189"/>
      <c r="N172" s="4190"/>
      <c r="O172" s="30" t="s">
        <v>1462</v>
      </c>
      <c r="P172" s="124"/>
      <c r="Q172" s="316"/>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153"/>
      <c r="B173" s="4154"/>
      <c r="C173" s="4154"/>
      <c r="D173" s="4154"/>
      <c r="E173" s="4154"/>
      <c r="F173" s="4154"/>
      <c r="G173" s="4154"/>
      <c r="H173" s="4154"/>
      <c r="I173" s="4154"/>
      <c r="J173" s="4154"/>
      <c r="K173" s="4154"/>
      <c r="L173" s="4154"/>
      <c r="M173" s="4154"/>
      <c r="N173" s="4154"/>
      <c r="O173" s="4154"/>
      <c r="P173" s="4154"/>
      <c r="Q173" s="4155"/>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1399</v>
      </c>
      <c r="C174" s="73"/>
      <c r="D174" s="710"/>
      <c r="E174" s="710"/>
      <c r="F174" s="710"/>
      <c r="G174" s="710"/>
      <c r="H174" s="710"/>
      <c r="I174" s="710"/>
      <c r="J174" s="710"/>
      <c r="K174" s="710"/>
      <c r="L174" s="710"/>
      <c r="M174" s="710"/>
      <c r="N174" s="710"/>
      <c r="O174" s="710"/>
      <c r="P174" s="710"/>
      <c r="Q174" s="710"/>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150"/>
      <c r="B175" s="4151"/>
      <c r="C175" s="4151"/>
      <c r="D175" s="4151"/>
      <c r="E175" s="4151"/>
      <c r="F175" s="4151"/>
      <c r="G175" s="4151"/>
      <c r="H175" s="4151"/>
      <c r="I175" s="4151"/>
      <c r="J175" s="4151"/>
      <c r="K175" s="4151"/>
      <c r="L175" s="4151"/>
      <c r="M175" s="4151"/>
      <c r="N175" s="4151"/>
      <c r="O175" s="4151"/>
      <c r="P175" s="4151"/>
      <c r="Q175" s="4152"/>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14"/>
      <c r="C176" s="710"/>
      <c r="D176" s="710"/>
      <c r="E176" s="710"/>
      <c r="F176" s="710"/>
      <c r="G176" s="710"/>
      <c r="H176" s="710"/>
      <c r="I176" s="710"/>
      <c r="J176" s="710"/>
      <c r="K176" s="710"/>
      <c r="L176" s="710"/>
      <c r="M176" s="710"/>
      <c r="N176" s="79"/>
      <c r="O176" s="79"/>
      <c r="P176" s="79"/>
      <c r="Q176" s="542"/>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1443</v>
      </c>
      <c r="B177" s="4" t="s">
        <v>2279</v>
      </c>
      <c r="C177" s="4"/>
      <c r="D177" s="40"/>
      <c r="E177" s="40"/>
      <c r="F177" s="40"/>
      <c r="G177" s="710"/>
      <c r="H177" s="710"/>
      <c r="I177" s="1254"/>
      <c r="J177" s="710"/>
      <c r="K177" s="710"/>
      <c r="L177" s="710"/>
      <c r="M177" s="710"/>
      <c r="N177" s="684" t="s">
        <v>2203</v>
      </c>
      <c r="O177" s="68" t="s">
        <v>1397</v>
      </c>
      <c r="P177" s="4145"/>
      <c r="Q177" s="4146"/>
      <c r="R177" s="686" t="s">
        <v>2204</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2264</v>
      </c>
      <c r="N178" s="60"/>
      <c r="O178" s="60"/>
      <c r="P178" s="60"/>
      <c r="Q178" s="60"/>
      <c r="S178" s="1137"/>
      <c r="T178" s="1137"/>
      <c r="U178" s="1137"/>
      <c r="V178" s="1137"/>
      <c r="W178" s="1137"/>
      <c r="X178" s="1137"/>
      <c r="Y178" s="1137"/>
      <c r="Z178" s="1137"/>
      <c r="AA178" s="1137"/>
      <c r="AB178" s="1137"/>
      <c r="AC178" s="1137"/>
      <c r="AD178" s="1137"/>
      <c r="AE178" s="1137"/>
      <c r="AF178" s="1137"/>
      <c r="AG178" s="1137"/>
      <c r="AH178" s="1137"/>
      <c r="AI178" s="1137"/>
      <c r="AJ178" s="1137"/>
      <c r="AK178" s="1137"/>
      <c r="AL178" s="1137"/>
      <c r="AM178" s="1137"/>
      <c r="AN178" s="1137"/>
      <c r="AO178" s="1137"/>
      <c r="AP178" s="1137"/>
      <c r="AQ178" s="1137"/>
      <c r="AR178" s="1137"/>
    </row>
    <row r="179" spans="1:44" ht="12.75" customHeight="1">
      <c r="A179" s="77" t="s">
        <v>194</v>
      </c>
      <c r="B179" s="4142" t="s">
        <v>2280</v>
      </c>
      <c r="C179" s="4142"/>
      <c r="D179" s="4142"/>
      <c r="E179" s="4142"/>
      <c r="F179" s="4142"/>
      <c r="G179" s="4142"/>
      <c r="H179" s="30" t="s">
        <v>1459</v>
      </c>
      <c r="I179" s="15" t="s">
        <v>2281</v>
      </c>
      <c r="J179" s="4164" t="s">
        <v>1440</v>
      </c>
      <c r="K179" s="4165"/>
      <c r="L179" s="4165"/>
      <c r="M179" s="4165"/>
      <c r="N179" s="4166"/>
      <c r="O179" s="88" t="s">
        <v>2282</v>
      </c>
      <c r="P179" s="1033"/>
      <c r="Q179" s="1034"/>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142"/>
      <c r="C180" s="4142"/>
      <c r="D180" s="4142"/>
      <c r="E180" s="4142"/>
      <c r="F180" s="4142"/>
      <c r="G180" s="4142"/>
      <c r="H180" s="30" t="s">
        <v>1462</v>
      </c>
      <c r="I180" s="15" t="s">
        <v>2283</v>
      </c>
      <c r="J180" s="4188" t="s">
        <v>1440</v>
      </c>
      <c r="K180" s="4189"/>
      <c r="L180" s="4189"/>
      <c r="M180" s="4189"/>
      <c r="N180" s="4190"/>
      <c r="O180" s="88" t="s">
        <v>1462</v>
      </c>
      <c r="P180" s="1449"/>
      <c r="Q180" s="543"/>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206</v>
      </c>
      <c r="B181" s="18" t="s">
        <v>1459</v>
      </c>
      <c r="C181" s="15" t="s">
        <v>2284</v>
      </c>
      <c r="D181" s="79"/>
      <c r="E181" s="15"/>
      <c r="F181" s="15"/>
      <c r="G181" s="15"/>
      <c r="H181" s="15"/>
      <c r="I181" s="15"/>
      <c r="J181" s="15"/>
      <c r="K181" s="45"/>
      <c r="L181" s="15"/>
      <c r="M181" s="15"/>
      <c r="N181" s="79"/>
      <c r="O181" s="88" t="s">
        <v>2285</v>
      </c>
      <c r="P181" s="1033"/>
      <c r="Q181" s="1034"/>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1462</v>
      </c>
      <c r="C182" s="15" t="s">
        <v>2286</v>
      </c>
      <c r="D182" s="15"/>
      <c r="E182" s="15"/>
      <c r="F182" s="15"/>
      <c r="G182" s="15"/>
      <c r="H182" s="15"/>
      <c r="I182" s="15"/>
      <c r="J182" s="15"/>
      <c r="K182" s="45"/>
      <c r="L182" s="15"/>
      <c r="M182" s="15"/>
      <c r="N182" s="79"/>
      <c r="O182" s="88" t="s">
        <v>1462</v>
      </c>
      <c r="P182" s="124"/>
      <c r="Q182" s="316"/>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227</v>
      </c>
      <c r="B183" s="15" t="s">
        <v>2287</v>
      </c>
      <c r="C183" s="79"/>
      <c r="D183" s="15"/>
      <c r="E183" s="15"/>
      <c r="F183" s="15"/>
      <c r="G183" s="15"/>
      <c r="H183" s="15"/>
      <c r="I183" s="15"/>
      <c r="J183" s="15"/>
      <c r="K183" s="45"/>
      <c r="L183" s="15"/>
      <c r="M183" s="15"/>
      <c r="N183" s="79"/>
      <c r="O183" s="30" t="s">
        <v>227</v>
      </c>
      <c r="P183" s="1127"/>
      <c r="Q183" s="1126"/>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1403</v>
      </c>
      <c r="C184" s="79"/>
      <c r="D184" s="76"/>
      <c r="E184" s="76"/>
      <c r="F184" s="76"/>
      <c r="G184" s="76"/>
      <c r="H184" s="18"/>
      <c r="I184" s="714"/>
      <c r="J184" s="714"/>
      <c r="K184" s="714"/>
      <c r="L184" s="542"/>
      <c r="M184" s="542"/>
      <c r="N184" s="542"/>
      <c r="O184" s="542"/>
      <c r="P184" s="542"/>
      <c r="Q184" s="542"/>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153"/>
      <c r="B185" s="4154"/>
      <c r="C185" s="4154"/>
      <c r="D185" s="4154"/>
      <c r="E185" s="4154"/>
      <c r="F185" s="4154"/>
      <c r="G185" s="4154"/>
      <c r="H185" s="4154"/>
      <c r="I185" s="4154"/>
      <c r="J185" s="4154"/>
      <c r="K185" s="4154"/>
      <c r="L185" s="4154"/>
      <c r="M185" s="4154"/>
      <c r="N185" s="4154"/>
      <c r="O185" s="4154"/>
      <c r="P185" s="4154"/>
      <c r="Q185" s="4155"/>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1399</v>
      </c>
      <c r="C186" s="73"/>
      <c r="D186" s="710"/>
      <c r="E186" s="710"/>
      <c r="F186" s="710"/>
      <c r="G186" s="710"/>
      <c r="H186" s="710"/>
      <c r="I186" s="710"/>
      <c r="J186" s="710"/>
      <c r="K186" s="710"/>
      <c r="L186" s="710"/>
      <c r="M186" s="710"/>
      <c r="N186" s="710"/>
      <c r="O186" s="710"/>
      <c r="P186" s="710"/>
      <c r="Q186" s="710"/>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150"/>
      <c r="B187" s="4151"/>
      <c r="C187" s="4151"/>
      <c r="D187" s="4151"/>
      <c r="E187" s="4151"/>
      <c r="F187" s="4151"/>
      <c r="G187" s="4151"/>
      <c r="H187" s="4151"/>
      <c r="I187" s="4151"/>
      <c r="J187" s="4151"/>
      <c r="K187" s="4151"/>
      <c r="L187" s="4151"/>
      <c r="M187" s="4151"/>
      <c r="N187" s="4151"/>
      <c r="O187" s="4151"/>
      <c r="P187" s="4151"/>
      <c r="Q187" s="4152"/>
      <c r="R187" s="79"/>
      <c r="S187" s="1141"/>
      <c r="T187" s="1141"/>
      <c r="U187" s="1141"/>
      <c r="V187" s="1141"/>
      <c r="W187" s="1141"/>
      <c r="X187" s="1141"/>
      <c r="Y187" s="1141"/>
      <c r="Z187" s="1141"/>
      <c r="AA187" s="1141"/>
      <c r="AB187" s="1141"/>
      <c r="AC187" s="1141"/>
      <c r="AD187" s="1141"/>
      <c r="AE187" s="1141"/>
      <c r="AF187" s="1141"/>
      <c r="AG187" s="1141"/>
      <c r="AH187" s="1141"/>
      <c r="AI187" s="1141"/>
      <c r="AJ187" s="1141"/>
      <c r="AK187" s="1141"/>
      <c r="AL187" s="1141"/>
      <c r="AM187" s="1141"/>
      <c r="AN187" s="1141"/>
      <c r="AO187" s="1141"/>
      <c r="AP187" s="1141"/>
      <c r="AQ187" s="1141"/>
      <c r="AR187" s="1141"/>
    </row>
    <row r="188" spans="1:44" ht="3" customHeight="1">
      <c r="A188" s="542"/>
      <c r="B188" s="714"/>
      <c r="C188" s="710"/>
      <c r="D188" s="710"/>
      <c r="E188" s="710"/>
      <c r="F188" s="710"/>
      <c r="G188" s="710"/>
      <c r="H188" s="710"/>
      <c r="I188" s="710"/>
      <c r="J188" s="710"/>
      <c r="K188" s="710"/>
      <c r="L188" s="710"/>
      <c r="M188" s="710"/>
      <c r="N188" s="79"/>
      <c r="O188" s="79"/>
      <c r="P188" s="79"/>
      <c r="Q188" s="542"/>
      <c r="R188" s="79"/>
      <c r="S188" s="1141"/>
      <c r="T188" s="1141"/>
      <c r="U188" s="1141"/>
      <c r="V188" s="1141"/>
      <c r="W188" s="1141"/>
      <c r="X188" s="1141"/>
      <c r="Y188" s="1141"/>
      <c r="Z188" s="1141"/>
      <c r="AA188" s="1141"/>
      <c r="AB188" s="1141"/>
      <c r="AC188" s="1141"/>
      <c r="AD188" s="1141"/>
      <c r="AE188" s="1141"/>
      <c r="AF188" s="1141"/>
      <c r="AG188" s="1141"/>
      <c r="AH188" s="1141"/>
      <c r="AI188" s="1141"/>
      <c r="AJ188" s="1141"/>
      <c r="AK188" s="1141"/>
      <c r="AL188" s="1141"/>
      <c r="AM188" s="1141"/>
      <c r="AN188" s="1141"/>
      <c r="AO188" s="1141"/>
      <c r="AP188" s="1141"/>
      <c r="AQ188" s="1141"/>
      <c r="AR188" s="1141"/>
    </row>
    <row r="189" spans="1:44" ht="14.1" customHeight="1">
      <c r="A189" s="2" t="s">
        <v>1449</v>
      </c>
      <c r="B189" s="2" t="s">
        <v>1450</v>
      </c>
      <c r="C189" s="58"/>
      <c r="D189" s="710"/>
      <c r="E189" s="710"/>
      <c r="F189" s="710"/>
      <c r="G189" s="710"/>
      <c r="H189" s="710"/>
      <c r="I189" s="710"/>
      <c r="J189" s="710"/>
      <c r="K189" s="710"/>
      <c r="L189" s="710"/>
      <c r="M189" s="710"/>
      <c r="N189" s="79"/>
      <c r="O189" s="68" t="s">
        <v>1397</v>
      </c>
      <c r="P189" s="4145"/>
      <c r="Q189" s="4146"/>
      <c r="R189" s="79"/>
      <c r="S189" s="1141"/>
      <c r="T189" s="1141"/>
      <c r="U189" s="1141"/>
      <c r="V189" s="1141"/>
      <c r="W189" s="1141"/>
      <c r="X189" s="1141"/>
      <c r="Y189" s="1141"/>
      <c r="Z189" s="1141"/>
      <c r="AA189" s="1141"/>
      <c r="AB189" s="1141"/>
      <c r="AC189" s="1141"/>
      <c r="AD189" s="1141"/>
      <c r="AE189" s="1141"/>
      <c r="AF189" s="1141"/>
      <c r="AG189" s="1141"/>
      <c r="AH189" s="1141"/>
      <c r="AI189" s="1141"/>
      <c r="AJ189" s="1141"/>
      <c r="AK189" s="1141"/>
      <c r="AL189" s="1141"/>
      <c r="AM189" s="1141"/>
      <c r="AN189" s="1141"/>
      <c r="AO189" s="1141"/>
      <c r="AP189" s="1141"/>
      <c r="AQ189" s="1141"/>
      <c r="AR189" s="1141"/>
    </row>
    <row r="190" spans="1:44" customFormat="1" ht="12.75" customHeight="1">
      <c r="B190" s="27" t="s">
        <v>2288</v>
      </c>
      <c r="N190" s="60"/>
      <c r="P190" s="276"/>
      <c r="Q190" s="314"/>
      <c r="S190" s="1137"/>
      <c r="T190" s="1137"/>
      <c r="U190" s="1137"/>
      <c r="V190" s="1137"/>
      <c r="W190" s="1137"/>
      <c r="X190" s="1137"/>
      <c r="Y190" s="1137"/>
      <c r="Z190" s="1137"/>
      <c r="AA190" s="1137"/>
      <c r="AB190" s="1137"/>
      <c r="AC190" s="1137"/>
      <c r="AD190" s="1137"/>
      <c r="AE190" s="1137"/>
      <c r="AF190" s="1137"/>
      <c r="AG190" s="1137"/>
      <c r="AH190" s="1137"/>
      <c r="AI190" s="1137"/>
      <c r="AJ190" s="1137"/>
      <c r="AK190" s="1137"/>
      <c r="AL190" s="1137"/>
      <c r="AM190" s="1137"/>
      <c r="AN190" s="1137"/>
      <c r="AO190" s="1137"/>
      <c r="AP190" s="1137"/>
      <c r="AQ190" s="1137"/>
      <c r="AR190" s="1137"/>
    </row>
    <row r="191" spans="1:44" ht="12.75" customHeight="1">
      <c r="A191" s="24" t="s">
        <v>194</v>
      </c>
      <c r="B191" s="15" t="s">
        <v>2289</v>
      </c>
      <c r="C191" s="79"/>
      <c r="D191" s="45"/>
      <c r="E191" s="45"/>
      <c r="F191" s="45"/>
      <c r="G191" s="45"/>
      <c r="H191" s="45"/>
      <c r="I191" s="45"/>
      <c r="J191" s="45"/>
      <c r="K191" s="45"/>
      <c r="L191" s="45"/>
      <c r="M191" s="45"/>
      <c r="N191" s="79"/>
      <c r="O191" s="30" t="s">
        <v>194</v>
      </c>
      <c r="P191" s="276"/>
      <c r="Q191" s="1034"/>
      <c r="R191" s="79"/>
      <c r="S191" s="1141"/>
      <c r="T191" s="1141"/>
      <c r="U191" s="1141"/>
      <c r="V191" s="1141"/>
      <c r="W191" s="1141"/>
      <c r="X191" s="1141"/>
      <c r="Y191" s="1141"/>
      <c r="Z191" s="1141"/>
      <c r="AA191" s="1141"/>
      <c r="AB191" s="1141"/>
      <c r="AC191" s="1141"/>
      <c r="AD191" s="1141"/>
      <c r="AE191" s="1141"/>
      <c r="AF191" s="1141"/>
      <c r="AG191" s="1141"/>
      <c r="AH191" s="1141"/>
      <c r="AI191" s="1141"/>
      <c r="AJ191" s="1141"/>
      <c r="AK191" s="1141"/>
      <c r="AL191" s="1141"/>
      <c r="AM191" s="1141"/>
      <c r="AN191" s="1141"/>
      <c r="AO191" s="1141"/>
      <c r="AP191" s="1141"/>
      <c r="AQ191" s="1141"/>
      <c r="AR191" s="1141"/>
    </row>
    <row r="192" spans="1:44" ht="12.75" customHeight="1">
      <c r="A192" s="24"/>
      <c r="B192" s="18" t="s">
        <v>1459</v>
      </c>
      <c r="C192" s="15" t="s">
        <v>1453</v>
      </c>
      <c r="D192" s="79"/>
      <c r="E192" s="15"/>
      <c r="F192" s="15"/>
      <c r="G192" s="15"/>
      <c r="H192" s="15"/>
      <c r="I192" s="45"/>
      <c r="J192" s="30" t="s">
        <v>2282</v>
      </c>
      <c r="K192" s="4164" t="s">
        <v>712</v>
      </c>
      <c r="L192" s="4166"/>
      <c r="M192" s="79"/>
      <c r="N192" s="79"/>
      <c r="O192" s="79"/>
      <c r="P192" s="79"/>
      <c r="Q192" s="315"/>
      <c r="R192" s="79"/>
      <c r="S192" s="1141"/>
      <c r="T192" s="1141"/>
      <c r="U192" s="1141"/>
      <c r="V192" s="1141"/>
      <c r="W192" s="1141"/>
      <c r="X192" s="1141"/>
      <c r="Y192" s="1141"/>
      <c r="Z192" s="1141"/>
      <c r="AA192" s="1141"/>
      <c r="AB192" s="1141"/>
      <c r="AC192" s="1141"/>
      <c r="AD192" s="1141"/>
      <c r="AE192" s="1141"/>
      <c r="AF192" s="1141"/>
      <c r="AG192" s="1141"/>
      <c r="AH192" s="1141"/>
      <c r="AI192" s="1141"/>
      <c r="AJ192" s="1141"/>
      <c r="AK192" s="1141"/>
      <c r="AL192" s="1141"/>
      <c r="AM192" s="1141"/>
      <c r="AN192" s="1141"/>
      <c r="AO192" s="1141"/>
      <c r="AP192" s="1141"/>
      <c r="AQ192" s="1141"/>
      <c r="AR192" s="1141"/>
    </row>
    <row r="193" spans="1:44" ht="12.75" customHeight="1">
      <c r="A193" s="24"/>
      <c r="B193" s="18" t="s">
        <v>1462</v>
      </c>
      <c r="C193" s="18" t="s">
        <v>1454</v>
      </c>
      <c r="D193" s="79"/>
      <c r="E193" s="18"/>
      <c r="F193" s="18"/>
      <c r="G193" s="18"/>
      <c r="H193" s="18"/>
      <c r="I193" s="45"/>
      <c r="J193" s="30" t="s">
        <v>2290</v>
      </c>
      <c r="K193" s="4283" t="s">
        <v>712</v>
      </c>
      <c r="L193" s="4284"/>
      <c r="M193" s="79"/>
      <c r="N193" s="79"/>
      <c r="O193" s="79"/>
      <c r="P193" s="79"/>
      <c r="Q193" s="4292"/>
      <c r="R193" s="79"/>
      <c r="S193" s="1141"/>
      <c r="T193" s="1141"/>
      <c r="U193" s="1141"/>
      <c r="V193" s="1141"/>
      <c r="W193" s="1141"/>
      <c r="X193" s="1141"/>
      <c r="Y193" s="1141"/>
      <c r="Z193" s="1141"/>
      <c r="AA193" s="1141"/>
      <c r="AB193" s="1141"/>
      <c r="AC193" s="1141"/>
      <c r="AD193" s="1141"/>
      <c r="AE193" s="1141"/>
      <c r="AF193" s="1141"/>
      <c r="AG193" s="1141"/>
      <c r="AH193" s="1141"/>
      <c r="AI193" s="1141"/>
      <c r="AJ193" s="1141"/>
      <c r="AK193" s="1141"/>
      <c r="AL193" s="1141"/>
      <c r="AM193" s="1141"/>
      <c r="AN193" s="1141"/>
      <c r="AO193" s="1141"/>
      <c r="AP193" s="1141"/>
      <c r="AQ193" s="1141"/>
      <c r="AR193" s="1141"/>
    </row>
    <row r="194" spans="1:44" ht="12.75" customHeight="1">
      <c r="A194" s="24"/>
      <c r="B194" s="18"/>
      <c r="C194" s="4289" t="s">
        <v>1455</v>
      </c>
      <c r="D194" s="4290"/>
      <c r="E194" s="4290"/>
      <c r="F194" s="4290"/>
      <c r="G194" s="4290"/>
      <c r="H194" s="4290"/>
      <c r="I194" s="4290"/>
      <c r="J194" s="4290"/>
      <c r="K194" s="4290"/>
      <c r="L194" s="4290"/>
      <c r="M194" s="4290"/>
      <c r="N194" s="4290"/>
      <c r="O194" s="4291"/>
      <c r="P194" s="79"/>
      <c r="Q194" s="4293"/>
      <c r="R194" s="79"/>
      <c r="S194" s="1141"/>
      <c r="T194" s="1141"/>
      <c r="U194" s="1141"/>
      <c r="V194" s="1141"/>
      <c r="W194" s="1141"/>
      <c r="X194" s="1141"/>
      <c r="Y194" s="1141"/>
      <c r="Z194" s="1141"/>
      <c r="AA194" s="1141"/>
      <c r="AB194" s="1141"/>
      <c r="AC194" s="1141"/>
      <c r="AD194" s="1141"/>
      <c r="AE194" s="1141"/>
      <c r="AF194" s="1141"/>
      <c r="AG194" s="1141"/>
      <c r="AH194" s="1141"/>
      <c r="AI194" s="1141"/>
      <c r="AJ194" s="1141"/>
      <c r="AK194" s="1141"/>
      <c r="AL194" s="1141"/>
      <c r="AM194" s="1141"/>
      <c r="AN194" s="1141"/>
      <c r="AO194" s="1141"/>
      <c r="AP194" s="1141"/>
      <c r="AQ194" s="1141"/>
      <c r="AR194" s="1141"/>
    </row>
    <row r="195" spans="1:44" ht="12.75" customHeight="1">
      <c r="A195" s="24"/>
      <c r="B195" s="18" t="s">
        <v>1463</v>
      </c>
      <c r="C195" s="18" t="s">
        <v>1456</v>
      </c>
      <c r="D195" s="79"/>
      <c r="E195" s="18"/>
      <c r="F195" s="18"/>
      <c r="G195" s="18"/>
      <c r="H195" s="18"/>
      <c r="I195" s="45"/>
      <c r="J195" s="30" t="s">
        <v>2291</v>
      </c>
      <c r="K195" s="4277" t="s">
        <v>712</v>
      </c>
      <c r="L195" s="4278"/>
      <c r="M195" s="4278"/>
      <c r="N195" s="4279"/>
      <c r="O195" s="246"/>
      <c r="P195" s="2729"/>
      <c r="Q195" s="1126"/>
      <c r="R195" s="45"/>
      <c r="S195" s="1141"/>
      <c r="T195" s="1141"/>
      <c r="U195" s="1141"/>
      <c r="V195" s="1141"/>
      <c r="W195" s="1141"/>
      <c r="X195" s="1141"/>
      <c r="Y195" s="1141"/>
      <c r="Z195" s="1141"/>
      <c r="AA195" s="1141"/>
      <c r="AB195" s="1141"/>
      <c r="AC195" s="1141"/>
      <c r="AD195" s="1141"/>
      <c r="AE195" s="1141"/>
      <c r="AF195" s="1141"/>
      <c r="AG195" s="1141"/>
      <c r="AH195" s="1141"/>
      <c r="AI195" s="1141"/>
      <c r="AJ195" s="1141"/>
      <c r="AK195" s="1141"/>
      <c r="AL195" s="1141"/>
      <c r="AM195" s="1141"/>
      <c r="AN195" s="1141"/>
      <c r="AO195" s="1141"/>
      <c r="AP195" s="1141"/>
      <c r="AQ195" s="1141"/>
      <c r="AR195" s="1141"/>
    </row>
    <row r="196" spans="1:44" ht="12.75" customHeight="1">
      <c r="A196" s="24" t="s">
        <v>206</v>
      </c>
      <c r="B196" s="15" t="s">
        <v>2292</v>
      </c>
      <c r="C196" s="79"/>
      <c r="D196" s="15"/>
      <c r="E196" s="15"/>
      <c r="F196" s="15"/>
      <c r="G196" s="15"/>
      <c r="H196" s="15"/>
      <c r="I196" s="15"/>
      <c r="J196" s="15"/>
      <c r="K196" s="45"/>
      <c r="L196" s="45"/>
      <c r="M196" s="45"/>
      <c r="N196" s="45"/>
      <c r="O196" s="30" t="s">
        <v>206</v>
      </c>
      <c r="P196" s="276"/>
      <c r="Q196" s="314"/>
      <c r="R196" s="79"/>
      <c r="S196" s="1141"/>
      <c r="T196" s="1141"/>
      <c r="U196" s="1141"/>
      <c r="V196" s="1141"/>
      <c r="W196" s="1141"/>
      <c r="X196" s="1141"/>
      <c r="Y196" s="1141"/>
      <c r="Z196" s="1141"/>
      <c r="AA196" s="1141"/>
      <c r="AB196" s="1141"/>
      <c r="AC196" s="1141"/>
      <c r="AD196" s="1141"/>
      <c r="AE196" s="1141"/>
      <c r="AF196" s="1141"/>
      <c r="AG196" s="1141"/>
      <c r="AH196" s="1141"/>
      <c r="AI196" s="1141"/>
      <c r="AJ196" s="1141"/>
      <c r="AK196" s="1141"/>
      <c r="AL196" s="1141"/>
      <c r="AM196" s="1141"/>
      <c r="AN196" s="1141"/>
      <c r="AO196" s="1141"/>
      <c r="AP196" s="1141"/>
      <c r="AQ196" s="1141"/>
      <c r="AR196" s="1141"/>
    </row>
    <row r="197" spans="1:44" ht="12.75" customHeight="1">
      <c r="A197" s="24"/>
      <c r="B197" s="15" t="s">
        <v>2293</v>
      </c>
      <c r="C197" s="79"/>
      <c r="D197" s="15"/>
      <c r="E197" s="15"/>
      <c r="F197" s="15"/>
      <c r="G197" s="15"/>
      <c r="H197" s="15"/>
      <c r="I197" s="15"/>
      <c r="J197" s="15"/>
      <c r="K197" s="45"/>
      <c r="L197" s="45"/>
      <c r="M197" s="45"/>
      <c r="N197" s="30" t="s">
        <v>635</v>
      </c>
      <c r="O197" s="994">
        <f>'Part V-Revenues &amp; Expenses'!$P$67</f>
        <v>199</v>
      </c>
      <c r="P197" s="4171" t="s">
        <v>2294</v>
      </c>
      <c r="Q197" s="4171"/>
      <c r="R197" s="79"/>
      <c r="S197" s="1141"/>
      <c r="T197" s="1141"/>
      <c r="U197" s="1141"/>
      <c r="V197" s="1141"/>
      <c r="W197" s="1141"/>
      <c r="X197" s="1141"/>
      <c r="Y197" s="1141"/>
      <c r="Z197" s="1141"/>
      <c r="AA197" s="1141"/>
      <c r="AB197" s="1141"/>
      <c r="AC197" s="1141"/>
      <c r="AD197" s="1141"/>
      <c r="AE197" s="1141"/>
      <c r="AF197" s="1141"/>
      <c r="AG197" s="1141"/>
      <c r="AH197" s="1141"/>
      <c r="AI197" s="1141"/>
      <c r="AJ197" s="1141"/>
      <c r="AK197" s="1141"/>
      <c r="AL197" s="1141"/>
      <c r="AM197" s="1141"/>
      <c r="AN197" s="1141"/>
      <c r="AO197" s="1141"/>
      <c r="AP197" s="1141"/>
      <c r="AQ197" s="1141"/>
      <c r="AR197" s="1141"/>
    </row>
    <row r="198" spans="1:44" ht="12.75" customHeight="1">
      <c r="A198" s="24"/>
      <c r="B198" s="18" t="s">
        <v>1459</v>
      </c>
      <c r="C198" s="15" t="s">
        <v>2295</v>
      </c>
      <c r="D198" s="15"/>
      <c r="E198" s="15"/>
      <c r="F198" s="15"/>
      <c r="G198" s="79"/>
      <c r="H198" s="30" t="s">
        <v>2296</v>
      </c>
      <c r="I198" s="15" t="s">
        <v>2297</v>
      </c>
      <c r="J198" s="79"/>
      <c r="K198" s="79"/>
      <c r="L198" s="79"/>
      <c r="M198" s="45"/>
      <c r="N198" s="45"/>
      <c r="O198" s="149"/>
      <c r="P198" s="700" t="s">
        <v>2298</v>
      </c>
      <c r="Q198" s="986" t="s">
        <v>2299</v>
      </c>
      <c r="R198" s="79"/>
      <c r="S198" s="1141"/>
      <c r="T198" s="1141"/>
      <c r="U198" s="1141"/>
      <c r="V198" s="1141"/>
      <c r="W198" s="1141"/>
      <c r="X198" s="1141"/>
      <c r="Y198" s="1141"/>
      <c r="Z198" s="1141"/>
      <c r="AA198" s="1141"/>
      <c r="AB198" s="1141"/>
      <c r="AC198" s="1141"/>
      <c r="AD198" s="1141"/>
      <c r="AE198" s="1141"/>
      <c r="AF198" s="1141"/>
      <c r="AG198" s="1141"/>
      <c r="AH198" s="1141"/>
      <c r="AI198" s="1141"/>
      <c r="AJ198" s="1141"/>
      <c r="AK198" s="1141"/>
      <c r="AL198" s="1141"/>
      <c r="AM198" s="1141"/>
      <c r="AN198" s="1141"/>
      <c r="AO198" s="1141"/>
      <c r="AP198" s="1141"/>
      <c r="AQ198" s="1141"/>
      <c r="AR198" s="1141"/>
    </row>
    <row r="199" spans="1:44" s="21" customFormat="1" ht="12.75" customHeight="1">
      <c r="A199" s="26"/>
      <c r="B199" s="30" t="s">
        <v>211</v>
      </c>
      <c r="C199" s="4211" t="s">
        <v>1460</v>
      </c>
      <c r="D199" s="4212"/>
      <c r="E199" s="4212"/>
      <c r="F199" s="4212"/>
      <c r="G199" s="4213"/>
      <c r="H199" s="30" t="s">
        <v>211</v>
      </c>
      <c r="I199" s="3088" t="s">
        <v>2300</v>
      </c>
      <c r="J199" s="3034"/>
      <c r="K199" s="3034"/>
      <c r="L199" s="3034"/>
      <c r="M199" s="3034"/>
      <c r="N199" s="3034"/>
      <c r="O199" s="3035"/>
      <c r="P199" s="1034"/>
      <c r="Q199" s="2835"/>
      <c r="S199" s="1138"/>
      <c r="T199" s="1138"/>
      <c r="U199" s="1138"/>
      <c r="V199" s="1138"/>
      <c r="W199" s="1138"/>
      <c r="X199" s="1138"/>
      <c r="Y199" s="1138"/>
      <c r="Z199" s="1138"/>
      <c r="AA199" s="1138"/>
      <c r="AB199" s="1138"/>
      <c r="AC199" s="1138"/>
      <c r="AD199" s="1138"/>
      <c r="AE199" s="1138"/>
      <c r="AF199" s="1138"/>
      <c r="AG199" s="1138"/>
      <c r="AH199" s="1138"/>
      <c r="AI199" s="1138"/>
      <c r="AJ199" s="1138"/>
      <c r="AK199" s="1138"/>
      <c r="AL199" s="1138"/>
      <c r="AM199" s="1138"/>
      <c r="AN199" s="1138"/>
      <c r="AO199" s="1138"/>
      <c r="AP199" s="1138"/>
      <c r="AQ199" s="1138"/>
      <c r="AR199" s="1138"/>
    </row>
    <row r="200" spans="1:44" s="21" customFormat="1" ht="12.75" customHeight="1">
      <c r="A200" s="26"/>
      <c r="B200" s="30" t="s">
        <v>214</v>
      </c>
      <c r="C200" s="4280" t="s">
        <v>1460</v>
      </c>
      <c r="D200" s="4281"/>
      <c r="E200" s="4281"/>
      <c r="F200" s="4281"/>
      <c r="G200" s="4282"/>
      <c r="H200" s="30" t="s">
        <v>214</v>
      </c>
      <c r="I200" s="3083"/>
      <c r="J200" s="3031"/>
      <c r="K200" s="3031"/>
      <c r="L200" s="3031"/>
      <c r="M200" s="3031"/>
      <c r="N200" s="3031"/>
      <c r="O200" s="3032"/>
      <c r="P200" s="315"/>
      <c r="Q200" s="975"/>
      <c r="S200" s="1138"/>
      <c r="T200" s="1138"/>
      <c r="U200" s="1138"/>
      <c r="V200" s="1138"/>
      <c r="W200" s="1138"/>
      <c r="X200" s="1138"/>
      <c r="Y200" s="1138"/>
      <c r="Z200" s="1138"/>
      <c r="AA200" s="1138"/>
      <c r="AB200" s="1138"/>
      <c r="AC200" s="1138"/>
      <c r="AD200" s="1138"/>
      <c r="AE200" s="1138"/>
      <c r="AF200" s="1138"/>
      <c r="AG200" s="1138"/>
      <c r="AH200" s="1138"/>
      <c r="AI200" s="1138"/>
      <c r="AJ200" s="1138"/>
      <c r="AK200" s="1138"/>
      <c r="AL200" s="1138"/>
      <c r="AM200" s="1138"/>
      <c r="AN200" s="1138"/>
      <c r="AO200" s="1138"/>
      <c r="AP200" s="1138"/>
      <c r="AQ200" s="1138"/>
      <c r="AR200" s="1138"/>
    </row>
    <row r="201" spans="1:44" s="21" customFormat="1" ht="12.75" customHeight="1">
      <c r="A201" s="26"/>
      <c r="B201" s="30" t="s">
        <v>216</v>
      </c>
      <c r="C201" s="4280" t="s">
        <v>1460</v>
      </c>
      <c r="D201" s="4281"/>
      <c r="E201" s="4281"/>
      <c r="F201" s="4281"/>
      <c r="G201" s="4282"/>
      <c r="H201" s="30" t="s">
        <v>216</v>
      </c>
      <c r="I201" s="3083" t="s">
        <v>2300</v>
      </c>
      <c r="J201" s="3031"/>
      <c r="K201" s="3031"/>
      <c r="L201" s="3031"/>
      <c r="M201" s="3031"/>
      <c r="N201" s="3031"/>
      <c r="O201" s="3032"/>
      <c r="P201" s="315"/>
      <c r="Q201" s="975"/>
      <c r="S201" s="1138"/>
      <c r="T201" s="1138"/>
      <c r="U201" s="1138"/>
      <c r="V201" s="1138"/>
      <c r="W201" s="1138"/>
      <c r="X201" s="1138"/>
      <c r="Y201" s="1138"/>
      <c r="Z201" s="1138"/>
      <c r="AA201" s="1138"/>
      <c r="AB201" s="1138"/>
      <c r="AC201" s="1138"/>
      <c r="AD201" s="1138"/>
      <c r="AE201" s="1138"/>
      <c r="AF201" s="1138"/>
      <c r="AG201" s="1138"/>
      <c r="AH201" s="1138"/>
      <c r="AI201" s="1138"/>
      <c r="AJ201" s="1138"/>
      <c r="AK201" s="1138"/>
      <c r="AL201" s="1138"/>
      <c r="AM201" s="1138"/>
      <c r="AN201" s="1138"/>
      <c r="AO201" s="1138"/>
      <c r="AP201" s="1138"/>
      <c r="AQ201" s="1138"/>
      <c r="AR201" s="1138"/>
    </row>
    <row r="202" spans="1:44" s="21" customFormat="1" ht="12.75" customHeight="1">
      <c r="A202" s="26"/>
      <c r="B202" s="30" t="s">
        <v>1523</v>
      </c>
      <c r="C202" s="4225" t="s">
        <v>1460</v>
      </c>
      <c r="D202" s="4226"/>
      <c r="E202" s="4226"/>
      <c r="F202" s="4226"/>
      <c r="G202" s="4227"/>
      <c r="H202" s="30" t="s">
        <v>1523</v>
      </c>
      <c r="I202" s="3078"/>
      <c r="J202" s="3028"/>
      <c r="K202" s="3028"/>
      <c r="L202" s="3028"/>
      <c r="M202" s="3028"/>
      <c r="N202" s="3028"/>
      <c r="O202" s="3029"/>
      <c r="P202" s="316"/>
      <c r="Q202" s="318"/>
      <c r="S202" s="1138"/>
      <c r="T202" s="1138"/>
      <c r="U202" s="1138"/>
      <c r="V202" s="1138"/>
      <c r="W202" s="1138"/>
      <c r="X202" s="1138"/>
      <c r="Y202" s="1138"/>
      <c r="Z202" s="1138"/>
      <c r="AA202" s="1138"/>
      <c r="AB202" s="1138"/>
      <c r="AC202" s="1138"/>
      <c r="AD202" s="1138"/>
      <c r="AE202" s="1138"/>
      <c r="AF202" s="1138"/>
      <c r="AG202" s="1138"/>
      <c r="AH202" s="1138"/>
      <c r="AI202" s="1138"/>
      <c r="AJ202" s="1138"/>
      <c r="AK202" s="1138"/>
      <c r="AL202" s="1138"/>
      <c r="AM202" s="1138"/>
      <c r="AN202" s="1138"/>
      <c r="AO202" s="1138"/>
      <c r="AP202" s="1138"/>
      <c r="AQ202" s="1138"/>
      <c r="AR202" s="1138"/>
    </row>
    <row r="203" spans="1:44" ht="12.75" customHeight="1">
      <c r="A203" s="24" t="s">
        <v>227</v>
      </c>
      <c r="B203" s="15" t="s">
        <v>2301</v>
      </c>
      <c r="C203" s="15"/>
      <c r="D203" s="79"/>
      <c r="E203" s="15"/>
      <c r="F203" s="15"/>
      <c r="G203" s="15"/>
      <c r="H203" s="15"/>
      <c r="I203" s="15"/>
      <c r="J203" s="15"/>
      <c r="K203" s="45"/>
      <c r="L203" s="15"/>
      <c r="M203" s="15"/>
      <c r="N203" s="79"/>
      <c r="O203" s="30" t="s">
        <v>227</v>
      </c>
      <c r="P203" s="1033"/>
      <c r="Q203" s="1034"/>
      <c r="R203" s="79"/>
      <c r="S203" s="1141"/>
      <c r="T203" s="1141"/>
      <c r="U203" s="1141"/>
      <c r="V203" s="1141"/>
      <c r="W203" s="1141"/>
      <c r="X203" s="1141"/>
      <c r="Y203" s="1141"/>
      <c r="Z203" s="1141"/>
      <c r="AA203" s="1141"/>
      <c r="AB203" s="1141"/>
      <c r="AC203" s="1141"/>
      <c r="AD203" s="1141"/>
      <c r="AE203" s="1141"/>
      <c r="AF203" s="1141"/>
      <c r="AG203" s="1141"/>
      <c r="AH203" s="1141"/>
      <c r="AI203" s="1141"/>
      <c r="AJ203" s="1141"/>
      <c r="AK203" s="1141"/>
      <c r="AL203" s="1141"/>
      <c r="AM203" s="1141"/>
      <c r="AN203" s="1141"/>
      <c r="AO203" s="1141"/>
      <c r="AP203" s="1141"/>
      <c r="AQ203" s="1141"/>
      <c r="AR203" s="1141"/>
    </row>
    <row r="204" spans="1:44" ht="12.75" customHeight="1">
      <c r="A204" s="24"/>
      <c r="B204" s="18" t="s">
        <v>1459</v>
      </c>
      <c r="C204" s="15" t="s">
        <v>2302</v>
      </c>
      <c r="D204" s="79"/>
      <c r="E204" s="15"/>
      <c r="F204" s="15"/>
      <c r="G204" s="79"/>
      <c r="H204" s="79"/>
      <c r="I204" s="79"/>
      <c r="J204" s="79"/>
      <c r="K204" s="79"/>
      <c r="L204" s="13"/>
      <c r="M204" s="13"/>
      <c r="N204" s="79"/>
      <c r="O204" s="30" t="s">
        <v>1459</v>
      </c>
      <c r="P204" s="211"/>
      <c r="Q204" s="315"/>
      <c r="R204" s="79"/>
      <c r="S204" s="1141"/>
      <c r="T204" s="1141"/>
      <c r="U204" s="1141"/>
      <c r="V204" s="1141"/>
      <c r="W204" s="1141"/>
      <c r="X204" s="1141"/>
      <c r="Y204" s="1141"/>
      <c r="Z204" s="1141"/>
      <c r="AA204" s="1141"/>
      <c r="AB204" s="1141"/>
      <c r="AC204" s="1141"/>
      <c r="AD204" s="1141"/>
      <c r="AE204" s="1141"/>
      <c r="AF204" s="1141"/>
      <c r="AG204" s="1141"/>
      <c r="AH204" s="1141"/>
      <c r="AI204" s="1141"/>
      <c r="AJ204" s="1141"/>
      <c r="AK204" s="1141"/>
      <c r="AL204" s="1141"/>
      <c r="AM204" s="1141"/>
      <c r="AN204" s="1141"/>
      <c r="AO204" s="1141"/>
      <c r="AP204" s="1141"/>
      <c r="AQ204" s="1141"/>
      <c r="AR204" s="1141"/>
    </row>
    <row r="205" spans="1:44" ht="12.75" customHeight="1">
      <c r="A205" s="79"/>
      <c r="B205" s="18" t="s">
        <v>1462</v>
      </c>
      <c r="C205" s="18" t="s">
        <v>2303</v>
      </c>
      <c r="D205" s="79"/>
      <c r="E205" s="18"/>
      <c r="F205" s="18"/>
      <c r="G205" s="79"/>
      <c r="H205" s="79"/>
      <c r="I205" s="79"/>
      <c r="J205" s="79"/>
      <c r="K205" s="79"/>
      <c r="L205" s="13"/>
      <c r="M205" s="13"/>
      <c r="N205" s="79"/>
      <c r="O205" s="30" t="s">
        <v>1462</v>
      </c>
      <c r="P205" s="211"/>
      <c r="Q205" s="315"/>
      <c r="R205" s="79"/>
      <c r="S205" s="1141"/>
      <c r="T205" s="1141"/>
      <c r="U205" s="1141"/>
      <c r="V205" s="1141"/>
      <c r="W205" s="1141"/>
      <c r="X205" s="1141"/>
      <c r="Y205" s="1141"/>
      <c r="Z205" s="1141"/>
      <c r="AA205" s="1141"/>
      <c r="AB205" s="1141"/>
      <c r="AC205" s="1141"/>
      <c r="AD205" s="1141"/>
      <c r="AE205" s="1141"/>
      <c r="AF205" s="1141"/>
      <c r="AG205" s="1141"/>
      <c r="AH205" s="1141"/>
      <c r="AI205" s="1141"/>
      <c r="AJ205" s="1141"/>
      <c r="AK205" s="1141"/>
      <c r="AL205" s="1141"/>
      <c r="AM205" s="1141"/>
      <c r="AN205" s="1141"/>
      <c r="AO205" s="1141"/>
      <c r="AP205" s="1141"/>
      <c r="AQ205" s="1141"/>
      <c r="AR205" s="1141"/>
    </row>
    <row r="206" spans="1:44" ht="12.75" customHeight="1">
      <c r="A206" s="79"/>
      <c r="B206" s="18" t="s">
        <v>1463</v>
      </c>
      <c r="C206" s="18" t="s">
        <v>2304</v>
      </c>
      <c r="D206" s="79"/>
      <c r="E206" s="18"/>
      <c r="F206" s="18"/>
      <c r="G206" s="18"/>
      <c r="H206" s="18"/>
      <c r="I206" s="45"/>
      <c r="J206" s="13"/>
      <c r="K206" s="45"/>
      <c r="L206" s="13"/>
      <c r="M206" s="13"/>
      <c r="N206" s="79"/>
      <c r="O206" s="30" t="s">
        <v>1463</v>
      </c>
      <c r="P206" s="211"/>
      <c r="Q206" s="315"/>
      <c r="R206" s="79"/>
      <c r="S206" s="1141"/>
      <c r="T206" s="1141"/>
      <c r="U206" s="1141"/>
      <c r="V206" s="1141"/>
      <c r="W206" s="1141"/>
      <c r="X206" s="1141"/>
      <c r="Y206" s="1141"/>
      <c r="Z206" s="1141"/>
      <c r="AA206" s="1141"/>
      <c r="AB206" s="1141"/>
      <c r="AC206" s="1141"/>
      <c r="AD206" s="1141"/>
      <c r="AE206" s="1141"/>
      <c r="AF206" s="1141"/>
      <c r="AG206" s="1141"/>
      <c r="AH206" s="1141"/>
      <c r="AI206" s="1141"/>
      <c r="AJ206" s="1141"/>
      <c r="AK206" s="1141"/>
      <c r="AL206" s="1141"/>
      <c r="AM206" s="1141"/>
      <c r="AN206" s="1141"/>
      <c r="AO206" s="1141"/>
      <c r="AP206" s="1141"/>
      <c r="AQ206" s="1141"/>
      <c r="AR206" s="1141"/>
    </row>
    <row r="207" spans="1:44" ht="12.75" customHeight="1">
      <c r="A207" s="24"/>
      <c r="B207" s="18" t="s">
        <v>1464</v>
      </c>
      <c r="C207" s="18" t="s">
        <v>2305</v>
      </c>
      <c r="D207" s="79"/>
      <c r="E207" s="18"/>
      <c r="F207" s="18"/>
      <c r="G207" s="18"/>
      <c r="H207" s="18"/>
      <c r="I207" s="45"/>
      <c r="J207" s="13"/>
      <c r="K207" s="45"/>
      <c r="L207" s="13"/>
      <c r="M207" s="13"/>
      <c r="N207" s="79"/>
      <c r="O207" s="30" t="s">
        <v>1464</v>
      </c>
      <c r="P207" s="211"/>
      <c r="Q207" s="315"/>
      <c r="R207" s="79"/>
      <c r="S207" s="1141"/>
      <c r="T207" s="1141"/>
      <c r="U207" s="1141"/>
      <c r="V207" s="1141"/>
      <c r="W207" s="1141"/>
      <c r="X207" s="1141"/>
      <c r="Y207" s="1141"/>
      <c r="Z207" s="1141"/>
      <c r="AA207" s="1141"/>
      <c r="AB207" s="1141"/>
      <c r="AC207" s="1141"/>
      <c r="AD207" s="1141"/>
      <c r="AE207" s="1141"/>
      <c r="AF207" s="1141"/>
      <c r="AG207" s="1141"/>
      <c r="AH207" s="1141"/>
      <c r="AI207" s="1141"/>
      <c r="AJ207" s="1141"/>
      <c r="AK207" s="1141"/>
      <c r="AL207" s="1141"/>
      <c r="AM207" s="1141"/>
      <c r="AN207" s="1141"/>
      <c r="AO207" s="1141"/>
      <c r="AP207" s="1141"/>
      <c r="AQ207" s="1141"/>
      <c r="AR207" s="1141"/>
    </row>
    <row r="208" spans="1:44" ht="12.75" customHeight="1">
      <c r="A208" s="24"/>
      <c r="B208" s="18" t="s">
        <v>2068</v>
      </c>
      <c r="C208" s="18" t="s">
        <v>2306</v>
      </c>
      <c r="D208" s="79"/>
      <c r="E208" s="18"/>
      <c r="F208" s="18"/>
      <c r="G208" s="18"/>
      <c r="H208" s="18"/>
      <c r="I208" s="45"/>
      <c r="J208" s="13"/>
      <c r="K208" s="45"/>
      <c r="L208" s="13"/>
      <c r="M208" s="13"/>
      <c r="N208" s="79"/>
      <c r="O208" s="30" t="s">
        <v>2068</v>
      </c>
      <c r="P208" s="211"/>
      <c r="Q208" s="315"/>
      <c r="R208" s="79"/>
      <c r="S208" s="1141"/>
      <c r="T208" s="1141"/>
      <c r="U208" s="1141"/>
      <c r="V208" s="1141"/>
      <c r="W208" s="1141"/>
      <c r="X208" s="1141"/>
      <c r="Y208" s="1141"/>
      <c r="Z208" s="1141"/>
      <c r="AA208" s="1141"/>
      <c r="AB208" s="1141"/>
      <c r="AC208" s="1141"/>
      <c r="AD208" s="1141"/>
      <c r="AE208" s="1141"/>
      <c r="AF208" s="1141"/>
      <c r="AG208" s="1141"/>
      <c r="AH208" s="1141"/>
      <c r="AI208" s="1141"/>
      <c r="AJ208" s="1141"/>
      <c r="AK208" s="1141"/>
      <c r="AL208" s="1141"/>
      <c r="AM208" s="1141"/>
      <c r="AN208" s="1141"/>
      <c r="AO208" s="1141"/>
      <c r="AP208" s="1141"/>
      <c r="AQ208" s="1141"/>
      <c r="AR208" s="1141"/>
    </row>
    <row r="209" spans="1:44">
      <c r="A209" s="24"/>
      <c r="B209" s="275" t="s">
        <v>2070</v>
      </c>
      <c r="C209" s="4142" t="s">
        <v>2307</v>
      </c>
      <c r="D209" s="4142"/>
      <c r="E209" s="4142"/>
      <c r="F209" s="4142"/>
      <c r="G209" s="4142"/>
      <c r="H209" s="4142"/>
      <c r="I209" s="4142"/>
      <c r="J209" s="4142"/>
      <c r="K209" s="4142"/>
      <c r="L209" s="4142"/>
      <c r="M209" s="4142"/>
      <c r="N209" s="4142"/>
      <c r="O209" s="88" t="s">
        <v>2070</v>
      </c>
      <c r="P209" s="717"/>
      <c r="Q209" s="716"/>
      <c r="R209" s="79"/>
      <c r="S209" s="1141"/>
      <c r="T209" s="1141"/>
      <c r="U209" s="1141"/>
      <c r="V209" s="1141"/>
      <c r="W209" s="1141"/>
      <c r="X209" s="1141"/>
      <c r="Y209" s="1141"/>
      <c r="Z209" s="1141"/>
      <c r="AA209" s="1141"/>
      <c r="AB209" s="1141"/>
      <c r="AC209" s="1141"/>
      <c r="AD209" s="1141"/>
      <c r="AE209" s="1141"/>
      <c r="AF209" s="1141"/>
      <c r="AG209" s="1141"/>
      <c r="AH209" s="1141"/>
      <c r="AI209" s="1141"/>
      <c r="AJ209" s="1141"/>
      <c r="AK209" s="1141"/>
      <c r="AL209" s="1141"/>
      <c r="AM209" s="1141"/>
      <c r="AN209" s="1141"/>
      <c r="AO209" s="1141"/>
      <c r="AP209" s="1141"/>
      <c r="AQ209" s="1141"/>
      <c r="AR209" s="1141"/>
    </row>
    <row r="210" spans="1:44" ht="12" customHeight="1">
      <c r="A210" s="24" t="s">
        <v>229</v>
      </c>
      <c r="B210" s="15" t="s">
        <v>2308</v>
      </c>
      <c r="C210" s="15"/>
      <c r="D210" s="79"/>
      <c r="E210" s="15"/>
      <c r="F210" s="15"/>
      <c r="G210" s="15"/>
      <c r="H210" s="15"/>
      <c r="I210" s="15"/>
      <c r="J210" s="15"/>
      <c r="K210" s="45"/>
      <c r="L210" s="79"/>
      <c r="M210" s="79"/>
      <c r="N210" s="294" t="str">
        <f>'Part VII-Threshold Criteria OLD'!J35</f>
        <v>&lt;&lt; Select PROPOSED Tenancy &gt;&gt;</v>
      </c>
      <c r="O210" s="30" t="s">
        <v>229</v>
      </c>
      <c r="P210" s="1033"/>
      <c r="Q210" s="1034"/>
      <c r="R210" s="79"/>
      <c r="S210" s="1141"/>
      <c r="T210" s="1141"/>
      <c r="U210" s="1141"/>
      <c r="V210" s="1141"/>
      <c r="W210" s="1141"/>
      <c r="X210" s="1141"/>
      <c r="Y210" s="1141"/>
      <c r="Z210" s="1141"/>
      <c r="AA210" s="1141"/>
      <c r="AB210" s="1141"/>
      <c r="AC210" s="1141"/>
      <c r="AD210" s="1141"/>
      <c r="AE210" s="1141"/>
      <c r="AF210" s="1141"/>
      <c r="AG210" s="1141"/>
      <c r="AH210" s="1141"/>
      <c r="AI210" s="1141"/>
      <c r="AJ210" s="1141"/>
      <c r="AK210" s="1141"/>
      <c r="AL210" s="1141"/>
      <c r="AM210" s="1141"/>
      <c r="AN210" s="1141"/>
      <c r="AO210" s="1141"/>
      <c r="AP210" s="1141"/>
      <c r="AQ210" s="1141"/>
      <c r="AR210" s="1141"/>
    </row>
    <row r="211" spans="1:44" ht="12" customHeight="1">
      <c r="A211" s="79"/>
      <c r="B211" s="18" t="s">
        <v>1459</v>
      </c>
      <c r="C211" s="15" t="s">
        <v>2309</v>
      </c>
      <c r="D211" s="79"/>
      <c r="E211" s="45"/>
      <c r="F211" s="45"/>
      <c r="G211" s="15"/>
      <c r="H211" s="18"/>
      <c r="I211" s="45"/>
      <c r="J211" s="18"/>
      <c r="K211" s="45"/>
      <c r="L211" s="18"/>
      <c r="M211" s="18"/>
      <c r="N211" s="79"/>
      <c r="O211" s="30" t="s">
        <v>1459</v>
      </c>
      <c r="P211" s="211"/>
      <c r="Q211" s="315"/>
      <c r="R211" s="79"/>
      <c r="S211" s="1141"/>
      <c r="T211" s="1141"/>
      <c r="U211" s="1141"/>
      <c r="V211" s="1141"/>
      <c r="W211" s="1141"/>
      <c r="X211" s="1141"/>
      <c r="Y211" s="1141"/>
      <c r="Z211" s="1141"/>
      <c r="AA211" s="1141"/>
      <c r="AB211" s="1141"/>
      <c r="AC211" s="1141"/>
      <c r="AD211" s="1141"/>
      <c r="AE211" s="1141"/>
      <c r="AF211" s="1141"/>
      <c r="AG211" s="1141"/>
      <c r="AH211" s="1141"/>
      <c r="AI211" s="1141"/>
      <c r="AJ211" s="1141"/>
      <c r="AK211" s="1141"/>
      <c r="AL211" s="1141"/>
      <c r="AM211" s="1141"/>
      <c r="AN211" s="1141"/>
      <c r="AO211" s="1141"/>
      <c r="AP211" s="1141"/>
      <c r="AQ211" s="1141"/>
      <c r="AR211" s="1141"/>
    </row>
    <row r="212" spans="1:44" ht="12" customHeight="1">
      <c r="A212" s="79"/>
      <c r="B212" s="18" t="s">
        <v>1462</v>
      </c>
      <c r="C212" s="15" t="s">
        <v>2310</v>
      </c>
      <c r="D212" s="79"/>
      <c r="E212" s="45"/>
      <c r="F212" s="45"/>
      <c r="G212" s="18"/>
      <c r="H212" s="18"/>
      <c r="I212" s="45"/>
      <c r="J212" s="18"/>
      <c r="K212" s="45"/>
      <c r="L212" s="18"/>
      <c r="M212" s="18"/>
      <c r="N212" s="79"/>
      <c r="O212" s="30" t="s">
        <v>1462</v>
      </c>
      <c r="P212" s="124"/>
      <c r="Q212" s="316"/>
      <c r="R212" s="79"/>
      <c r="S212" s="1141"/>
      <c r="T212" s="1141"/>
      <c r="U212" s="1141"/>
      <c r="V212" s="1141"/>
      <c r="W212" s="1141"/>
      <c r="X212" s="1141"/>
      <c r="Y212" s="1141"/>
      <c r="Z212" s="1141"/>
      <c r="AA212" s="1141"/>
      <c r="AB212" s="1141"/>
      <c r="AC212" s="1141"/>
      <c r="AD212" s="1141"/>
      <c r="AE212" s="1141"/>
      <c r="AF212" s="1141"/>
      <c r="AG212" s="1141"/>
      <c r="AH212" s="1141"/>
      <c r="AI212" s="1141"/>
      <c r="AJ212" s="1141"/>
      <c r="AK212" s="1141"/>
      <c r="AL212" s="1141"/>
      <c r="AM212" s="1141"/>
      <c r="AN212" s="1141"/>
      <c r="AO212" s="1141"/>
      <c r="AP212" s="1141"/>
      <c r="AQ212" s="1141"/>
      <c r="AR212" s="1141"/>
    </row>
    <row r="213" spans="1:44" ht="11.25" customHeight="1">
      <c r="A213" s="79"/>
      <c r="B213" s="76" t="s">
        <v>1403</v>
      </c>
      <c r="C213" s="79"/>
      <c r="D213" s="76"/>
      <c r="E213" s="76"/>
      <c r="F213" s="76"/>
      <c r="G213" s="76"/>
      <c r="H213" s="18"/>
      <c r="I213" s="714"/>
      <c r="J213" s="714"/>
      <c r="K213" s="714"/>
      <c r="L213" s="542"/>
      <c r="M213" s="542"/>
      <c r="N213" s="542"/>
      <c r="O213" s="542"/>
      <c r="P213" s="542"/>
      <c r="Q213" s="542"/>
      <c r="R213" s="79"/>
      <c r="S213" s="1141"/>
      <c r="T213" s="1141"/>
      <c r="U213" s="1141"/>
      <c r="V213" s="1141"/>
      <c r="W213" s="1141"/>
      <c r="X213" s="1141"/>
      <c r="Y213" s="1141"/>
      <c r="Z213" s="1141"/>
      <c r="AA213" s="1141"/>
      <c r="AB213" s="1141"/>
      <c r="AC213" s="1141"/>
      <c r="AD213" s="1141"/>
      <c r="AE213" s="1141"/>
      <c r="AF213" s="1141"/>
      <c r="AG213" s="1141"/>
      <c r="AH213" s="1141"/>
      <c r="AI213" s="1141"/>
      <c r="AJ213" s="1141"/>
      <c r="AK213" s="1141"/>
      <c r="AL213" s="1141"/>
      <c r="AM213" s="1141"/>
      <c r="AN213" s="1141"/>
      <c r="AO213" s="1141"/>
      <c r="AP213" s="1141"/>
      <c r="AQ213" s="1141"/>
      <c r="AR213" s="1141"/>
    </row>
    <row r="214" spans="1:44" ht="12" customHeight="1">
      <c r="A214" s="4153"/>
      <c r="B214" s="4154"/>
      <c r="C214" s="4154"/>
      <c r="D214" s="4154"/>
      <c r="E214" s="4154"/>
      <c r="F214" s="4154"/>
      <c r="G214" s="4154"/>
      <c r="H214" s="4154"/>
      <c r="I214" s="4154"/>
      <c r="J214" s="4154"/>
      <c r="K214" s="4154"/>
      <c r="L214" s="4154"/>
      <c r="M214" s="4154"/>
      <c r="N214" s="4154"/>
      <c r="O214" s="4154"/>
      <c r="P214" s="4154"/>
      <c r="Q214" s="4155"/>
      <c r="R214" s="258" t="s">
        <v>2152</v>
      </c>
      <c r="S214" s="1139"/>
      <c r="T214" s="1141"/>
      <c r="U214" s="1140"/>
      <c r="V214" s="1140"/>
      <c r="W214" s="1140"/>
      <c r="X214" s="1140"/>
      <c r="Y214" s="1140"/>
      <c r="Z214" s="1140"/>
      <c r="AA214" s="1140"/>
      <c r="AB214" s="1140"/>
      <c r="AC214" s="1140"/>
      <c r="AD214" s="1140"/>
      <c r="AE214" s="1140"/>
      <c r="AF214" s="1141"/>
      <c r="AG214" s="1141"/>
      <c r="AH214" s="1141"/>
      <c r="AI214" s="1141"/>
      <c r="AJ214" s="1141"/>
      <c r="AK214" s="1141"/>
      <c r="AL214" s="1141"/>
      <c r="AM214" s="1141"/>
      <c r="AN214" s="1141"/>
      <c r="AO214" s="1141"/>
      <c r="AP214" s="1141"/>
      <c r="AQ214" s="1141"/>
      <c r="AR214" s="1141"/>
    </row>
    <row r="215" spans="1:44" ht="11.25" customHeight="1">
      <c r="A215" s="79"/>
      <c r="B215" s="72" t="s">
        <v>1399</v>
      </c>
      <c r="C215" s="73"/>
      <c r="D215" s="710"/>
      <c r="E215" s="710"/>
      <c r="F215" s="710"/>
      <c r="G215" s="710"/>
      <c r="H215" s="710"/>
      <c r="I215" s="710"/>
      <c r="J215" s="710"/>
      <c r="K215" s="710"/>
      <c r="L215" s="710"/>
      <c r="M215" s="710"/>
      <c r="N215" s="710"/>
      <c r="O215" s="710"/>
      <c r="P215" s="710"/>
      <c r="Q215" s="710"/>
      <c r="R215" s="79"/>
      <c r="S215" s="1141"/>
      <c r="T215" s="1141"/>
      <c r="U215" s="1141"/>
      <c r="V215" s="1141"/>
      <c r="W215" s="1141"/>
      <c r="X215" s="1141"/>
      <c r="Y215" s="1141"/>
      <c r="Z215" s="1141"/>
      <c r="AA215" s="1141"/>
      <c r="AB215" s="1141"/>
      <c r="AC215" s="1141"/>
      <c r="AD215" s="1141"/>
      <c r="AE215" s="1141"/>
      <c r="AF215" s="1141"/>
      <c r="AG215" s="1141"/>
      <c r="AH215" s="1141"/>
      <c r="AI215" s="1141"/>
      <c r="AJ215" s="1141"/>
      <c r="AK215" s="1141"/>
      <c r="AL215" s="1141"/>
      <c r="AM215" s="1141"/>
      <c r="AN215" s="1141"/>
      <c r="AO215" s="1141"/>
      <c r="AP215" s="1141"/>
      <c r="AQ215" s="1141"/>
      <c r="AR215" s="1141"/>
    </row>
    <row r="216" spans="1:44" ht="12" customHeight="1">
      <c r="A216" s="4150"/>
      <c r="B216" s="4151"/>
      <c r="C216" s="4151"/>
      <c r="D216" s="4151"/>
      <c r="E216" s="4151"/>
      <c r="F216" s="4151"/>
      <c r="G216" s="4151"/>
      <c r="H216" s="4151"/>
      <c r="I216" s="4151"/>
      <c r="J216" s="4151"/>
      <c r="K216" s="4151"/>
      <c r="L216" s="4151"/>
      <c r="M216" s="4151"/>
      <c r="N216" s="4151"/>
      <c r="O216" s="4151"/>
      <c r="P216" s="4151"/>
      <c r="Q216" s="4152"/>
      <c r="R216" s="79"/>
      <c r="S216" s="1141"/>
      <c r="T216" s="1141"/>
      <c r="U216" s="1141"/>
      <c r="V216" s="1141"/>
      <c r="W216" s="1141"/>
      <c r="X216" s="1141"/>
      <c r="Y216" s="1141"/>
      <c r="Z216" s="1141"/>
      <c r="AA216" s="1141"/>
      <c r="AB216" s="1141"/>
      <c r="AC216" s="1141"/>
      <c r="AD216" s="1141"/>
      <c r="AE216" s="1141"/>
      <c r="AF216" s="1141"/>
      <c r="AG216" s="1141"/>
      <c r="AH216" s="1141"/>
      <c r="AI216" s="1141"/>
      <c r="AJ216" s="1141"/>
      <c r="AK216" s="1141"/>
      <c r="AL216" s="1141"/>
      <c r="AM216" s="1141"/>
      <c r="AN216" s="1141"/>
      <c r="AO216" s="1141"/>
      <c r="AP216" s="1141"/>
      <c r="AQ216" s="1141"/>
      <c r="AR216" s="1141"/>
    </row>
    <row r="217" spans="1:44" ht="14.1" customHeight="1">
      <c r="A217" s="2" t="s">
        <v>1465</v>
      </c>
      <c r="B217" s="2" t="s">
        <v>2311</v>
      </c>
      <c r="C217" s="18"/>
      <c r="D217" s="710"/>
      <c r="E217" s="710"/>
      <c r="F217" s="710"/>
      <c r="G217" s="710"/>
      <c r="H217" s="710"/>
      <c r="I217" s="710"/>
      <c r="J217" s="710"/>
      <c r="K217" s="294" t="s">
        <v>2312</v>
      </c>
      <c r="L217" s="1071" t="str">
        <f>'Part I-Project Identification'!$P$25</f>
        <v>Yes</v>
      </c>
      <c r="M217" s="710"/>
      <c r="N217" s="79"/>
      <c r="O217" s="68" t="s">
        <v>1397</v>
      </c>
      <c r="P217" s="4145"/>
      <c r="Q217" s="4146"/>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194</v>
      </c>
      <c r="B218" s="75" t="s">
        <v>2313</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2314</v>
      </c>
      <c r="C219" s="45"/>
      <c r="D219" s="45"/>
      <c r="E219" s="45"/>
      <c r="F219" s="45"/>
      <c r="G219" s="45"/>
      <c r="H219" s="45"/>
      <c r="I219" s="45"/>
      <c r="J219" s="1235" t="s">
        <v>2315</v>
      </c>
      <c r="K219" s="15" t="s">
        <v>2314</v>
      </c>
      <c r="L219" s="45"/>
      <c r="M219" s="45"/>
      <c r="N219" s="45"/>
      <c r="O219" s="45"/>
      <c r="P219" s="45"/>
      <c r="Q219" s="1235" t="s">
        <v>2315</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3088"/>
      <c r="C220" s="3034"/>
      <c r="D220" s="3034"/>
      <c r="E220" s="3034"/>
      <c r="F220" s="3034"/>
      <c r="G220" s="3034"/>
      <c r="H220" s="3034"/>
      <c r="I220" s="3034"/>
      <c r="J220" s="1642"/>
      <c r="K220" s="3088"/>
      <c r="L220" s="3034"/>
      <c r="M220" s="3034"/>
      <c r="N220" s="3034"/>
      <c r="O220" s="3034"/>
      <c r="P220" s="3034"/>
      <c r="Q220" s="1642"/>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3083"/>
      <c r="C221" s="3031"/>
      <c r="D221" s="3031"/>
      <c r="E221" s="3031"/>
      <c r="F221" s="3031"/>
      <c r="G221" s="3031"/>
      <c r="H221" s="3031"/>
      <c r="I221" s="3031"/>
      <c r="J221" s="1643"/>
      <c r="K221" s="3083"/>
      <c r="L221" s="3031"/>
      <c r="M221" s="3031"/>
      <c r="N221" s="3031"/>
      <c r="O221" s="3031"/>
      <c r="P221" s="3031"/>
      <c r="Q221" s="1643"/>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3083"/>
      <c r="C222" s="3031"/>
      <c r="D222" s="3031"/>
      <c r="E222" s="3031"/>
      <c r="F222" s="3031"/>
      <c r="G222" s="3031"/>
      <c r="H222" s="3031"/>
      <c r="I222" s="3031"/>
      <c r="J222" s="1643"/>
      <c r="K222" s="3083"/>
      <c r="L222" s="3031"/>
      <c r="M222" s="3031"/>
      <c r="N222" s="3031"/>
      <c r="O222" s="3031"/>
      <c r="P222" s="3031"/>
      <c r="Q222" s="1643"/>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3083"/>
      <c r="C223" s="3031"/>
      <c r="D223" s="3031"/>
      <c r="E223" s="3031"/>
      <c r="F223" s="3031"/>
      <c r="G223" s="3031"/>
      <c r="H223" s="3031"/>
      <c r="I223" s="3031"/>
      <c r="J223" s="1643"/>
      <c r="K223" s="3083"/>
      <c r="L223" s="3031"/>
      <c r="M223" s="3031"/>
      <c r="N223" s="3031"/>
      <c r="O223" s="3031"/>
      <c r="P223" s="3031"/>
      <c r="Q223" s="1643"/>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3083"/>
      <c r="C224" s="3031"/>
      <c r="D224" s="3031"/>
      <c r="E224" s="3031"/>
      <c r="F224" s="3031"/>
      <c r="G224" s="3031"/>
      <c r="H224" s="3031"/>
      <c r="I224" s="3031"/>
      <c r="J224" s="1643"/>
      <c r="K224" s="3083"/>
      <c r="L224" s="3031"/>
      <c r="M224" s="3031"/>
      <c r="N224" s="3031"/>
      <c r="O224" s="3031"/>
      <c r="P224" s="3031"/>
      <c r="Q224" s="1643"/>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3083"/>
      <c r="C225" s="3031"/>
      <c r="D225" s="3031"/>
      <c r="E225" s="3031"/>
      <c r="F225" s="3031"/>
      <c r="G225" s="3031"/>
      <c r="H225" s="3031"/>
      <c r="I225" s="3031"/>
      <c r="J225" s="1643"/>
      <c r="K225" s="3083"/>
      <c r="L225" s="3031"/>
      <c r="M225" s="3031"/>
      <c r="N225" s="3031"/>
      <c r="O225" s="3031"/>
      <c r="P225" s="3031"/>
      <c r="Q225" s="1643"/>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3083"/>
      <c r="C226" s="3031"/>
      <c r="D226" s="3031"/>
      <c r="E226" s="3031"/>
      <c r="F226" s="3031"/>
      <c r="G226" s="3031"/>
      <c r="H226" s="3031"/>
      <c r="I226" s="3031"/>
      <c r="J226" s="1643"/>
      <c r="K226" s="3083"/>
      <c r="L226" s="3031"/>
      <c r="M226" s="3031"/>
      <c r="N226" s="3031"/>
      <c r="O226" s="3031"/>
      <c r="P226" s="3031"/>
      <c r="Q226" s="1643"/>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3078"/>
      <c r="C227" s="3028"/>
      <c r="D227" s="3028"/>
      <c r="E227" s="3028"/>
      <c r="F227" s="3028"/>
      <c r="G227" s="3028"/>
      <c r="H227" s="3028"/>
      <c r="I227" s="3028"/>
      <c r="J227" s="1644"/>
      <c r="K227" s="3078"/>
      <c r="L227" s="3028"/>
      <c r="M227" s="3028"/>
      <c r="N227" s="3028"/>
      <c r="O227" s="3028"/>
      <c r="P227" s="3028"/>
      <c r="Q227" s="1644"/>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206</v>
      </c>
      <c r="B228" s="2836" t="s">
        <v>2316</v>
      </c>
      <c r="C228" s="2833"/>
      <c r="D228" s="2837"/>
      <c r="E228" s="2837"/>
      <c r="F228" s="2837"/>
      <c r="G228" s="2837"/>
      <c r="H228" s="2837"/>
      <c r="I228" s="2685"/>
      <c r="J228" s="2685"/>
      <c r="K228" s="2837"/>
      <c r="L228" s="2832"/>
      <c r="M228" s="2833"/>
      <c r="N228" s="2833"/>
      <c r="O228" s="88" t="s">
        <v>206</v>
      </c>
      <c r="P228" s="1033"/>
      <c r="Q228" s="1034"/>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227</v>
      </c>
      <c r="B229" s="4142" t="s">
        <v>2317</v>
      </c>
      <c r="C229" s="4142"/>
      <c r="D229" s="4142"/>
      <c r="E229" s="4142"/>
      <c r="F229" s="4142"/>
      <c r="G229" s="4142"/>
      <c r="H229" s="4142"/>
      <c r="I229" s="4142"/>
      <c r="J229" s="4142"/>
      <c r="K229" s="4142"/>
      <c r="L229" s="4142"/>
      <c r="M229" s="4142"/>
      <c r="N229" s="4142"/>
      <c r="O229" s="88" t="s">
        <v>227</v>
      </c>
      <c r="P229" s="323"/>
      <c r="Q229" s="317"/>
      <c r="S229" s="1142"/>
      <c r="T229" s="1142"/>
      <c r="U229" s="1142"/>
      <c r="V229" s="1142"/>
      <c r="W229" s="1142"/>
      <c r="X229" s="1142"/>
      <c r="Y229" s="1142"/>
      <c r="Z229" s="1142"/>
      <c r="AA229" s="1142"/>
      <c r="AB229" s="1142"/>
      <c r="AC229" s="1142"/>
      <c r="AD229" s="1142"/>
      <c r="AE229" s="1142"/>
      <c r="AF229" s="1142"/>
      <c r="AG229" s="1142"/>
      <c r="AH229" s="1142"/>
      <c r="AI229" s="1142"/>
      <c r="AJ229" s="1142"/>
      <c r="AK229" s="1142"/>
      <c r="AL229" s="1142"/>
      <c r="AM229" s="1142"/>
      <c r="AN229" s="1142"/>
      <c r="AO229" s="1142"/>
      <c r="AP229" s="1142"/>
      <c r="AQ229" s="1142"/>
      <c r="AR229" s="1142"/>
    </row>
    <row r="230" spans="1:44" s="239" customFormat="1" ht="12" customHeight="1">
      <c r="A230" s="24" t="s">
        <v>229</v>
      </c>
      <c r="B230" s="75" t="s">
        <v>2318</v>
      </c>
      <c r="D230" s="75"/>
      <c r="E230" s="75"/>
      <c r="F230" s="75"/>
      <c r="G230" s="75"/>
      <c r="H230" s="75"/>
      <c r="I230" s="75"/>
      <c r="J230" s="75"/>
      <c r="K230" s="75"/>
      <c r="L230" s="75"/>
      <c r="M230" s="75"/>
      <c r="O230" s="30" t="s">
        <v>229</v>
      </c>
      <c r="P230" s="717"/>
      <c r="Q230" s="716"/>
      <c r="S230" s="1142"/>
      <c r="T230" s="1142"/>
      <c r="U230" s="1142"/>
      <c r="V230" s="1142"/>
      <c r="W230" s="1142"/>
      <c r="X230" s="1142"/>
      <c r="Y230" s="1142"/>
      <c r="Z230" s="1142"/>
      <c r="AA230" s="1142"/>
      <c r="AB230" s="1142"/>
      <c r="AC230" s="1142"/>
      <c r="AD230" s="1142"/>
      <c r="AE230" s="1142"/>
      <c r="AF230" s="1142"/>
      <c r="AG230" s="1142"/>
      <c r="AH230" s="1142"/>
      <c r="AI230" s="1142"/>
      <c r="AJ230" s="1142"/>
      <c r="AK230" s="1142"/>
      <c r="AL230" s="1142"/>
      <c r="AM230" s="1142"/>
      <c r="AN230" s="1142"/>
      <c r="AO230" s="1142"/>
      <c r="AP230" s="1142"/>
      <c r="AQ230" s="1142"/>
      <c r="AR230" s="1142"/>
    </row>
    <row r="231" spans="1:44" ht="11.25" customHeight="1">
      <c r="A231" s="79"/>
      <c r="B231" s="76" t="s">
        <v>1403</v>
      </c>
      <c r="C231" s="79"/>
      <c r="D231" s="76"/>
      <c r="E231" s="76"/>
      <c r="F231" s="76"/>
      <c r="G231" s="76"/>
      <c r="H231" s="18"/>
      <c r="I231" s="714"/>
      <c r="J231" s="714"/>
      <c r="K231" s="714"/>
      <c r="L231" s="542"/>
      <c r="M231" s="542"/>
      <c r="N231" s="542"/>
      <c r="O231" s="542"/>
      <c r="P231" s="542"/>
      <c r="Q231" s="542"/>
      <c r="R231" s="79"/>
      <c r="S231" s="1141"/>
      <c r="T231" s="1141"/>
      <c r="U231" s="1141"/>
      <c r="V231" s="1141"/>
      <c r="W231" s="1141"/>
      <c r="X231" s="1141"/>
      <c r="Y231" s="1141"/>
      <c r="Z231" s="1141"/>
      <c r="AA231" s="1141"/>
      <c r="AB231" s="1141"/>
      <c r="AC231" s="1141"/>
      <c r="AD231" s="1141"/>
      <c r="AE231" s="1141"/>
      <c r="AF231" s="1141"/>
      <c r="AG231" s="1141"/>
      <c r="AH231" s="1141"/>
      <c r="AI231" s="1141"/>
      <c r="AJ231" s="1141"/>
      <c r="AK231" s="1141"/>
      <c r="AL231" s="1141"/>
      <c r="AM231" s="1141"/>
      <c r="AN231" s="1141"/>
      <c r="AO231" s="1141"/>
      <c r="AP231" s="1141"/>
      <c r="AQ231" s="1141"/>
      <c r="AR231" s="1141"/>
    </row>
    <row r="232" spans="1:44" ht="12" customHeight="1">
      <c r="A232" s="4153"/>
      <c r="B232" s="4154"/>
      <c r="C232" s="4154"/>
      <c r="D232" s="4154"/>
      <c r="E232" s="4154"/>
      <c r="F232" s="4154"/>
      <c r="G232" s="4154"/>
      <c r="H232" s="4154"/>
      <c r="I232" s="4154"/>
      <c r="J232" s="4154"/>
      <c r="K232" s="4154"/>
      <c r="L232" s="4154"/>
      <c r="M232" s="4154"/>
      <c r="N232" s="4154"/>
      <c r="O232" s="4154"/>
      <c r="P232" s="4154"/>
      <c r="Q232" s="4155"/>
      <c r="R232" s="258" t="s">
        <v>2152</v>
      </c>
      <c r="S232" s="1139"/>
      <c r="T232" s="1141"/>
      <c r="U232" s="1140"/>
      <c r="V232" s="1140"/>
      <c r="W232" s="1140"/>
      <c r="X232" s="1140"/>
      <c r="Y232" s="1140"/>
      <c r="Z232" s="1140"/>
      <c r="AA232" s="1140"/>
      <c r="AB232" s="1140"/>
      <c r="AC232" s="1140"/>
      <c r="AD232" s="1140"/>
      <c r="AE232" s="1140"/>
      <c r="AF232" s="1141"/>
      <c r="AG232" s="1141"/>
      <c r="AH232" s="1141"/>
      <c r="AI232" s="1141"/>
      <c r="AJ232" s="1141"/>
      <c r="AK232" s="1141"/>
      <c r="AL232" s="1141"/>
      <c r="AM232" s="1141"/>
      <c r="AN232" s="1141"/>
      <c r="AO232" s="1141"/>
      <c r="AP232" s="1141"/>
      <c r="AQ232" s="1141"/>
      <c r="AR232" s="1141"/>
    </row>
    <row r="233" spans="1:44" ht="11.25" customHeight="1">
      <c r="A233" s="79"/>
      <c r="B233" s="72" t="s">
        <v>1399</v>
      </c>
      <c r="C233" s="73"/>
      <c r="D233" s="710"/>
      <c r="E233" s="710"/>
      <c r="F233" s="710"/>
      <c r="G233" s="710"/>
      <c r="H233" s="710"/>
      <c r="I233" s="710"/>
      <c r="J233" s="710"/>
      <c r="K233" s="710"/>
      <c r="L233" s="710"/>
      <c r="M233" s="710"/>
      <c r="N233" s="710"/>
      <c r="O233" s="710"/>
      <c r="P233" s="710"/>
      <c r="Q233" s="710"/>
      <c r="R233" s="79"/>
      <c r="S233" s="1141"/>
      <c r="T233" s="1141"/>
      <c r="U233" s="1141"/>
      <c r="V233" s="1141"/>
      <c r="W233" s="1141"/>
      <c r="X233" s="1141"/>
      <c r="Y233" s="1141"/>
      <c r="Z233" s="1141"/>
      <c r="AA233" s="1141"/>
      <c r="AB233" s="1141"/>
      <c r="AC233" s="1141"/>
      <c r="AD233" s="1141"/>
      <c r="AE233" s="1141"/>
      <c r="AF233" s="1141"/>
      <c r="AG233" s="1141"/>
      <c r="AH233" s="1141"/>
      <c r="AI233" s="1141"/>
      <c r="AJ233" s="1141"/>
      <c r="AK233" s="1141"/>
      <c r="AL233" s="1141"/>
      <c r="AM233" s="1141"/>
      <c r="AN233" s="1141"/>
      <c r="AO233" s="1141"/>
      <c r="AP233" s="1141"/>
      <c r="AQ233" s="1141"/>
      <c r="AR233" s="1141"/>
    </row>
    <row r="234" spans="1:44" ht="12" customHeight="1">
      <c r="A234" s="4150"/>
      <c r="B234" s="4151"/>
      <c r="C234" s="4151"/>
      <c r="D234" s="4151"/>
      <c r="E234" s="4151"/>
      <c r="F234" s="4151"/>
      <c r="G234" s="4151"/>
      <c r="H234" s="4151"/>
      <c r="I234" s="4151"/>
      <c r="J234" s="4151"/>
      <c r="K234" s="4151"/>
      <c r="L234" s="4151"/>
      <c r="M234" s="4151"/>
      <c r="N234" s="4151"/>
      <c r="O234" s="4151"/>
      <c r="P234" s="4151"/>
      <c r="Q234" s="4152"/>
      <c r="R234" s="79"/>
      <c r="S234" s="1141"/>
      <c r="T234" s="1141"/>
      <c r="U234" s="1141"/>
      <c r="V234" s="1141"/>
      <c r="W234" s="1141"/>
      <c r="X234" s="1141"/>
      <c r="Y234" s="1141"/>
      <c r="Z234" s="1141"/>
      <c r="AA234" s="1141"/>
      <c r="AB234" s="1141"/>
      <c r="AC234" s="1141"/>
      <c r="AD234" s="1141"/>
      <c r="AE234" s="1141"/>
      <c r="AF234" s="1141"/>
      <c r="AG234" s="1141"/>
      <c r="AH234" s="1141"/>
      <c r="AI234" s="1141"/>
      <c r="AJ234" s="1141"/>
      <c r="AK234" s="1141"/>
      <c r="AL234" s="1141"/>
      <c r="AM234" s="1141"/>
      <c r="AN234" s="1141"/>
      <c r="AO234" s="1141"/>
      <c r="AP234" s="1141"/>
      <c r="AQ234" s="1141"/>
      <c r="AR234" s="1141"/>
    </row>
    <row r="235" spans="1:44" ht="3" customHeight="1">
      <c r="A235" s="542"/>
      <c r="B235" s="714"/>
      <c r="C235" s="710"/>
      <c r="D235" s="710"/>
      <c r="E235" s="710"/>
      <c r="F235" s="710"/>
      <c r="G235" s="710"/>
      <c r="H235" s="710"/>
      <c r="I235" s="710"/>
      <c r="J235" s="710"/>
      <c r="K235" s="710"/>
      <c r="L235" s="710"/>
      <c r="M235" s="710"/>
      <c r="N235" s="79"/>
      <c r="O235" s="79"/>
      <c r="P235" s="79"/>
      <c r="Q235" s="542"/>
      <c r="R235" s="79"/>
      <c r="S235" s="1141"/>
      <c r="T235" s="1141"/>
      <c r="U235" s="1141"/>
      <c r="V235" s="1141"/>
      <c r="W235" s="1141"/>
      <c r="X235" s="1141"/>
      <c r="Y235" s="1141"/>
      <c r="Z235" s="1141"/>
      <c r="AA235" s="1141"/>
      <c r="AB235" s="1141"/>
      <c r="AC235" s="1141"/>
      <c r="AD235" s="1141"/>
      <c r="AE235" s="1141"/>
      <c r="AF235" s="1141"/>
      <c r="AG235" s="1141"/>
      <c r="AH235" s="1141"/>
      <c r="AI235" s="1141"/>
      <c r="AJ235" s="1141"/>
      <c r="AK235" s="1141"/>
      <c r="AL235" s="1141"/>
      <c r="AM235" s="1141"/>
      <c r="AN235" s="1141"/>
      <c r="AO235" s="1141"/>
      <c r="AP235" s="1141"/>
      <c r="AQ235" s="1141"/>
      <c r="AR235" s="1141"/>
    </row>
    <row r="236" spans="1:44" ht="14.1" customHeight="1">
      <c r="A236" s="2" t="s">
        <v>1470</v>
      </c>
      <c r="B236" s="4" t="s">
        <v>1466</v>
      </c>
      <c r="C236" s="4"/>
      <c r="D236" s="40"/>
      <c r="E236" s="40"/>
      <c r="F236" s="40"/>
      <c r="G236" s="40"/>
      <c r="H236" s="710"/>
      <c r="I236" s="710"/>
      <c r="J236" s="710"/>
      <c r="K236" s="710"/>
      <c r="L236" s="531"/>
      <c r="M236" s="1021"/>
      <c r="N236" s="79"/>
      <c r="O236" s="68" t="s">
        <v>1397</v>
      </c>
      <c r="P236" s="4145"/>
      <c r="Q236" s="4146"/>
      <c r="R236" s="79"/>
      <c r="S236" s="1141"/>
      <c r="T236" s="1141"/>
      <c r="U236" s="1141"/>
      <c r="V236" s="1141"/>
      <c r="W236" s="1141"/>
      <c r="X236" s="1141"/>
      <c r="Y236" s="1141"/>
      <c r="Z236" s="1141"/>
      <c r="AA236" s="1141"/>
      <c r="AB236" s="1141"/>
      <c r="AC236" s="1141"/>
      <c r="AD236" s="1141"/>
      <c r="AE236" s="1141"/>
      <c r="AF236" s="1141"/>
      <c r="AG236" s="1141"/>
      <c r="AH236" s="1141"/>
      <c r="AI236" s="1141"/>
      <c r="AJ236" s="1141"/>
      <c r="AK236" s="1141"/>
      <c r="AL236" s="1141"/>
      <c r="AM236" s="1141"/>
      <c r="AN236" s="1141"/>
      <c r="AO236" s="1141"/>
      <c r="AP236" s="1141"/>
      <c r="AQ236" s="1141"/>
      <c r="AR236" s="1141"/>
    </row>
    <row r="237" spans="1:44" customFormat="1" ht="12" customHeight="1">
      <c r="B237" s="27" t="s">
        <v>2319</v>
      </c>
      <c r="N237" s="60"/>
      <c r="P237" s="276"/>
      <c r="Q237" s="314"/>
      <c r="S237" s="1137"/>
      <c r="T237" s="1137"/>
      <c r="U237" s="1137"/>
      <c r="V237" s="1137"/>
      <c r="W237" s="1137"/>
      <c r="X237" s="1137"/>
      <c r="Y237" s="1137"/>
      <c r="Z237" s="1137"/>
      <c r="AA237" s="1137"/>
      <c r="AB237" s="1137"/>
      <c r="AC237" s="1137"/>
      <c r="AD237" s="1137"/>
      <c r="AE237" s="1137"/>
      <c r="AF237" s="1137"/>
      <c r="AG237" s="1137"/>
      <c r="AH237" s="1137"/>
      <c r="AI237" s="1137"/>
      <c r="AJ237" s="1137"/>
      <c r="AK237" s="1137"/>
      <c r="AL237" s="1137"/>
      <c r="AM237" s="1137"/>
      <c r="AN237" s="1137"/>
      <c r="AO237" s="1137"/>
      <c r="AP237" s="1137"/>
      <c r="AQ237" s="1137"/>
      <c r="AR237" s="1137"/>
    </row>
    <row r="238" spans="1:44" ht="11.65" customHeight="1">
      <c r="A238" s="24" t="s">
        <v>194</v>
      </c>
      <c r="B238" s="15" t="s">
        <v>1468</v>
      </c>
      <c r="C238" s="79"/>
      <c r="D238" s="45"/>
      <c r="E238" s="15"/>
      <c r="F238" s="15"/>
      <c r="G238" s="79"/>
      <c r="H238" s="79"/>
      <c r="I238" s="79"/>
      <c r="J238" s="30" t="s">
        <v>194</v>
      </c>
      <c r="K238" s="4160" t="s">
        <v>712</v>
      </c>
      <c r="L238" s="4161"/>
      <c r="M238" s="4161"/>
      <c r="N238" s="4161"/>
      <c r="O238" s="4195"/>
      <c r="P238" s="4261" t="s">
        <v>712</v>
      </c>
      <c r="Q238" s="4262"/>
      <c r="R238" s="79"/>
      <c r="S238" s="1141"/>
      <c r="T238" s="1141"/>
      <c r="U238" s="1141"/>
      <c r="V238" s="1141"/>
      <c r="W238" s="1141"/>
      <c r="X238" s="1141"/>
      <c r="Y238" s="1141"/>
      <c r="Z238" s="1141"/>
      <c r="AA238" s="1141"/>
      <c r="AB238" s="1141"/>
      <c r="AC238" s="1141"/>
      <c r="AD238" s="1141"/>
      <c r="AE238" s="1141"/>
      <c r="AF238" s="1141"/>
      <c r="AG238" s="1141"/>
      <c r="AH238" s="1141"/>
      <c r="AI238" s="1141"/>
      <c r="AJ238" s="1141"/>
      <c r="AK238" s="1141"/>
      <c r="AL238" s="1141"/>
      <c r="AM238" s="1141"/>
      <c r="AN238" s="1141"/>
      <c r="AO238" s="1141"/>
      <c r="AP238" s="1141"/>
      <c r="AQ238" s="1141"/>
      <c r="AR238" s="1141"/>
    </row>
    <row r="239" spans="1:44" customFormat="1" ht="34.5" customHeight="1">
      <c r="B239" s="4142" t="s">
        <v>2320</v>
      </c>
      <c r="C239" s="4142"/>
      <c r="D239" s="4142"/>
      <c r="E239" s="4142"/>
      <c r="F239" s="4142"/>
      <c r="G239" s="4142"/>
      <c r="H239" s="4142"/>
      <c r="I239" s="4142"/>
      <c r="J239" s="4142"/>
      <c r="K239" s="4142"/>
      <c r="L239" s="4142"/>
      <c r="M239" s="4142"/>
      <c r="N239" s="4142"/>
      <c r="O239" s="4224"/>
      <c r="P239" s="725"/>
      <c r="Q239" s="726"/>
      <c r="S239" s="1137"/>
      <c r="T239" s="1137"/>
      <c r="U239" s="1137"/>
      <c r="V239" s="1137"/>
      <c r="W239" s="1137"/>
      <c r="X239" s="1137"/>
      <c r="Y239" s="1137"/>
      <c r="Z239" s="1137"/>
      <c r="AA239" s="1137"/>
      <c r="AB239" s="1137"/>
      <c r="AC239" s="1137"/>
      <c r="AD239" s="1137"/>
      <c r="AE239" s="1137"/>
      <c r="AF239" s="1137"/>
      <c r="AG239" s="1137"/>
      <c r="AH239" s="1137"/>
      <c r="AI239" s="1137"/>
      <c r="AJ239" s="1137"/>
      <c r="AK239" s="1137"/>
      <c r="AL239" s="1137"/>
      <c r="AM239" s="1137"/>
      <c r="AN239" s="1137"/>
      <c r="AO239" s="1137"/>
      <c r="AP239" s="1137"/>
      <c r="AQ239" s="1137"/>
      <c r="AR239" s="1137"/>
    </row>
    <row r="240" spans="1:44" ht="12" customHeight="1">
      <c r="A240" s="24" t="s">
        <v>206</v>
      </c>
      <c r="B240" s="15" t="s">
        <v>2321</v>
      </c>
      <c r="C240" s="79"/>
      <c r="D240" s="15"/>
      <c r="E240" s="15"/>
      <c r="F240" s="15"/>
      <c r="G240" s="79"/>
      <c r="H240" s="79"/>
      <c r="I240" s="79"/>
      <c r="J240" s="30" t="s">
        <v>206</v>
      </c>
      <c r="K240" s="4221"/>
      <c r="L240" s="4222"/>
      <c r="M240" s="4222"/>
      <c r="N240" s="4222"/>
      <c r="O240" s="4223"/>
      <c r="P240" s="4217"/>
      <c r="Q240" s="4218"/>
      <c r="R240" s="79"/>
      <c r="S240" s="1141"/>
      <c r="T240" s="1141"/>
      <c r="U240" s="1141"/>
      <c r="V240" s="1141"/>
      <c r="W240" s="1141"/>
      <c r="X240" s="1141"/>
      <c r="Y240" s="1141"/>
      <c r="Z240" s="1141"/>
      <c r="AA240" s="1141"/>
      <c r="AB240" s="1141"/>
      <c r="AC240" s="1141"/>
      <c r="AD240" s="1141"/>
      <c r="AE240" s="1141"/>
      <c r="AF240" s="1141"/>
      <c r="AG240" s="1141"/>
      <c r="AH240" s="1141"/>
      <c r="AI240" s="1141"/>
      <c r="AJ240" s="1141"/>
      <c r="AK240" s="1141"/>
      <c r="AL240" s="1141"/>
      <c r="AM240" s="1141"/>
      <c r="AN240" s="1141"/>
      <c r="AO240" s="1141"/>
      <c r="AP240" s="1141"/>
      <c r="AQ240" s="1141"/>
      <c r="AR240" s="1141"/>
    </row>
    <row r="241" spans="1:44" s="79" customFormat="1" ht="12" customHeight="1">
      <c r="A241" s="24"/>
      <c r="B241" s="710" t="s">
        <v>1459</v>
      </c>
      <c r="C241" s="15" t="s">
        <v>1469</v>
      </c>
      <c r="D241" s="15"/>
      <c r="E241" s="15"/>
      <c r="F241" s="15"/>
      <c r="J241" s="30" t="s">
        <v>1459</v>
      </c>
      <c r="K241" s="4188"/>
      <c r="L241" s="4189"/>
      <c r="M241" s="4189"/>
      <c r="N241" s="4189"/>
      <c r="O241" s="4190"/>
      <c r="P241" s="4219"/>
      <c r="Q241" s="4220"/>
      <c r="S241" s="1141"/>
      <c r="T241" s="1141"/>
      <c r="U241" s="1141"/>
      <c r="V241" s="1141"/>
      <c r="W241" s="1141"/>
      <c r="X241" s="1141"/>
      <c r="Y241" s="1141"/>
      <c r="Z241" s="1141"/>
      <c r="AA241" s="1141"/>
      <c r="AB241" s="1141"/>
      <c r="AC241" s="1141"/>
      <c r="AD241" s="1141"/>
      <c r="AE241" s="1141"/>
      <c r="AF241" s="1141"/>
      <c r="AG241" s="1141"/>
      <c r="AH241" s="1141"/>
      <c r="AI241" s="1141"/>
      <c r="AJ241" s="1141"/>
      <c r="AK241" s="1141"/>
      <c r="AL241" s="1141"/>
      <c r="AM241" s="1141"/>
      <c r="AN241" s="1141"/>
      <c r="AO241" s="1141"/>
      <c r="AP241" s="1141"/>
      <c r="AQ241" s="1141"/>
      <c r="AR241" s="1141"/>
    </row>
    <row r="242" spans="1:44" s="79" customFormat="1" ht="12" customHeight="1">
      <c r="A242" s="24"/>
      <c r="B242" s="710" t="s">
        <v>1462</v>
      </c>
      <c r="C242" s="15" t="s">
        <v>2322</v>
      </c>
      <c r="D242" s="15"/>
      <c r="E242" s="15"/>
      <c r="F242" s="15"/>
      <c r="G242" s="15"/>
      <c r="H242" s="15"/>
      <c r="I242" s="45"/>
      <c r="J242" s="45"/>
      <c r="M242" s="15"/>
      <c r="N242" s="636"/>
      <c r="O242" s="30" t="s">
        <v>1462</v>
      </c>
      <c r="P242" s="632"/>
      <c r="Q242" s="568"/>
      <c r="S242" s="1141"/>
      <c r="T242" s="1141"/>
      <c r="U242" s="1141"/>
      <c r="V242" s="1141"/>
      <c r="W242" s="1141"/>
      <c r="X242" s="1141"/>
      <c r="Y242" s="1141"/>
      <c r="Z242" s="1141"/>
      <c r="AA242" s="1141"/>
      <c r="AB242" s="1141"/>
      <c r="AC242" s="1141"/>
      <c r="AD242" s="1141"/>
      <c r="AE242" s="1141"/>
      <c r="AF242" s="1141"/>
      <c r="AG242" s="1141"/>
      <c r="AH242" s="1141"/>
      <c r="AI242" s="1141"/>
      <c r="AJ242" s="1141"/>
      <c r="AK242" s="1141"/>
      <c r="AL242" s="1141"/>
      <c r="AM242" s="1141"/>
      <c r="AN242" s="1141"/>
      <c r="AO242" s="1141"/>
      <c r="AP242" s="1141"/>
      <c r="AQ242" s="1141"/>
      <c r="AR242" s="1141"/>
    </row>
    <row r="243" spans="1:44" s="79" customFormat="1" ht="34.5" customHeight="1">
      <c r="A243" s="24"/>
      <c r="B243" s="710" t="s">
        <v>1463</v>
      </c>
      <c r="C243" s="4142" t="s">
        <v>2323</v>
      </c>
      <c r="D243" s="4142"/>
      <c r="E243" s="4142"/>
      <c r="F243" s="4142"/>
      <c r="G243" s="4142"/>
      <c r="H243" s="4142"/>
      <c r="I243" s="4142"/>
      <c r="J243" s="4142"/>
      <c r="K243" s="4142"/>
      <c r="L243" s="4142"/>
      <c r="M243" s="4142"/>
      <c r="N243" s="4142"/>
      <c r="O243" s="88" t="s">
        <v>1463</v>
      </c>
      <c r="P243" s="665"/>
      <c r="Q243" s="1296"/>
      <c r="S243" s="1141"/>
      <c r="T243" s="1141"/>
      <c r="U243" s="1141"/>
      <c r="V243" s="1141"/>
      <c r="W243" s="1141"/>
      <c r="X243" s="1141"/>
      <c r="Y243" s="1141"/>
      <c r="Z243" s="1141"/>
      <c r="AA243" s="1141"/>
      <c r="AB243" s="1141"/>
      <c r="AC243" s="1141"/>
      <c r="AD243" s="1141"/>
      <c r="AE243" s="1141"/>
      <c r="AF243" s="1141"/>
      <c r="AG243" s="1141"/>
      <c r="AH243" s="1141"/>
      <c r="AI243" s="1141"/>
      <c r="AJ243" s="1141"/>
      <c r="AK243" s="1141"/>
      <c r="AL243" s="1141"/>
      <c r="AM243" s="1141"/>
      <c r="AN243" s="1141"/>
      <c r="AO243" s="1141"/>
      <c r="AP243" s="1141"/>
      <c r="AQ243" s="1141"/>
      <c r="AR243" s="1141"/>
    </row>
    <row r="244" spans="1:44" s="79" customFormat="1" ht="24" customHeight="1">
      <c r="A244" s="24"/>
      <c r="B244" s="710" t="s">
        <v>1464</v>
      </c>
      <c r="C244" s="4142" t="s">
        <v>2324</v>
      </c>
      <c r="D244" s="4142"/>
      <c r="E244" s="4142"/>
      <c r="F244" s="4142"/>
      <c r="G244" s="4142"/>
      <c r="H244" s="4142"/>
      <c r="I244" s="4142"/>
      <c r="J244" s="4142"/>
      <c r="K244" s="4142"/>
      <c r="L244" s="4142"/>
      <c r="M244" s="4142"/>
      <c r="N244" s="4142"/>
      <c r="O244" s="88" t="s">
        <v>1464</v>
      </c>
      <c r="P244" s="717"/>
      <c r="Q244" s="716"/>
      <c r="S244" s="1141"/>
      <c r="T244" s="1141"/>
      <c r="U244" s="1141"/>
      <c r="V244" s="1141"/>
      <c r="W244" s="1141"/>
      <c r="X244" s="1141"/>
      <c r="Y244" s="1141"/>
      <c r="Z244" s="1141"/>
      <c r="AA244" s="1141"/>
      <c r="AB244" s="1141"/>
      <c r="AC244" s="1141"/>
      <c r="AD244" s="1141"/>
      <c r="AE244" s="1141"/>
      <c r="AF244" s="1141"/>
      <c r="AG244" s="1141"/>
      <c r="AH244" s="1141"/>
      <c r="AI244" s="1141"/>
      <c r="AJ244" s="1141"/>
      <c r="AK244" s="1141"/>
      <c r="AL244" s="1141"/>
      <c r="AM244" s="1141"/>
      <c r="AN244" s="1141"/>
      <c r="AO244" s="1141"/>
      <c r="AP244" s="1141"/>
      <c r="AQ244" s="1141"/>
      <c r="AR244" s="1141"/>
    </row>
    <row r="245" spans="1:44" s="79" customFormat="1" ht="12" customHeight="1">
      <c r="A245" s="24" t="s">
        <v>227</v>
      </c>
      <c r="B245" s="15" t="s">
        <v>2325</v>
      </c>
      <c r="D245" s="15"/>
      <c r="E245" s="15"/>
      <c r="F245" s="15"/>
      <c r="G245" s="15"/>
      <c r="H245" s="15"/>
      <c r="I245" s="45"/>
      <c r="J245" s="45"/>
      <c r="K245" s="45"/>
      <c r="M245" s="15"/>
      <c r="N245" s="636"/>
      <c r="P245" s="1033"/>
      <c r="Q245" s="1034"/>
      <c r="S245" s="1141"/>
      <c r="T245" s="1141"/>
      <c r="U245" s="1141"/>
      <c r="V245" s="1141"/>
      <c r="W245" s="1141"/>
      <c r="X245" s="1141"/>
      <c r="Y245" s="1141"/>
      <c r="Z245" s="1141"/>
      <c r="AA245" s="1141"/>
      <c r="AB245" s="1141"/>
      <c r="AC245" s="1141"/>
      <c r="AD245" s="1141"/>
      <c r="AE245" s="1141"/>
      <c r="AF245" s="1141"/>
      <c r="AG245" s="1141"/>
      <c r="AH245" s="1141"/>
      <c r="AI245" s="1141"/>
      <c r="AJ245" s="1141"/>
      <c r="AK245" s="1141"/>
      <c r="AL245" s="1141"/>
      <c r="AM245" s="1141"/>
      <c r="AN245" s="1141"/>
      <c r="AO245" s="1141"/>
      <c r="AP245" s="1141"/>
      <c r="AQ245" s="1141"/>
      <c r="AR245" s="1141"/>
    </row>
    <row r="246" spans="1:44" s="79" customFormat="1" ht="12" customHeight="1">
      <c r="A246" s="24"/>
      <c r="B246" s="4167" t="s">
        <v>2326</v>
      </c>
      <c r="C246" s="4167"/>
      <c r="D246" s="4167"/>
      <c r="E246" s="27" t="s">
        <v>2327</v>
      </c>
      <c r="F246" s="348"/>
      <c r="G246" s="348"/>
      <c r="K246" s="45"/>
      <c r="M246" s="15"/>
      <c r="N246" s="636"/>
      <c r="O246" s="30" t="s">
        <v>1459</v>
      </c>
      <c r="P246" s="211"/>
      <c r="Q246" s="315"/>
      <c r="S246" s="1141"/>
      <c r="T246" s="1141"/>
      <c r="U246" s="1141"/>
      <c r="V246" s="1141"/>
      <c r="W246" s="1141"/>
      <c r="X246" s="1141"/>
      <c r="Y246" s="1141"/>
      <c r="Z246" s="1141"/>
      <c r="AA246" s="1141"/>
      <c r="AB246" s="1141"/>
      <c r="AC246" s="1141"/>
      <c r="AD246" s="1141"/>
      <c r="AE246" s="1141"/>
      <c r="AF246" s="1141"/>
      <c r="AG246" s="1141"/>
      <c r="AH246" s="1141"/>
      <c r="AI246" s="1141"/>
      <c r="AJ246" s="1141"/>
      <c r="AK246" s="1141"/>
      <c r="AL246" s="1141"/>
      <c r="AM246" s="1141"/>
      <c r="AN246" s="1141"/>
      <c r="AO246" s="1141"/>
      <c r="AP246" s="1141"/>
      <c r="AQ246" s="1141"/>
      <c r="AR246" s="1141"/>
    </row>
    <row r="247" spans="1:44" s="79" customFormat="1" ht="12" customHeight="1">
      <c r="A247" s="24"/>
      <c r="B247" s="4167"/>
      <c r="C247" s="4167"/>
      <c r="D247" s="4167"/>
      <c r="E247" s="27" t="s">
        <v>2328</v>
      </c>
      <c r="F247" s="348"/>
      <c r="G247" s="348"/>
      <c r="K247" s="45"/>
      <c r="M247" s="15"/>
      <c r="N247" s="636"/>
      <c r="O247" s="30" t="s">
        <v>1462</v>
      </c>
      <c r="P247" s="211"/>
      <c r="Q247" s="315"/>
      <c r="S247" s="1141"/>
      <c r="T247" s="1141"/>
      <c r="U247" s="1141"/>
      <c r="V247" s="1141"/>
      <c r="W247" s="1141"/>
      <c r="X247" s="1141"/>
      <c r="Y247" s="1141"/>
      <c r="Z247" s="1141"/>
      <c r="AA247" s="1141"/>
      <c r="AB247" s="1141"/>
      <c r="AC247" s="1141"/>
      <c r="AD247" s="1141"/>
      <c r="AE247" s="1141"/>
      <c r="AF247" s="1141"/>
      <c r="AG247" s="1141"/>
      <c r="AH247" s="1141"/>
      <c r="AI247" s="1141"/>
      <c r="AJ247" s="1141"/>
      <c r="AK247" s="1141"/>
      <c r="AL247" s="1141"/>
      <c r="AM247" s="1141"/>
      <c r="AN247" s="1141"/>
      <c r="AO247" s="1141"/>
      <c r="AP247" s="1141"/>
      <c r="AQ247" s="1141"/>
      <c r="AR247" s="1141"/>
    </row>
    <row r="248" spans="1:44" s="79" customFormat="1" ht="12" customHeight="1">
      <c r="A248" s="24"/>
      <c r="B248" s="4167"/>
      <c r="C248" s="4167"/>
      <c r="D248" s="4167"/>
      <c r="E248" s="27" t="s">
        <v>2329</v>
      </c>
      <c r="F248" s="15"/>
      <c r="G248" s="15"/>
      <c r="K248" s="45"/>
      <c r="M248" s="15"/>
      <c r="N248" s="636"/>
      <c r="O248" s="30" t="s">
        <v>1463</v>
      </c>
      <c r="P248" s="211"/>
      <c r="Q248" s="315"/>
      <c r="S248" s="1141"/>
      <c r="T248" s="1141"/>
      <c r="U248" s="1141"/>
      <c r="V248" s="1141"/>
      <c r="W248" s="1141"/>
      <c r="X248" s="1141"/>
      <c r="Y248" s="1141"/>
      <c r="Z248" s="1141"/>
      <c r="AA248" s="1141"/>
      <c r="AB248" s="1141"/>
      <c r="AC248" s="1141"/>
      <c r="AD248" s="1141"/>
      <c r="AE248" s="1141"/>
      <c r="AF248" s="1141"/>
      <c r="AG248" s="1141"/>
      <c r="AH248" s="1141"/>
      <c r="AI248" s="1141"/>
      <c r="AJ248" s="1141"/>
      <c r="AK248" s="1141"/>
      <c r="AL248" s="1141"/>
      <c r="AM248" s="1141"/>
      <c r="AN248" s="1141"/>
      <c r="AO248" s="1141"/>
      <c r="AP248" s="1141"/>
      <c r="AQ248" s="1141"/>
      <c r="AR248" s="1141"/>
    </row>
    <row r="249" spans="1:44" s="79" customFormat="1" ht="12" customHeight="1">
      <c r="A249" s="24"/>
      <c r="B249" s="4167"/>
      <c r="C249" s="4167"/>
      <c r="D249" s="4167"/>
      <c r="E249" s="27" t="s">
        <v>2330</v>
      </c>
      <c r="F249" s="15"/>
      <c r="G249" s="15"/>
      <c r="K249" s="45"/>
      <c r="M249" s="15"/>
      <c r="N249" s="636"/>
      <c r="O249" s="30" t="s">
        <v>1464</v>
      </c>
      <c r="P249" s="211"/>
      <c r="Q249" s="315"/>
      <c r="S249" s="1141"/>
      <c r="T249" s="1141"/>
      <c r="U249" s="1141"/>
      <c r="V249" s="1141"/>
      <c r="W249" s="1141"/>
      <c r="X249" s="1141"/>
      <c r="Y249" s="1141"/>
      <c r="Z249" s="1141"/>
      <c r="AA249" s="1141"/>
      <c r="AB249" s="1141"/>
      <c r="AC249" s="1141"/>
      <c r="AD249" s="1141"/>
      <c r="AE249" s="1141"/>
      <c r="AF249" s="1141"/>
      <c r="AG249" s="1141"/>
      <c r="AH249" s="1141"/>
      <c r="AI249" s="1141"/>
      <c r="AJ249" s="1141"/>
      <c r="AK249" s="1141"/>
      <c r="AL249" s="1141"/>
      <c r="AM249" s="1141"/>
      <c r="AN249" s="1141"/>
      <c r="AO249" s="1141"/>
      <c r="AP249" s="1141"/>
      <c r="AQ249" s="1141"/>
      <c r="AR249" s="1141"/>
    </row>
    <row r="250" spans="1:44" s="79" customFormat="1" ht="23.25" customHeight="1">
      <c r="D250" s="1131"/>
      <c r="E250" s="4142" t="s">
        <v>2331</v>
      </c>
      <c r="F250" s="4142"/>
      <c r="G250" s="4142"/>
      <c r="H250" s="4142"/>
      <c r="I250" s="4142"/>
      <c r="J250" s="4142"/>
      <c r="K250" s="4142"/>
      <c r="L250" s="4142"/>
      <c r="M250" s="4142"/>
      <c r="N250" s="4142"/>
      <c r="O250" s="88" t="s">
        <v>2068</v>
      </c>
      <c r="P250" s="717"/>
      <c r="Q250" s="716"/>
      <c r="S250" s="1141"/>
      <c r="T250" s="1141"/>
      <c r="U250" s="1141"/>
      <c r="V250" s="1141"/>
      <c r="W250" s="1141"/>
      <c r="X250" s="1141"/>
      <c r="Y250" s="1141"/>
      <c r="Z250" s="1141"/>
      <c r="AA250" s="1141"/>
      <c r="AB250" s="1141"/>
      <c r="AC250" s="1141"/>
      <c r="AD250" s="1141"/>
      <c r="AE250" s="1141"/>
      <c r="AF250" s="1141"/>
      <c r="AG250" s="1141"/>
      <c r="AH250" s="1141"/>
      <c r="AI250" s="1141"/>
      <c r="AJ250" s="1141"/>
      <c r="AK250" s="1141"/>
      <c r="AL250" s="1141"/>
      <c r="AM250" s="1141"/>
      <c r="AN250" s="1141"/>
      <c r="AO250" s="1141"/>
      <c r="AP250" s="1141"/>
      <c r="AQ250" s="1141"/>
      <c r="AR250" s="1141"/>
    </row>
    <row r="251" spans="1:44" ht="12" customHeight="1">
      <c r="A251" s="79"/>
      <c r="B251" s="76" t="s">
        <v>1403</v>
      </c>
      <c r="C251" s="79"/>
      <c r="D251" s="76"/>
      <c r="E251" s="76"/>
      <c r="F251" s="76"/>
      <c r="G251" s="76"/>
      <c r="H251" s="18"/>
      <c r="I251" s="714"/>
      <c r="J251" s="714"/>
      <c r="K251" s="714"/>
      <c r="L251" s="542"/>
      <c r="M251" s="542"/>
      <c r="N251" s="542"/>
      <c r="O251" s="542"/>
      <c r="P251" s="542"/>
      <c r="Q251" s="542"/>
      <c r="R251" s="79"/>
      <c r="S251" s="1141"/>
      <c r="T251" s="1141"/>
      <c r="U251" s="1141"/>
      <c r="V251" s="1141"/>
      <c r="W251" s="1141"/>
      <c r="X251" s="1141"/>
      <c r="Y251" s="1141"/>
      <c r="Z251" s="1141"/>
      <c r="AA251" s="1141"/>
      <c r="AB251" s="1141"/>
      <c r="AC251" s="1141"/>
      <c r="AD251" s="1141"/>
      <c r="AE251" s="1141"/>
      <c r="AF251" s="1141"/>
      <c r="AG251" s="1141"/>
      <c r="AH251" s="1141"/>
      <c r="AI251" s="1141"/>
      <c r="AJ251" s="1141"/>
      <c r="AK251" s="1141"/>
      <c r="AL251" s="1141"/>
      <c r="AM251" s="1141"/>
      <c r="AN251" s="1141"/>
      <c r="AO251" s="1141"/>
      <c r="AP251" s="1141"/>
      <c r="AQ251" s="1141"/>
      <c r="AR251" s="1141"/>
    </row>
    <row r="252" spans="1:44" ht="12" customHeight="1">
      <c r="A252" s="4153"/>
      <c r="B252" s="4154"/>
      <c r="C252" s="4154"/>
      <c r="D252" s="4154"/>
      <c r="E252" s="4154"/>
      <c r="F252" s="4154"/>
      <c r="G252" s="4154"/>
      <c r="H252" s="4154"/>
      <c r="I252" s="4154"/>
      <c r="J252" s="4154"/>
      <c r="K252" s="4154"/>
      <c r="L252" s="4154"/>
      <c r="M252" s="4154"/>
      <c r="N252" s="4154"/>
      <c r="O252" s="4154"/>
      <c r="P252" s="4154"/>
      <c r="Q252" s="4155"/>
      <c r="R252" s="258" t="s">
        <v>2152</v>
      </c>
      <c r="S252" s="1139"/>
      <c r="T252" s="1141"/>
      <c r="U252" s="1140"/>
      <c r="V252" s="1140"/>
      <c r="W252" s="1140"/>
      <c r="X252" s="1140"/>
      <c r="Y252" s="1140"/>
      <c r="Z252" s="1140"/>
      <c r="AA252" s="1140"/>
      <c r="AB252" s="1140"/>
      <c r="AC252" s="1140"/>
      <c r="AD252" s="1140"/>
      <c r="AE252" s="1140"/>
      <c r="AF252" s="1141"/>
      <c r="AG252" s="1141"/>
      <c r="AH252" s="1141"/>
      <c r="AI252" s="1141"/>
      <c r="AJ252" s="1141"/>
      <c r="AK252" s="1141"/>
      <c r="AL252" s="1141"/>
      <c r="AM252" s="1141"/>
      <c r="AN252" s="1141"/>
      <c r="AO252" s="1141"/>
      <c r="AP252" s="1141"/>
      <c r="AQ252" s="1141"/>
      <c r="AR252" s="1141"/>
    </row>
    <row r="253" spans="1:44" ht="12" customHeight="1">
      <c r="A253" s="79"/>
      <c r="B253" s="72" t="s">
        <v>1399</v>
      </c>
      <c r="C253" s="73"/>
      <c r="D253" s="710"/>
      <c r="E253" s="710"/>
      <c r="F253" s="710"/>
      <c r="G253" s="710"/>
      <c r="H253" s="710"/>
      <c r="I253" s="710"/>
      <c r="J253" s="710"/>
      <c r="K253" s="710"/>
      <c r="L253" s="710"/>
      <c r="M253" s="710"/>
      <c r="N253" s="710"/>
      <c r="O253" s="710"/>
      <c r="P253" s="710"/>
      <c r="Q253" s="710"/>
      <c r="R253" s="79"/>
      <c r="S253" s="1141"/>
      <c r="T253" s="1141"/>
      <c r="U253" s="1141"/>
      <c r="V253" s="1141"/>
      <c r="W253" s="1141"/>
      <c r="X253" s="1141"/>
      <c r="Y253" s="1141"/>
      <c r="Z253" s="1141"/>
      <c r="AA253" s="1141"/>
      <c r="AB253" s="1141"/>
      <c r="AC253" s="1141"/>
      <c r="AD253" s="1141"/>
      <c r="AE253" s="1141"/>
      <c r="AF253" s="1141"/>
      <c r="AG253" s="1141"/>
      <c r="AH253" s="1141"/>
      <c r="AI253" s="1141"/>
      <c r="AJ253" s="1141"/>
      <c r="AK253" s="1141"/>
      <c r="AL253" s="1141"/>
      <c r="AM253" s="1141"/>
      <c r="AN253" s="1141"/>
      <c r="AO253" s="1141"/>
      <c r="AP253" s="1141"/>
      <c r="AQ253" s="1141"/>
      <c r="AR253" s="1141"/>
    </row>
    <row r="254" spans="1:44" ht="12" customHeight="1">
      <c r="A254" s="4150"/>
      <c r="B254" s="4151"/>
      <c r="C254" s="4151"/>
      <c r="D254" s="4151"/>
      <c r="E254" s="4151"/>
      <c r="F254" s="4151"/>
      <c r="G254" s="4151"/>
      <c r="H254" s="4151"/>
      <c r="I254" s="4151"/>
      <c r="J254" s="4151"/>
      <c r="K254" s="4151"/>
      <c r="L254" s="4151"/>
      <c r="M254" s="4151"/>
      <c r="N254" s="4151"/>
      <c r="O254" s="4151"/>
      <c r="P254" s="4151"/>
      <c r="Q254" s="4152"/>
      <c r="R254" s="79"/>
      <c r="S254" s="1141"/>
      <c r="T254" s="1141"/>
      <c r="U254" s="1141"/>
      <c r="V254" s="1141"/>
      <c r="W254" s="1141"/>
      <c r="X254" s="1141"/>
      <c r="Y254" s="1141"/>
      <c r="Z254" s="1141"/>
      <c r="AA254" s="1141"/>
      <c r="AB254" s="1141"/>
      <c r="AC254" s="1141"/>
      <c r="AD254" s="1141"/>
      <c r="AE254" s="1141"/>
      <c r="AF254" s="1141"/>
      <c r="AG254" s="1141"/>
      <c r="AH254" s="1141"/>
      <c r="AI254" s="1141"/>
      <c r="AJ254" s="1141"/>
      <c r="AK254" s="1141"/>
      <c r="AL254" s="1141"/>
      <c r="AM254" s="1141"/>
      <c r="AN254" s="1141"/>
      <c r="AO254" s="1141"/>
      <c r="AP254" s="1141"/>
      <c r="AQ254" s="1141"/>
      <c r="AR254" s="1141"/>
    </row>
    <row r="255" spans="1:44" ht="3" customHeight="1">
      <c r="A255" s="542"/>
      <c r="B255" s="714"/>
      <c r="C255" s="710"/>
      <c r="D255" s="710"/>
      <c r="E255" s="710"/>
      <c r="F255" s="710"/>
      <c r="G255" s="710"/>
      <c r="H255" s="710"/>
      <c r="I255" s="710"/>
      <c r="J255" s="710"/>
      <c r="K255" s="710"/>
      <c r="L255" s="710"/>
      <c r="M255" s="710"/>
      <c r="N255" s="79"/>
      <c r="O255" s="79"/>
      <c r="P255" s="79"/>
      <c r="Q255" s="542"/>
      <c r="R255" s="79"/>
      <c r="S255" s="1141"/>
      <c r="T255" s="1141"/>
      <c r="U255" s="1141"/>
      <c r="V255" s="1141"/>
      <c r="W255" s="1141"/>
      <c r="X255" s="1141"/>
      <c r="Y255" s="1141"/>
      <c r="Z255" s="1141"/>
      <c r="AA255" s="1141"/>
      <c r="AB255" s="1141"/>
      <c r="AC255" s="1141"/>
      <c r="AD255" s="1141"/>
      <c r="AE255" s="1141"/>
      <c r="AF255" s="1141"/>
      <c r="AG255" s="1141"/>
      <c r="AH255" s="1141"/>
      <c r="AI255" s="1141"/>
      <c r="AJ255" s="1141"/>
      <c r="AK255" s="1141"/>
      <c r="AL255" s="1141"/>
      <c r="AM255" s="1141"/>
      <c r="AN255" s="1141"/>
      <c r="AO255" s="1141"/>
      <c r="AP255" s="1141"/>
      <c r="AQ255" s="1141"/>
      <c r="AR255" s="1141"/>
    </row>
    <row r="256" spans="1:44" ht="14.1" customHeight="1">
      <c r="A256" s="2" t="s">
        <v>1472</v>
      </c>
      <c r="B256" s="4" t="s">
        <v>1471</v>
      </c>
      <c r="C256" s="4"/>
      <c r="D256" s="40"/>
      <c r="E256" s="40"/>
      <c r="F256" s="40"/>
      <c r="G256" s="40"/>
      <c r="H256" s="710"/>
      <c r="I256" s="710"/>
      <c r="J256" s="710"/>
      <c r="K256" s="710"/>
      <c r="L256" s="710"/>
      <c r="M256" s="710"/>
      <c r="N256" s="79"/>
      <c r="O256" s="68" t="s">
        <v>1397</v>
      </c>
      <c r="P256" s="4145"/>
      <c r="Q256" s="4146"/>
      <c r="R256" s="79"/>
      <c r="S256" s="1141"/>
      <c r="T256" s="1141"/>
      <c r="U256" s="1141"/>
      <c r="V256" s="1141"/>
      <c r="W256" s="1141"/>
      <c r="X256" s="1141"/>
      <c r="Y256" s="1141"/>
      <c r="Z256" s="1141"/>
      <c r="AA256" s="1141"/>
      <c r="AB256" s="1141"/>
      <c r="AC256" s="1141"/>
      <c r="AD256" s="1141"/>
      <c r="AE256" s="1141"/>
      <c r="AF256" s="1141"/>
      <c r="AG256" s="1141"/>
      <c r="AH256" s="1141"/>
      <c r="AI256" s="1141"/>
      <c r="AJ256" s="1141"/>
      <c r="AK256" s="1141"/>
      <c r="AL256" s="1141"/>
      <c r="AM256" s="1141"/>
      <c r="AN256" s="1141"/>
      <c r="AO256" s="1141"/>
      <c r="AP256" s="1141"/>
      <c r="AQ256" s="1141"/>
      <c r="AR256" s="1141"/>
    </row>
    <row r="257" spans="1:44" s="239" customFormat="1" ht="21.75" customHeight="1">
      <c r="A257" s="77" t="s">
        <v>194</v>
      </c>
      <c r="B257" s="710" t="s">
        <v>1459</v>
      </c>
      <c r="C257" s="4142" t="s">
        <v>2332</v>
      </c>
      <c r="D257" s="4142"/>
      <c r="E257" s="4142"/>
      <c r="F257" s="4142"/>
      <c r="G257" s="4142"/>
      <c r="H257" s="4142"/>
      <c r="I257" s="4142"/>
      <c r="J257" s="4142"/>
      <c r="K257" s="4142"/>
      <c r="L257" s="4142"/>
      <c r="M257" s="4142"/>
      <c r="N257" s="4142"/>
      <c r="O257" s="1131" t="s">
        <v>2282</v>
      </c>
      <c r="P257" s="1493"/>
      <c r="Q257" s="1494"/>
      <c r="S257" s="1142"/>
      <c r="T257" s="1142"/>
      <c r="U257" s="1142"/>
      <c r="V257" s="1142"/>
      <c r="W257" s="1142"/>
      <c r="X257" s="1142"/>
      <c r="Y257" s="1142"/>
      <c r="Z257" s="1142"/>
      <c r="AA257" s="1142"/>
      <c r="AB257" s="1142"/>
      <c r="AC257" s="1142"/>
      <c r="AD257" s="1142"/>
      <c r="AE257" s="1142"/>
      <c r="AF257" s="1142"/>
      <c r="AG257" s="1142"/>
      <c r="AH257" s="1142"/>
      <c r="AI257" s="1142"/>
      <c r="AJ257" s="1142"/>
      <c r="AK257" s="1142"/>
      <c r="AL257" s="1142"/>
      <c r="AM257" s="1142"/>
      <c r="AN257" s="1142"/>
      <c r="AO257" s="1142"/>
      <c r="AP257" s="1142"/>
      <c r="AQ257" s="1142"/>
      <c r="AR257" s="1142"/>
    </row>
    <row r="258" spans="1:44" s="79" customFormat="1" ht="11.65" customHeight="1">
      <c r="A258" s="24"/>
      <c r="B258" s="710" t="s">
        <v>1462</v>
      </c>
      <c r="C258" s="15" t="s">
        <v>2333</v>
      </c>
      <c r="D258" s="15"/>
      <c r="E258" s="15"/>
      <c r="F258" s="15"/>
      <c r="G258" s="15"/>
      <c r="H258" s="15"/>
      <c r="I258" s="15"/>
      <c r="J258" s="15"/>
      <c r="K258" s="15"/>
      <c r="L258" s="15"/>
      <c r="M258" s="15"/>
      <c r="O258" s="1131" t="s">
        <v>1462</v>
      </c>
      <c r="P258" s="124"/>
      <c r="Q258" s="316"/>
      <c r="S258" s="1141"/>
      <c r="T258" s="1141"/>
      <c r="U258" s="1141"/>
      <c r="V258" s="1141"/>
      <c r="W258" s="1141"/>
      <c r="X258" s="1141"/>
      <c r="Y258" s="1141"/>
      <c r="Z258" s="1141"/>
      <c r="AA258" s="1141"/>
      <c r="AB258" s="1141"/>
      <c r="AC258" s="1141"/>
      <c r="AD258" s="1141"/>
      <c r="AE258" s="1141"/>
      <c r="AF258" s="1141"/>
      <c r="AG258" s="1141"/>
      <c r="AH258" s="1141"/>
      <c r="AI258" s="1141"/>
      <c r="AJ258" s="1141"/>
      <c r="AK258" s="1141"/>
      <c r="AL258" s="1141"/>
      <c r="AM258" s="1141"/>
      <c r="AN258" s="1141"/>
      <c r="AO258" s="1141"/>
      <c r="AP258" s="1141"/>
      <c r="AQ258" s="1141"/>
      <c r="AR258" s="1141"/>
    </row>
    <row r="259" spans="1:44" s="79" customFormat="1" ht="11.65" customHeight="1">
      <c r="A259" s="24" t="s">
        <v>206</v>
      </c>
      <c r="B259" s="15" t="s">
        <v>2334</v>
      </c>
      <c r="D259" s="15"/>
      <c r="E259" s="15"/>
      <c r="F259" s="15"/>
      <c r="G259" s="15"/>
      <c r="H259" s="15"/>
      <c r="I259" s="15"/>
      <c r="J259" s="15"/>
      <c r="K259" s="15"/>
      <c r="L259" s="15"/>
      <c r="M259" s="15"/>
      <c r="O259" s="30" t="s">
        <v>206</v>
      </c>
      <c r="P259" s="124"/>
      <c r="Q259" s="316"/>
      <c r="S259" s="1141"/>
      <c r="T259" s="1141"/>
      <c r="U259" s="1141"/>
      <c r="V259" s="1141"/>
      <c r="W259" s="1141"/>
      <c r="X259" s="1141"/>
      <c r="Y259" s="1141"/>
      <c r="Z259" s="1141"/>
      <c r="AA259" s="1141"/>
      <c r="AB259" s="1141"/>
      <c r="AC259" s="1141"/>
      <c r="AD259" s="1141"/>
      <c r="AE259" s="1141"/>
      <c r="AF259" s="1141"/>
      <c r="AG259" s="1141"/>
      <c r="AH259" s="1141"/>
      <c r="AI259" s="1141"/>
      <c r="AJ259" s="1141"/>
      <c r="AK259" s="1141"/>
      <c r="AL259" s="1141"/>
      <c r="AM259" s="1141"/>
      <c r="AN259" s="1141"/>
      <c r="AO259" s="1141"/>
      <c r="AP259" s="1141"/>
      <c r="AQ259" s="1141"/>
      <c r="AR259" s="1141"/>
    </row>
    <row r="260" spans="1:44" s="239" customFormat="1" ht="23.25" customHeight="1">
      <c r="A260" s="77" t="s">
        <v>227</v>
      </c>
      <c r="B260" s="710" t="s">
        <v>1459</v>
      </c>
      <c r="C260" s="4142" t="s">
        <v>2335</v>
      </c>
      <c r="D260" s="4142"/>
      <c r="E260" s="4142"/>
      <c r="F260" s="4142"/>
      <c r="G260" s="4142"/>
      <c r="H260" s="4142"/>
      <c r="I260" s="4142"/>
      <c r="J260" s="4142"/>
      <c r="K260" s="4142"/>
      <c r="L260" s="4142"/>
      <c r="M260" s="4142"/>
      <c r="N260" s="4142"/>
      <c r="O260" s="1131" t="s">
        <v>2336</v>
      </c>
      <c r="P260" s="1493"/>
      <c r="Q260" s="1494"/>
      <c r="S260" s="1142"/>
      <c r="T260" s="1142"/>
      <c r="U260" s="1142"/>
      <c r="V260" s="1142"/>
      <c r="W260" s="1142"/>
      <c r="X260" s="1142"/>
      <c r="Y260" s="1142"/>
      <c r="Z260" s="1142"/>
      <c r="AA260" s="1142"/>
      <c r="AB260" s="1142"/>
      <c r="AC260" s="1142"/>
      <c r="AD260" s="1142"/>
      <c r="AE260" s="1142"/>
      <c r="AF260" s="1142"/>
      <c r="AG260" s="1142"/>
      <c r="AH260" s="1142"/>
      <c r="AI260" s="1142"/>
      <c r="AJ260" s="1142"/>
      <c r="AK260" s="1142"/>
      <c r="AL260" s="1142"/>
      <c r="AM260" s="1142"/>
      <c r="AN260" s="1142"/>
      <c r="AO260" s="1142"/>
      <c r="AP260" s="1142"/>
      <c r="AQ260" s="1142"/>
      <c r="AR260" s="1142"/>
    </row>
    <row r="261" spans="1:44" s="79" customFormat="1" ht="11.65" customHeight="1">
      <c r="A261" s="24"/>
      <c r="B261" s="710" t="s">
        <v>1462</v>
      </c>
      <c r="C261" s="15" t="s">
        <v>2337</v>
      </c>
      <c r="D261" s="15"/>
      <c r="E261" s="15"/>
      <c r="F261" s="15"/>
      <c r="G261" s="15"/>
      <c r="H261" s="15"/>
      <c r="I261" s="15"/>
      <c r="J261" s="15"/>
      <c r="K261" s="15"/>
      <c r="L261" s="15"/>
      <c r="M261" s="15"/>
      <c r="O261" s="1131" t="s">
        <v>1462</v>
      </c>
      <c r="P261" s="124"/>
      <c r="Q261" s="316"/>
      <c r="S261" s="1141"/>
      <c r="T261" s="1141"/>
      <c r="U261" s="1141"/>
      <c r="V261" s="1141"/>
      <c r="W261" s="1141"/>
      <c r="X261" s="1141"/>
      <c r="Y261" s="1141"/>
      <c r="Z261" s="1141"/>
      <c r="AA261" s="1141"/>
      <c r="AB261" s="1141"/>
      <c r="AC261" s="1141"/>
      <c r="AD261" s="1141"/>
      <c r="AE261" s="1141"/>
      <c r="AF261" s="1141"/>
      <c r="AG261" s="1141"/>
      <c r="AH261" s="1141"/>
      <c r="AI261" s="1141"/>
      <c r="AJ261" s="1141"/>
      <c r="AK261" s="1141"/>
      <c r="AL261" s="1141"/>
      <c r="AM261" s="1141"/>
      <c r="AN261" s="1141"/>
      <c r="AO261" s="1141"/>
      <c r="AP261" s="1141"/>
      <c r="AQ261" s="1141"/>
      <c r="AR261" s="1141"/>
    </row>
    <row r="262" spans="1:44" s="79" customFormat="1" ht="22.5" customHeight="1">
      <c r="A262" s="77" t="s">
        <v>229</v>
      </c>
      <c r="B262" s="4142" t="s">
        <v>2338</v>
      </c>
      <c r="C262" s="4142"/>
      <c r="D262" s="4142"/>
      <c r="E262" s="4142"/>
      <c r="F262" s="4142"/>
      <c r="G262" s="4142"/>
      <c r="H262" s="4142"/>
      <c r="I262" s="4142"/>
      <c r="J262" s="4142"/>
      <c r="K262" s="4142"/>
      <c r="L262" s="4142"/>
      <c r="M262" s="4142"/>
      <c r="N262" s="4142"/>
      <c r="O262" s="88" t="s">
        <v>229</v>
      </c>
      <c r="P262" s="717"/>
      <c r="Q262" s="716"/>
      <c r="S262" s="1141"/>
      <c r="T262" s="1141"/>
      <c r="U262" s="1141"/>
      <c r="V262" s="1141"/>
      <c r="W262" s="1141"/>
      <c r="X262" s="1141"/>
      <c r="Y262" s="1141"/>
      <c r="Z262" s="1141"/>
      <c r="AA262" s="1141"/>
      <c r="AB262" s="1141"/>
      <c r="AC262" s="1141"/>
      <c r="AD262" s="1141"/>
      <c r="AE262" s="1141"/>
      <c r="AF262" s="1141"/>
      <c r="AG262" s="1141"/>
      <c r="AH262" s="1141"/>
      <c r="AI262" s="1141"/>
      <c r="AJ262" s="1141"/>
      <c r="AK262" s="1141"/>
      <c r="AL262" s="1141"/>
      <c r="AM262" s="1141"/>
      <c r="AN262" s="1141"/>
      <c r="AO262" s="1141"/>
      <c r="AP262" s="1141"/>
      <c r="AQ262" s="1141"/>
      <c r="AR262" s="1141"/>
    </row>
    <row r="263" spans="1:44" ht="11.25" customHeight="1">
      <c r="A263" s="79"/>
      <c r="B263" s="76" t="s">
        <v>1403</v>
      </c>
      <c r="C263" s="79"/>
      <c r="D263" s="76"/>
      <c r="E263" s="76"/>
      <c r="F263" s="76"/>
      <c r="G263" s="76"/>
      <c r="H263" s="18"/>
      <c r="I263" s="714"/>
      <c r="J263" s="714"/>
      <c r="K263" s="714"/>
      <c r="L263" s="542"/>
      <c r="M263" s="542"/>
      <c r="N263" s="542"/>
      <c r="O263" s="542"/>
      <c r="P263" s="542"/>
      <c r="Q263" s="542"/>
      <c r="R263" s="79"/>
      <c r="S263" s="1141"/>
      <c r="T263" s="1141"/>
      <c r="U263" s="1141"/>
      <c r="V263" s="1141"/>
      <c r="W263" s="1141"/>
      <c r="X263" s="1141"/>
      <c r="Y263" s="1141"/>
      <c r="Z263" s="1141"/>
      <c r="AA263" s="1141"/>
      <c r="AB263" s="1141"/>
      <c r="AC263" s="1141"/>
      <c r="AD263" s="1141"/>
      <c r="AE263" s="1141"/>
      <c r="AF263" s="1141"/>
      <c r="AG263" s="1141"/>
      <c r="AH263" s="1141"/>
      <c r="AI263" s="1141"/>
      <c r="AJ263" s="1141"/>
      <c r="AK263" s="1141"/>
      <c r="AL263" s="1141"/>
      <c r="AM263" s="1141"/>
      <c r="AN263" s="1141"/>
      <c r="AO263" s="1141"/>
      <c r="AP263" s="1141"/>
      <c r="AQ263" s="1141"/>
      <c r="AR263" s="1141"/>
    </row>
    <row r="264" spans="1:44" ht="13.35" customHeight="1">
      <c r="A264" s="4153"/>
      <c r="B264" s="4154"/>
      <c r="C264" s="4154"/>
      <c r="D264" s="4154"/>
      <c r="E264" s="4154"/>
      <c r="F264" s="4154"/>
      <c r="G264" s="4154"/>
      <c r="H264" s="4154"/>
      <c r="I264" s="4154"/>
      <c r="J264" s="4154"/>
      <c r="K264" s="4154"/>
      <c r="L264" s="4154"/>
      <c r="M264" s="4154"/>
      <c r="N264" s="4154"/>
      <c r="O264" s="4154"/>
      <c r="P264" s="4154"/>
      <c r="Q264" s="4155"/>
      <c r="R264" s="258" t="s">
        <v>2152</v>
      </c>
      <c r="S264" s="1139"/>
      <c r="T264" s="1141"/>
      <c r="U264" s="1140"/>
      <c r="V264" s="1140"/>
      <c r="W264" s="1140"/>
      <c r="X264" s="1140"/>
      <c r="Y264" s="1140"/>
      <c r="Z264" s="1140"/>
      <c r="AA264" s="1140"/>
      <c r="AB264" s="1140"/>
      <c r="AC264" s="1140"/>
      <c r="AD264" s="1140"/>
      <c r="AE264" s="1140"/>
      <c r="AF264" s="1141"/>
      <c r="AG264" s="1141"/>
      <c r="AH264" s="1141"/>
      <c r="AI264" s="1141"/>
      <c r="AJ264" s="1141"/>
      <c r="AK264" s="1141"/>
      <c r="AL264" s="1141"/>
      <c r="AM264" s="1141"/>
      <c r="AN264" s="1141"/>
      <c r="AO264" s="1141"/>
      <c r="AP264" s="1141"/>
      <c r="AQ264" s="1141"/>
      <c r="AR264" s="1141"/>
    </row>
    <row r="265" spans="1:44" ht="11.25" customHeight="1">
      <c r="A265" s="79"/>
      <c r="B265" s="72" t="s">
        <v>1399</v>
      </c>
      <c r="C265" s="73"/>
      <c r="D265" s="710"/>
      <c r="E265" s="710"/>
      <c r="F265" s="710"/>
      <c r="G265" s="710"/>
      <c r="H265" s="710"/>
      <c r="I265" s="710"/>
      <c r="J265" s="710"/>
      <c r="K265" s="710"/>
      <c r="L265" s="710"/>
      <c r="M265" s="710"/>
      <c r="N265" s="710"/>
      <c r="O265" s="710"/>
      <c r="P265" s="710"/>
      <c r="Q265" s="710"/>
      <c r="R265" s="79"/>
      <c r="S265" s="1141"/>
      <c r="T265" s="1141"/>
      <c r="U265" s="1141"/>
      <c r="V265" s="1141"/>
      <c r="W265" s="1141"/>
      <c r="X265" s="1141"/>
      <c r="Y265" s="1141"/>
      <c r="Z265" s="1141"/>
      <c r="AA265" s="1141"/>
      <c r="AB265" s="1141"/>
      <c r="AC265" s="1141"/>
      <c r="AD265" s="1141"/>
      <c r="AE265" s="1141"/>
      <c r="AF265" s="1141"/>
      <c r="AG265" s="1141"/>
      <c r="AH265" s="1141"/>
      <c r="AI265" s="1141"/>
      <c r="AJ265" s="1141"/>
      <c r="AK265" s="1141"/>
      <c r="AL265" s="1141"/>
      <c r="AM265" s="1141"/>
      <c r="AN265" s="1141"/>
      <c r="AO265" s="1141"/>
      <c r="AP265" s="1141"/>
      <c r="AQ265" s="1141"/>
      <c r="AR265" s="1141"/>
    </row>
    <row r="266" spans="1:44" ht="13.35" customHeight="1">
      <c r="A266" s="4150"/>
      <c r="B266" s="4151"/>
      <c r="C266" s="4151"/>
      <c r="D266" s="4151"/>
      <c r="E266" s="4151"/>
      <c r="F266" s="4151"/>
      <c r="G266" s="4151"/>
      <c r="H266" s="4151"/>
      <c r="I266" s="4151"/>
      <c r="J266" s="4151"/>
      <c r="K266" s="4151"/>
      <c r="L266" s="4151"/>
      <c r="M266" s="4151"/>
      <c r="N266" s="4151"/>
      <c r="O266" s="4151"/>
      <c r="P266" s="4151"/>
      <c r="Q266" s="4152"/>
      <c r="R266" s="79"/>
      <c r="S266" s="1141"/>
      <c r="T266" s="1141"/>
      <c r="U266" s="1141"/>
      <c r="V266" s="1141"/>
      <c r="W266" s="1141"/>
      <c r="X266" s="1141"/>
      <c r="Y266" s="1141"/>
      <c r="Z266" s="1141"/>
      <c r="AA266" s="1141"/>
      <c r="AB266" s="1141"/>
      <c r="AC266" s="1141"/>
      <c r="AD266" s="1141"/>
      <c r="AE266" s="1141"/>
      <c r="AF266" s="1141"/>
      <c r="AG266" s="1141"/>
      <c r="AH266" s="1141"/>
      <c r="AI266" s="1141"/>
      <c r="AJ266" s="1141"/>
      <c r="AK266" s="1141"/>
      <c r="AL266" s="1141"/>
      <c r="AM266" s="1141"/>
      <c r="AN266" s="1141"/>
      <c r="AO266" s="1141"/>
      <c r="AP266" s="1141"/>
      <c r="AQ266" s="1141"/>
      <c r="AR266" s="1141"/>
    </row>
    <row r="267" spans="1:44" ht="3" customHeight="1">
      <c r="A267" s="79"/>
      <c r="B267" s="79"/>
      <c r="C267" s="79"/>
      <c r="D267" s="79"/>
      <c r="E267" s="79"/>
      <c r="F267" s="79"/>
      <c r="G267" s="79"/>
      <c r="H267" s="79"/>
      <c r="I267" s="79"/>
      <c r="J267" s="79"/>
      <c r="K267" s="79"/>
      <c r="L267" s="79"/>
      <c r="M267" s="79"/>
      <c r="N267" s="79"/>
      <c r="O267" s="79"/>
      <c r="P267" s="79"/>
      <c r="Q267" s="79"/>
      <c r="R267" s="79"/>
      <c r="S267" s="1141"/>
      <c r="T267" s="1141"/>
      <c r="U267" s="1141"/>
      <c r="V267" s="1141"/>
      <c r="W267" s="1141"/>
      <c r="X267" s="1141"/>
      <c r="Y267" s="1141"/>
      <c r="Z267" s="1141"/>
      <c r="AA267" s="1141"/>
      <c r="AB267" s="1141"/>
      <c r="AC267" s="1141"/>
      <c r="AD267" s="1141"/>
      <c r="AE267" s="1141"/>
      <c r="AF267" s="1141"/>
      <c r="AG267" s="1141"/>
      <c r="AH267" s="1141"/>
      <c r="AI267" s="1141"/>
      <c r="AJ267" s="1141"/>
      <c r="AK267" s="1141"/>
      <c r="AL267" s="1141"/>
      <c r="AM267" s="1141"/>
      <c r="AN267" s="1141"/>
      <c r="AO267" s="1141"/>
      <c r="AP267" s="1141"/>
      <c r="AQ267" s="1141"/>
      <c r="AR267" s="1141"/>
    </row>
    <row r="268" spans="1:44" ht="14.1" customHeight="1">
      <c r="A268" s="2" t="s">
        <v>1481</v>
      </c>
      <c r="B268" s="2" t="s">
        <v>1473</v>
      </c>
      <c r="C268" s="2"/>
      <c r="D268" s="710"/>
      <c r="E268" s="710"/>
      <c r="F268" s="710"/>
      <c r="G268" s="710"/>
      <c r="H268" s="710"/>
      <c r="I268" s="710"/>
      <c r="J268" s="710"/>
      <c r="K268" s="710"/>
      <c r="L268" s="710"/>
      <c r="M268" s="710"/>
      <c r="N268" s="79"/>
      <c r="O268" s="68" t="s">
        <v>1397</v>
      </c>
      <c r="P268" s="4145"/>
      <c r="Q268" s="4146"/>
      <c r="R268" s="79"/>
      <c r="S268" s="1141"/>
      <c r="T268" s="1141"/>
      <c r="U268" s="1141"/>
      <c r="V268" s="1141"/>
      <c r="W268" s="1141"/>
      <c r="X268" s="1141"/>
      <c r="Y268" s="1141"/>
      <c r="Z268" s="1141"/>
      <c r="AA268" s="1141"/>
      <c r="AB268" s="1141"/>
      <c r="AC268" s="1141"/>
      <c r="AD268" s="1141"/>
      <c r="AE268" s="1141"/>
      <c r="AF268" s="1141"/>
      <c r="AG268" s="1141"/>
      <c r="AH268" s="1141"/>
      <c r="AI268" s="1141"/>
      <c r="AJ268" s="1141"/>
      <c r="AK268" s="1141"/>
      <c r="AL268" s="1141"/>
      <c r="AM268" s="1141"/>
      <c r="AN268" s="1141"/>
      <c r="AO268" s="1141"/>
      <c r="AP268" s="1141"/>
      <c r="AQ268" s="1141"/>
      <c r="AR268" s="1141"/>
    </row>
    <row r="269" spans="1:44" customFormat="1" ht="11.65" customHeight="1">
      <c r="B269" s="27" t="s">
        <v>2319</v>
      </c>
      <c r="N269" s="60"/>
      <c r="P269" s="276"/>
      <c r="Q269" s="314"/>
      <c r="S269" s="1137"/>
      <c r="T269" s="1137"/>
      <c r="U269" s="1137"/>
      <c r="V269" s="1137"/>
      <c r="W269" s="1137"/>
      <c r="X269" s="1137"/>
      <c r="Y269" s="1137"/>
      <c r="Z269" s="1137"/>
      <c r="AA269" s="1137"/>
      <c r="AB269" s="1137"/>
      <c r="AC269" s="1137"/>
      <c r="AD269" s="1137"/>
      <c r="AE269" s="1137"/>
      <c r="AF269" s="1137"/>
      <c r="AG269" s="1137"/>
      <c r="AH269" s="1137"/>
      <c r="AI269" s="1137"/>
      <c r="AJ269" s="1137"/>
      <c r="AK269" s="1137"/>
      <c r="AL269" s="1137"/>
      <c r="AM269" s="1137"/>
      <c r="AN269" s="1137"/>
      <c r="AO269" s="1137"/>
      <c r="AP269" s="1137"/>
      <c r="AQ269" s="1137"/>
      <c r="AR269" s="1137"/>
    </row>
    <row r="270" spans="1:44" s="13" customFormat="1" ht="11.65" customHeight="1">
      <c r="A270" s="24" t="s">
        <v>194</v>
      </c>
      <c r="B270" s="96" t="s">
        <v>1474</v>
      </c>
      <c r="C270" s="45"/>
      <c r="D270" s="45"/>
      <c r="E270" s="45"/>
      <c r="F270" s="45"/>
      <c r="H270" s="45"/>
      <c r="I270" s="45"/>
      <c r="O270" s="88" t="s">
        <v>194</v>
      </c>
      <c r="R270" s="980"/>
      <c r="S270" s="1299"/>
      <c r="T270" s="1299"/>
      <c r="U270" s="1299"/>
      <c r="V270" s="1299"/>
      <c r="W270" s="1299"/>
      <c r="X270" s="1299"/>
      <c r="Y270" s="1299"/>
      <c r="Z270" s="1299"/>
      <c r="AA270" s="1299"/>
      <c r="AB270" s="1299"/>
      <c r="AC270" s="1299"/>
      <c r="AD270" s="1299"/>
      <c r="AE270" s="1299"/>
      <c r="AF270" s="1299"/>
      <c r="AG270" s="1299"/>
      <c r="AH270" s="1299"/>
      <c r="AI270" s="1299"/>
      <c r="AJ270" s="1299"/>
      <c r="AK270" s="1299"/>
      <c r="AL270" s="1299"/>
      <c r="AM270" s="1299"/>
      <c r="AN270" s="1299"/>
      <c r="AO270" s="1299"/>
      <c r="AP270" s="1299"/>
      <c r="AQ270" s="1299"/>
      <c r="AR270" s="1299"/>
    </row>
    <row r="271" spans="1:44" s="239" customFormat="1" ht="33" customHeight="1">
      <c r="B271" s="348" t="s">
        <v>1459</v>
      </c>
      <c r="C271" s="4142" t="s">
        <v>2339</v>
      </c>
      <c r="D271" s="4142"/>
      <c r="E271" s="4142"/>
      <c r="F271" s="4142"/>
      <c r="G271" s="4142"/>
      <c r="H271" s="4142"/>
      <c r="I271" s="4142"/>
      <c r="J271" s="4142"/>
      <c r="K271" s="4142"/>
      <c r="L271" s="4142"/>
      <c r="M271" s="4142"/>
      <c r="N271" s="4142"/>
      <c r="O271" s="1131" t="s">
        <v>1459</v>
      </c>
      <c r="P271" s="1493"/>
      <c r="Q271" s="1494"/>
      <c r="S271" s="1142"/>
      <c r="T271" s="1142"/>
      <c r="U271" s="1142"/>
      <c r="V271" s="1142"/>
      <c r="W271" s="1142"/>
      <c r="X271" s="1142"/>
      <c r="Y271" s="1142"/>
      <c r="Z271" s="1142"/>
      <c r="AA271" s="1142"/>
      <c r="AB271" s="1142"/>
      <c r="AC271" s="1142"/>
      <c r="AD271" s="1142"/>
      <c r="AE271" s="1142"/>
      <c r="AF271" s="1142"/>
      <c r="AG271" s="1142"/>
      <c r="AH271" s="1142"/>
      <c r="AI271" s="1142"/>
      <c r="AJ271" s="1142"/>
      <c r="AK271" s="1142"/>
      <c r="AL271" s="1142"/>
      <c r="AM271" s="1142"/>
      <c r="AN271" s="1142"/>
      <c r="AO271" s="1142"/>
      <c r="AP271" s="1142"/>
      <c r="AQ271" s="1142"/>
      <c r="AR271" s="1142"/>
    </row>
    <row r="272" spans="1:44" s="239" customFormat="1" ht="21.75" customHeight="1">
      <c r="A272" s="77"/>
      <c r="B272" s="348" t="s">
        <v>1462</v>
      </c>
      <c r="C272" s="4142" t="s">
        <v>2340</v>
      </c>
      <c r="D272" s="4142"/>
      <c r="E272" s="4142"/>
      <c r="F272" s="4142"/>
      <c r="G272" s="4142"/>
      <c r="H272" s="4142"/>
      <c r="I272" s="4142"/>
      <c r="J272" s="4142"/>
      <c r="K272" s="4142"/>
      <c r="L272" s="4142"/>
      <c r="M272" s="4142"/>
      <c r="N272" s="4142"/>
      <c r="O272" s="1131" t="s">
        <v>1462</v>
      </c>
      <c r="P272" s="717"/>
      <c r="Q272" s="716"/>
      <c r="S272" s="1142"/>
      <c r="T272" s="1142"/>
      <c r="U272" s="1142"/>
      <c r="V272" s="1142"/>
      <c r="W272" s="1142"/>
      <c r="X272" s="1142"/>
      <c r="Y272" s="1142"/>
      <c r="Z272" s="1142"/>
      <c r="AA272" s="1142"/>
      <c r="AB272" s="1142"/>
      <c r="AC272" s="1142"/>
      <c r="AD272" s="1142"/>
      <c r="AE272" s="1142"/>
      <c r="AF272" s="1142"/>
      <c r="AG272" s="1142"/>
      <c r="AH272" s="1142"/>
      <c r="AI272" s="1142"/>
      <c r="AJ272" s="1142"/>
      <c r="AK272" s="1142"/>
      <c r="AL272" s="1142"/>
      <c r="AM272" s="1142"/>
      <c r="AN272" s="1142"/>
      <c r="AO272" s="1142"/>
      <c r="AP272" s="1142"/>
      <c r="AQ272" s="1142"/>
      <c r="AR272" s="1142"/>
    </row>
    <row r="273" spans="1:44" customFormat="1" ht="12.75" customHeight="1">
      <c r="A273" s="74" t="s">
        <v>206</v>
      </c>
      <c r="B273" s="96" t="s">
        <v>1476</v>
      </c>
      <c r="C273" s="79"/>
      <c r="D273" s="45"/>
      <c r="E273" s="45"/>
      <c r="F273" s="79"/>
      <c r="K273" s="30" t="s">
        <v>206</v>
      </c>
      <c r="L273" s="4168" t="s">
        <v>1477</v>
      </c>
      <c r="M273" s="4169"/>
      <c r="N273" s="4169"/>
      <c r="O273" s="4169"/>
      <c r="P273" s="4170"/>
      <c r="Q273" s="726"/>
      <c r="X273" s="1137"/>
      <c r="Y273" s="1137"/>
      <c r="Z273" s="1137"/>
      <c r="AA273" s="1137"/>
      <c r="AB273" s="1137"/>
      <c r="AC273" s="1137"/>
      <c r="AD273" s="1137"/>
      <c r="AE273" s="1137"/>
      <c r="AF273" s="1137"/>
      <c r="AG273" s="1137"/>
      <c r="AH273" s="1137"/>
      <c r="AI273" s="1137"/>
      <c r="AJ273" s="1137"/>
      <c r="AK273" s="1137"/>
      <c r="AL273" s="1137"/>
      <c r="AM273" s="1137"/>
      <c r="AN273" s="1137"/>
      <c r="AO273" s="1137"/>
      <c r="AP273" s="1137"/>
      <c r="AQ273" s="1137"/>
      <c r="AR273" s="1137"/>
    </row>
    <row r="274" spans="1:44" s="13" customFormat="1" ht="11.65" customHeight="1">
      <c r="A274" s="74" t="s">
        <v>227</v>
      </c>
      <c r="B274" s="96" t="s">
        <v>1478</v>
      </c>
      <c r="C274" s="45"/>
      <c r="D274" s="45"/>
      <c r="E274" s="45"/>
      <c r="F274" s="45"/>
      <c r="H274" s="45"/>
      <c r="I274" s="45"/>
      <c r="R274" s="980"/>
      <c r="S274" s="1299"/>
      <c r="T274" s="1299"/>
      <c r="U274" s="1299"/>
      <c r="V274" s="1299"/>
      <c r="W274" s="1299"/>
      <c r="X274" s="1299"/>
      <c r="Y274" s="1299"/>
      <c r="Z274" s="1299"/>
      <c r="AA274" s="1299"/>
      <c r="AB274" s="1299"/>
      <c r="AC274" s="1299"/>
      <c r="AD274" s="1299"/>
      <c r="AE274" s="1299"/>
      <c r="AF274" s="1299"/>
      <c r="AG274" s="1299"/>
      <c r="AH274" s="1299"/>
      <c r="AI274" s="1299"/>
      <c r="AJ274" s="1299"/>
      <c r="AK274" s="1299"/>
      <c r="AL274" s="1299"/>
      <c r="AM274" s="1299"/>
      <c r="AN274" s="1299"/>
      <c r="AO274" s="1299"/>
      <c r="AP274" s="1299"/>
      <c r="AQ274" s="1299"/>
      <c r="AR274" s="1299"/>
    </row>
    <row r="275" spans="1:44" customFormat="1" ht="11.65" customHeight="1">
      <c r="A275" s="74"/>
      <c r="B275" s="15" t="s">
        <v>1479</v>
      </c>
      <c r="C275" s="79"/>
      <c r="D275" s="45"/>
      <c r="E275" s="45"/>
      <c r="F275" s="79"/>
      <c r="H275" s="79"/>
      <c r="I275" s="79"/>
      <c r="N275" s="1487" t="s">
        <v>1480</v>
      </c>
      <c r="O275" s="30" t="s">
        <v>227</v>
      </c>
      <c r="P275" s="725"/>
      <c r="Q275" s="726"/>
      <c r="R275" s="30"/>
      <c r="S275" s="1137"/>
      <c r="T275" s="1137"/>
      <c r="U275" s="1137"/>
      <c r="V275" s="1137"/>
      <c r="W275" s="1137"/>
      <c r="X275" s="1137"/>
      <c r="Y275" s="1137"/>
      <c r="Z275" s="1137"/>
      <c r="AA275" s="1137"/>
      <c r="AB275" s="1137"/>
      <c r="AC275" s="1137"/>
      <c r="AD275" s="1137"/>
      <c r="AE275" s="1137"/>
      <c r="AF275" s="1137"/>
      <c r="AG275" s="1137"/>
      <c r="AH275" s="1137"/>
      <c r="AI275" s="1137"/>
      <c r="AJ275" s="1137"/>
      <c r="AK275" s="1137"/>
      <c r="AL275" s="1137"/>
      <c r="AM275" s="1137"/>
      <c r="AN275" s="1137"/>
      <c r="AO275" s="1137"/>
      <c r="AP275" s="1137"/>
      <c r="AQ275" s="1137"/>
      <c r="AR275" s="1137"/>
    </row>
    <row r="276" spans="1:44" s="44" customFormat="1" ht="11.65" customHeight="1">
      <c r="A276" s="45"/>
      <c r="B276" s="76" t="s">
        <v>1403</v>
      </c>
      <c r="C276" s="45"/>
      <c r="D276" s="50"/>
      <c r="E276" s="50"/>
      <c r="F276" s="50"/>
      <c r="G276" s="50"/>
      <c r="K276" s="15"/>
      <c r="M276" s="34"/>
      <c r="N276" s="34"/>
      <c r="O276" s="3"/>
      <c r="P276" s="82"/>
      <c r="S276" s="1143"/>
      <c r="T276" s="1143"/>
      <c r="U276" s="1143"/>
      <c r="V276" s="1143"/>
      <c r="W276" s="1143"/>
      <c r="X276" s="1143"/>
      <c r="Y276" s="1143"/>
      <c r="Z276" s="1143"/>
      <c r="AA276" s="1143"/>
      <c r="AB276" s="1143"/>
      <c r="AC276" s="1143"/>
      <c r="AD276" s="1143"/>
      <c r="AE276" s="1143"/>
      <c r="AF276" s="1143"/>
      <c r="AG276" s="1143"/>
      <c r="AH276" s="1143"/>
      <c r="AI276" s="1143"/>
      <c r="AJ276" s="1143"/>
      <c r="AK276" s="1143"/>
      <c r="AL276" s="1143"/>
      <c r="AM276" s="1143"/>
      <c r="AN276" s="1143"/>
      <c r="AO276" s="1143"/>
      <c r="AP276" s="1143"/>
      <c r="AQ276" s="1143"/>
      <c r="AR276" s="1143"/>
    </row>
    <row r="277" spans="1:44" s="21" customFormat="1" ht="21.75" customHeight="1">
      <c r="A277" s="4153"/>
      <c r="B277" s="4154"/>
      <c r="C277" s="4154"/>
      <c r="D277" s="4154"/>
      <c r="E277" s="4154"/>
      <c r="F277" s="4154"/>
      <c r="G277" s="4154"/>
      <c r="H277" s="4154"/>
      <c r="I277" s="4154"/>
      <c r="J277" s="4154"/>
      <c r="K277" s="4154"/>
      <c r="L277" s="4154"/>
      <c r="M277" s="4154"/>
      <c r="N277" s="4154"/>
      <c r="O277" s="4154"/>
      <c r="P277" s="4154"/>
      <c r="Q277" s="4155"/>
      <c r="R277" s="258" t="s">
        <v>2152</v>
      </c>
      <c r="S277" s="1138"/>
      <c r="T277" s="1138"/>
      <c r="U277" s="1138"/>
      <c r="V277" s="1138"/>
      <c r="W277" s="1138"/>
      <c r="X277" s="1138"/>
      <c r="Y277" s="1138"/>
      <c r="Z277" s="1138"/>
      <c r="AA277" s="1138"/>
      <c r="AB277" s="1138"/>
      <c r="AC277" s="1138"/>
      <c r="AD277" s="1138"/>
      <c r="AE277" s="1138"/>
      <c r="AF277" s="1138"/>
      <c r="AG277" s="1138"/>
      <c r="AH277" s="1138"/>
      <c r="AI277" s="1138"/>
      <c r="AJ277" s="1138"/>
      <c r="AK277" s="1138"/>
      <c r="AL277" s="1138"/>
      <c r="AM277" s="1138"/>
      <c r="AN277" s="1138"/>
      <c r="AO277" s="1138"/>
      <c r="AP277" s="1138"/>
      <c r="AQ277" s="1138"/>
      <c r="AR277" s="1138"/>
    </row>
    <row r="278" spans="1:44" s="21" customFormat="1" ht="11.25" customHeight="1">
      <c r="A278" s="79"/>
      <c r="B278" s="72" t="s">
        <v>1399</v>
      </c>
      <c r="C278" s="73"/>
      <c r="D278" s="710"/>
      <c r="E278" s="710"/>
      <c r="F278" s="710"/>
      <c r="G278" s="710"/>
      <c r="H278" s="710"/>
      <c r="I278" s="710"/>
      <c r="J278" s="710"/>
      <c r="K278" s="710"/>
      <c r="L278" s="710"/>
      <c r="M278" s="710"/>
      <c r="N278" s="710"/>
      <c r="O278" s="710"/>
      <c r="P278" s="710"/>
      <c r="Q278" s="710"/>
      <c r="R278" s="79"/>
      <c r="S278" s="1138"/>
      <c r="T278" s="1138"/>
      <c r="U278" s="1138"/>
      <c r="V278" s="1138"/>
      <c r="W278" s="1138"/>
      <c r="X278" s="1138"/>
      <c r="Y278" s="1138"/>
      <c r="Z278" s="1138"/>
      <c r="AA278" s="1138"/>
      <c r="AB278" s="1138"/>
      <c r="AC278" s="1138"/>
      <c r="AD278" s="1138"/>
      <c r="AE278" s="1138"/>
      <c r="AF278" s="1138"/>
      <c r="AG278" s="1138"/>
      <c r="AH278" s="1138"/>
      <c r="AI278" s="1138"/>
      <c r="AJ278" s="1138"/>
      <c r="AK278" s="1138"/>
      <c r="AL278" s="1138"/>
      <c r="AM278" s="1138"/>
      <c r="AN278" s="1138"/>
      <c r="AO278" s="1138"/>
      <c r="AP278" s="1138"/>
      <c r="AQ278" s="1138"/>
      <c r="AR278" s="1138"/>
    </row>
    <row r="279" spans="1:44" s="21" customFormat="1" ht="11.25" customHeight="1">
      <c r="A279" s="4150"/>
      <c r="B279" s="4151"/>
      <c r="C279" s="4151"/>
      <c r="D279" s="4151"/>
      <c r="E279" s="4151"/>
      <c r="F279" s="4151"/>
      <c r="G279" s="4151"/>
      <c r="H279" s="4151"/>
      <c r="I279" s="4151"/>
      <c r="J279" s="4151"/>
      <c r="K279" s="4151"/>
      <c r="L279" s="4151"/>
      <c r="M279" s="4151"/>
      <c r="N279" s="4151"/>
      <c r="O279" s="4151"/>
      <c r="P279" s="4151"/>
      <c r="Q279" s="4152"/>
      <c r="R279" s="79"/>
      <c r="S279" s="1138"/>
      <c r="T279" s="1138"/>
      <c r="U279" s="1138"/>
      <c r="V279" s="1138"/>
      <c r="W279" s="1138"/>
      <c r="X279" s="1138"/>
      <c r="Y279" s="1138"/>
      <c r="Z279" s="1138"/>
      <c r="AA279" s="1138"/>
      <c r="AB279" s="1138"/>
      <c r="AC279" s="1138"/>
      <c r="AD279" s="1138"/>
      <c r="AE279" s="1138"/>
      <c r="AF279" s="1138"/>
      <c r="AG279" s="1138"/>
      <c r="AH279" s="1138"/>
      <c r="AI279" s="1138"/>
      <c r="AJ279" s="1138"/>
      <c r="AK279" s="1138"/>
      <c r="AL279" s="1138"/>
      <c r="AM279" s="1138"/>
      <c r="AN279" s="1138"/>
      <c r="AO279" s="1138"/>
      <c r="AP279" s="1138"/>
      <c r="AQ279" s="1138"/>
      <c r="AR279" s="1138"/>
    </row>
    <row r="280" spans="1:44" s="21" customFormat="1" ht="3" customHeight="1">
      <c r="A280" s="45"/>
      <c r="D280" s="15"/>
      <c r="E280" s="15"/>
      <c r="F280" s="82"/>
      <c r="G280" s="82"/>
      <c r="H280" s="82"/>
      <c r="I280" s="82"/>
      <c r="J280" s="18"/>
      <c r="K280" s="18"/>
      <c r="L280" s="18"/>
      <c r="M280" s="714"/>
      <c r="N280" s="82"/>
      <c r="O280" s="11"/>
      <c r="P280" s="3"/>
      <c r="S280" s="1138"/>
      <c r="T280" s="1138"/>
      <c r="U280" s="1138"/>
      <c r="V280" s="1138"/>
      <c r="W280" s="1138"/>
      <c r="X280" s="1138"/>
      <c r="Y280" s="1138"/>
      <c r="Z280" s="1138"/>
      <c r="AA280" s="1138"/>
      <c r="AB280" s="1138"/>
      <c r="AC280" s="1138"/>
      <c r="AD280" s="1138"/>
      <c r="AE280" s="1138"/>
      <c r="AF280" s="1138"/>
      <c r="AG280" s="1138"/>
      <c r="AH280" s="1138"/>
      <c r="AI280" s="1138"/>
      <c r="AJ280" s="1138"/>
      <c r="AK280" s="1138"/>
      <c r="AL280" s="1138"/>
      <c r="AM280" s="1138"/>
      <c r="AN280" s="1138"/>
      <c r="AO280" s="1138"/>
      <c r="AP280" s="1138"/>
      <c r="AQ280" s="1138"/>
      <c r="AR280" s="1138"/>
    </row>
    <row r="281" spans="1:44" ht="14.1" customHeight="1">
      <c r="A281" s="2" t="s">
        <v>1491</v>
      </c>
      <c r="B281" s="2" t="s">
        <v>1482</v>
      </c>
      <c r="C281" s="80"/>
      <c r="D281" s="713"/>
      <c r="E281" s="710"/>
      <c r="F281" s="710"/>
      <c r="G281" s="710"/>
      <c r="H281" s="710"/>
      <c r="I281" s="710"/>
      <c r="J281" s="710"/>
      <c r="K281" s="710"/>
      <c r="L281" s="710"/>
      <c r="M281" s="710"/>
      <c r="N281" s="79"/>
      <c r="O281" s="68" t="s">
        <v>1397</v>
      </c>
      <c r="P281" s="4145"/>
      <c r="Q281" s="4146"/>
      <c r="R281" s="79"/>
      <c r="S281" s="1141"/>
      <c r="T281" s="1141"/>
      <c r="U281" s="1141"/>
      <c r="V281" s="1141"/>
      <c r="W281" s="1141"/>
      <c r="X281" s="1141"/>
      <c r="Y281" s="1141"/>
      <c r="Z281" s="1141"/>
      <c r="AA281" s="1141"/>
      <c r="AB281" s="1141"/>
      <c r="AC281" s="1141"/>
      <c r="AD281" s="1141"/>
      <c r="AE281" s="1141"/>
      <c r="AF281" s="1141"/>
      <c r="AG281" s="1141"/>
      <c r="AH281" s="1141"/>
      <c r="AI281" s="1141"/>
      <c r="AJ281" s="1141"/>
      <c r="AK281" s="1141"/>
      <c r="AL281" s="1141"/>
      <c r="AM281" s="1141"/>
      <c r="AN281" s="1141"/>
      <c r="AO281" s="1141"/>
      <c r="AP281" s="1141"/>
      <c r="AQ281" s="1141"/>
      <c r="AR281" s="1141"/>
    </row>
    <row r="282" spans="1:44" customFormat="1" ht="11.65" customHeight="1">
      <c r="B282" s="27" t="s">
        <v>2319</v>
      </c>
      <c r="N282" s="60"/>
      <c r="P282" s="276"/>
      <c r="Q282" s="314"/>
      <c r="S282" s="1137"/>
      <c r="T282" s="1137"/>
      <c r="U282" s="1137"/>
      <c r="V282" s="1137"/>
      <c r="W282" s="1137"/>
      <c r="X282" s="1137"/>
      <c r="Y282" s="1137"/>
      <c r="Z282" s="1137"/>
      <c r="AA282" s="1137"/>
      <c r="AB282" s="1137"/>
      <c r="AC282" s="1137"/>
      <c r="AD282" s="1137"/>
      <c r="AE282" s="1137"/>
      <c r="AF282" s="1137"/>
      <c r="AG282" s="1137"/>
      <c r="AH282" s="1137"/>
      <c r="AI282" s="1137"/>
      <c r="AJ282" s="1137"/>
      <c r="AK282" s="1137"/>
      <c r="AL282" s="1137"/>
      <c r="AM282" s="1137"/>
      <c r="AN282" s="1137"/>
      <c r="AO282" s="1137"/>
      <c r="AP282" s="1137"/>
      <c r="AQ282" s="1137"/>
      <c r="AR282" s="1137"/>
    </row>
    <row r="283" spans="1:44" ht="12.75" customHeight="1">
      <c r="A283" s="74" t="s">
        <v>194</v>
      </c>
      <c r="B283" s="108" t="s">
        <v>2341</v>
      </c>
      <c r="C283" s="79"/>
      <c r="D283" s="79"/>
      <c r="E283" s="79"/>
      <c r="F283" s="79"/>
      <c r="G283" s="79"/>
      <c r="H283" s="79"/>
      <c r="I283" s="79"/>
      <c r="J283" s="79"/>
      <c r="K283" s="79"/>
      <c r="L283" s="79"/>
      <c r="M283" s="79"/>
      <c r="N283" s="79"/>
      <c r="O283" s="79"/>
      <c r="P283" s="79"/>
      <c r="Q283" s="79"/>
      <c r="R283" s="79"/>
      <c r="S283" s="1141"/>
      <c r="T283" s="1141"/>
      <c r="U283" s="1141"/>
      <c r="V283" s="1141"/>
      <c r="W283" s="1141"/>
      <c r="X283" s="1141"/>
      <c r="Y283" s="1141"/>
      <c r="Z283" s="1141"/>
      <c r="AA283" s="1141"/>
      <c r="AB283" s="1141"/>
      <c r="AC283" s="1141"/>
      <c r="AD283" s="1141"/>
      <c r="AE283" s="1141"/>
      <c r="AF283" s="1141"/>
      <c r="AG283" s="1141"/>
      <c r="AH283" s="1141"/>
      <c r="AI283" s="1141"/>
      <c r="AJ283" s="1141"/>
      <c r="AK283" s="1141"/>
      <c r="AL283" s="1141"/>
      <c r="AM283" s="1141"/>
      <c r="AN283" s="1141"/>
      <c r="AO283" s="1141"/>
      <c r="AP283" s="1141"/>
      <c r="AQ283" s="1141"/>
      <c r="AR283" s="1141"/>
    </row>
    <row r="284" spans="1:44" s="79" customFormat="1" ht="44.25" customHeight="1">
      <c r="A284" s="77"/>
      <c r="B284" s="275" t="s">
        <v>1459</v>
      </c>
      <c r="C284" s="4142" t="s">
        <v>2342</v>
      </c>
      <c r="D284" s="4142"/>
      <c r="E284" s="4142"/>
      <c r="F284" s="4142"/>
      <c r="G284" s="4142"/>
      <c r="H284" s="4142"/>
      <c r="I284" s="4142"/>
      <c r="J284" s="4142"/>
      <c r="K284" s="4142"/>
      <c r="L284" s="4142"/>
      <c r="M284" s="4142"/>
      <c r="N284" s="4142"/>
      <c r="O284" s="88" t="s">
        <v>2343</v>
      </c>
      <c r="P284" s="1493"/>
      <c r="Q284" s="1494"/>
      <c r="S284" s="1141"/>
      <c r="T284" s="1141"/>
      <c r="U284" s="1141"/>
      <c r="V284" s="1141"/>
      <c r="W284" s="1141"/>
      <c r="X284" s="1141"/>
      <c r="Y284" s="1141"/>
      <c r="Z284" s="1141"/>
      <c r="AA284" s="1141"/>
      <c r="AB284" s="1141"/>
      <c r="AC284" s="1141"/>
      <c r="AD284" s="1141"/>
      <c r="AE284" s="1141"/>
      <c r="AF284" s="1141"/>
      <c r="AG284" s="1141"/>
      <c r="AH284" s="1141"/>
      <c r="AI284" s="1141"/>
      <c r="AJ284" s="1141"/>
      <c r="AK284" s="1141"/>
      <c r="AL284" s="1141"/>
      <c r="AM284" s="1141"/>
      <c r="AN284" s="1141"/>
      <c r="AO284" s="1141"/>
      <c r="AP284" s="1141"/>
      <c r="AQ284" s="1141"/>
      <c r="AR284" s="1141"/>
    </row>
    <row r="285" spans="1:44" s="239" customFormat="1" ht="12" customHeight="1">
      <c r="A285" s="77"/>
      <c r="B285" s="275" t="s">
        <v>1462</v>
      </c>
      <c r="C285" s="4142" t="s">
        <v>2344</v>
      </c>
      <c r="D285" s="4142"/>
      <c r="E285" s="4142"/>
      <c r="F285" s="4142"/>
      <c r="G285" s="4142"/>
      <c r="H285" s="4142"/>
      <c r="I285" s="4142"/>
      <c r="J285" s="4142"/>
      <c r="K285" s="4142"/>
      <c r="L285" s="4142"/>
      <c r="M285" s="4142"/>
      <c r="N285" s="4142"/>
      <c r="O285" s="88" t="s">
        <v>1462</v>
      </c>
      <c r="P285" s="323"/>
      <c r="Q285" s="317"/>
      <c r="S285" s="1142"/>
      <c r="T285" s="1142"/>
      <c r="U285" s="1142"/>
      <c r="V285" s="1142"/>
      <c r="W285" s="1142"/>
      <c r="X285" s="1142"/>
      <c r="Y285" s="1142"/>
      <c r="Z285" s="1142"/>
      <c r="AA285" s="1142"/>
      <c r="AB285" s="1142"/>
      <c r="AC285" s="1142"/>
      <c r="AD285" s="1142"/>
      <c r="AE285" s="1142"/>
      <c r="AF285" s="1142"/>
      <c r="AG285" s="1142"/>
      <c r="AH285" s="1142"/>
      <c r="AI285" s="1142"/>
      <c r="AJ285" s="1142"/>
      <c r="AK285" s="1142"/>
      <c r="AL285" s="1142"/>
      <c r="AM285" s="1142"/>
      <c r="AN285" s="1142"/>
      <c r="AO285" s="1142"/>
      <c r="AP285" s="1142"/>
      <c r="AQ285" s="1142"/>
      <c r="AR285" s="1142"/>
    </row>
    <row r="286" spans="1:44" s="239" customFormat="1" ht="22.5" customHeight="1">
      <c r="A286" s="77"/>
      <c r="B286" s="275" t="s">
        <v>1463</v>
      </c>
      <c r="C286" s="4142" t="s">
        <v>2345</v>
      </c>
      <c r="D286" s="4142"/>
      <c r="E286" s="4142"/>
      <c r="F286" s="4142"/>
      <c r="G286" s="4142"/>
      <c r="H286" s="4142"/>
      <c r="I286" s="4142"/>
      <c r="J286" s="4142"/>
      <c r="K286" s="4142"/>
      <c r="L286" s="4142"/>
      <c r="M286" s="4142"/>
      <c r="N286" s="4142"/>
      <c r="O286" s="88" t="s">
        <v>1463</v>
      </c>
      <c r="P286" s="717"/>
      <c r="Q286" s="716"/>
      <c r="S286" s="1142"/>
      <c r="T286" s="1142"/>
      <c r="U286" s="1142"/>
      <c r="V286" s="1142"/>
      <c r="W286" s="1142"/>
      <c r="X286" s="1142"/>
      <c r="Y286" s="1142"/>
      <c r="Z286" s="1142"/>
      <c r="AA286" s="1142"/>
      <c r="AB286" s="1142"/>
      <c r="AC286" s="1142"/>
      <c r="AD286" s="1142"/>
      <c r="AE286" s="1142"/>
      <c r="AF286" s="1142"/>
      <c r="AG286" s="1142"/>
      <c r="AH286" s="1142"/>
      <c r="AI286" s="1142"/>
      <c r="AJ286" s="1142"/>
      <c r="AK286" s="1142"/>
      <c r="AL286" s="1142"/>
      <c r="AM286" s="1142"/>
      <c r="AN286" s="1142"/>
      <c r="AO286" s="1142"/>
      <c r="AP286" s="1142"/>
      <c r="AQ286" s="1142"/>
      <c r="AR286" s="1142"/>
    </row>
    <row r="287" spans="1:44" s="45" customFormat="1" ht="12.75" customHeight="1">
      <c r="A287" s="74" t="s">
        <v>206</v>
      </c>
      <c r="B287" s="108" t="s">
        <v>1485</v>
      </c>
      <c r="D287" s="715"/>
      <c r="E287" s="715"/>
      <c r="F287" s="715"/>
      <c r="G287" s="715"/>
      <c r="H287" s="715"/>
      <c r="I287" s="715"/>
      <c r="J287" s="715"/>
      <c r="K287" s="715"/>
      <c r="L287" s="715"/>
      <c r="M287" s="715"/>
      <c r="N287" s="715"/>
      <c r="O287" s="30"/>
      <c r="P287" s="30"/>
      <c r="Q287" s="30"/>
      <c r="S287" s="1144"/>
      <c r="T287" s="1144"/>
      <c r="U287" s="1144"/>
      <c r="V287" s="1144"/>
      <c r="W287" s="1144"/>
      <c r="X287" s="1144"/>
      <c r="Y287" s="1144"/>
      <c r="Z287" s="1144"/>
      <c r="AA287" s="1144"/>
      <c r="AB287" s="1144"/>
      <c r="AC287" s="1144"/>
      <c r="AD287" s="1144"/>
      <c r="AE287" s="1144"/>
      <c r="AF287" s="1144"/>
      <c r="AG287" s="1144"/>
      <c r="AH287" s="1144"/>
      <c r="AI287" s="1144"/>
      <c r="AJ287" s="1144"/>
      <c r="AK287" s="1144"/>
      <c r="AL287" s="1144"/>
      <c r="AM287" s="1144"/>
      <c r="AN287" s="1144"/>
      <c r="AO287" s="1144"/>
      <c r="AP287" s="1144"/>
      <c r="AQ287" s="1144"/>
      <c r="AR287" s="1144"/>
    </row>
    <row r="288" spans="1:44" s="45" customFormat="1" ht="11.25" customHeight="1">
      <c r="A288" s="106"/>
      <c r="B288" s="275" t="s">
        <v>1459</v>
      </c>
      <c r="C288" s="15" t="s">
        <v>211</v>
      </c>
      <c r="D288" s="4142" t="s">
        <v>2346</v>
      </c>
      <c r="E288" s="4142"/>
      <c r="F288" s="4142"/>
      <c r="G288" s="4142"/>
      <c r="H288" s="4142"/>
      <c r="I288" s="75"/>
      <c r="J288" s="4147" t="s">
        <v>2347</v>
      </c>
      <c r="K288" s="4171"/>
      <c r="L288" s="4171"/>
      <c r="M288" s="4268" t="s">
        <v>2348</v>
      </c>
      <c r="N288" s="4268"/>
      <c r="S288" s="1144"/>
      <c r="T288" s="1144"/>
      <c r="U288" s="1144"/>
      <c r="V288" s="1144"/>
      <c r="W288" s="1144"/>
      <c r="X288" s="1144"/>
      <c r="Y288" s="1144"/>
      <c r="Z288" s="1144"/>
      <c r="AA288" s="1144"/>
      <c r="AB288" s="1144"/>
      <c r="AC288" s="1144"/>
      <c r="AD288" s="1144"/>
      <c r="AE288" s="1144"/>
      <c r="AF288" s="1144"/>
      <c r="AG288" s="1144"/>
      <c r="AH288" s="1144"/>
      <c r="AI288" s="1144"/>
      <c r="AJ288" s="1144"/>
      <c r="AK288" s="1144"/>
      <c r="AL288" s="1144"/>
      <c r="AM288" s="1144"/>
      <c r="AN288" s="1144"/>
      <c r="AO288" s="1144"/>
      <c r="AP288" s="1144"/>
      <c r="AQ288" s="1144"/>
      <c r="AR288" s="1144"/>
    </row>
    <row r="289" spans="1:44" s="99" customFormat="1" ht="10.5" customHeight="1">
      <c r="A289" s="163"/>
      <c r="B289" s="160"/>
      <c r="D289" s="4142"/>
      <c r="E289" s="4142"/>
      <c r="F289" s="4142"/>
      <c r="G289" s="4142"/>
      <c r="H289" s="4142"/>
      <c r="I289" s="162"/>
      <c r="J289" s="4171"/>
      <c r="K289" s="4171"/>
      <c r="L289" s="4171"/>
      <c r="M289" s="15" t="s">
        <v>2349</v>
      </c>
      <c r="N289" s="714" t="s">
        <v>2350</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4142"/>
      <c r="E290" s="4142"/>
      <c r="F290" s="4142"/>
      <c r="G290" s="4142"/>
      <c r="H290" s="4142"/>
      <c r="I290" s="15" t="s">
        <v>2351</v>
      </c>
      <c r="K290" s="1300"/>
      <c r="L290" s="633" t="str">
        <f>IF(K290&lt;M290,"Check!!!","")</f>
        <v>Check!!!</v>
      </c>
      <c r="M290" s="1302">
        <f>ROUNDUP('Part V-Revenues &amp; Expenses'!$P$67*'Part VII-Threshold Criteria OLD'!N290,0)</f>
        <v>10</v>
      </c>
      <c r="N290" s="973">
        <f>'DCA Underwriting Assumptions'!$Q$122</f>
        <v>0.05</v>
      </c>
      <c r="O290" s="30" t="s">
        <v>2352</v>
      </c>
      <c r="P290" s="1033"/>
      <c r="Q290" s="1034"/>
      <c r="S290" s="174"/>
      <c r="T290" s="174"/>
      <c r="U290" s="174"/>
      <c r="V290" s="1145"/>
      <c r="W290" s="174"/>
      <c r="X290" s="1145"/>
      <c r="Y290" s="174"/>
      <c r="Z290" s="1146" t="str">
        <f>IF(AA290="","",IF(AA290&lt;AC290,"Check!!!",""))</f>
        <v/>
      </c>
      <c r="AA290" s="1146" t="str">
        <f t="shared" ref="AA290:AG290" si="0">IF(AB290="","",IF(AB290&lt;AD290,"Check!!!",""))</f>
        <v/>
      </c>
      <c r="AB290" s="1146" t="str">
        <f t="shared" si="0"/>
        <v/>
      </c>
      <c r="AC290" s="1146" t="str">
        <f t="shared" si="0"/>
        <v/>
      </c>
      <c r="AD290" s="1146" t="str">
        <f t="shared" si="0"/>
        <v/>
      </c>
      <c r="AE290" s="1146" t="str">
        <f t="shared" si="0"/>
        <v/>
      </c>
      <c r="AF290" s="1146" t="str">
        <f t="shared" si="0"/>
        <v/>
      </c>
      <c r="AG290" s="1146"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214</v>
      </c>
      <c r="D291" s="4142" t="s">
        <v>2353</v>
      </c>
      <c r="E291" s="4142"/>
      <c r="F291" s="4142"/>
      <c r="G291" s="4142"/>
      <c r="H291" s="4142"/>
      <c r="I291" s="273" t="s">
        <v>2354</v>
      </c>
      <c r="J291" s="99"/>
      <c r="K291" s="1301"/>
      <c r="L291" s="633" t="str">
        <f>IF(K291&lt;M291,"Check!!!","")</f>
        <v/>
      </c>
      <c r="M291" s="1303">
        <f>ROUNDUP(K290*'Part VII-Threshold Criteria OLD'!N291,0)</f>
        <v>0</v>
      </c>
      <c r="N291" s="973">
        <f>'DCA Underwriting Assumptions'!$Q$123</f>
        <v>0.4</v>
      </c>
      <c r="O291" s="30" t="s">
        <v>214</v>
      </c>
      <c r="P291" s="4174"/>
      <c r="Q291" s="4172"/>
      <c r="S291" s="1144"/>
      <c r="T291" s="1147"/>
      <c r="U291" s="1147"/>
      <c r="V291" s="1147"/>
      <c r="W291" s="1147"/>
      <c r="X291" s="1147"/>
      <c r="Y291" s="1147"/>
      <c r="Z291" s="1147"/>
      <c r="AA291" s="1147"/>
      <c r="AB291" s="1147"/>
      <c r="AC291" s="1147"/>
      <c r="AD291" s="1147"/>
      <c r="AE291" s="1147"/>
      <c r="AF291" s="1147"/>
      <c r="AG291" s="1147"/>
      <c r="AH291" s="1144"/>
      <c r="AI291" s="1144"/>
      <c r="AJ291" s="1144"/>
      <c r="AK291" s="1144"/>
      <c r="AL291" s="1144"/>
      <c r="AM291" s="1144"/>
      <c r="AN291" s="1144"/>
      <c r="AO291" s="1144"/>
      <c r="AP291" s="1144"/>
      <c r="AQ291" s="1144"/>
      <c r="AR291" s="1144"/>
    </row>
    <row r="292" spans="1:44" s="99" customFormat="1" ht="10.5" customHeight="1">
      <c r="A292" s="163"/>
      <c r="B292" s="160"/>
      <c r="C292" s="348"/>
      <c r="D292" s="4142"/>
      <c r="E292" s="4142"/>
      <c r="F292" s="4142"/>
      <c r="G292" s="4142"/>
      <c r="H292" s="4142"/>
      <c r="O292" s="18"/>
      <c r="P292" s="4175"/>
      <c r="Q292" s="4173"/>
      <c r="S292" s="174"/>
      <c r="T292" s="174"/>
      <c r="U292" s="174"/>
      <c r="V292" s="1145"/>
      <c r="W292" s="1148"/>
      <c r="X292" s="1145"/>
      <c r="Y292" s="174"/>
      <c r="Z292" s="1146" t="str">
        <f>IF(AA292="","",IF(AA292&lt;AC292,"Check!!!",""))</f>
        <v/>
      </c>
      <c r="AA292" s="1146" t="str">
        <f t="shared" ref="AA292:AG292" si="1">IF(AB292="","",IF(AB292&lt;AD292,"Check!!!",""))</f>
        <v/>
      </c>
      <c r="AB292" s="1146" t="str">
        <f t="shared" si="1"/>
        <v/>
      </c>
      <c r="AC292" s="1146" t="str">
        <f t="shared" si="1"/>
        <v/>
      </c>
      <c r="AD292" s="1146" t="str">
        <f t="shared" si="1"/>
        <v/>
      </c>
      <c r="AE292" s="1146" t="str">
        <f t="shared" si="1"/>
        <v/>
      </c>
      <c r="AF292" s="1146" t="str">
        <f t="shared" si="1"/>
        <v/>
      </c>
      <c r="AG292" s="1146" t="str">
        <f t="shared" si="1"/>
        <v/>
      </c>
      <c r="AH292" s="174"/>
      <c r="AI292" s="174"/>
      <c r="AJ292" s="174"/>
      <c r="AK292" s="174"/>
      <c r="AL292" s="174"/>
      <c r="AM292" s="174"/>
      <c r="AN292" s="174"/>
      <c r="AO292" s="174"/>
      <c r="AP292" s="174"/>
      <c r="AQ292" s="174"/>
      <c r="AR292" s="174"/>
    </row>
    <row r="293" spans="1:44" s="45" customFormat="1" ht="12.75" customHeight="1">
      <c r="A293" s="77"/>
      <c r="B293" s="275" t="s">
        <v>1462</v>
      </c>
      <c r="C293" s="4142" t="s">
        <v>2355</v>
      </c>
      <c r="D293" s="4142"/>
      <c r="E293" s="4142"/>
      <c r="F293" s="4142"/>
      <c r="G293" s="4142"/>
      <c r="H293" s="4142"/>
      <c r="I293" s="15" t="s">
        <v>2356</v>
      </c>
      <c r="J293" s="99"/>
      <c r="K293" s="2838"/>
      <c r="L293" s="633" t="str">
        <f>IF(K293&lt;M293,"Check!!!","")</f>
        <v>Check!!!</v>
      </c>
      <c r="M293" s="634">
        <f>ROUNDUP('Part V-Revenues &amp; Expenses'!$P$67*'Part VII-Threshold Criteria OLD'!N293,0)</f>
        <v>4</v>
      </c>
      <c r="N293" s="973">
        <f>'DCA Underwriting Assumptions'!$Q$124</f>
        <v>0.02</v>
      </c>
      <c r="O293" s="30" t="s">
        <v>1462</v>
      </c>
      <c r="P293" s="1127"/>
      <c r="Q293" s="1126"/>
      <c r="S293" s="1144"/>
      <c r="T293" s="1147"/>
      <c r="U293" s="1147"/>
      <c r="V293" s="1147"/>
      <c r="W293" s="1147"/>
      <c r="X293" s="1147"/>
      <c r="Y293" s="1147"/>
      <c r="Z293" s="1147"/>
      <c r="AA293" s="1147"/>
      <c r="AB293" s="1147"/>
      <c r="AC293" s="1147"/>
      <c r="AD293" s="1147"/>
      <c r="AE293" s="1147"/>
      <c r="AF293" s="1147"/>
      <c r="AG293" s="1147"/>
      <c r="AH293" s="1144"/>
      <c r="AI293" s="1144"/>
      <c r="AJ293" s="1144"/>
      <c r="AK293" s="1144"/>
      <c r="AL293" s="1144"/>
      <c r="AM293" s="1144"/>
      <c r="AN293" s="1144"/>
      <c r="AO293" s="1144"/>
      <c r="AP293" s="1144"/>
      <c r="AQ293" s="1144"/>
      <c r="AR293" s="1144"/>
    </row>
    <row r="294" spans="1:44" s="99" customFormat="1" ht="3" customHeight="1">
      <c r="A294" s="163"/>
      <c r="C294" s="4142"/>
      <c r="D294" s="4142"/>
      <c r="E294" s="4142"/>
      <c r="F294" s="4142"/>
      <c r="G294" s="4142"/>
      <c r="H294" s="4142"/>
      <c r="J294" s="15"/>
      <c r="K294" s="15"/>
      <c r="L294" s="18"/>
      <c r="M294" s="714"/>
      <c r="O294" s="15"/>
      <c r="P294" s="714"/>
      <c r="Q294" s="15"/>
      <c r="S294" s="174"/>
      <c r="T294" s="1145"/>
      <c r="U294" s="1148"/>
      <c r="V294" s="1145"/>
      <c r="W294" s="1148"/>
      <c r="X294" s="1145"/>
      <c r="Y294" s="1145"/>
      <c r="Z294" s="1145"/>
      <c r="AA294" s="1145"/>
      <c r="AB294" s="1145"/>
      <c r="AC294" s="1145"/>
      <c r="AD294" s="1145"/>
      <c r="AE294" s="1145"/>
      <c r="AF294" s="1145"/>
      <c r="AG294" s="1145"/>
      <c r="AH294" s="174"/>
      <c r="AI294" s="174"/>
      <c r="AJ294" s="174"/>
      <c r="AK294" s="174"/>
      <c r="AL294" s="174"/>
      <c r="AM294" s="174"/>
      <c r="AN294" s="174"/>
      <c r="AO294" s="174"/>
      <c r="AP294" s="174"/>
      <c r="AQ294" s="174"/>
      <c r="AR294" s="174"/>
    </row>
    <row r="295" spans="1:44" s="99" customFormat="1" ht="10.5" customHeight="1">
      <c r="A295" s="163"/>
      <c r="C295" s="4142"/>
      <c r="D295" s="4142"/>
      <c r="E295" s="4142"/>
      <c r="F295" s="4142"/>
      <c r="G295" s="4142"/>
      <c r="H295" s="4142"/>
      <c r="O295" s="18"/>
      <c r="P295" s="30"/>
      <c r="S295" s="174"/>
      <c r="T295" s="174"/>
      <c r="U295" s="174"/>
      <c r="V295" s="1145"/>
      <c r="W295" s="1148"/>
      <c r="X295" s="1145"/>
      <c r="Y295" s="174"/>
      <c r="Z295" s="1146" t="str">
        <f>IF(AA295="","",IF(AA295&lt;AC295,"Check!!!",""))</f>
        <v/>
      </c>
      <c r="AA295" s="1146" t="str">
        <f t="shared" ref="AA295:AG295" si="2">IF(AB295="","",IF(AB295&lt;AD295,"Check!!!",""))</f>
        <v/>
      </c>
      <c r="AB295" s="1146" t="str">
        <f t="shared" si="2"/>
        <v/>
      </c>
      <c r="AC295" s="1146" t="str">
        <f t="shared" si="2"/>
        <v/>
      </c>
      <c r="AD295" s="1146" t="str">
        <f t="shared" si="2"/>
        <v/>
      </c>
      <c r="AE295" s="1146" t="str">
        <f t="shared" si="2"/>
        <v/>
      </c>
      <c r="AF295" s="1146" t="str">
        <f t="shared" si="2"/>
        <v/>
      </c>
      <c r="AG295" s="1146" t="str">
        <f t="shared" si="2"/>
        <v/>
      </c>
      <c r="AH295" s="174"/>
      <c r="AI295" s="174"/>
      <c r="AJ295" s="174"/>
      <c r="AK295" s="174"/>
      <c r="AL295" s="174"/>
      <c r="AM295" s="174"/>
      <c r="AN295" s="174"/>
      <c r="AO295" s="174"/>
      <c r="AP295" s="174"/>
      <c r="AQ295" s="174"/>
      <c r="AR295" s="174"/>
    </row>
    <row r="296" spans="1:44" s="99" customFormat="1" ht="10.5" customHeight="1">
      <c r="A296" s="74" t="s">
        <v>227</v>
      </c>
      <c r="B296" s="108" t="s">
        <v>2357</v>
      </c>
      <c r="D296" s="710"/>
      <c r="E296" s="710"/>
      <c r="F296" s="710"/>
      <c r="G296" s="710"/>
      <c r="H296" s="710"/>
      <c r="O296" s="18"/>
      <c r="P296" s="30"/>
      <c r="S296" s="174"/>
      <c r="T296" s="174"/>
      <c r="U296" s="174"/>
      <c r="V296" s="1145"/>
      <c r="W296" s="1148"/>
      <c r="X296" s="1145"/>
      <c r="Y296" s="174"/>
      <c r="Z296" s="1146"/>
      <c r="AA296" s="1146"/>
      <c r="AB296" s="1146"/>
      <c r="AC296" s="1146"/>
      <c r="AD296" s="1146"/>
      <c r="AE296" s="1146"/>
      <c r="AF296" s="1146"/>
      <c r="AG296" s="1146"/>
      <c r="AH296" s="174"/>
      <c r="AI296" s="174"/>
      <c r="AJ296" s="174"/>
      <c r="AK296" s="174"/>
      <c r="AL296" s="174"/>
      <c r="AM296" s="174"/>
      <c r="AN296" s="174"/>
      <c r="AO296" s="174"/>
      <c r="AP296" s="174"/>
      <c r="AQ296" s="174"/>
      <c r="AR296" s="174"/>
    </row>
    <row r="297" spans="1:44" s="45" customFormat="1" ht="22.5" customHeight="1">
      <c r="B297" s="4142" t="s">
        <v>2358</v>
      </c>
      <c r="C297" s="4142"/>
      <c r="D297" s="4142"/>
      <c r="E297" s="4142"/>
      <c r="F297" s="4142"/>
      <c r="G297" s="4142"/>
      <c r="H297" s="4142"/>
      <c r="I297" s="4142"/>
      <c r="J297" s="4142"/>
      <c r="K297" s="4142"/>
      <c r="L297" s="4142"/>
      <c r="M297" s="4142"/>
      <c r="N297" s="4142"/>
      <c r="O297" s="88" t="s">
        <v>227</v>
      </c>
      <c r="P297" s="725"/>
      <c r="Q297" s="726"/>
      <c r="S297" s="1144"/>
      <c r="T297" s="1144"/>
      <c r="U297" s="1144"/>
      <c r="V297" s="1144"/>
      <c r="W297" s="1144"/>
      <c r="X297" s="1144"/>
      <c r="Y297" s="1144"/>
      <c r="Z297" s="1144"/>
      <c r="AA297" s="1144"/>
      <c r="AB297" s="1144"/>
      <c r="AC297" s="1144"/>
      <c r="AD297" s="1144"/>
      <c r="AE297" s="1144"/>
      <c r="AF297" s="1144"/>
      <c r="AG297" s="1144"/>
      <c r="AH297" s="1144"/>
      <c r="AI297" s="1144"/>
      <c r="AJ297" s="1144"/>
      <c r="AK297" s="1144"/>
      <c r="AL297" s="1144"/>
      <c r="AM297" s="1144"/>
      <c r="AN297" s="1144"/>
      <c r="AO297" s="1144"/>
      <c r="AP297" s="1144"/>
      <c r="AQ297" s="1144"/>
      <c r="AR297" s="1144"/>
    </row>
    <row r="298" spans="1:44" s="45" customFormat="1" ht="11.25" customHeight="1">
      <c r="B298" s="75" t="s">
        <v>2359</v>
      </c>
      <c r="D298" s="75"/>
      <c r="E298" s="75"/>
      <c r="F298" s="75"/>
      <c r="G298" s="75"/>
      <c r="H298" s="75"/>
      <c r="I298" s="75" t="s">
        <v>2360</v>
      </c>
      <c r="J298" s="75"/>
      <c r="K298" s="75"/>
      <c r="L298" s="4214"/>
      <c r="M298" s="4215"/>
      <c r="N298" s="4215"/>
      <c r="O298" s="4215"/>
      <c r="P298" s="4215"/>
      <c r="Q298" s="4216"/>
      <c r="R298" s="75"/>
      <c r="S298" s="1144"/>
      <c r="T298" s="1144"/>
      <c r="U298" s="1144"/>
      <c r="V298" s="1144"/>
      <c r="W298" s="1144"/>
      <c r="X298" s="1144"/>
      <c r="Y298" s="1144"/>
      <c r="Z298" s="1144"/>
      <c r="AA298" s="1144"/>
      <c r="AB298" s="1144"/>
      <c r="AC298" s="1144"/>
      <c r="AD298" s="1144"/>
      <c r="AE298" s="1144"/>
      <c r="AF298" s="1144"/>
      <c r="AG298" s="1144"/>
      <c r="AH298" s="1144"/>
      <c r="AI298" s="1144"/>
      <c r="AJ298" s="1144"/>
      <c r="AK298" s="1144"/>
      <c r="AL298" s="1144"/>
      <c r="AM298" s="1144"/>
      <c r="AN298" s="1144"/>
      <c r="AO298" s="1144"/>
      <c r="AP298" s="1144"/>
      <c r="AQ298" s="1144"/>
      <c r="AR298" s="1144"/>
    </row>
    <row r="299" spans="1:44" s="239" customFormat="1" ht="44.25" customHeight="1">
      <c r="B299" s="275" t="s">
        <v>1459</v>
      </c>
      <c r="C299" s="4142" t="s">
        <v>2361</v>
      </c>
      <c r="D299" s="4142"/>
      <c r="E299" s="4142"/>
      <c r="F299" s="4142"/>
      <c r="G299" s="4142"/>
      <c r="H299" s="4142"/>
      <c r="I299" s="4142"/>
      <c r="J299" s="4142"/>
      <c r="K299" s="4142"/>
      <c r="L299" s="4142"/>
      <c r="M299" s="4142"/>
      <c r="N299" s="4142"/>
      <c r="O299" s="88" t="s">
        <v>2362</v>
      </c>
      <c r="P299" s="1493"/>
      <c r="Q299" s="1494"/>
      <c r="S299" s="1142"/>
      <c r="T299" s="1142"/>
      <c r="U299" s="1142"/>
      <c r="V299" s="1142"/>
      <c r="W299" s="1142"/>
      <c r="X299" s="1142"/>
      <c r="Y299" s="1142"/>
      <c r="Z299" s="1142"/>
      <c r="AA299" s="1142"/>
      <c r="AB299" s="1142"/>
      <c r="AC299" s="1142"/>
      <c r="AD299" s="1142"/>
      <c r="AE299" s="1142"/>
      <c r="AF299" s="1142"/>
      <c r="AG299" s="1142"/>
      <c r="AH299" s="1142"/>
      <c r="AI299" s="1142"/>
      <c r="AJ299" s="1142"/>
      <c r="AK299" s="1142"/>
      <c r="AL299" s="1142"/>
      <c r="AM299" s="1142"/>
      <c r="AN299" s="1142"/>
      <c r="AO299" s="1142"/>
      <c r="AP299" s="1142"/>
      <c r="AQ299" s="1142"/>
      <c r="AR299" s="1142"/>
    </row>
    <row r="300" spans="1:44" s="239" customFormat="1" ht="34.5" customHeight="1">
      <c r="B300" s="275" t="s">
        <v>1462</v>
      </c>
      <c r="C300" s="4142" t="s">
        <v>2363</v>
      </c>
      <c r="D300" s="4142"/>
      <c r="E300" s="4142"/>
      <c r="F300" s="4142"/>
      <c r="G300" s="4142"/>
      <c r="H300" s="4142"/>
      <c r="I300" s="4142"/>
      <c r="J300" s="4142"/>
      <c r="K300" s="4142"/>
      <c r="L300" s="4142"/>
      <c r="M300" s="4142"/>
      <c r="N300" s="4142"/>
      <c r="O300" s="88" t="s">
        <v>2364</v>
      </c>
      <c r="P300" s="323"/>
      <c r="Q300" s="317"/>
      <c r="S300" s="1142"/>
      <c r="T300" s="1142"/>
      <c r="U300" s="1142"/>
      <c r="V300" s="1142"/>
      <c r="W300" s="1142"/>
      <c r="X300" s="1142"/>
      <c r="Y300" s="1142"/>
      <c r="Z300" s="1142"/>
      <c r="AA300" s="1142"/>
      <c r="AB300" s="1142"/>
      <c r="AC300" s="1142"/>
      <c r="AD300" s="1142"/>
      <c r="AE300" s="1142"/>
      <c r="AF300" s="1142"/>
      <c r="AG300" s="1142"/>
      <c r="AH300" s="1142"/>
      <c r="AI300" s="1142"/>
      <c r="AJ300" s="1142"/>
      <c r="AK300" s="1142"/>
      <c r="AL300" s="1142"/>
      <c r="AM300" s="1142"/>
      <c r="AN300" s="1142"/>
      <c r="AO300" s="1142"/>
      <c r="AP300" s="1142"/>
      <c r="AQ300" s="1142"/>
      <c r="AR300" s="1142"/>
    </row>
    <row r="301" spans="1:44" s="239" customFormat="1" ht="22.5" customHeight="1">
      <c r="B301" s="275" t="s">
        <v>1463</v>
      </c>
      <c r="C301" s="4142" t="s">
        <v>2365</v>
      </c>
      <c r="D301" s="4142"/>
      <c r="E301" s="4142"/>
      <c r="F301" s="4142"/>
      <c r="G301" s="4142"/>
      <c r="H301" s="4142"/>
      <c r="I301" s="4142"/>
      <c r="J301" s="4142"/>
      <c r="K301" s="4142"/>
      <c r="L301" s="4142"/>
      <c r="M301" s="4142"/>
      <c r="N301" s="4142"/>
      <c r="O301" s="88" t="s">
        <v>2366</v>
      </c>
      <c r="P301" s="323"/>
      <c r="Q301" s="317"/>
      <c r="S301" s="1142"/>
      <c r="T301" s="1142"/>
      <c r="U301" s="1142"/>
      <c r="V301" s="1142"/>
      <c r="W301" s="1142"/>
      <c r="X301" s="1142"/>
      <c r="Y301" s="1142"/>
      <c r="Z301" s="1142"/>
      <c r="AA301" s="1142"/>
      <c r="AB301" s="1142"/>
      <c r="AC301" s="1142"/>
      <c r="AD301" s="1142"/>
      <c r="AE301" s="1142"/>
      <c r="AF301" s="1142"/>
      <c r="AG301" s="1142"/>
      <c r="AH301" s="1142"/>
      <c r="AI301" s="1142"/>
      <c r="AJ301" s="1142"/>
      <c r="AK301" s="1142"/>
      <c r="AL301" s="1142"/>
      <c r="AM301" s="1142"/>
      <c r="AN301" s="1142"/>
      <c r="AO301" s="1142"/>
      <c r="AP301" s="1142"/>
      <c r="AQ301" s="1142"/>
      <c r="AR301" s="1142"/>
    </row>
    <row r="302" spans="1:44" s="239" customFormat="1" ht="34.5" customHeight="1">
      <c r="B302" s="275" t="s">
        <v>1464</v>
      </c>
      <c r="C302" s="4142" t="s">
        <v>2367</v>
      </c>
      <c r="D302" s="4142"/>
      <c r="E302" s="4142"/>
      <c r="F302" s="4142"/>
      <c r="G302" s="4142"/>
      <c r="H302" s="4142"/>
      <c r="I302" s="4142"/>
      <c r="J302" s="4142"/>
      <c r="K302" s="4142"/>
      <c r="L302" s="4142"/>
      <c r="M302" s="4142"/>
      <c r="N302" s="4142"/>
      <c r="O302" s="88" t="s">
        <v>2368</v>
      </c>
      <c r="P302" s="717"/>
      <c r="Q302" s="716"/>
      <c r="S302" s="1142"/>
      <c r="T302" s="1142"/>
      <c r="U302" s="1142"/>
      <c r="V302" s="1142"/>
      <c r="W302" s="1142"/>
      <c r="X302" s="1142"/>
      <c r="Y302" s="1142"/>
      <c r="Z302" s="1142"/>
      <c r="AA302" s="1142"/>
      <c r="AB302" s="1142"/>
      <c r="AC302" s="1142"/>
      <c r="AD302" s="1142"/>
      <c r="AE302" s="1142"/>
      <c r="AF302" s="1142"/>
      <c r="AG302" s="1142"/>
      <c r="AH302" s="1142"/>
      <c r="AI302" s="1142"/>
      <c r="AJ302" s="1142"/>
      <c r="AK302" s="1142"/>
      <c r="AL302" s="1142"/>
      <c r="AM302" s="1142"/>
      <c r="AN302" s="1142"/>
      <c r="AO302" s="1142"/>
      <c r="AP302" s="1142"/>
      <c r="AQ302" s="1142"/>
      <c r="AR302" s="1142"/>
    </row>
    <row r="303" spans="1:44" ht="11.25" customHeight="1">
      <c r="A303" s="79"/>
      <c r="B303" s="76" t="s">
        <v>1403</v>
      </c>
      <c r="C303" s="79"/>
      <c r="D303" s="76"/>
      <c r="E303" s="76"/>
      <c r="F303" s="76"/>
      <c r="G303" s="76"/>
      <c r="H303" s="18"/>
      <c r="I303" s="714"/>
      <c r="J303" s="714"/>
      <c r="K303" s="714"/>
      <c r="L303" s="542"/>
      <c r="M303" s="542"/>
      <c r="N303" s="542"/>
      <c r="O303" s="542"/>
      <c r="P303" s="542"/>
      <c r="Q303" s="542"/>
      <c r="R303" s="79"/>
      <c r="S303" s="1141"/>
      <c r="T303" s="1141"/>
      <c r="U303" s="1141"/>
      <c r="V303" s="1141"/>
      <c r="W303" s="1141"/>
      <c r="X303" s="1141"/>
      <c r="Y303" s="1141"/>
      <c r="Z303" s="1141"/>
      <c r="AA303" s="1141"/>
      <c r="AB303" s="1141"/>
      <c r="AC303" s="1141"/>
      <c r="AD303" s="1141"/>
      <c r="AE303" s="1141"/>
      <c r="AF303" s="1141"/>
      <c r="AG303" s="1141"/>
      <c r="AH303" s="1141"/>
      <c r="AI303" s="1141"/>
      <c r="AJ303" s="1141"/>
      <c r="AK303" s="1141"/>
      <c r="AL303" s="1141"/>
      <c r="AM303" s="1141"/>
      <c r="AN303" s="1141"/>
      <c r="AO303" s="1141"/>
      <c r="AP303" s="1141"/>
      <c r="AQ303" s="1141"/>
      <c r="AR303" s="1141"/>
    </row>
    <row r="304" spans="1:44" ht="32.25" customHeight="1">
      <c r="A304" s="4153"/>
      <c r="B304" s="4154"/>
      <c r="C304" s="4154"/>
      <c r="D304" s="4154"/>
      <c r="E304" s="4154"/>
      <c r="F304" s="4154"/>
      <c r="G304" s="4154"/>
      <c r="H304" s="4154"/>
      <c r="I304" s="4154"/>
      <c r="J304" s="4154"/>
      <c r="K304" s="4154"/>
      <c r="L304" s="4154"/>
      <c r="M304" s="4154"/>
      <c r="N304" s="4154"/>
      <c r="O304" s="4154"/>
      <c r="P304" s="4154"/>
      <c r="Q304" s="4155"/>
      <c r="R304" s="258" t="s">
        <v>2152</v>
      </c>
      <c r="S304" s="1139"/>
      <c r="T304" s="1141"/>
      <c r="U304" s="1140"/>
      <c r="V304" s="1140"/>
      <c r="W304" s="1140"/>
      <c r="X304" s="1140"/>
      <c r="Y304" s="1140"/>
      <c r="Z304" s="1140"/>
      <c r="AA304" s="1140"/>
      <c r="AB304" s="1140"/>
      <c r="AC304" s="1140"/>
      <c r="AD304" s="1140"/>
      <c r="AE304" s="1140"/>
      <c r="AF304" s="1141"/>
      <c r="AG304" s="1141"/>
      <c r="AH304" s="1141"/>
      <c r="AI304" s="1141"/>
      <c r="AJ304" s="1141"/>
      <c r="AK304" s="1141"/>
      <c r="AL304" s="1141"/>
      <c r="AM304" s="1141"/>
      <c r="AN304" s="1141"/>
      <c r="AO304" s="1141"/>
      <c r="AP304" s="1141"/>
      <c r="AQ304" s="1141"/>
      <c r="AR304" s="1141"/>
    </row>
    <row r="305" spans="1:256 1523:1523" ht="11.25" customHeight="1">
      <c r="A305" s="79"/>
      <c r="B305" s="72" t="s">
        <v>1399</v>
      </c>
      <c r="C305" s="73"/>
      <c r="D305" s="710"/>
      <c r="E305" s="710"/>
      <c r="F305" s="710"/>
      <c r="G305" s="710"/>
      <c r="H305" s="710"/>
      <c r="I305" s="710"/>
      <c r="J305" s="710"/>
      <c r="K305" s="710"/>
      <c r="L305" s="710"/>
      <c r="M305" s="710"/>
      <c r="N305" s="710"/>
      <c r="O305" s="710"/>
      <c r="P305" s="710"/>
      <c r="Q305" s="710"/>
      <c r="R305" s="79"/>
      <c r="S305" s="1141"/>
      <c r="T305" s="1141"/>
      <c r="U305" s="1141"/>
      <c r="V305" s="1141"/>
      <c r="W305" s="1141"/>
      <c r="X305" s="1141"/>
      <c r="Y305" s="1141"/>
      <c r="Z305" s="1141"/>
      <c r="AA305" s="1141"/>
      <c r="AB305" s="1141"/>
      <c r="AC305" s="1141"/>
      <c r="AD305" s="1141"/>
      <c r="AE305" s="1141"/>
      <c r="AF305" s="1141"/>
      <c r="AG305" s="1141"/>
      <c r="AH305" s="1141"/>
      <c r="AI305" s="1141"/>
      <c r="AJ305" s="1141"/>
      <c r="AK305" s="1141"/>
      <c r="AL305" s="1141"/>
      <c r="AM305" s="1141"/>
      <c r="AN305" s="1141"/>
      <c r="AO305" s="1141"/>
      <c r="AP305" s="1141"/>
      <c r="AQ305" s="1141"/>
      <c r="AR305" s="1141"/>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150"/>
      <c r="B306" s="4151"/>
      <c r="C306" s="4151"/>
      <c r="D306" s="4151"/>
      <c r="E306" s="4151"/>
      <c r="F306" s="4151"/>
      <c r="G306" s="4151"/>
      <c r="H306" s="4151"/>
      <c r="I306" s="4151"/>
      <c r="J306" s="4151"/>
      <c r="K306" s="4151"/>
      <c r="L306" s="4151"/>
      <c r="M306" s="4151"/>
      <c r="N306" s="4151"/>
      <c r="O306" s="4151"/>
      <c r="P306" s="4151"/>
      <c r="Q306" s="4152"/>
      <c r="R306" s="79"/>
      <c r="S306" s="1141"/>
      <c r="T306" s="1141"/>
      <c r="U306" s="1141"/>
      <c r="V306" s="1141"/>
      <c r="W306" s="1141"/>
      <c r="X306" s="1141"/>
      <c r="Y306" s="1141"/>
      <c r="Z306" s="1141"/>
      <c r="AA306" s="1141"/>
      <c r="AB306" s="1141"/>
      <c r="AC306" s="1141"/>
      <c r="AD306" s="1141"/>
      <c r="AE306" s="1141"/>
      <c r="AF306" s="1141"/>
      <c r="AG306" s="1141"/>
      <c r="AH306" s="1141"/>
      <c r="AI306" s="1141"/>
      <c r="AJ306" s="1141"/>
      <c r="AK306" s="1141"/>
      <c r="AL306" s="1141"/>
      <c r="AM306" s="1141"/>
      <c r="AN306" s="1141"/>
      <c r="AO306" s="1141"/>
      <c r="AP306" s="1141"/>
      <c r="AQ306" s="1141"/>
      <c r="AR306" s="1141"/>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1500</v>
      </c>
      <c r="B307" s="4" t="s">
        <v>1492</v>
      </c>
      <c r="C307" s="4"/>
      <c r="D307" s="4"/>
      <c r="E307" s="4"/>
      <c r="F307" s="4"/>
      <c r="G307" s="4"/>
      <c r="H307" s="710"/>
      <c r="I307" s="710"/>
      <c r="J307" s="710"/>
      <c r="K307" s="710"/>
      <c r="L307" s="710"/>
      <c r="M307" s="710"/>
      <c r="N307" s="79"/>
      <c r="O307" s="68" t="s">
        <v>1397</v>
      </c>
      <c r="P307" s="4263"/>
      <c r="Q307" s="4264"/>
      <c r="R307" s="79"/>
      <c r="S307" s="1141"/>
      <c r="T307" s="1141"/>
      <c r="U307" s="1141"/>
      <c r="V307" s="1141"/>
      <c r="W307" s="1141"/>
      <c r="X307" s="1141"/>
      <c r="Y307" s="1141"/>
      <c r="Z307" s="1141"/>
      <c r="AA307" s="1141"/>
      <c r="AB307" s="1141"/>
      <c r="AC307" s="1141"/>
      <c r="AD307" s="1141"/>
      <c r="AE307" s="1141"/>
      <c r="AF307" s="1141"/>
      <c r="AG307" s="1141"/>
      <c r="AH307" s="1141"/>
      <c r="AI307" s="1141"/>
      <c r="AJ307" s="1141"/>
      <c r="AK307" s="1141"/>
      <c r="AL307" s="1141"/>
      <c r="AM307" s="1141"/>
      <c r="AN307" s="1141"/>
      <c r="AO307" s="1141"/>
      <c r="AP307" s="1141"/>
      <c r="AQ307" s="1141"/>
      <c r="AR307" s="1141"/>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2369</v>
      </c>
      <c r="C308" s="79"/>
      <c r="D308" s="79"/>
      <c r="E308" s="79"/>
      <c r="F308" s="79"/>
      <c r="G308" s="79"/>
      <c r="H308" s="79"/>
      <c r="I308" s="79"/>
      <c r="J308" s="79"/>
      <c r="K308" s="79"/>
      <c r="L308" s="79"/>
      <c r="M308" s="79"/>
      <c r="N308" s="79"/>
      <c r="O308" s="79"/>
      <c r="P308" s="1033"/>
      <c r="Q308" s="1034"/>
      <c r="R308" s="79"/>
      <c r="S308" s="1141"/>
      <c r="T308" s="1141"/>
      <c r="U308" s="1141"/>
      <c r="V308" s="1141"/>
      <c r="W308" s="1141"/>
      <c r="X308" s="1141"/>
      <c r="Y308" s="1141"/>
      <c r="Z308" s="1141"/>
      <c r="AA308" s="1141"/>
      <c r="AB308" s="1141"/>
      <c r="AC308" s="1141"/>
      <c r="AD308" s="1141"/>
      <c r="AE308" s="1141"/>
      <c r="AF308" s="1141"/>
      <c r="AG308" s="1141"/>
      <c r="AH308" s="1141"/>
      <c r="AI308" s="1141"/>
      <c r="AJ308" s="1141"/>
      <c r="AK308" s="1141"/>
      <c r="AL308" s="1141"/>
      <c r="AM308" s="1141"/>
      <c r="AN308" s="1141"/>
      <c r="AO308" s="1141"/>
      <c r="AP308" s="1141"/>
      <c r="AQ308" s="1141"/>
      <c r="AR308" s="1141"/>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2370</v>
      </c>
      <c r="C309" s="275"/>
      <c r="D309" s="275"/>
      <c r="E309" s="275"/>
      <c r="F309" s="275"/>
      <c r="G309" s="275"/>
      <c r="H309" s="275"/>
      <c r="I309" s="275"/>
      <c r="J309" s="275"/>
      <c r="K309" s="275"/>
      <c r="L309" s="275"/>
      <c r="M309" s="79"/>
      <c r="N309" s="79"/>
      <c r="O309" s="79"/>
      <c r="P309" s="124"/>
      <c r="Q309" s="316"/>
      <c r="R309" s="79"/>
      <c r="S309" s="1141"/>
      <c r="T309" s="1141"/>
      <c r="U309" s="1141"/>
      <c r="V309" s="1141"/>
      <c r="W309" s="1141"/>
      <c r="X309" s="1141"/>
      <c r="Y309" s="1141"/>
      <c r="Z309" s="1141"/>
      <c r="AA309" s="1141"/>
      <c r="AB309" s="1141"/>
      <c r="AC309" s="1141"/>
      <c r="AD309" s="1141"/>
      <c r="AE309" s="1141"/>
      <c r="AF309" s="1141"/>
      <c r="AG309" s="1141"/>
      <c r="AH309" s="1141"/>
      <c r="AI309" s="1141"/>
      <c r="AJ309" s="1141"/>
      <c r="AK309" s="1141"/>
      <c r="AL309" s="1141"/>
      <c r="AM309" s="1141"/>
      <c r="AN309" s="1141"/>
      <c r="AO309" s="1141"/>
      <c r="AP309" s="1141"/>
      <c r="AQ309" s="1141"/>
      <c r="AR309" s="1141"/>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2371</v>
      </c>
      <c r="E310" s="18"/>
      <c r="F310" s="18"/>
      <c r="G310" s="18"/>
      <c r="H310" s="18"/>
      <c r="I310" s="45"/>
      <c r="J310" s="30"/>
      <c r="K310" s="4160" t="s">
        <v>712</v>
      </c>
      <c r="L310" s="4161"/>
      <c r="M310" s="4161"/>
      <c r="N310" s="4195"/>
      <c r="O310" s="40"/>
      <c r="P310" s="2839"/>
      <c r="Q310" s="314"/>
      <c r="R310" s="45"/>
      <c r="S310" s="1141"/>
      <c r="T310" s="1141"/>
      <c r="U310" s="1141"/>
      <c r="V310" s="1141"/>
      <c r="W310" s="1141"/>
      <c r="X310" s="1141"/>
      <c r="Y310" s="1141"/>
      <c r="Z310" s="1141"/>
      <c r="AA310" s="1141"/>
      <c r="AB310" s="1141"/>
      <c r="AC310" s="1141"/>
      <c r="AD310" s="1141"/>
      <c r="AE310" s="1141"/>
      <c r="AF310" s="1141"/>
      <c r="AG310" s="1141"/>
      <c r="AH310" s="1141"/>
      <c r="AI310" s="1141"/>
      <c r="AJ310" s="1141"/>
      <c r="AK310" s="1141"/>
      <c r="AL310" s="1141"/>
      <c r="AM310" s="1141"/>
      <c r="AN310" s="1141"/>
      <c r="AO310" s="1141"/>
      <c r="AP310" s="1141"/>
      <c r="AQ310" s="1141"/>
      <c r="AR310" s="1141"/>
    </row>
    <row r="311" spans="1:256 1523:1523" ht="11.65" customHeight="1">
      <c r="A311" s="77" t="s">
        <v>194</v>
      </c>
      <c r="B311" s="58" t="s">
        <v>2372</v>
      </c>
      <c r="C311" s="79"/>
      <c r="D311" s="18"/>
      <c r="E311" s="18"/>
      <c r="F311" s="18"/>
      <c r="G311" s="18"/>
      <c r="H311" s="18"/>
      <c r="I311" s="18"/>
      <c r="J311" s="18"/>
      <c r="K311" s="18"/>
      <c r="L311" s="18"/>
      <c r="M311" s="18"/>
      <c r="N311" s="88"/>
      <c r="O311" s="79"/>
      <c r="P311" s="79"/>
      <c r="Q311" s="79"/>
      <c r="R311" s="79"/>
      <c r="S311" s="1141"/>
      <c r="T311" s="1141"/>
      <c r="U311" s="1141"/>
      <c r="V311" s="1141"/>
      <c r="W311" s="1141"/>
      <c r="X311" s="1141"/>
      <c r="Y311" s="1141"/>
      <c r="Z311" s="1141"/>
      <c r="AA311" s="1141"/>
      <c r="AB311" s="1141"/>
      <c r="AC311" s="1141"/>
      <c r="AD311" s="1141"/>
      <c r="AE311" s="1141"/>
      <c r="AF311" s="1141"/>
      <c r="AG311" s="1141"/>
      <c r="AH311" s="1141"/>
      <c r="AI311" s="1141"/>
      <c r="AJ311" s="1141"/>
      <c r="AK311" s="1141"/>
      <c r="AL311" s="1141"/>
      <c r="AM311" s="1141"/>
      <c r="AN311" s="1141"/>
      <c r="AO311" s="1141"/>
      <c r="AP311" s="1141"/>
      <c r="AQ311" s="1141"/>
      <c r="AR311" s="1141"/>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142" t="s">
        <v>2373</v>
      </c>
      <c r="C312" s="4142"/>
      <c r="D312" s="4142"/>
      <c r="E312" s="4142"/>
      <c r="F312" s="4142"/>
      <c r="G312" s="4142"/>
      <c r="H312" s="4142"/>
      <c r="I312" s="4142"/>
      <c r="J312" s="4142"/>
      <c r="K312" s="4142"/>
      <c r="L312" s="4142"/>
      <c r="M312" s="4142"/>
      <c r="N312" s="4142"/>
      <c r="O312" s="88" t="s">
        <v>194</v>
      </c>
      <c r="P312" s="725"/>
      <c r="Q312" s="726"/>
      <c r="R312" s="79"/>
      <c r="S312" s="1141"/>
      <c r="T312" s="1141"/>
      <c r="U312" s="1141"/>
      <c r="V312" s="1141"/>
      <c r="W312" s="1141"/>
      <c r="X312" s="1141"/>
      <c r="Y312" s="1141"/>
      <c r="Z312" s="1141"/>
      <c r="AA312" s="1141"/>
      <c r="AB312" s="1141"/>
      <c r="AC312" s="1141"/>
      <c r="AD312" s="1141"/>
      <c r="AE312" s="1141"/>
      <c r="AF312" s="1141"/>
      <c r="AG312" s="1141"/>
      <c r="AH312" s="1141"/>
      <c r="AI312" s="1141"/>
      <c r="AJ312" s="1141"/>
      <c r="AK312" s="1141"/>
      <c r="AL312" s="1141"/>
      <c r="AM312" s="1141"/>
      <c r="AN312" s="1141"/>
      <c r="AO312" s="1141"/>
      <c r="AP312" s="1141"/>
      <c r="AQ312" s="1141"/>
      <c r="AR312" s="1141"/>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206</v>
      </c>
      <c r="B313" s="40" t="s">
        <v>1494</v>
      </c>
      <c r="C313" s="79"/>
      <c r="D313" s="40"/>
      <c r="E313" s="40"/>
      <c r="F313" s="40"/>
      <c r="G313" s="40"/>
      <c r="H313" s="40"/>
      <c r="I313" s="40"/>
      <c r="J313" s="40"/>
      <c r="K313" s="40"/>
      <c r="L313" s="40"/>
      <c r="M313" s="40"/>
      <c r="N313" s="79"/>
      <c r="O313" s="88" t="s">
        <v>206</v>
      </c>
      <c r="P313" s="542"/>
      <c r="Q313" s="542"/>
      <c r="R313" s="79"/>
      <c r="S313" s="1141"/>
      <c r="T313" s="1141"/>
      <c r="U313" s="1141"/>
      <c r="V313" s="1141"/>
      <c r="W313" s="1141"/>
      <c r="X313" s="1141"/>
      <c r="Y313" s="1141"/>
      <c r="Z313" s="1141"/>
      <c r="AA313" s="1141"/>
      <c r="AB313" s="1141"/>
      <c r="AC313" s="1141"/>
      <c r="AD313" s="1141"/>
      <c r="AE313" s="1141"/>
      <c r="AF313" s="1141"/>
      <c r="AG313" s="1141"/>
      <c r="AH313" s="1141"/>
      <c r="AI313" s="1141"/>
      <c r="AJ313" s="1141"/>
      <c r="AK313" s="1141"/>
      <c r="AL313" s="1141"/>
      <c r="AM313" s="1141"/>
      <c r="AN313" s="1141"/>
      <c r="AO313" s="1141"/>
      <c r="AP313" s="1141"/>
      <c r="AQ313" s="1141"/>
      <c r="AR313" s="1141"/>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1459</v>
      </c>
      <c r="C314" s="75" t="s">
        <v>2374</v>
      </c>
      <c r="D314" s="79"/>
      <c r="E314" s="239"/>
      <c r="F314" s="239"/>
      <c r="G314" s="4204" t="s">
        <v>1496</v>
      </c>
      <c r="H314" s="4205"/>
      <c r="I314" s="4205"/>
      <c r="J314" s="4205"/>
      <c r="K314" s="4205"/>
      <c r="L314" s="4205"/>
      <c r="M314" s="4205"/>
      <c r="N314" s="4206"/>
      <c r="O314" s="88" t="s">
        <v>1459</v>
      </c>
      <c r="P314" s="1493"/>
      <c r="Q314" s="1494"/>
      <c r="R314" s="79"/>
      <c r="S314" s="1141"/>
      <c r="T314" s="1141"/>
      <c r="U314" s="1141"/>
      <c r="V314" s="1141"/>
      <c r="W314" s="1141"/>
      <c r="X314" s="1141"/>
      <c r="Y314" s="1141"/>
      <c r="Z314" s="1141"/>
      <c r="AA314" s="1141"/>
      <c r="AB314" s="1141"/>
      <c r="AC314" s="1141"/>
      <c r="AD314" s="1141"/>
      <c r="AE314" s="1141"/>
      <c r="AF314" s="1141"/>
      <c r="AG314" s="1141"/>
      <c r="AH314" s="1141"/>
      <c r="AI314" s="1141"/>
      <c r="AJ314" s="1141"/>
      <c r="AK314" s="1141"/>
      <c r="AL314" s="1141"/>
      <c r="AM314" s="1141"/>
      <c r="AN314" s="1141"/>
      <c r="AO314" s="1141"/>
      <c r="AP314" s="1141"/>
      <c r="AQ314" s="1141"/>
      <c r="AR314" s="1141"/>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2375</v>
      </c>
    </row>
    <row r="315" spans="1:256 1523:1523" ht="23.25" customHeight="1">
      <c r="A315" s="79"/>
      <c r="B315" s="275" t="s">
        <v>1462</v>
      </c>
      <c r="C315" s="4142" t="s">
        <v>2376</v>
      </c>
      <c r="D315" s="4142"/>
      <c r="E315" s="4142"/>
      <c r="F315" s="4224"/>
      <c r="G315" s="3078" t="s">
        <v>1498</v>
      </c>
      <c r="H315" s="4228"/>
      <c r="I315" s="4228"/>
      <c r="J315" s="4228"/>
      <c r="K315" s="4228"/>
      <c r="L315" s="4228"/>
      <c r="M315" s="4228"/>
      <c r="N315" s="4229"/>
      <c r="O315" s="88" t="s">
        <v>1462</v>
      </c>
      <c r="P315" s="717"/>
      <c r="Q315" s="716"/>
      <c r="R315" s="79"/>
      <c r="S315" s="1141"/>
      <c r="T315" s="1141"/>
      <c r="U315" s="1141"/>
      <c r="V315" s="1141"/>
      <c r="W315" s="1141"/>
      <c r="X315" s="1141"/>
      <c r="Y315" s="1141"/>
      <c r="Z315" s="1141"/>
      <c r="AA315" s="1141"/>
      <c r="AB315" s="1141"/>
      <c r="AC315" s="1141"/>
      <c r="AD315" s="1141"/>
      <c r="AE315" s="1141"/>
      <c r="AF315" s="1141"/>
      <c r="AG315" s="1141"/>
      <c r="AH315" s="1141"/>
      <c r="AI315" s="1141"/>
      <c r="AJ315" s="1141"/>
      <c r="AK315" s="1141"/>
      <c r="AL315" s="1141"/>
      <c r="AM315" s="1141"/>
      <c r="AN315" s="1141"/>
      <c r="AO315" s="1141"/>
      <c r="AP315" s="1141"/>
      <c r="AQ315" s="1141"/>
      <c r="AR315" s="1141"/>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2"/>
      <c r="B316" s="552"/>
      <c r="C316" s="542"/>
      <c r="D316" s="542"/>
      <c r="E316" s="542"/>
      <c r="F316" s="542"/>
      <c r="G316" s="542"/>
      <c r="H316" s="542"/>
      <c r="I316" s="542"/>
      <c r="J316" s="542"/>
      <c r="K316" s="542"/>
      <c r="L316" s="542"/>
      <c r="M316" s="542"/>
      <c r="N316" s="542"/>
      <c r="O316" s="542"/>
      <c r="P316" s="542"/>
      <c r="Q316" s="542"/>
      <c r="R316" s="542"/>
      <c r="S316" s="1149"/>
      <c r="T316" s="1149"/>
      <c r="U316" s="1149"/>
      <c r="V316" s="1149"/>
      <c r="W316" s="1149"/>
      <c r="X316" s="1149"/>
      <c r="Y316" s="1149"/>
      <c r="Z316" s="1149"/>
      <c r="AA316" s="1149"/>
      <c r="AB316" s="1149"/>
      <c r="AC316" s="1149"/>
      <c r="AD316" s="1149"/>
      <c r="AE316" s="1149"/>
      <c r="AF316" s="1149"/>
      <c r="AG316" s="1149"/>
      <c r="AH316" s="1149"/>
      <c r="AI316" s="1149"/>
      <c r="AJ316" s="1149"/>
      <c r="AK316" s="1149"/>
      <c r="AL316" s="1149"/>
      <c r="AM316" s="1149"/>
      <c r="AN316" s="1149"/>
      <c r="AO316" s="1149"/>
      <c r="AP316" s="1149"/>
      <c r="AQ316" s="1149"/>
      <c r="AR316" s="1149"/>
      <c r="AS316" s="542"/>
      <c r="AT316" s="542"/>
      <c r="AU316" s="542"/>
      <c r="AV316" s="542"/>
      <c r="AW316" s="542"/>
      <c r="AX316" s="542"/>
      <c r="AY316" s="542"/>
      <c r="AZ316" s="542"/>
      <c r="BA316" s="542"/>
      <c r="BB316" s="542"/>
      <c r="BC316" s="542"/>
      <c r="BD316" s="542"/>
      <c r="BE316" s="542"/>
      <c r="BF316" s="542"/>
      <c r="BG316" s="542"/>
      <c r="BH316" s="542"/>
      <c r="BI316" s="542"/>
      <c r="BJ316" s="542"/>
      <c r="BK316" s="542"/>
      <c r="BL316" s="542"/>
      <c r="BM316" s="542"/>
      <c r="BN316" s="542"/>
      <c r="BO316" s="542"/>
      <c r="BP316" s="542"/>
      <c r="BQ316" s="542"/>
      <c r="BR316" s="542"/>
      <c r="BS316" s="542"/>
      <c r="BT316" s="542"/>
      <c r="BU316" s="542"/>
      <c r="BV316" s="542"/>
      <c r="BW316" s="542"/>
      <c r="BX316" s="542"/>
      <c r="BY316" s="542"/>
      <c r="BZ316" s="542"/>
      <c r="CA316" s="542"/>
      <c r="CB316" s="542"/>
      <c r="CC316" s="542"/>
      <c r="CD316" s="542"/>
      <c r="CE316" s="542"/>
      <c r="CF316" s="542"/>
      <c r="CG316" s="542"/>
      <c r="CH316" s="542"/>
      <c r="CI316" s="542"/>
      <c r="CJ316" s="542"/>
      <c r="CK316" s="542"/>
      <c r="CL316" s="542"/>
      <c r="CM316" s="542"/>
      <c r="CN316" s="542"/>
      <c r="CO316" s="542"/>
      <c r="CP316" s="542"/>
      <c r="CQ316" s="542"/>
      <c r="CR316" s="542"/>
      <c r="CS316" s="542"/>
      <c r="CT316" s="542"/>
      <c r="CU316" s="542"/>
      <c r="CV316" s="542"/>
      <c r="CW316" s="542"/>
      <c r="CX316" s="542"/>
      <c r="CY316" s="542"/>
      <c r="CZ316" s="542"/>
      <c r="DA316" s="542"/>
      <c r="DB316" s="542"/>
      <c r="DC316" s="542"/>
      <c r="DD316" s="542"/>
      <c r="DE316" s="542"/>
      <c r="DF316" s="542"/>
      <c r="DG316" s="542"/>
      <c r="DH316" s="542"/>
      <c r="DI316" s="542"/>
      <c r="DJ316" s="542"/>
      <c r="DK316" s="542"/>
      <c r="DL316" s="542"/>
      <c r="DM316" s="542"/>
      <c r="DN316" s="542"/>
      <c r="DO316" s="542"/>
      <c r="DP316" s="542"/>
      <c r="DQ316" s="542"/>
      <c r="DR316" s="542"/>
      <c r="DS316" s="542"/>
      <c r="DT316" s="542"/>
      <c r="DU316" s="542"/>
      <c r="DV316" s="542"/>
      <c r="DW316" s="542"/>
      <c r="DX316" s="542"/>
      <c r="DY316" s="542"/>
      <c r="DZ316" s="542"/>
      <c r="EA316" s="542"/>
      <c r="EB316" s="542"/>
      <c r="EC316" s="542"/>
      <c r="ED316" s="542"/>
      <c r="EE316" s="542"/>
      <c r="EF316" s="542"/>
      <c r="EG316" s="542"/>
      <c r="EH316" s="542"/>
      <c r="EI316" s="542"/>
      <c r="EJ316" s="542"/>
      <c r="EK316" s="542"/>
      <c r="EL316" s="542"/>
      <c r="EM316" s="542"/>
      <c r="EN316" s="542"/>
      <c r="EO316" s="542"/>
      <c r="EP316" s="542"/>
      <c r="EQ316" s="542"/>
      <c r="ER316" s="542"/>
      <c r="ES316" s="542"/>
      <c r="ET316" s="542"/>
      <c r="EU316" s="542"/>
      <c r="EV316" s="542"/>
      <c r="EW316" s="542"/>
      <c r="EX316" s="542"/>
      <c r="EY316" s="542"/>
      <c r="EZ316" s="542"/>
      <c r="FA316" s="542"/>
      <c r="FB316" s="542"/>
      <c r="FC316" s="542"/>
      <c r="FD316" s="542"/>
      <c r="FE316" s="542"/>
      <c r="FF316" s="542"/>
      <c r="FG316" s="542"/>
      <c r="FH316" s="542"/>
      <c r="FI316" s="542"/>
      <c r="FJ316" s="542"/>
      <c r="FK316" s="542"/>
      <c r="FL316" s="542"/>
      <c r="FM316" s="542"/>
      <c r="FN316" s="542"/>
      <c r="FO316" s="542"/>
      <c r="FP316" s="542"/>
      <c r="FQ316" s="542"/>
      <c r="FR316" s="542"/>
      <c r="FS316" s="542"/>
      <c r="FT316" s="542"/>
      <c r="FU316" s="542"/>
      <c r="FV316" s="542"/>
      <c r="FW316" s="542"/>
      <c r="FX316" s="542"/>
      <c r="FY316" s="542"/>
      <c r="FZ316" s="542"/>
      <c r="GA316" s="542"/>
      <c r="GB316" s="542"/>
      <c r="GC316" s="542"/>
      <c r="GD316" s="542"/>
      <c r="GE316" s="542"/>
      <c r="GF316" s="542"/>
      <c r="GG316" s="542"/>
      <c r="GH316" s="542"/>
      <c r="GI316" s="542"/>
      <c r="GJ316" s="542"/>
      <c r="GK316" s="542"/>
      <c r="GL316" s="542"/>
      <c r="GM316" s="542"/>
      <c r="GN316" s="542"/>
      <c r="GO316" s="542"/>
      <c r="GP316" s="542"/>
      <c r="GQ316" s="542"/>
      <c r="GR316" s="542"/>
      <c r="GS316" s="542"/>
      <c r="GT316" s="542"/>
      <c r="GU316" s="542"/>
      <c r="GV316" s="542"/>
      <c r="GW316" s="542"/>
      <c r="GX316" s="542"/>
      <c r="GY316" s="542"/>
      <c r="GZ316" s="542"/>
      <c r="HA316" s="542"/>
      <c r="HB316" s="542"/>
      <c r="HC316" s="542"/>
      <c r="HD316" s="542"/>
      <c r="HE316" s="542"/>
      <c r="HF316" s="542"/>
      <c r="HG316" s="542"/>
      <c r="HH316" s="542"/>
      <c r="HI316" s="542"/>
      <c r="HJ316" s="542"/>
      <c r="HK316" s="542"/>
      <c r="HL316" s="542"/>
      <c r="HM316" s="542"/>
      <c r="HN316" s="542"/>
      <c r="HO316" s="542"/>
      <c r="HP316" s="542"/>
      <c r="HQ316" s="542"/>
      <c r="HR316" s="542"/>
      <c r="HS316" s="542"/>
      <c r="HT316" s="542"/>
      <c r="HU316" s="542"/>
      <c r="HV316" s="542"/>
      <c r="HW316" s="542"/>
      <c r="HX316" s="542"/>
      <c r="HY316" s="542"/>
      <c r="HZ316" s="542"/>
      <c r="IA316" s="542"/>
      <c r="IB316" s="542"/>
      <c r="IC316" s="542"/>
      <c r="ID316" s="542"/>
      <c r="IE316" s="542"/>
      <c r="IF316" s="542"/>
      <c r="IG316" s="542"/>
      <c r="IH316" s="542"/>
      <c r="II316" s="542"/>
      <c r="IJ316" s="542"/>
      <c r="IK316" s="542"/>
      <c r="IL316" s="542"/>
      <c r="IM316" s="542"/>
      <c r="IN316" s="542"/>
      <c r="IO316" s="542"/>
      <c r="IP316" s="542"/>
      <c r="IQ316" s="542"/>
      <c r="IR316" s="542"/>
      <c r="IS316" s="542"/>
      <c r="IT316" s="542"/>
      <c r="IU316" s="542"/>
      <c r="IV316" s="542"/>
      <c r="BFO316" s="79"/>
    </row>
    <row r="317" spans="1:256 1523:1523" s="69" customFormat="1" ht="22.5" customHeight="1">
      <c r="A317" s="77"/>
      <c r="B317" s="275" t="s">
        <v>1463</v>
      </c>
      <c r="C317" s="1248" t="s">
        <v>2377</v>
      </c>
      <c r="D317" s="1247"/>
      <c r="E317" s="1247"/>
      <c r="F317" s="1247"/>
      <c r="G317" s="4163" t="s">
        <v>2378</v>
      </c>
      <c r="H317" s="4163"/>
      <c r="I317" s="4163"/>
      <c r="J317" s="4163"/>
      <c r="K317" s="4163"/>
      <c r="L317" s="4163"/>
      <c r="M317" s="4163"/>
      <c r="N317" s="4163"/>
      <c r="O317" s="256"/>
      <c r="P317" s="542"/>
      <c r="Q317" s="542"/>
      <c r="R317" s="239"/>
      <c r="S317" s="1142"/>
      <c r="T317" s="1142"/>
      <c r="U317" s="1142"/>
      <c r="V317" s="1142"/>
      <c r="W317" s="1142"/>
      <c r="X317" s="1142"/>
      <c r="Y317" s="1142"/>
      <c r="Z317" s="1142"/>
      <c r="AA317" s="1142"/>
      <c r="AB317" s="1142"/>
      <c r="AC317" s="1142"/>
      <c r="AD317" s="1142"/>
      <c r="AE317" s="1142"/>
      <c r="AF317" s="1142"/>
      <c r="AG317" s="1142"/>
      <c r="AH317" s="1142"/>
      <c r="AI317" s="1142"/>
      <c r="AJ317" s="1142"/>
      <c r="AK317" s="1142"/>
      <c r="AL317" s="1142"/>
      <c r="AM317" s="1142"/>
      <c r="AN317" s="1142"/>
      <c r="AO317" s="1142"/>
      <c r="AP317" s="1142"/>
      <c r="AQ317" s="1142"/>
      <c r="AR317" s="1142"/>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2218</v>
      </c>
      <c r="C318" s="4211"/>
      <c r="D318" s="4212"/>
      <c r="E318" s="4212"/>
      <c r="F318" s="4212"/>
      <c r="G318" s="4212"/>
      <c r="H318" s="4212"/>
      <c r="I318" s="4212"/>
      <c r="J318" s="4212"/>
      <c r="K318" s="4212"/>
      <c r="L318" s="4212"/>
      <c r="M318" s="4212"/>
      <c r="N318" s="4213"/>
      <c r="O318" s="88" t="s">
        <v>2379</v>
      </c>
      <c r="P318" s="1493"/>
      <c r="Q318" s="1494"/>
      <c r="R318" s="239"/>
      <c r="S318" s="1142"/>
      <c r="T318" s="1142"/>
      <c r="U318" s="1142"/>
      <c r="V318" s="1142"/>
      <c r="W318" s="1142"/>
      <c r="X318" s="1142"/>
      <c r="Y318" s="1142"/>
      <c r="Z318" s="1142"/>
      <c r="AA318" s="1142"/>
      <c r="AB318" s="1142"/>
      <c r="AC318" s="1142"/>
      <c r="AD318" s="1142"/>
      <c r="AE318" s="1142"/>
      <c r="AF318" s="1142"/>
      <c r="AG318" s="1142"/>
      <c r="AH318" s="1142"/>
      <c r="AI318" s="1142"/>
      <c r="AJ318" s="1142"/>
      <c r="AK318" s="1142"/>
      <c r="AL318" s="1142"/>
      <c r="AM318" s="1142"/>
      <c r="AN318" s="1142"/>
      <c r="AO318" s="1142"/>
      <c r="AP318" s="1142"/>
      <c r="AQ318" s="1142"/>
      <c r="AR318" s="1142"/>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2220</v>
      </c>
      <c r="C319" s="4225"/>
      <c r="D319" s="4226"/>
      <c r="E319" s="4226"/>
      <c r="F319" s="4226"/>
      <c r="G319" s="4226"/>
      <c r="H319" s="4226"/>
      <c r="I319" s="4226"/>
      <c r="J319" s="4226"/>
      <c r="K319" s="4226"/>
      <c r="L319" s="4226"/>
      <c r="M319" s="4226"/>
      <c r="N319" s="4227"/>
      <c r="O319" s="88" t="s">
        <v>2380</v>
      </c>
      <c r="P319" s="717"/>
      <c r="Q319" s="716"/>
      <c r="R319" s="239"/>
      <c r="S319" s="1142"/>
      <c r="T319" s="1142"/>
      <c r="U319" s="1142"/>
      <c r="V319" s="1142"/>
      <c r="W319" s="1142"/>
      <c r="X319" s="1142"/>
      <c r="Y319" s="1142"/>
      <c r="Z319" s="1142"/>
      <c r="AA319" s="1142"/>
      <c r="AB319" s="1142"/>
      <c r="AC319" s="1142"/>
      <c r="AD319" s="1142"/>
      <c r="AE319" s="1142"/>
      <c r="AF319" s="1142"/>
      <c r="AG319" s="1142"/>
      <c r="AH319" s="1142"/>
      <c r="AI319" s="1142"/>
      <c r="AJ319" s="1142"/>
      <c r="AK319" s="1142"/>
      <c r="AL319" s="1142"/>
      <c r="AM319" s="1142"/>
      <c r="AN319" s="1142"/>
      <c r="AO319" s="1142"/>
      <c r="AP319" s="1142"/>
      <c r="AQ319" s="1142"/>
      <c r="AR319" s="1142"/>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229</v>
      </c>
      <c r="B320" s="4142" t="s">
        <v>2381</v>
      </c>
      <c r="C320" s="4142"/>
      <c r="D320" s="4142"/>
      <c r="E320" s="4142"/>
      <c r="F320" s="4142"/>
      <c r="G320" s="4142"/>
      <c r="H320" s="4142"/>
      <c r="I320" s="4142"/>
      <c r="J320" s="4142"/>
      <c r="K320" s="4142"/>
      <c r="L320" s="4142"/>
      <c r="M320" s="4142"/>
      <c r="N320" s="4142"/>
      <c r="O320" s="88" t="s">
        <v>229</v>
      </c>
      <c r="P320" s="717"/>
      <c r="Q320" s="716"/>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2"/>
      <c r="B321" s="542"/>
      <c r="C321" s="542"/>
      <c r="D321" s="542"/>
      <c r="E321" s="542"/>
      <c r="F321" s="542"/>
      <c r="G321" s="542"/>
      <c r="H321" s="542"/>
      <c r="I321" s="542"/>
      <c r="J321" s="542"/>
      <c r="K321" s="542"/>
      <c r="L321" s="542"/>
      <c r="M321" s="542"/>
      <c r="N321" s="542"/>
      <c r="O321" s="542"/>
      <c r="P321" s="542"/>
      <c r="Q321" s="542"/>
      <c r="R321" s="542"/>
      <c r="S321" s="1149"/>
      <c r="T321" s="1149"/>
      <c r="U321" s="1149"/>
      <c r="V321" s="1149"/>
      <c r="W321" s="1149"/>
      <c r="X321" s="1149"/>
      <c r="Y321" s="1149"/>
      <c r="Z321" s="1149"/>
      <c r="AA321" s="1149"/>
      <c r="AB321" s="1149"/>
      <c r="AC321" s="1149"/>
      <c r="AD321" s="1149"/>
      <c r="AE321" s="1149"/>
      <c r="AF321" s="1149"/>
      <c r="AG321" s="1149"/>
      <c r="AH321" s="1149"/>
      <c r="AI321" s="1149"/>
      <c r="AJ321" s="1149"/>
      <c r="AK321" s="1149"/>
      <c r="AL321" s="1149"/>
      <c r="AM321" s="1149"/>
      <c r="AN321" s="1149"/>
      <c r="AO321" s="1149"/>
      <c r="AP321" s="1149"/>
      <c r="AQ321" s="1149"/>
      <c r="AR321" s="1149"/>
      <c r="AS321" s="542"/>
      <c r="AT321" s="542"/>
      <c r="AU321" s="542"/>
      <c r="AV321" s="542"/>
      <c r="AW321" s="542"/>
      <c r="AX321" s="542"/>
      <c r="AY321" s="542"/>
      <c r="AZ321" s="542"/>
      <c r="BA321" s="542"/>
      <c r="BB321" s="542"/>
      <c r="BC321" s="542"/>
      <c r="BD321" s="542"/>
      <c r="BE321" s="542"/>
      <c r="BF321" s="542"/>
      <c r="BG321" s="542"/>
      <c r="BH321" s="542"/>
      <c r="BI321" s="542"/>
      <c r="BJ321" s="542"/>
      <c r="BK321" s="542"/>
      <c r="BL321" s="542"/>
      <c r="BM321" s="542"/>
      <c r="BN321" s="542"/>
      <c r="BO321" s="542"/>
      <c r="BP321" s="542"/>
      <c r="BQ321" s="542"/>
      <c r="BR321" s="542"/>
      <c r="BS321" s="542"/>
      <c r="BT321" s="542"/>
      <c r="BU321" s="542"/>
      <c r="BV321" s="542"/>
      <c r="BW321" s="542"/>
      <c r="BX321" s="542"/>
      <c r="BY321" s="542"/>
      <c r="BZ321" s="542"/>
      <c r="CA321" s="542"/>
      <c r="CB321" s="542"/>
      <c r="CC321" s="542"/>
      <c r="CD321" s="542"/>
      <c r="CE321" s="542"/>
      <c r="CF321" s="542"/>
      <c r="CG321" s="542"/>
      <c r="CH321" s="542"/>
      <c r="CI321" s="542"/>
      <c r="CJ321" s="542"/>
      <c r="CK321" s="542"/>
      <c r="CL321" s="542"/>
      <c r="CM321" s="542"/>
      <c r="CN321" s="542"/>
      <c r="CO321" s="542"/>
      <c r="CP321" s="542"/>
      <c r="CQ321" s="542"/>
      <c r="CR321" s="542"/>
      <c r="CS321" s="542"/>
      <c r="CT321" s="542"/>
      <c r="CU321" s="542"/>
      <c r="CV321" s="542"/>
      <c r="CW321" s="542"/>
      <c r="CX321" s="542"/>
      <c r="CY321" s="542"/>
      <c r="CZ321" s="542"/>
      <c r="DA321" s="542"/>
      <c r="DB321" s="542"/>
      <c r="DC321" s="542"/>
      <c r="DD321" s="542"/>
      <c r="DE321" s="542"/>
      <c r="DF321" s="542"/>
      <c r="DG321" s="542"/>
      <c r="DH321" s="542"/>
      <c r="DI321" s="542"/>
      <c r="DJ321" s="542"/>
      <c r="DK321" s="542"/>
      <c r="DL321" s="542"/>
      <c r="DM321" s="542"/>
      <c r="DN321" s="542"/>
      <c r="DO321" s="542"/>
      <c r="DP321" s="542"/>
      <c r="DQ321" s="542"/>
      <c r="DR321" s="542"/>
      <c r="DS321" s="542"/>
      <c r="DT321" s="542"/>
      <c r="DU321" s="542"/>
      <c r="DV321" s="542"/>
      <c r="DW321" s="542"/>
      <c r="DX321" s="542"/>
      <c r="DY321" s="542"/>
      <c r="DZ321" s="542"/>
      <c r="EA321" s="542"/>
      <c r="EB321" s="542"/>
      <c r="EC321" s="542"/>
      <c r="ED321" s="542"/>
      <c r="EE321" s="542"/>
      <c r="EF321" s="542"/>
      <c r="EG321" s="542"/>
      <c r="EH321" s="542"/>
      <c r="EI321" s="542"/>
      <c r="EJ321" s="542"/>
      <c r="EK321" s="542"/>
      <c r="EL321" s="542"/>
      <c r="EM321" s="542"/>
      <c r="EN321" s="542"/>
      <c r="EO321" s="542"/>
      <c r="EP321" s="542"/>
      <c r="EQ321" s="542"/>
      <c r="ER321" s="542"/>
      <c r="ES321" s="542"/>
      <c r="ET321" s="542"/>
      <c r="EU321" s="542"/>
      <c r="EV321" s="542"/>
      <c r="EW321" s="542"/>
      <c r="EX321" s="542"/>
      <c r="EY321" s="542"/>
      <c r="EZ321" s="542"/>
      <c r="FA321" s="542"/>
      <c r="FB321" s="542"/>
      <c r="FC321" s="542"/>
      <c r="FD321" s="542"/>
      <c r="FE321" s="542"/>
      <c r="FF321" s="542"/>
      <c r="FG321" s="542"/>
      <c r="FH321" s="542"/>
      <c r="FI321" s="542"/>
      <c r="FJ321" s="542"/>
      <c r="FK321" s="542"/>
      <c r="FL321" s="542"/>
      <c r="FM321" s="542"/>
      <c r="FN321" s="542"/>
      <c r="FO321" s="542"/>
      <c r="FP321" s="542"/>
      <c r="FQ321" s="542"/>
      <c r="FR321" s="542"/>
      <c r="FS321" s="542"/>
      <c r="FT321" s="542"/>
      <c r="FU321" s="542"/>
      <c r="FV321" s="542"/>
      <c r="FW321" s="542"/>
      <c r="FX321" s="542"/>
      <c r="FY321" s="542"/>
      <c r="FZ321" s="542"/>
      <c r="GA321" s="542"/>
      <c r="GB321" s="542"/>
      <c r="GC321" s="542"/>
      <c r="GD321" s="542"/>
      <c r="GE321" s="542"/>
      <c r="GF321" s="542"/>
      <c r="GG321" s="542"/>
      <c r="GH321" s="542"/>
      <c r="GI321" s="542"/>
      <c r="GJ321" s="542"/>
      <c r="GK321" s="542"/>
      <c r="GL321" s="542"/>
      <c r="GM321" s="542"/>
      <c r="GN321" s="542"/>
      <c r="GO321" s="542"/>
      <c r="GP321" s="542"/>
      <c r="GQ321" s="542"/>
      <c r="GR321" s="542"/>
      <c r="GS321" s="542"/>
      <c r="GT321" s="542"/>
      <c r="GU321" s="542"/>
      <c r="GV321" s="542"/>
      <c r="GW321" s="542"/>
      <c r="GX321" s="542"/>
      <c r="GY321" s="542"/>
      <c r="GZ321" s="542"/>
      <c r="HA321" s="542"/>
      <c r="HB321" s="542"/>
      <c r="HC321" s="542"/>
      <c r="HD321" s="542"/>
      <c r="HE321" s="542"/>
      <c r="HF321" s="542"/>
      <c r="HG321" s="542"/>
      <c r="HH321" s="542"/>
      <c r="HI321" s="542"/>
      <c r="HJ321" s="542"/>
      <c r="HK321" s="542"/>
      <c r="HL321" s="542"/>
      <c r="HM321" s="542"/>
      <c r="HN321" s="542"/>
      <c r="HO321" s="542"/>
      <c r="HP321" s="542"/>
      <c r="HQ321" s="542"/>
      <c r="HR321" s="542"/>
      <c r="HS321" s="542"/>
      <c r="HT321" s="542"/>
      <c r="HU321" s="542"/>
      <c r="HV321" s="542"/>
      <c r="HW321" s="542"/>
      <c r="HX321" s="542"/>
      <c r="HY321" s="542"/>
      <c r="HZ321" s="542"/>
      <c r="IA321" s="542"/>
      <c r="IB321" s="542"/>
      <c r="IC321" s="542"/>
      <c r="ID321" s="542"/>
      <c r="IE321" s="542"/>
      <c r="IF321" s="542"/>
      <c r="IG321" s="542"/>
      <c r="IH321" s="542"/>
      <c r="II321" s="542"/>
      <c r="IJ321" s="542"/>
      <c r="IK321" s="542"/>
      <c r="IL321" s="542"/>
      <c r="IM321" s="542"/>
      <c r="IN321" s="542"/>
      <c r="IO321" s="542"/>
      <c r="IP321" s="542"/>
      <c r="IQ321" s="542"/>
      <c r="IR321" s="542"/>
      <c r="IS321" s="542"/>
      <c r="IT321" s="542"/>
      <c r="IU321" s="542"/>
      <c r="IV321" s="542"/>
    </row>
    <row r="322" spans="1:256" ht="11.25" customHeight="1">
      <c r="A322" s="79"/>
      <c r="B322" s="76" t="s">
        <v>1403</v>
      </c>
      <c r="C322" s="79"/>
      <c r="D322" s="76"/>
      <c r="E322" s="76"/>
      <c r="F322" s="76"/>
      <c r="G322" s="76"/>
      <c r="H322" s="18"/>
      <c r="I322" s="714"/>
      <c r="J322" s="714"/>
      <c r="K322" s="714"/>
      <c r="L322" s="542"/>
      <c r="M322" s="542"/>
      <c r="N322" s="542"/>
      <c r="O322" s="542"/>
      <c r="P322" s="542"/>
      <c r="Q322" s="542"/>
      <c r="R322" s="79"/>
      <c r="S322" s="1141"/>
      <c r="T322" s="1141"/>
      <c r="U322" s="1141"/>
      <c r="V322" s="1141"/>
      <c r="W322" s="1141"/>
      <c r="X322" s="1141"/>
      <c r="Y322" s="1141"/>
      <c r="Z322" s="1141"/>
      <c r="AA322" s="1141"/>
      <c r="AB322" s="1141"/>
      <c r="AC322" s="1141"/>
      <c r="AD322" s="1141"/>
      <c r="AE322" s="1141"/>
      <c r="AF322" s="1141"/>
      <c r="AG322" s="1141"/>
      <c r="AH322" s="1141"/>
      <c r="AI322" s="1141"/>
      <c r="AJ322" s="1141"/>
      <c r="AK322" s="1141"/>
      <c r="AL322" s="1141"/>
      <c r="AM322" s="1141"/>
      <c r="AN322" s="1141"/>
      <c r="AO322" s="1141"/>
      <c r="AP322" s="1141"/>
      <c r="AQ322" s="1141"/>
      <c r="AR322" s="1141"/>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153"/>
      <c r="B323" s="4154"/>
      <c r="C323" s="4154"/>
      <c r="D323" s="4154"/>
      <c r="E323" s="4154"/>
      <c r="F323" s="4154"/>
      <c r="G323" s="4154"/>
      <c r="H323" s="4154"/>
      <c r="I323" s="4154"/>
      <c r="J323" s="4154"/>
      <c r="K323" s="4154"/>
      <c r="L323" s="4154"/>
      <c r="M323" s="4154"/>
      <c r="N323" s="4154"/>
      <c r="O323" s="4154"/>
      <c r="P323" s="4154"/>
      <c r="Q323" s="4155"/>
      <c r="R323" s="269" t="s">
        <v>2152</v>
      </c>
      <c r="S323" s="1150"/>
      <c r="T323" s="1141"/>
      <c r="U323" s="1140"/>
      <c r="V323" s="1140"/>
      <c r="W323" s="1140"/>
      <c r="X323" s="1140"/>
      <c r="Y323" s="1140"/>
      <c r="Z323" s="1140"/>
      <c r="AA323" s="1140"/>
      <c r="AB323" s="1140"/>
      <c r="AC323" s="1140"/>
      <c r="AD323" s="1140"/>
      <c r="AE323" s="1140"/>
      <c r="AF323" s="1141"/>
      <c r="AG323" s="1141"/>
      <c r="AH323" s="1141"/>
      <c r="AI323" s="1141"/>
      <c r="AJ323" s="1141"/>
      <c r="AK323" s="1141"/>
      <c r="AL323" s="1141"/>
      <c r="AM323" s="1141"/>
      <c r="AN323" s="1141"/>
      <c r="AO323" s="1141"/>
      <c r="AP323" s="1141"/>
      <c r="AQ323" s="1141"/>
      <c r="AR323" s="1141"/>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1399</v>
      </c>
      <c r="C324" s="73"/>
      <c r="D324" s="710"/>
      <c r="E324" s="710"/>
      <c r="F324" s="710"/>
      <c r="G324" s="710"/>
      <c r="H324" s="710"/>
      <c r="I324" s="710"/>
      <c r="J324" s="710"/>
      <c r="K324" s="710"/>
      <c r="L324" s="710"/>
      <c r="M324" s="710"/>
      <c r="N324" s="710"/>
      <c r="O324" s="710"/>
      <c r="P324" s="710"/>
      <c r="Q324" s="710"/>
      <c r="R324" s="79"/>
      <c r="S324" s="1141"/>
      <c r="T324" s="1141"/>
      <c r="U324" s="1141"/>
      <c r="V324" s="1141"/>
      <c r="W324" s="1141"/>
      <c r="X324" s="1141"/>
      <c r="Y324" s="1141"/>
      <c r="Z324" s="1141"/>
      <c r="AA324" s="1141"/>
      <c r="AB324" s="1141"/>
      <c r="AC324" s="1141"/>
      <c r="AD324" s="1141"/>
      <c r="AE324" s="1141"/>
      <c r="AF324" s="1141"/>
      <c r="AG324" s="1141"/>
      <c r="AH324" s="1141"/>
      <c r="AI324" s="1141"/>
      <c r="AJ324" s="1141"/>
      <c r="AK324" s="1141"/>
      <c r="AL324" s="1141"/>
      <c r="AM324" s="1141"/>
      <c r="AN324" s="1141"/>
      <c r="AO324" s="1141"/>
      <c r="AP324" s="1141"/>
      <c r="AQ324" s="1141"/>
      <c r="AR324" s="1141"/>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150"/>
      <c r="B325" s="4151"/>
      <c r="C325" s="4151"/>
      <c r="D325" s="4151"/>
      <c r="E325" s="4151"/>
      <c r="F325" s="4151"/>
      <c r="G325" s="4151"/>
      <c r="H325" s="4151"/>
      <c r="I325" s="4151"/>
      <c r="J325" s="4151"/>
      <c r="K325" s="4151"/>
      <c r="L325" s="4151"/>
      <c r="M325" s="4151"/>
      <c r="N325" s="4151"/>
      <c r="O325" s="4151"/>
      <c r="P325" s="4151"/>
      <c r="Q325" s="4152"/>
      <c r="R325" s="79"/>
      <c r="S325" s="1141"/>
      <c r="T325" s="1141"/>
      <c r="U325" s="1141"/>
      <c r="V325" s="1141"/>
      <c r="W325" s="1141"/>
      <c r="X325" s="1141"/>
      <c r="Y325" s="1141"/>
      <c r="Z325" s="1141"/>
      <c r="AA325" s="1141"/>
      <c r="AB325" s="1141"/>
      <c r="AC325" s="1141"/>
      <c r="AD325" s="1141"/>
      <c r="AE325" s="1141"/>
      <c r="AF325" s="1141"/>
      <c r="AG325" s="1141"/>
      <c r="AH325" s="1141"/>
      <c r="AI325" s="1141"/>
      <c r="AJ325" s="1141"/>
      <c r="AK325" s="1141"/>
      <c r="AL325" s="1141"/>
      <c r="AM325" s="1141"/>
      <c r="AN325" s="1141"/>
      <c r="AO325" s="1141"/>
      <c r="AP325" s="1141"/>
      <c r="AQ325" s="1141"/>
      <c r="AR325" s="1141"/>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1508</v>
      </c>
      <c r="B326" s="108" t="s">
        <v>1501</v>
      </c>
      <c r="C326" s="2"/>
      <c r="D326" s="710"/>
      <c r="E326" s="710"/>
      <c r="F326" s="710"/>
      <c r="G326" s="710"/>
      <c r="H326" s="710"/>
      <c r="I326" s="79"/>
      <c r="J326" s="79"/>
      <c r="K326" s="79"/>
      <c r="L326" s="79"/>
      <c r="M326" s="79"/>
      <c r="N326" s="684" t="s">
        <v>2203</v>
      </c>
      <c r="O326" s="68" t="s">
        <v>1397</v>
      </c>
      <c r="P326" s="4145"/>
      <c r="Q326" s="4146"/>
      <c r="R326" s="686" t="s">
        <v>2204</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194</v>
      </c>
      <c r="B327" s="27" t="s">
        <v>2382</v>
      </c>
      <c r="C327" s="79"/>
      <c r="D327" s="79"/>
      <c r="E327" s="79"/>
      <c r="F327" s="79"/>
      <c r="G327" s="79"/>
      <c r="H327" s="79"/>
      <c r="I327" s="79"/>
      <c r="J327" s="79"/>
      <c r="K327" s="79"/>
      <c r="L327" s="79"/>
      <c r="M327" s="79"/>
      <c r="N327" s="79"/>
      <c r="O327" s="88" t="s">
        <v>194</v>
      </c>
      <c r="P327" s="1033"/>
      <c r="Q327" s="1034"/>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206</v>
      </c>
      <c r="B328" s="27" t="s">
        <v>2383</v>
      </c>
      <c r="C328" s="79"/>
      <c r="D328" s="79"/>
      <c r="E328" s="79"/>
      <c r="F328" s="79"/>
      <c r="G328" s="79"/>
      <c r="H328" s="79"/>
      <c r="I328" s="79"/>
      <c r="J328" s="79"/>
      <c r="K328" s="79"/>
      <c r="L328" s="79"/>
      <c r="M328" s="79"/>
      <c r="N328" s="79"/>
      <c r="O328" s="88" t="s">
        <v>206</v>
      </c>
      <c r="P328" s="1449"/>
      <c r="Q328" s="543"/>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227</v>
      </c>
      <c r="B329" s="27" t="s">
        <v>2384</v>
      </c>
      <c r="C329" s="79"/>
      <c r="D329" s="79"/>
      <c r="E329" s="79"/>
      <c r="F329" s="79"/>
      <c r="G329" s="79"/>
      <c r="H329" s="79"/>
      <c r="I329" s="79"/>
      <c r="J329" s="79"/>
      <c r="K329" s="149"/>
      <c r="L329" s="79"/>
      <c r="M329" s="88" t="s">
        <v>227</v>
      </c>
      <c r="N329" s="4207" t="s">
        <v>712</v>
      </c>
      <c r="O329" s="4208"/>
      <c r="P329" s="4209" t="s">
        <v>712</v>
      </c>
      <c r="Q329" s="4210"/>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229</v>
      </c>
      <c r="B330" s="27" t="s">
        <v>2385</v>
      </c>
      <c r="C330" s="79"/>
      <c r="D330" s="79"/>
      <c r="E330" s="79"/>
      <c r="F330" s="79"/>
      <c r="G330" s="79"/>
      <c r="H330" s="79"/>
      <c r="I330" s="79"/>
      <c r="J330" s="79"/>
      <c r="K330" s="79"/>
      <c r="L330" s="79"/>
      <c r="M330" s="79"/>
      <c r="N330" s="79"/>
      <c r="O330" s="30" t="s">
        <v>229</v>
      </c>
      <c r="P330" s="1127"/>
      <c r="Q330" s="1126"/>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236</v>
      </c>
      <c r="B331" s="27" t="s">
        <v>2386</v>
      </c>
      <c r="C331" s="79"/>
      <c r="D331" s="79"/>
      <c r="E331" s="79"/>
      <c r="F331" s="79"/>
      <c r="G331" s="79"/>
      <c r="H331" s="79"/>
      <c r="I331" s="79"/>
      <c r="J331" s="79"/>
      <c r="K331" s="79"/>
      <c r="L331" s="79"/>
      <c r="M331" s="79"/>
      <c r="N331" s="88" t="s">
        <v>236</v>
      </c>
      <c r="O331" s="4201" t="s">
        <v>79</v>
      </c>
      <c r="P331" s="4202"/>
      <c r="Q331" s="4203"/>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238</v>
      </c>
      <c r="B332" s="41" t="s">
        <v>2387</v>
      </c>
      <c r="C332" s="79"/>
      <c r="D332" s="79"/>
      <c r="E332" s="79"/>
      <c r="F332" s="79"/>
      <c r="G332" s="79"/>
      <c r="H332" s="79"/>
      <c r="I332" s="79"/>
      <c r="J332" s="79"/>
      <c r="K332" s="79"/>
      <c r="L332" s="79"/>
      <c r="M332" s="79"/>
      <c r="N332" s="88" t="s">
        <v>238</v>
      </c>
      <c r="O332" s="4265" t="s">
        <v>79</v>
      </c>
      <c r="P332" s="4266"/>
      <c r="Q332" s="4267"/>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1403</v>
      </c>
      <c r="C333" s="79"/>
      <c r="D333" s="76"/>
      <c r="E333" s="76"/>
      <c r="F333" s="76"/>
      <c r="G333" s="76"/>
      <c r="H333" s="18"/>
      <c r="I333" s="714"/>
      <c r="J333" s="714"/>
      <c r="K333" s="714"/>
      <c r="L333" s="542"/>
      <c r="M333" s="542"/>
      <c r="N333" s="542"/>
      <c r="O333" s="542"/>
      <c r="P333" s="542"/>
      <c r="Q333" s="542"/>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35" customHeight="1">
      <c r="A334" s="4153"/>
      <c r="B334" s="4154"/>
      <c r="C334" s="4154"/>
      <c r="D334" s="4154"/>
      <c r="E334" s="4154"/>
      <c r="F334" s="4154"/>
      <c r="G334" s="4154"/>
      <c r="H334" s="4154"/>
      <c r="I334" s="4154"/>
      <c r="J334" s="4154"/>
      <c r="K334" s="4154"/>
      <c r="L334" s="4154"/>
      <c r="M334" s="4154"/>
      <c r="N334" s="4154"/>
      <c r="O334" s="4154"/>
      <c r="P334" s="4154"/>
      <c r="Q334" s="4155"/>
      <c r="R334" s="258" t="s">
        <v>2152</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1399</v>
      </c>
      <c r="C335" s="73"/>
      <c r="D335" s="710"/>
      <c r="E335" s="710"/>
      <c r="F335" s="710"/>
      <c r="G335" s="710"/>
      <c r="H335" s="710"/>
      <c r="I335" s="710"/>
      <c r="J335" s="710"/>
      <c r="K335" s="710"/>
      <c r="L335" s="710"/>
      <c r="M335" s="710"/>
      <c r="N335" s="710"/>
      <c r="O335" s="710"/>
      <c r="P335" s="710"/>
      <c r="Q335" s="710"/>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4150"/>
      <c r="B336" s="4151"/>
      <c r="C336" s="4151"/>
      <c r="D336" s="4151"/>
      <c r="E336" s="4151"/>
      <c r="F336" s="4151"/>
      <c r="G336" s="4151"/>
      <c r="H336" s="4151"/>
      <c r="I336" s="4151"/>
      <c r="J336" s="4151"/>
      <c r="K336" s="4151"/>
      <c r="L336" s="4151"/>
      <c r="M336" s="4151"/>
      <c r="N336" s="4151"/>
      <c r="O336" s="4151"/>
      <c r="P336" s="4151"/>
      <c r="Q336" s="4152"/>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2"/>
      <c r="B337" s="714"/>
      <c r="C337" s="710"/>
      <c r="D337" s="710"/>
      <c r="E337" s="710"/>
      <c r="F337" s="710"/>
      <c r="G337" s="710"/>
      <c r="H337" s="710"/>
      <c r="I337" s="710"/>
      <c r="J337" s="710"/>
      <c r="K337" s="710"/>
      <c r="L337" s="710"/>
      <c r="M337" s="710"/>
      <c r="N337" s="710"/>
      <c r="O337" s="710"/>
      <c r="P337" s="710"/>
      <c r="Q337" s="542"/>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1515</v>
      </c>
      <c r="B338" s="4" t="s">
        <v>1509</v>
      </c>
      <c r="C338" s="4"/>
      <c r="D338" s="4"/>
      <c r="E338" s="4"/>
      <c r="F338" s="4"/>
      <c r="G338" s="4"/>
      <c r="H338" s="710"/>
      <c r="I338" s="710"/>
      <c r="J338" s="710"/>
      <c r="K338" s="710"/>
      <c r="L338" s="710"/>
      <c r="M338" s="710"/>
      <c r="N338" s="94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1397</v>
      </c>
      <c r="P338" s="4145"/>
      <c r="Q338" s="4146"/>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2388</v>
      </c>
      <c r="C339" s="4"/>
      <c r="D339" s="4"/>
      <c r="E339" s="4"/>
      <c r="F339" s="4"/>
      <c r="G339" s="4"/>
      <c r="H339" s="710"/>
      <c r="I339" s="710"/>
      <c r="J339" s="710"/>
      <c r="K339" s="710"/>
      <c r="L339" s="710"/>
      <c r="M339" s="710"/>
      <c r="N339" s="294"/>
      <c r="O339" s="79"/>
      <c r="P339" s="68"/>
      <c r="Q339" s="1594"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2389</v>
      </c>
      <c r="C340" s="4"/>
      <c r="D340" s="4"/>
      <c r="E340" s="4"/>
      <c r="F340" s="4"/>
      <c r="G340" s="4"/>
      <c r="H340" s="710"/>
      <c r="I340" s="710"/>
      <c r="J340" s="710"/>
      <c r="K340" s="710"/>
      <c r="L340" s="710"/>
      <c r="M340" s="710"/>
      <c r="N340" s="294"/>
      <c r="O340" s="68"/>
      <c r="P340" s="276"/>
      <c r="Q340" s="314"/>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194</v>
      </c>
      <c r="B341" s="4142" t="s">
        <v>2390</v>
      </c>
      <c r="C341" s="4142"/>
      <c r="D341" s="4142"/>
      <c r="E341" s="4142"/>
      <c r="F341" s="4142"/>
      <c r="G341" s="4142"/>
      <c r="H341" s="4142"/>
      <c r="I341" s="4142"/>
      <c r="J341" s="4142"/>
      <c r="K341" s="4142"/>
      <c r="L341" s="4142"/>
      <c r="M341" s="4142"/>
      <c r="N341" s="4142"/>
      <c r="O341" s="88" t="s">
        <v>194</v>
      </c>
      <c r="P341" s="1493"/>
      <c r="Q341" s="1494"/>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1459</v>
      </c>
      <c r="C342" s="15" t="s">
        <v>2391</v>
      </c>
      <c r="D342" s="15"/>
      <c r="E342" s="15"/>
      <c r="F342" s="15"/>
      <c r="G342" s="15"/>
      <c r="H342" s="15"/>
      <c r="I342" s="15"/>
      <c r="J342" s="15"/>
      <c r="K342" s="45"/>
      <c r="L342" s="45"/>
      <c r="M342" s="45"/>
      <c r="N342" s="45"/>
      <c r="O342" s="30" t="s">
        <v>2282</v>
      </c>
      <c r="P342" s="1495"/>
      <c r="Q342" s="1496"/>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1184</v>
      </c>
      <c r="D343" s="15"/>
      <c r="E343" s="1250">
        <f>'Part V-Revenues &amp; Expenses'!$P$67</f>
        <v>199</v>
      </c>
      <c r="F343" s="15" t="s">
        <v>2392</v>
      </c>
      <c r="G343" s="1251">
        <f>'Part V-Revenues &amp; Expenses'!$P$100</f>
        <v>78</v>
      </c>
      <c r="H343" s="45"/>
      <c r="I343" s="15" t="s">
        <v>1194</v>
      </c>
      <c r="J343" s="45"/>
      <c r="K343" s="45"/>
      <c r="L343" s="1250">
        <f>'Part V-Revenues &amp; Expenses'!$P$111</f>
        <v>0</v>
      </c>
      <c r="M343" s="30" t="s">
        <v>2393</v>
      </c>
      <c r="N343" s="1249">
        <f>IF(E343=0,"",(G343+L343)/E343)</f>
        <v>0.39195979899497485</v>
      </c>
      <c r="P343" s="75"/>
      <c r="Q343" s="75"/>
      <c r="S343" s="1141"/>
      <c r="T343" s="1141"/>
      <c r="U343" s="1141"/>
      <c r="V343" s="1141"/>
      <c r="W343" s="1141"/>
      <c r="X343" s="1141"/>
      <c r="Y343" s="1141"/>
      <c r="Z343" s="1141"/>
      <c r="AA343" s="1141"/>
      <c r="AB343" s="1141"/>
      <c r="AC343" s="1141"/>
      <c r="AD343" s="1141"/>
      <c r="AE343" s="1141"/>
      <c r="AF343" s="1141"/>
      <c r="AG343" s="1141"/>
      <c r="AH343" s="1141"/>
      <c r="AI343" s="1141"/>
      <c r="AJ343" s="1141"/>
      <c r="AK343" s="1141"/>
      <c r="AL343" s="1141"/>
      <c r="AM343" s="1141"/>
      <c r="AN343" s="1141"/>
      <c r="AO343" s="1141"/>
      <c r="AP343" s="1141"/>
      <c r="AQ343" s="1141"/>
      <c r="AR343" s="1141"/>
    </row>
    <row r="344" spans="1:44">
      <c r="A344" s="77" t="s">
        <v>206</v>
      </c>
      <c r="B344" s="4142" t="s">
        <v>2394</v>
      </c>
      <c r="C344" s="4142"/>
      <c r="D344" s="4142"/>
      <c r="E344" s="4142"/>
      <c r="F344" s="4142"/>
      <c r="G344" s="4142"/>
      <c r="H344" s="4142"/>
      <c r="I344" s="4142"/>
      <c r="J344" s="4142"/>
      <c r="K344" s="4142"/>
      <c r="L344" s="4142"/>
      <c r="M344" s="4142"/>
      <c r="N344" s="4142"/>
      <c r="O344" s="88" t="s">
        <v>206</v>
      </c>
      <c r="P344" s="725"/>
      <c r="Q344" s="726"/>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1184</v>
      </c>
      <c r="D345" s="15"/>
      <c r="E345" s="1250">
        <f>'Part V-Revenues &amp; Expenses'!$P$67</f>
        <v>199</v>
      </c>
      <c r="F345" s="15" t="s">
        <v>2395</v>
      </c>
      <c r="H345" s="45"/>
      <c r="L345" s="1613"/>
      <c r="M345" s="30" t="s">
        <v>2393</v>
      </c>
      <c r="N345" s="1249">
        <f>IF(E345=0,"",L345/E345)</f>
        <v>0</v>
      </c>
      <c r="P345" s="75"/>
      <c r="Q345" s="75"/>
      <c r="S345" s="1141"/>
      <c r="T345" s="1141"/>
      <c r="U345" s="1141"/>
      <c r="V345" s="1141"/>
      <c r="W345" s="1141"/>
      <c r="X345" s="1141"/>
      <c r="Y345" s="1141"/>
      <c r="Z345" s="1141"/>
      <c r="AA345" s="1141"/>
      <c r="AB345" s="1141"/>
      <c r="AC345" s="1141"/>
      <c r="AD345" s="1141"/>
      <c r="AE345" s="1141"/>
      <c r="AF345" s="1141"/>
      <c r="AG345" s="1141"/>
      <c r="AH345" s="1141"/>
      <c r="AI345" s="1141"/>
      <c r="AJ345" s="1141"/>
      <c r="AK345" s="1141"/>
      <c r="AL345" s="1141"/>
      <c r="AM345" s="1141"/>
      <c r="AN345" s="1141"/>
      <c r="AO345" s="1141"/>
      <c r="AP345" s="1141"/>
      <c r="AQ345" s="1141"/>
      <c r="AR345" s="1141"/>
    </row>
    <row r="346" spans="1:44" ht="21.75" customHeight="1">
      <c r="A346" s="77" t="s">
        <v>227</v>
      </c>
      <c r="B346" s="4142" t="s">
        <v>2396</v>
      </c>
      <c r="C346" s="4142"/>
      <c r="D346" s="4142"/>
      <c r="E346" s="4142"/>
      <c r="F346" s="4142"/>
      <c r="G346" s="4142"/>
      <c r="H346" s="4142"/>
      <c r="I346" s="4142"/>
      <c r="J346" s="4142"/>
      <c r="K346" s="4142"/>
      <c r="L346" s="4142"/>
      <c r="M346" s="4142"/>
      <c r="N346" s="4142"/>
      <c r="O346" s="88" t="s">
        <v>227</v>
      </c>
      <c r="P346" s="1493"/>
      <c r="Q346" s="1494"/>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1459</v>
      </c>
      <c r="C347" s="27" t="s">
        <v>2397</v>
      </c>
      <c r="D347" s="7"/>
      <c r="E347" s="7"/>
      <c r="F347" s="7"/>
      <c r="G347" s="7"/>
      <c r="H347" s="1491"/>
      <c r="I347" s="1491"/>
      <c r="J347" s="1491"/>
      <c r="K347" s="1491"/>
      <c r="L347" s="1491"/>
      <c r="M347" s="1491"/>
      <c r="N347" s="1492"/>
      <c r="O347" s="30" t="s">
        <v>2336</v>
      </c>
      <c r="P347" s="1497"/>
      <c r="Q347" s="1498"/>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1184</v>
      </c>
      <c r="D348" s="15"/>
      <c r="E348" s="1250">
        <f>'Part V-Revenues &amp; Expenses'!$P$67</f>
        <v>199</v>
      </c>
      <c r="F348" s="15" t="s">
        <v>2392</v>
      </c>
      <c r="G348" s="1251">
        <f>'Part V-Revenues &amp; Expenses'!$P$100</f>
        <v>78</v>
      </c>
      <c r="H348" s="45"/>
      <c r="I348" s="15" t="s">
        <v>1194</v>
      </c>
      <c r="J348" s="45"/>
      <c r="K348" s="45"/>
      <c r="L348" s="1250">
        <f>'Part V-Revenues &amp; Expenses'!$P$111</f>
        <v>0</v>
      </c>
      <c r="M348" s="30" t="s">
        <v>2393</v>
      </c>
      <c r="N348" s="1249">
        <f>IF(E348=0,"",(G348+L348)/E348)</f>
        <v>0.39195979899497485</v>
      </c>
      <c r="P348" s="75"/>
      <c r="Q348" s="75"/>
      <c r="S348" s="1141"/>
      <c r="T348" s="1141"/>
      <c r="U348" s="1141"/>
      <c r="V348" s="1141"/>
      <c r="W348" s="1141"/>
      <c r="X348" s="1141"/>
      <c r="Y348" s="1141"/>
      <c r="Z348" s="1141"/>
      <c r="AA348" s="1141"/>
      <c r="AB348" s="1141"/>
      <c r="AC348" s="1141"/>
      <c r="AD348" s="1141"/>
      <c r="AE348" s="1141"/>
      <c r="AF348" s="1141"/>
      <c r="AG348" s="1141"/>
      <c r="AH348" s="1141"/>
      <c r="AI348" s="1141"/>
      <c r="AJ348" s="1141"/>
      <c r="AK348" s="1141"/>
      <c r="AL348" s="1141"/>
      <c r="AM348" s="1141"/>
      <c r="AN348" s="1141"/>
      <c r="AO348" s="1141"/>
      <c r="AP348" s="1141"/>
      <c r="AQ348" s="1141"/>
      <c r="AR348" s="1141"/>
    </row>
    <row r="349" spans="1:44" ht="10.5" customHeight="1">
      <c r="A349" s="79"/>
      <c r="B349" s="76" t="s">
        <v>1403</v>
      </c>
      <c r="C349" s="79"/>
      <c r="D349" s="76"/>
      <c r="E349" s="76"/>
      <c r="F349" s="76"/>
      <c r="G349" s="76"/>
      <c r="H349" s="18"/>
      <c r="I349" s="714"/>
      <c r="J349" s="714"/>
      <c r="K349" s="714"/>
      <c r="L349" s="542"/>
      <c r="M349" s="542"/>
      <c r="N349" s="542"/>
      <c r="O349" s="542"/>
      <c r="P349" s="542"/>
      <c r="Q349" s="542"/>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153"/>
      <c r="B350" s="4154"/>
      <c r="C350" s="4154"/>
      <c r="D350" s="4154"/>
      <c r="E350" s="4154"/>
      <c r="F350" s="4154"/>
      <c r="G350" s="4154"/>
      <c r="H350" s="4154"/>
      <c r="I350" s="4154"/>
      <c r="J350" s="4154"/>
      <c r="K350" s="4154"/>
      <c r="L350" s="4154"/>
      <c r="M350" s="4154"/>
      <c r="N350" s="4154"/>
      <c r="O350" s="4154"/>
      <c r="P350" s="4154"/>
      <c r="Q350" s="4155"/>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1399</v>
      </c>
      <c r="C351" s="73"/>
      <c r="D351" s="710"/>
      <c r="E351" s="710"/>
      <c r="F351" s="710"/>
      <c r="G351" s="710"/>
      <c r="H351" s="710"/>
      <c r="I351" s="710"/>
      <c r="J351" s="710"/>
      <c r="K351" s="710"/>
      <c r="L351" s="710"/>
      <c r="M351" s="710"/>
      <c r="N351" s="710"/>
      <c r="O351" s="710"/>
      <c r="P351" s="710"/>
      <c r="Q351" s="710"/>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150"/>
      <c r="B352" s="4151"/>
      <c r="C352" s="4151"/>
      <c r="D352" s="4151"/>
      <c r="E352" s="4151"/>
      <c r="F352" s="4151"/>
      <c r="G352" s="4151"/>
      <c r="H352" s="4151"/>
      <c r="I352" s="4151"/>
      <c r="J352" s="4151"/>
      <c r="K352" s="4151"/>
      <c r="L352" s="4151"/>
      <c r="M352" s="4151"/>
      <c r="N352" s="4151"/>
      <c r="O352" s="4151"/>
      <c r="P352" s="4151"/>
      <c r="Q352" s="4152"/>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2"/>
      <c r="B353" s="714"/>
      <c r="C353" s="710"/>
      <c r="D353" s="710"/>
      <c r="E353" s="710"/>
      <c r="F353" s="710"/>
      <c r="G353" s="710"/>
      <c r="H353" s="710"/>
      <c r="I353" s="710"/>
      <c r="J353" s="710"/>
      <c r="K353" s="710"/>
      <c r="L353" s="710"/>
      <c r="M353" s="710"/>
      <c r="N353" s="710"/>
      <c r="O353" s="710"/>
      <c r="P353" s="710"/>
      <c r="Q353" s="542"/>
      <c r="R353" s="79"/>
      <c r="S353" s="79"/>
      <c r="T353" s="79"/>
      <c r="U353" s="79"/>
      <c r="V353" s="79"/>
      <c r="W353" s="79"/>
      <c r="X353" s="79"/>
      <c r="Y353" s="79"/>
      <c r="Z353" s="79"/>
      <c r="AA353" s="79"/>
      <c r="AB353" s="79"/>
      <c r="AC353" s="79"/>
      <c r="AD353" s="79"/>
      <c r="AE353" s="79"/>
    </row>
    <row r="354" spans="1:31" ht="14.1" customHeight="1">
      <c r="A354" s="2" t="s">
        <v>1529</v>
      </c>
      <c r="B354" s="4" t="s">
        <v>1516</v>
      </c>
      <c r="C354" s="4"/>
      <c r="D354" s="4"/>
      <c r="E354" s="4"/>
      <c r="F354" s="4"/>
      <c r="G354" s="4"/>
      <c r="H354" s="710"/>
      <c r="I354" s="710"/>
      <c r="J354" s="710"/>
      <c r="K354" s="710"/>
      <c r="L354" s="710"/>
      <c r="M354" s="710"/>
      <c r="N354" s="294" t="str">
        <f>IF('Part VIII Scoring Criteria OLD'!$P$42="yes","Applicant has applied for Nonprofit Setaside.","Applicant has NOT applied for Nonprofit Setaside.")</f>
        <v>Applicant has NOT applied for Nonprofit Setaside.</v>
      </c>
      <c r="O354" s="68" t="s">
        <v>1397</v>
      </c>
      <c r="P354" s="4299"/>
      <c r="Q354" s="4146"/>
      <c r="R354" s="79"/>
      <c r="S354" s="79"/>
      <c r="T354" s="79"/>
      <c r="U354" s="79"/>
      <c r="V354" s="79"/>
      <c r="W354" s="79"/>
      <c r="X354" s="79"/>
      <c r="Y354" s="79"/>
      <c r="Z354" s="79"/>
      <c r="AA354" s="79"/>
      <c r="AB354" s="79"/>
      <c r="AC354" s="79"/>
      <c r="AD354" s="79"/>
      <c r="AE354" s="79"/>
    </row>
    <row r="355" spans="1:31" ht="10.5" customHeight="1">
      <c r="A355" s="24" t="s">
        <v>194</v>
      </c>
      <c r="B355" s="15" t="s">
        <v>1517</v>
      </c>
      <c r="C355" s="79"/>
      <c r="D355" s="81"/>
      <c r="E355" s="81"/>
      <c r="F355" s="81"/>
      <c r="G355" s="81"/>
      <c r="H355" s="30" t="s">
        <v>194</v>
      </c>
      <c r="I355" s="4164"/>
      <c r="J355" s="4165"/>
      <c r="K355" s="4165"/>
      <c r="L355" s="4165"/>
      <c r="M355" s="4165"/>
      <c r="N355" s="4165"/>
      <c r="O355" s="4165"/>
      <c r="P355" s="4166"/>
      <c r="Q355" s="1034"/>
      <c r="R355" s="79"/>
      <c r="S355" s="79"/>
      <c r="T355" s="79"/>
      <c r="U355" s="79"/>
      <c r="V355" s="79"/>
      <c r="W355" s="79"/>
      <c r="X355" s="79"/>
      <c r="Y355" s="79"/>
      <c r="Z355" s="79"/>
      <c r="AA355" s="79"/>
      <c r="AB355" s="79"/>
      <c r="AC355" s="79"/>
      <c r="AD355" s="79"/>
      <c r="AE355" s="79"/>
    </row>
    <row r="356" spans="1:31" ht="10.5" customHeight="1">
      <c r="A356" s="77" t="s">
        <v>206</v>
      </c>
      <c r="B356" s="15" t="s">
        <v>1518</v>
      </c>
      <c r="C356" s="79"/>
      <c r="D356" s="81"/>
      <c r="E356" s="81"/>
      <c r="F356" s="81"/>
      <c r="G356" s="81"/>
      <c r="H356" s="88" t="s">
        <v>206</v>
      </c>
      <c r="I356" s="4188"/>
      <c r="J356" s="4189"/>
      <c r="K356" s="4189"/>
      <c r="L356" s="4189"/>
      <c r="M356" s="4189"/>
      <c r="N356" s="4189"/>
      <c r="O356" s="4189"/>
      <c r="P356" s="4190"/>
      <c r="Q356" s="316"/>
      <c r="R356" s="79"/>
      <c r="S356" s="79"/>
      <c r="T356" s="79"/>
      <c r="U356" s="79"/>
      <c r="V356" s="79"/>
      <c r="W356" s="79"/>
      <c r="X356" s="79"/>
      <c r="Y356" s="79"/>
      <c r="Z356" s="79"/>
      <c r="AA356" s="79"/>
      <c r="AB356" s="79"/>
      <c r="AC356" s="79"/>
      <c r="AD356" s="79"/>
      <c r="AE356" s="79"/>
    </row>
    <row r="357" spans="1:31" ht="21.75" customHeight="1">
      <c r="A357" s="77" t="s">
        <v>227</v>
      </c>
      <c r="B357" s="4159" t="s">
        <v>2398</v>
      </c>
      <c r="C357" s="4159"/>
      <c r="D357" s="4159"/>
      <c r="E357" s="4159"/>
      <c r="F357" s="4159"/>
      <c r="G357" s="4159"/>
      <c r="H357" s="4159"/>
      <c r="I357" s="4159"/>
      <c r="J357" s="4159"/>
      <c r="K357" s="4159"/>
      <c r="L357" s="4159"/>
      <c r="M357" s="4159"/>
      <c r="N357" s="4159"/>
      <c r="O357" s="88" t="s">
        <v>227</v>
      </c>
      <c r="P357" s="665"/>
      <c r="Q357" s="1494"/>
      <c r="R357" s="79"/>
      <c r="S357" s="79"/>
      <c r="T357" s="79"/>
      <c r="U357" s="79"/>
      <c r="V357" s="79"/>
      <c r="W357" s="79"/>
      <c r="X357" s="79"/>
      <c r="Y357" s="79"/>
      <c r="Z357" s="79"/>
      <c r="AA357" s="79"/>
      <c r="AB357" s="79"/>
      <c r="AC357" s="79"/>
      <c r="AD357" s="79"/>
      <c r="AE357" s="79"/>
    </row>
    <row r="358" spans="1:31" ht="21.75" customHeight="1">
      <c r="A358" s="77" t="s">
        <v>229</v>
      </c>
      <c r="B358" s="4142" t="s">
        <v>2399</v>
      </c>
      <c r="C358" s="4142"/>
      <c r="D358" s="4142"/>
      <c r="E358" s="4142"/>
      <c r="F358" s="4142"/>
      <c r="G358" s="4142"/>
      <c r="H358" s="4142"/>
      <c r="I358" s="4142"/>
      <c r="J358" s="4142"/>
      <c r="K358" s="4142"/>
      <c r="L358" s="4142"/>
      <c r="M358" s="4142"/>
      <c r="N358" s="4142"/>
      <c r="O358" s="88" t="s">
        <v>229</v>
      </c>
      <c r="P358" s="323"/>
      <c r="Q358" s="317"/>
      <c r="R358" s="79"/>
      <c r="S358" s="79"/>
      <c r="T358" s="79"/>
      <c r="U358" s="79"/>
      <c r="V358" s="79"/>
      <c r="W358" s="79"/>
      <c r="X358" s="79"/>
      <c r="Y358" s="79"/>
      <c r="Z358" s="79"/>
      <c r="AA358" s="79"/>
      <c r="AB358" s="79"/>
      <c r="AC358" s="79"/>
      <c r="AD358" s="79"/>
      <c r="AE358" s="79"/>
    </row>
    <row r="359" spans="1:31" ht="10.5" customHeight="1">
      <c r="A359" s="77" t="s">
        <v>236</v>
      </c>
      <c r="B359" s="15" t="s">
        <v>2400</v>
      </c>
      <c r="C359" s="79"/>
      <c r="D359" s="15"/>
      <c r="E359" s="15"/>
      <c r="F359" s="15"/>
      <c r="G359" s="15"/>
      <c r="H359" s="15"/>
      <c r="I359" s="15"/>
      <c r="J359" s="15"/>
      <c r="K359" s="15"/>
      <c r="L359" s="15"/>
      <c r="M359" s="15"/>
      <c r="N359" s="79"/>
      <c r="O359" s="88" t="s">
        <v>236</v>
      </c>
      <c r="P359" s="211"/>
      <c r="Q359" s="315"/>
      <c r="R359" s="79"/>
      <c r="S359" s="79"/>
      <c r="T359" s="79"/>
      <c r="U359" s="79"/>
      <c r="V359" s="79"/>
      <c r="W359" s="79"/>
      <c r="X359" s="79"/>
      <c r="Y359" s="79"/>
      <c r="Z359" s="79"/>
      <c r="AA359" s="79"/>
      <c r="AB359" s="79"/>
      <c r="AC359" s="79"/>
      <c r="AD359" s="79"/>
      <c r="AE359" s="79"/>
    </row>
    <row r="360" spans="1:31" s="69" customFormat="1" ht="21.75" customHeight="1">
      <c r="A360" s="77" t="s">
        <v>238</v>
      </c>
      <c r="B360" s="4142" t="s">
        <v>2401</v>
      </c>
      <c r="C360" s="4142"/>
      <c r="D360" s="4142"/>
      <c r="E360" s="4142"/>
      <c r="F360" s="4142"/>
      <c r="G360" s="4142"/>
      <c r="H360" s="4142"/>
      <c r="I360" s="4142"/>
      <c r="J360" s="4142"/>
      <c r="K360" s="4142"/>
      <c r="L360" s="4142"/>
      <c r="M360" s="4142"/>
      <c r="N360" s="4142"/>
      <c r="O360" s="88" t="s">
        <v>238</v>
      </c>
      <c r="P360" s="535"/>
      <c r="Q360" s="536"/>
      <c r="R360" s="239"/>
      <c r="S360" s="239"/>
      <c r="T360" s="239"/>
      <c r="U360" s="239"/>
      <c r="V360" s="239"/>
      <c r="W360" s="239"/>
      <c r="X360" s="239"/>
      <c r="Y360" s="239"/>
      <c r="Z360" s="239"/>
      <c r="AA360" s="239"/>
      <c r="AB360" s="239"/>
      <c r="AC360" s="239"/>
      <c r="AD360" s="239"/>
      <c r="AE360" s="239"/>
    </row>
    <row r="361" spans="1:31" s="69" customFormat="1" ht="10.5" customHeight="1">
      <c r="A361" s="77" t="s">
        <v>2187</v>
      </c>
      <c r="B361" s="75" t="s">
        <v>2402</v>
      </c>
      <c r="C361" s="239"/>
      <c r="D361" s="348"/>
      <c r="E361" s="348"/>
      <c r="F361" s="348"/>
      <c r="G361" s="348"/>
      <c r="H361" s="348"/>
      <c r="I361" s="348"/>
      <c r="J361" s="348"/>
      <c r="K361" s="348"/>
      <c r="L361" s="348"/>
      <c r="M361" s="348"/>
      <c r="N361" s="348"/>
      <c r="O361" s="88" t="s">
        <v>2187</v>
      </c>
      <c r="P361" s="1493"/>
      <c r="Q361" s="1494"/>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2403</v>
      </c>
      <c r="D362" s="239"/>
      <c r="E362" s="710"/>
      <c r="F362" s="710"/>
      <c r="G362" s="710"/>
      <c r="H362" s="710"/>
      <c r="I362" s="710"/>
      <c r="J362" s="710"/>
      <c r="K362" s="710"/>
      <c r="L362" s="710"/>
      <c r="M362" s="710"/>
      <c r="N362" s="710"/>
      <c r="O362" s="239"/>
      <c r="P362" s="717"/>
      <c r="Q362" s="716"/>
      <c r="R362" s="239"/>
      <c r="S362" s="239"/>
      <c r="T362" s="239"/>
      <c r="U362" s="239"/>
      <c r="V362" s="239"/>
      <c r="W362" s="239"/>
      <c r="X362" s="239"/>
      <c r="Y362" s="239"/>
      <c r="Z362" s="239"/>
      <c r="AA362" s="239"/>
      <c r="AB362" s="239"/>
      <c r="AC362" s="239"/>
      <c r="AD362" s="239"/>
      <c r="AE362" s="239"/>
    </row>
    <row r="363" spans="1:31" ht="21.75" customHeight="1">
      <c r="A363" s="77" t="s">
        <v>2189</v>
      </c>
      <c r="B363" s="4142" t="s">
        <v>2404</v>
      </c>
      <c r="C363" s="4142"/>
      <c r="D363" s="4142"/>
      <c r="E363" s="4142"/>
      <c r="F363" s="4142"/>
      <c r="G363" s="4142"/>
      <c r="H363" s="4142"/>
      <c r="I363" s="4142"/>
      <c r="J363" s="4142"/>
      <c r="K363" s="4142"/>
      <c r="L363" s="4142"/>
      <c r="M363" s="4142"/>
      <c r="N363" s="4142"/>
      <c r="O363" s="88" t="s">
        <v>2189</v>
      </c>
      <c r="P363" s="1493"/>
      <c r="Q363" s="1494"/>
      <c r="R363" s="79"/>
      <c r="S363" s="79"/>
      <c r="T363" s="79"/>
      <c r="U363" s="79"/>
      <c r="V363" s="79"/>
      <c r="W363" s="79"/>
      <c r="X363" s="79"/>
      <c r="Y363" s="79"/>
      <c r="Z363" s="79"/>
      <c r="AA363" s="79"/>
      <c r="AB363" s="79"/>
      <c r="AC363" s="79"/>
      <c r="AD363" s="79"/>
      <c r="AE363" s="79"/>
    </row>
    <row r="364" spans="1:31" ht="33" customHeight="1">
      <c r="A364" s="77" t="s">
        <v>21</v>
      </c>
      <c r="B364" s="4142" t="s">
        <v>2405</v>
      </c>
      <c r="C364" s="4142"/>
      <c r="D364" s="4142"/>
      <c r="E364" s="4142"/>
      <c r="F364" s="4142"/>
      <c r="G364" s="4142"/>
      <c r="H364" s="4142"/>
      <c r="I364" s="4142"/>
      <c r="J364" s="4142"/>
      <c r="K364" s="4142"/>
      <c r="L364" s="4142"/>
      <c r="M364" s="4142"/>
      <c r="N364" s="4142"/>
      <c r="O364" s="88" t="s">
        <v>21</v>
      </c>
      <c r="P364" s="717"/>
      <c r="Q364" s="716"/>
      <c r="R364" s="79"/>
      <c r="S364" s="79"/>
      <c r="T364" s="79"/>
      <c r="U364" s="79"/>
      <c r="V364" s="79"/>
      <c r="W364" s="79"/>
      <c r="X364" s="79"/>
      <c r="Y364" s="79"/>
      <c r="Z364" s="79"/>
      <c r="AA364" s="79"/>
      <c r="AB364" s="79"/>
      <c r="AC364" s="79"/>
      <c r="AD364" s="79"/>
      <c r="AE364" s="79"/>
    </row>
    <row r="365" spans="1:31" ht="10.5" customHeight="1">
      <c r="A365" s="79"/>
      <c r="B365" s="76" t="s">
        <v>1403</v>
      </c>
      <c r="C365" s="79"/>
      <c r="D365" s="76"/>
      <c r="E365" s="76"/>
      <c r="F365" s="76"/>
      <c r="G365" s="76"/>
      <c r="H365" s="18"/>
      <c r="I365" s="714"/>
      <c r="J365" s="714"/>
      <c r="K365" s="714"/>
      <c r="L365" s="542"/>
      <c r="M365" s="542"/>
      <c r="N365" s="542"/>
      <c r="O365" s="542"/>
      <c r="P365" s="542"/>
      <c r="Q365" s="542"/>
      <c r="R365" s="79"/>
      <c r="S365" s="79"/>
      <c r="T365" s="79"/>
      <c r="U365" s="79"/>
      <c r="V365" s="79"/>
      <c r="W365" s="79"/>
      <c r="X365" s="79"/>
      <c r="Y365" s="79"/>
      <c r="Z365" s="79"/>
      <c r="AA365" s="79"/>
      <c r="AB365" s="79"/>
      <c r="AC365" s="79"/>
      <c r="AD365" s="79"/>
      <c r="AE365" s="79"/>
    </row>
    <row r="366" spans="1:31" ht="31.5" customHeight="1">
      <c r="A366" s="4153"/>
      <c r="B366" s="4154"/>
      <c r="C366" s="4154"/>
      <c r="D366" s="4154"/>
      <c r="E366" s="4154"/>
      <c r="F366" s="4154"/>
      <c r="G366" s="4154"/>
      <c r="H366" s="4154"/>
      <c r="I366" s="4154"/>
      <c r="J366" s="4154"/>
      <c r="K366" s="4154"/>
      <c r="L366" s="4154"/>
      <c r="M366" s="4154"/>
      <c r="N366" s="4154"/>
      <c r="O366" s="4154"/>
      <c r="P366" s="4154"/>
      <c r="Q366" s="4155"/>
      <c r="R366" s="79"/>
      <c r="S366" s="79"/>
      <c r="T366" s="79"/>
      <c r="U366" s="71"/>
      <c r="V366" s="71"/>
      <c r="W366" s="71"/>
      <c r="X366" s="71"/>
      <c r="Y366" s="71"/>
      <c r="Z366" s="71"/>
      <c r="AA366" s="71"/>
      <c r="AB366" s="71"/>
      <c r="AC366" s="71"/>
      <c r="AD366" s="71"/>
      <c r="AE366" s="71"/>
    </row>
    <row r="367" spans="1:31" ht="10.5" customHeight="1">
      <c r="A367" s="79"/>
      <c r="B367" s="72" t="s">
        <v>1399</v>
      </c>
      <c r="C367" s="73"/>
      <c r="D367" s="710"/>
      <c r="E367" s="710"/>
      <c r="F367" s="710"/>
      <c r="G367" s="710"/>
      <c r="H367" s="710"/>
      <c r="I367" s="710"/>
      <c r="J367" s="710"/>
      <c r="K367" s="710"/>
      <c r="L367" s="710"/>
      <c r="M367" s="710"/>
      <c r="N367" s="710"/>
      <c r="O367" s="710"/>
      <c r="P367" s="710"/>
      <c r="Q367" s="710"/>
      <c r="R367" s="79"/>
      <c r="S367" s="79"/>
      <c r="T367" s="79"/>
      <c r="U367" s="79"/>
      <c r="V367" s="79"/>
      <c r="W367" s="79"/>
      <c r="X367" s="79"/>
      <c r="Y367" s="79"/>
      <c r="Z367" s="79"/>
      <c r="AA367" s="79"/>
      <c r="AB367" s="79"/>
      <c r="AC367" s="79"/>
      <c r="AD367" s="79"/>
      <c r="AE367" s="79"/>
    </row>
    <row r="368" spans="1:31" ht="23.25" customHeight="1">
      <c r="A368" s="4150"/>
      <c r="B368" s="4151"/>
      <c r="C368" s="4151"/>
      <c r="D368" s="4151"/>
      <c r="E368" s="4151"/>
      <c r="F368" s="4151"/>
      <c r="G368" s="4151"/>
      <c r="H368" s="4151"/>
      <c r="I368" s="4151"/>
      <c r="J368" s="4151"/>
      <c r="K368" s="4151"/>
      <c r="L368" s="4151"/>
      <c r="M368" s="4151"/>
      <c r="N368" s="4151"/>
      <c r="O368" s="4151"/>
      <c r="P368" s="4151"/>
      <c r="Q368" s="4152"/>
      <c r="R368" s="79"/>
      <c r="S368" s="79"/>
      <c r="T368" s="79"/>
      <c r="U368" s="79"/>
      <c r="V368" s="79"/>
      <c r="W368" s="79"/>
      <c r="X368" s="79"/>
      <c r="Y368" s="79"/>
      <c r="Z368" s="79"/>
      <c r="AA368" s="79"/>
      <c r="AB368" s="79"/>
      <c r="AC368" s="79"/>
      <c r="AD368" s="79"/>
      <c r="AE368" s="79"/>
    </row>
    <row r="369" spans="1:31" ht="3" customHeight="1">
      <c r="A369" s="542"/>
      <c r="B369" s="714"/>
      <c r="C369" s="710"/>
      <c r="D369" s="710"/>
      <c r="E369" s="710"/>
      <c r="F369" s="710"/>
      <c r="G369" s="710"/>
      <c r="H369" s="710"/>
      <c r="I369" s="710"/>
      <c r="J369" s="710"/>
      <c r="K369" s="710"/>
      <c r="L369" s="710"/>
      <c r="M369" s="710"/>
      <c r="N369" s="79"/>
      <c r="O369" s="79"/>
      <c r="P369" s="79"/>
      <c r="Q369" s="542"/>
      <c r="R369" s="79"/>
      <c r="S369" s="79"/>
      <c r="T369" s="79"/>
      <c r="U369" s="79"/>
      <c r="V369" s="79"/>
      <c r="W369" s="79"/>
      <c r="X369" s="79"/>
      <c r="Y369" s="79"/>
      <c r="Z369" s="79"/>
      <c r="AA369" s="79"/>
      <c r="AB369" s="79"/>
      <c r="AC369" s="79"/>
      <c r="AD369" s="79"/>
      <c r="AE369" s="79"/>
    </row>
    <row r="370" spans="1:31" ht="3" customHeight="1">
      <c r="A370" s="542"/>
      <c r="B370" s="714"/>
      <c r="C370" s="710"/>
      <c r="D370" s="710"/>
      <c r="E370" s="710"/>
      <c r="F370" s="710"/>
      <c r="G370" s="710"/>
      <c r="H370" s="710"/>
      <c r="I370" s="710"/>
      <c r="J370" s="710"/>
      <c r="K370" s="710"/>
      <c r="L370" s="710"/>
      <c r="M370" s="710"/>
      <c r="N370" s="79"/>
      <c r="O370" s="79"/>
      <c r="P370" s="79"/>
      <c r="Q370" s="542"/>
      <c r="R370" s="79"/>
      <c r="S370" s="79"/>
      <c r="T370" s="79"/>
      <c r="U370" s="79"/>
      <c r="V370" s="79"/>
      <c r="W370" s="79"/>
      <c r="X370" s="79"/>
      <c r="Y370" s="79"/>
      <c r="Z370" s="79"/>
      <c r="AA370" s="79"/>
      <c r="AB370" s="79"/>
      <c r="AC370" s="79"/>
      <c r="AD370" s="79"/>
      <c r="AE370" s="79"/>
    </row>
    <row r="371" spans="1:31" ht="14.1" customHeight="1">
      <c r="A371" s="2" t="s">
        <v>1536</v>
      </c>
      <c r="B371" s="4" t="s">
        <v>2406</v>
      </c>
      <c r="C371" s="4"/>
      <c r="D371" s="4"/>
      <c r="E371" s="4"/>
      <c r="F371" s="4"/>
      <c r="G371" s="4"/>
      <c r="H371" s="710"/>
      <c r="I371" s="710"/>
      <c r="J371" s="710"/>
      <c r="K371" s="79"/>
      <c r="L371" s="79"/>
      <c r="M371" s="79"/>
      <c r="N371" s="294" t="str">
        <f>IF('Part VIII Scoring Criteria OLD'!$P$48="yes","Applicant has applied for CHDO Setaside.","Applicant has NOT applied for CHDO Setaside.")</f>
        <v>Applicant has NOT applied for CHDO Setaside.</v>
      </c>
      <c r="O371" s="68" t="s">
        <v>1397</v>
      </c>
      <c r="P371" s="4145"/>
      <c r="Q371" s="4146"/>
      <c r="R371" s="79"/>
      <c r="S371" s="79"/>
      <c r="T371" s="79"/>
      <c r="U371" s="79"/>
      <c r="V371" s="79"/>
      <c r="W371" s="79"/>
      <c r="X371" s="79"/>
      <c r="Y371" s="79"/>
      <c r="Z371" s="79"/>
      <c r="AA371" s="79"/>
      <c r="AB371" s="79"/>
      <c r="AC371" s="79"/>
      <c r="AD371" s="79"/>
      <c r="AE371" s="79"/>
    </row>
    <row r="372" spans="1:31" ht="11.65" customHeight="1">
      <c r="A372" s="24" t="s">
        <v>194</v>
      </c>
      <c r="B372" s="15" t="s">
        <v>2407</v>
      </c>
      <c r="C372" s="79"/>
      <c r="D372" s="79"/>
      <c r="E372" s="4160"/>
      <c r="F372" s="4161"/>
      <c r="G372" s="4161"/>
      <c r="H372" s="4161"/>
      <c r="I372" s="4195"/>
      <c r="J372" s="4196" t="s">
        <v>2408</v>
      </c>
      <c r="K372" s="4197"/>
      <c r="L372" s="4198"/>
      <c r="M372" s="4160"/>
      <c r="N372" s="4161"/>
      <c r="O372" s="4161"/>
      <c r="P372" s="4161"/>
      <c r="Q372" s="4195"/>
      <c r="R372" s="79"/>
      <c r="S372" s="79"/>
      <c r="T372" s="79"/>
      <c r="U372" s="79"/>
      <c r="V372" s="79"/>
      <c r="W372" s="79"/>
      <c r="X372" s="79"/>
      <c r="Y372" s="79"/>
      <c r="Z372" s="79"/>
      <c r="AA372" s="79"/>
      <c r="AB372" s="79"/>
      <c r="AC372" s="79"/>
      <c r="AD372" s="79"/>
      <c r="AE372" s="79"/>
    </row>
    <row r="373" spans="1:31" s="69" customFormat="1" ht="22.5" customHeight="1">
      <c r="A373" s="77" t="s">
        <v>206</v>
      </c>
      <c r="B373" s="4142" t="s">
        <v>2409</v>
      </c>
      <c r="C373" s="4142"/>
      <c r="D373" s="4142"/>
      <c r="E373" s="4142"/>
      <c r="F373" s="4142"/>
      <c r="G373" s="4142"/>
      <c r="H373" s="4142"/>
      <c r="I373" s="4142"/>
      <c r="J373" s="4142"/>
      <c r="K373" s="4142"/>
      <c r="L373" s="4142"/>
      <c r="M373" s="4142"/>
      <c r="N373" s="4142"/>
      <c r="O373" s="88" t="s">
        <v>206</v>
      </c>
      <c r="P373" s="323"/>
      <c r="Q373" s="317"/>
      <c r="R373" s="239"/>
      <c r="S373" s="239"/>
      <c r="T373" s="239"/>
      <c r="U373" s="239"/>
      <c r="V373" s="239"/>
      <c r="W373" s="239"/>
      <c r="X373" s="239"/>
      <c r="Y373" s="239"/>
      <c r="Z373" s="239"/>
      <c r="AA373" s="239"/>
      <c r="AB373" s="239"/>
      <c r="AC373" s="239"/>
      <c r="AD373" s="239"/>
      <c r="AE373" s="239"/>
    </row>
    <row r="374" spans="1:31">
      <c r="A374" s="77" t="s">
        <v>227</v>
      </c>
      <c r="B374" s="27" t="s">
        <v>2410</v>
      </c>
      <c r="C374" s="79"/>
      <c r="D374" s="79"/>
      <c r="E374" s="79"/>
      <c r="F374" s="79"/>
      <c r="G374" s="712"/>
      <c r="H374" s="712"/>
      <c r="I374" s="712"/>
      <c r="J374" s="18" t="s">
        <v>2411</v>
      </c>
      <c r="K374" s="79"/>
      <c r="L374" s="712"/>
      <c r="M374" s="4199">
        <f>'Part II-Sources of Funds'!I6</f>
        <v>0</v>
      </c>
      <c r="N374" s="4200"/>
      <c r="O374" s="88" t="s">
        <v>227</v>
      </c>
      <c r="P374" s="124"/>
      <c r="Q374" s="316"/>
      <c r="R374" s="79"/>
      <c r="S374" s="79"/>
      <c r="T374" s="79"/>
      <c r="U374" s="79"/>
      <c r="V374" s="79"/>
      <c r="W374" s="79"/>
      <c r="X374" s="79"/>
      <c r="Y374" s="79"/>
      <c r="Z374" s="79"/>
      <c r="AA374" s="79"/>
      <c r="AB374" s="79"/>
      <c r="AC374" s="79"/>
      <c r="AD374" s="79"/>
      <c r="AE374" s="79"/>
    </row>
    <row r="375" spans="1:31" ht="11.25" customHeight="1">
      <c r="A375" s="79"/>
      <c r="B375" s="76" t="s">
        <v>1403</v>
      </c>
      <c r="C375" s="79"/>
      <c r="D375" s="76"/>
      <c r="E375" s="76"/>
      <c r="F375" s="76"/>
      <c r="G375" s="76"/>
      <c r="H375" s="18"/>
      <c r="I375" s="714"/>
      <c r="J375" s="714"/>
      <c r="K375" s="714"/>
      <c r="L375" s="542"/>
      <c r="M375" s="542"/>
      <c r="N375" s="542"/>
      <c r="O375" s="542"/>
      <c r="P375" s="542"/>
      <c r="Q375" s="542"/>
      <c r="R375" s="79"/>
      <c r="S375" s="79"/>
      <c r="T375" s="79"/>
      <c r="U375" s="79"/>
      <c r="V375" s="79"/>
      <c r="W375" s="79"/>
      <c r="X375" s="79"/>
      <c r="Y375" s="79"/>
      <c r="Z375" s="79"/>
      <c r="AA375" s="79"/>
      <c r="AB375" s="79"/>
      <c r="AC375" s="79"/>
      <c r="AD375" s="79"/>
      <c r="AE375" s="79"/>
    </row>
    <row r="376" spans="1:31" ht="11.65" customHeight="1">
      <c r="A376" s="4153"/>
      <c r="B376" s="4154"/>
      <c r="C376" s="4154"/>
      <c r="D376" s="4154"/>
      <c r="E376" s="4154"/>
      <c r="F376" s="4154"/>
      <c r="G376" s="4154"/>
      <c r="H376" s="4154"/>
      <c r="I376" s="4154"/>
      <c r="J376" s="4154"/>
      <c r="K376" s="4154"/>
      <c r="L376" s="4154"/>
      <c r="M376" s="4154"/>
      <c r="N376" s="4154"/>
      <c r="O376" s="4154"/>
      <c r="P376" s="4154"/>
      <c r="Q376" s="4155"/>
      <c r="R376" s="79"/>
      <c r="S376" s="79"/>
      <c r="T376" s="79"/>
      <c r="U376" s="71"/>
      <c r="V376" s="71"/>
      <c r="W376" s="71"/>
      <c r="X376" s="71"/>
      <c r="Y376" s="71"/>
      <c r="Z376" s="71"/>
      <c r="AA376" s="71"/>
      <c r="AB376" s="71"/>
      <c r="AC376" s="71"/>
      <c r="AD376" s="71"/>
      <c r="AE376" s="71"/>
    </row>
    <row r="377" spans="1:31" ht="11.25" customHeight="1">
      <c r="A377" s="79"/>
      <c r="B377" s="72" t="s">
        <v>1399</v>
      </c>
      <c r="C377" s="73"/>
      <c r="D377" s="710"/>
      <c r="E377" s="710"/>
      <c r="F377" s="710"/>
      <c r="G377" s="710"/>
      <c r="H377" s="710"/>
      <c r="I377" s="710"/>
      <c r="J377" s="710"/>
      <c r="K377" s="710"/>
      <c r="L377" s="710"/>
      <c r="M377" s="710"/>
      <c r="N377" s="710"/>
      <c r="O377" s="710"/>
      <c r="P377" s="710"/>
      <c r="Q377" s="710"/>
      <c r="R377" s="79"/>
      <c r="S377" s="79"/>
      <c r="T377" s="79"/>
      <c r="U377" s="79"/>
      <c r="V377" s="79"/>
      <c r="W377" s="79"/>
      <c r="X377" s="79"/>
      <c r="Y377" s="79"/>
      <c r="Z377" s="79"/>
      <c r="AA377" s="79"/>
      <c r="AB377" s="79"/>
      <c r="AC377" s="79"/>
      <c r="AD377" s="79"/>
      <c r="AE377" s="79"/>
    </row>
    <row r="378" spans="1:31" ht="11.65" customHeight="1">
      <c r="A378" s="4150"/>
      <c r="B378" s="4151"/>
      <c r="C378" s="4151"/>
      <c r="D378" s="4151"/>
      <c r="E378" s="4151"/>
      <c r="F378" s="4151"/>
      <c r="G378" s="4151"/>
      <c r="H378" s="4151"/>
      <c r="I378" s="4151"/>
      <c r="J378" s="4151"/>
      <c r="K378" s="4151"/>
      <c r="L378" s="4151"/>
      <c r="M378" s="4151"/>
      <c r="N378" s="4151"/>
      <c r="O378" s="4151"/>
      <c r="P378" s="4151"/>
      <c r="Q378" s="4152"/>
      <c r="R378" s="79"/>
      <c r="S378" s="79"/>
      <c r="T378" s="79"/>
      <c r="U378" s="79"/>
      <c r="V378" s="79"/>
      <c r="W378" s="79"/>
      <c r="X378" s="79"/>
      <c r="Y378" s="79"/>
      <c r="Z378" s="79"/>
      <c r="AA378" s="79"/>
      <c r="AB378" s="79"/>
      <c r="AC378" s="79"/>
      <c r="AD378" s="79"/>
      <c r="AE378" s="79"/>
    </row>
    <row r="379" spans="1:31" ht="3.6" customHeight="1">
      <c r="A379" s="542"/>
      <c r="B379" s="714"/>
      <c r="C379" s="710"/>
      <c r="D379" s="710"/>
      <c r="E379" s="710"/>
      <c r="F379" s="710"/>
      <c r="G379" s="710"/>
      <c r="H379" s="710"/>
      <c r="I379" s="710"/>
      <c r="J379" s="710"/>
      <c r="K379" s="710"/>
      <c r="L379" s="710"/>
      <c r="M379" s="710"/>
      <c r="N379" s="79"/>
      <c r="O379" s="79"/>
      <c r="P379" s="79"/>
      <c r="Q379" s="542"/>
      <c r="R379" s="79"/>
      <c r="S379" s="79"/>
      <c r="T379" s="79"/>
      <c r="U379" s="79"/>
      <c r="V379" s="79"/>
      <c r="W379" s="79"/>
      <c r="X379" s="79"/>
      <c r="Y379" s="79"/>
      <c r="Z379" s="79"/>
      <c r="AA379" s="79"/>
      <c r="AB379" s="79"/>
      <c r="AC379" s="79"/>
      <c r="AD379" s="79"/>
      <c r="AE379" s="79"/>
    </row>
    <row r="380" spans="1:31" ht="14.1" customHeight="1">
      <c r="A380" s="2" t="s">
        <v>1543</v>
      </c>
      <c r="B380" s="4" t="s">
        <v>1530</v>
      </c>
      <c r="C380" s="4"/>
      <c r="D380" s="4"/>
      <c r="E380" s="710"/>
      <c r="F380" s="79"/>
      <c r="G380" s="75" t="s">
        <v>1531</v>
      </c>
      <c r="H380" s="710"/>
      <c r="I380" s="710"/>
      <c r="J380" s="710"/>
      <c r="K380" s="710"/>
      <c r="L380" s="710"/>
      <c r="M380" s="710"/>
      <c r="N380" s="79"/>
      <c r="O380" s="68" t="s">
        <v>1397</v>
      </c>
      <c r="P380" s="4145"/>
      <c r="Q380" s="4191"/>
      <c r="R380" s="79"/>
      <c r="S380" s="79"/>
      <c r="T380" s="79"/>
      <c r="U380" s="79"/>
      <c r="V380" s="79"/>
      <c r="W380" s="79"/>
      <c r="X380" s="79"/>
      <c r="Y380" s="79"/>
      <c r="Z380" s="79"/>
      <c r="AA380" s="79"/>
      <c r="AB380" s="79"/>
      <c r="AC380" s="79"/>
      <c r="AD380" s="79"/>
      <c r="AE380" s="79"/>
    </row>
    <row r="381" spans="1:31" ht="12" customHeight="1">
      <c r="A381" s="24" t="s">
        <v>194</v>
      </c>
      <c r="B381" s="15" t="s">
        <v>1532</v>
      </c>
      <c r="C381" s="79"/>
      <c r="D381" s="348"/>
      <c r="E381" s="348"/>
      <c r="F381" s="79"/>
      <c r="G381" s="79"/>
      <c r="H381" s="79"/>
      <c r="I381" s="79"/>
      <c r="J381" s="79"/>
      <c r="K381" s="79"/>
      <c r="L381" s="79"/>
      <c r="M381" s="79"/>
      <c r="N381" s="79"/>
      <c r="O381" s="30" t="s">
        <v>194</v>
      </c>
      <c r="P381" s="1033"/>
      <c r="Q381" s="1034"/>
      <c r="R381" s="79"/>
      <c r="S381" s="79"/>
      <c r="T381" s="79"/>
      <c r="U381" s="79"/>
      <c r="V381" s="79"/>
      <c r="W381" s="79"/>
      <c r="X381" s="79"/>
      <c r="Y381" s="79"/>
      <c r="Z381" s="79"/>
      <c r="AA381" s="79"/>
      <c r="AB381" s="79"/>
      <c r="AC381" s="79"/>
      <c r="AD381" s="79"/>
      <c r="AE381" s="79"/>
    </row>
    <row r="382" spans="1:31" ht="12" customHeight="1">
      <c r="A382" s="24" t="s">
        <v>206</v>
      </c>
      <c r="B382" s="15" t="s">
        <v>1533</v>
      </c>
      <c r="C382" s="79"/>
      <c r="D382" s="348"/>
      <c r="E382" s="348"/>
      <c r="F382" s="79"/>
      <c r="G382" s="79"/>
      <c r="H382" s="79"/>
      <c r="I382" s="79"/>
      <c r="J382" s="79"/>
      <c r="K382" s="79"/>
      <c r="L382" s="79"/>
      <c r="M382" s="79"/>
      <c r="N382" s="79"/>
      <c r="O382" s="30" t="s">
        <v>206</v>
      </c>
      <c r="P382" s="211"/>
      <c r="Q382" s="315"/>
      <c r="R382" s="79"/>
      <c r="S382" s="79"/>
      <c r="T382" s="79"/>
      <c r="U382" s="79"/>
      <c r="V382" s="79"/>
      <c r="W382" s="79"/>
      <c r="X382" s="79"/>
      <c r="Y382" s="79"/>
      <c r="Z382" s="79"/>
      <c r="AA382" s="79"/>
      <c r="AB382" s="79"/>
      <c r="AC382" s="79"/>
      <c r="AD382" s="79"/>
      <c r="AE382" s="79"/>
    </row>
    <row r="383" spans="1:31" ht="12" customHeight="1">
      <c r="A383" s="24" t="s">
        <v>227</v>
      </c>
      <c r="B383" s="15" t="s">
        <v>1534</v>
      </c>
      <c r="C383" s="79"/>
      <c r="D383" s="348"/>
      <c r="E383" s="348"/>
      <c r="F383" s="79"/>
      <c r="G383" s="79"/>
      <c r="H383" s="79"/>
      <c r="I383" s="79"/>
      <c r="J383" s="79"/>
      <c r="K383" s="79"/>
      <c r="L383" s="79"/>
      <c r="M383" s="79"/>
      <c r="N383" s="79"/>
      <c r="O383" s="30" t="s">
        <v>227</v>
      </c>
      <c r="P383" s="211"/>
      <c r="Q383" s="315"/>
      <c r="R383" s="79"/>
      <c r="S383" s="79"/>
      <c r="T383" s="79"/>
      <c r="U383" s="79"/>
      <c r="V383" s="79"/>
      <c r="W383" s="79"/>
      <c r="X383" s="79"/>
      <c r="Y383" s="79"/>
      <c r="Z383" s="79"/>
      <c r="AA383" s="79"/>
      <c r="AB383" s="79"/>
      <c r="AC383" s="79"/>
      <c r="AD383" s="79"/>
      <c r="AE383" s="79"/>
    </row>
    <row r="384" spans="1:31" ht="12" customHeight="1">
      <c r="A384" s="24" t="s">
        <v>229</v>
      </c>
      <c r="B384" s="15" t="s">
        <v>1535</v>
      </c>
      <c r="C384" s="79"/>
      <c r="D384" s="79"/>
      <c r="E384" s="75"/>
      <c r="F384" s="79"/>
      <c r="G384" s="79"/>
      <c r="H384" s="79"/>
      <c r="I384" s="79"/>
      <c r="J384" s="79"/>
      <c r="K384" s="79"/>
      <c r="L384" s="79"/>
      <c r="M384" s="79"/>
      <c r="N384" s="79"/>
      <c r="O384" s="30" t="s">
        <v>229</v>
      </c>
      <c r="P384" s="211"/>
      <c r="Q384" s="315"/>
      <c r="R384" s="79"/>
      <c r="S384" s="79"/>
      <c r="T384" s="79"/>
      <c r="U384" s="79"/>
      <c r="V384" s="79"/>
      <c r="W384" s="79"/>
      <c r="X384" s="79"/>
      <c r="Y384" s="79"/>
      <c r="Z384" s="79"/>
      <c r="AA384" s="79"/>
      <c r="AB384" s="79"/>
      <c r="AC384" s="79"/>
      <c r="AD384" s="79"/>
      <c r="AE384" s="79"/>
    </row>
    <row r="385" spans="1:31" ht="12" customHeight="1">
      <c r="A385" s="24" t="s">
        <v>236</v>
      </c>
      <c r="B385" s="15" t="s">
        <v>2412</v>
      </c>
      <c r="C385" s="79"/>
      <c r="D385" s="79"/>
      <c r="E385" s="75"/>
      <c r="F385" s="79"/>
      <c r="G385" s="30" t="s">
        <v>236</v>
      </c>
      <c r="H385" s="4156"/>
      <c r="I385" s="4157"/>
      <c r="J385" s="4157"/>
      <c r="K385" s="4157"/>
      <c r="L385" s="4157"/>
      <c r="M385" s="4157"/>
      <c r="N385" s="4157"/>
      <c r="O385" s="4158"/>
      <c r="P385" s="124"/>
      <c r="Q385" s="316"/>
      <c r="R385" s="79"/>
      <c r="S385" s="79"/>
      <c r="T385" s="79"/>
      <c r="U385" s="79"/>
      <c r="V385" s="79"/>
      <c r="W385" s="79"/>
      <c r="X385" s="79"/>
      <c r="Y385" s="79"/>
      <c r="Z385" s="79"/>
      <c r="AA385" s="79"/>
      <c r="AB385" s="79"/>
      <c r="AC385" s="79"/>
      <c r="AD385" s="79"/>
      <c r="AE385" s="79"/>
    </row>
    <row r="386" spans="1:31" ht="11.25" customHeight="1">
      <c r="A386" s="79"/>
      <c r="B386" s="76" t="s">
        <v>1403</v>
      </c>
      <c r="C386" s="79"/>
      <c r="D386" s="76"/>
      <c r="E386" s="76"/>
      <c r="F386" s="76"/>
      <c r="G386" s="76"/>
      <c r="H386" s="18"/>
      <c r="I386" s="714"/>
      <c r="J386" s="714"/>
      <c r="K386" s="714"/>
      <c r="L386" s="542"/>
      <c r="M386" s="542"/>
      <c r="N386" s="542"/>
      <c r="O386" s="542"/>
      <c r="P386" s="542"/>
      <c r="Q386" s="542"/>
      <c r="R386" s="79"/>
      <c r="S386" s="79"/>
      <c r="T386" s="79"/>
      <c r="U386" s="79"/>
      <c r="V386" s="79"/>
      <c r="W386" s="79"/>
      <c r="X386" s="79"/>
      <c r="Y386" s="79"/>
      <c r="Z386" s="79"/>
      <c r="AA386" s="79"/>
      <c r="AB386" s="79"/>
      <c r="AC386" s="79"/>
      <c r="AD386" s="79"/>
      <c r="AE386" s="79"/>
    </row>
    <row r="387" spans="1:31" ht="11.65" customHeight="1">
      <c r="A387" s="4153"/>
      <c r="B387" s="4154"/>
      <c r="C387" s="4154"/>
      <c r="D387" s="4154"/>
      <c r="E387" s="4154"/>
      <c r="F387" s="4154"/>
      <c r="G387" s="4154"/>
      <c r="H387" s="4154"/>
      <c r="I387" s="4154"/>
      <c r="J387" s="4154"/>
      <c r="K387" s="4154"/>
      <c r="L387" s="4154"/>
      <c r="M387" s="4154"/>
      <c r="N387" s="4154"/>
      <c r="O387" s="4154"/>
      <c r="P387" s="4154"/>
      <c r="Q387" s="4155"/>
      <c r="R387" s="79"/>
      <c r="S387" s="79"/>
      <c r="T387" s="79"/>
      <c r="U387" s="71"/>
      <c r="V387" s="71"/>
      <c r="W387" s="71"/>
      <c r="X387" s="71"/>
      <c r="Y387" s="71"/>
      <c r="Z387" s="71"/>
      <c r="AA387" s="71"/>
      <c r="AB387" s="71"/>
      <c r="AC387" s="71"/>
      <c r="AD387" s="71"/>
      <c r="AE387" s="71"/>
    </row>
    <row r="388" spans="1:31" ht="11.25" customHeight="1">
      <c r="A388" s="79"/>
      <c r="B388" s="72" t="s">
        <v>1399</v>
      </c>
      <c r="C388" s="73"/>
      <c r="D388" s="710"/>
      <c r="E388" s="710"/>
      <c r="F388" s="710"/>
      <c r="G388" s="710"/>
      <c r="H388" s="710"/>
      <c r="I388" s="710"/>
      <c r="J388" s="710"/>
      <c r="K388" s="710"/>
      <c r="L388" s="710"/>
      <c r="M388" s="710"/>
      <c r="N388" s="710"/>
      <c r="O388" s="710"/>
      <c r="P388" s="710"/>
      <c r="Q388" s="710"/>
      <c r="R388" s="79"/>
      <c r="S388" s="79"/>
      <c r="T388" s="79"/>
      <c r="U388" s="79"/>
      <c r="V388" s="79"/>
      <c r="W388" s="79"/>
      <c r="X388" s="79"/>
      <c r="Y388" s="79"/>
      <c r="Z388" s="79"/>
      <c r="AA388" s="79"/>
      <c r="AB388" s="79"/>
      <c r="AC388" s="79"/>
      <c r="AD388" s="79"/>
      <c r="AE388" s="79"/>
    </row>
    <row r="389" spans="1:31" ht="11.65" customHeight="1">
      <c r="A389" s="4150"/>
      <c r="B389" s="4151"/>
      <c r="C389" s="4151"/>
      <c r="D389" s="4151"/>
      <c r="E389" s="4151"/>
      <c r="F389" s="4151"/>
      <c r="G389" s="4151"/>
      <c r="H389" s="4151"/>
      <c r="I389" s="4151"/>
      <c r="J389" s="4151"/>
      <c r="K389" s="4151"/>
      <c r="L389" s="4151"/>
      <c r="M389" s="4151"/>
      <c r="N389" s="4151"/>
      <c r="O389" s="4151"/>
      <c r="P389" s="4151"/>
      <c r="Q389" s="4152"/>
      <c r="R389" s="79"/>
      <c r="S389" s="79"/>
      <c r="T389" s="79"/>
      <c r="U389" s="79"/>
      <c r="V389" s="79"/>
      <c r="W389" s="79"/>
      <c r="X389" s="79"/>
      <c r="Y389" s="79"/>
      <c r="Z389" s="79"/>
      <c r="AA389" s="79"/>
      <c r="AB389" s="79"/>
      <c r="AC389" s="79"/>
      <c r="AD389" s="79"/>
      <c r="AE389" s="79"/>
    </row>
    <row r="390" spans="1:31" ht="3" customHeight="1">
      <c r="A390" s="542"/>
      <c r="B390" s="714"/>
      <c r="C390" s="710"/>
      <c r="D390" s="710"/>
      <c r="E390" s="710"/>
      <c r="F390" s="710"/>
      <c r="G390" s="710"/>
      <c r="H390" s="710"/>
      <c r="I390" s="710"/>
      <c r="J390" s="710"/>
      <c r="K390" s="710"/>
      <c r="L390" s="710"/>
      <c r="M390" s="710"/>
      <c r="N390" s="710"/>
      <c r="O390" s="710"/>
      <c r="P390" s="710"/>
      <c r="Q390" s="542"/>
      <c r="R390" s="79"/>
      <c r="S390" s="79"/>
      <c r="T390" s="79"/>
      <c r="U390" s="79"/>
      <c r="V390" s="79"/>
      <c r="W390" s="79"/>
      <c r="X390" s="79"/>
      <c r="Y390" s="79"/>
      <c r="Z390" s="79"/>
      <c r="AA390" s="79"/>
      <c r="AB390" s="79"/>
      <c r="AC390" s="79"/>
      <c r="AD390" s="79"/>
      <c r="AE390" s="79"/>
    </row>
    <row r="391" spans="1:31" ht="14.1" customHeight="1">
      <c r="A391" s="2" t="s">
        <v>1556</v>
      </c>
      <c r="B391" s="4" t="s">
        <v>1537</v>
      </c>
      <c r="C391" s="4"/>
      <c r="D391" s="4"/>
      <c r="E391" s="4"/>
      <c r="F391" s="4"/>
      <c r="G391" s="4"/>
      <c r="H391" s="710"/>
      <c r="I391" s="710"/>
      <c r="J391" s="710"/>
      <c r="K391" s="710"/>
      <c r="L391" s="710"/>
      <c r="M391" s="710"/>
      <c r="N391" s="79"/>
      <c r="O391" s="68" t="s">
        <v>1397</v>
      </c>
      <c r="P391" s="4145"/>
      <c r="Q391" s="4146"/>
      <c r="R391" s="79"/>
      <c r="S391" s="79"/>
      <c r="T391" s="79"/>
      <c r="U391" s="79"/>
      <c r="V391" s="79"/>
      <c r="W391" s="79"/>
      <c r="X391" s="79"/>
      <c r="Y391" s="79"/>
      <c r="Z391" s="79"/>
      <c r="AA391" s="79"/>
      <c r="AB391" s="79"/>
      <c r="AC391" s="79"/>
      <c r="AD391" s="79"/>
      <c r="AE391" s="79"/>
    </row>
    <row r="392" spans="1:31" ht="12" customHeight="1">
      <c r="A392" s="79"/>
      <c r="B392" s="27" t="s">
        <v>1538</v>
      </c>
      <c r="C392" s="79"/>
      <c r="D392" s="79"/>
      <c r="E392" s="79"/>
      <c r="F392" s="79"/>
      <c r="G392" s="79"/>
      <c r="H392" s="79"/>
      <c r="I392" s="79"/>
      <c r="J392" s="79"/>
      <c r="K392" s="79"/>
      <c r="L392" s="79"/>
      <c r="M392" s="79"/>
      <c r="N392" s="79"/>
      <c r="O392" s="30"/>
      <c r="P392" s="276"/>
      <c r="Q392" s="314"/>
      <c r="R392" s="79"/>
      <c r="S392" s="79"/>
      <c r="T392" s="79"/>
      <c r="U392" s="79"/>
      <c r="V392" s="79"/>
      <c r="W392" s="79"/>
      <c r="X392" s="79"/>
      <c r="Y392" s="79"/>
      <c r="Z392" s="79"/>
      <c r="AA392" s="79"/>
      <c r="AB392" s="79"/>
      <c r="AC392" s="79"/>
      <c r="AD392" s="79"/>
      <c r="AE392" s="79"/>
    </row>
    <row r="393" spans="1:31" ht="12" customHeight="1">
      <c r="A393" s="24" t="s">
        <v>194</v>
      </c>
      <c r="B393" s="40" t="s">
        <v>1539</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61" t="s">
        <v>209</v>
      </c>
      <c r="C394" s="27" t="s">
        <v>1540</v>
      </c>
      <c r="D394" s="45"/>
      <c r="E394" s="45"/>
      <c r="F394" s="45"/>
      <c r="G394" s="45"/>
      <c r="H394" s="45"/>
      <c r="I394" s="45"/>
      <c r="J394" s="45"/>
      <c r="K394" s="45"/>
      <c r="L394" s="45"/>
      <c r="M394" s="45"/>
      <c r="N394" s="45"/>
      <c r="O394" s="30">
        <v>1</v>
      </c>
      <c r="P394" s="2944"/>
      <c r="Q394" s="2943"/>
      <c r="R394" s="79"/>
      <c r="S394" s="79"/>
      <c r="T394" s="79"/>
      <c r="U394" s="79"/>
      <c r="V394" s="79"/>
      <c r="W394" s="79"/>
      <c r="X394" s="79"/>
      <c r="Y394" s="79"/>
      <c r="Z394" s="79"/>
      <c r="AA394" s="79"/>
      <c r="AB394" s="79"/>
      <c r="AC394" s="79"/>
      <c r="AD394" s="79"/>
      <c r="AE394" s="79"/>
    </row>
    <row r="395" spans="1:31" ht="12" customHeight="1">
      <c r="A395" s="79"/>
      <c r="B395" s="15"/>
      <c r="C395" s="15" t="s">
        <v>2413</v>
      </c>
      <c r="D395" s="27" t="s">
        <v>1541</v>
      </c>
      <c r="E395" s="45"/>
      <c r="F395" s="45"/>
      <c r="G395" s="45"/>
      <c r="H395" s="45"/>
      <c r="I395" s="45"/>
      <c r="J395" s="45"/>
      <c r="K395" s="45"/>
      <c r="L395" s="45"/>
      <c r="M395" s="45"/>
      <c r="N395" s="45"/>
      <c r="O395" s="30" t="s">
        <v>2413</v>
      </c>
      <c r="P395" s="4232"/>
      <c r="Q395" s="4230"/>
      <c r="R395" s="79"/>
      <c r="S395" s="79"/>
      <c r="T395" s="79"/>
      <c r="U395" s="79"/>
      <c r="V395" s="79"/>
      <c r="W395" s="79"/>
      <c r="X395" s="79"/>
      <c r="Y395" s="79"/>
      <c r="Z395" s="79"/>
      <c r="AA395" s="79"/>
      <c r="AB395" s="79"/>
      <c r="AC395" s="79"/>
      <c r="AD395" s="79"/>
      <c r="AE395" s="79"/>
    </row>
    <row r="396" spans="1:31" ht="12" customHeight="1">
      <c r="A396" s="24"/>
      <c r="B396" s="79"/>
      <c r="C396" s="79"/>
      <c r="D396" s="15" t="s">
        <v>2414</v>
      </c>
      <c r="E396" s="15"/>
      <c r="F396" s="15"/>
      <c r="G396" s="15"/>
      <c r="H396" s="15"/>
      <c r="I396" s="15"/>
      <c r="J396" s="15"/>
      <c r="K396" s="15"/>
      <c r="L396" s="15"/>
      <c r="M396" s="15"/>
      <c r="N396" s="45"/>
      <c r="O396" s="2792"/>
      <c r="P396" s="4233"/>
      <c r="Q396" s="4231"/>
      <c r="R396" s="79"/>
      <c r="S396" s="79"/>
      <c r="T396" s="79"/>
      <c r="U396" s="79"/>
      <c r="V396" s="79"/>
      <c r="W396" s="79"/>
      <c r="X396" s="79"/>
      <c r="Y396" s="79"/>
      <c r="Z396" s="79"/>
      <c r="AA396" s="79"/>
      <c r="AB396" s="79"/>
      <c r="AC396" s="79"/>
      <c r="AD396" s="79"/>
      <c r="AE396" s="79"/>
    </row>
    <row r="397" spans="1:31" ht="12" customHeight="1">
      <c r="A397" s="79"/>
      <c r="B397" s="79"/>
      <c r="C397" s="15" t="s">
        <v>2220</v>
      </c>
      <c r="D397" s="15" t="s">
        <v>2415</v>
      </c>
      <c r="E397" s="15"/>
      <c r="F397" s="15"/>
      <c r="G397" s="15"/>
      <c r="H397" s="15"/>
      <c r="I397" s="15"/>
      <c r="J397" s="15"/>
      <c r="K397" s="15"/>
      <c r="L397" s="15"/>
      <c r="M397" s="15"/>
      <c r="N397" s="45"/>
      <c r="O397" s="30" t="s">
        <v>2220</v>
      </c>
      <c r="P397" s="632"/>
      <c r="Q397" s="568"/>
      <c r="R397" s="79"/>
      <c r="S397" s="79"/>
      <c r="T397" s="79"/>
      <c r="U397" s="79"/>
      <c r="V397" s="79"/>
      <c r="W397" s="79"/>
      <c r="X397" s="79"/>
      <c r="Y397" s="79"/>
      <c r="Z397" s="79"/>
      <c r="AA397" s="79"/>
      <c r="AB397" s="79"/>
      <c r="AC397" s="79"/>
      <c r="AD397" s="79"/>
      <c r="AE397" s="79"/>
    </row>
    <row r="398" spans="1:31" s="79" customFormat="1" ht="12" customHeight="1">
      <c r="A398" s="24"/>
      <c r="C398" s="15" t="s">
        <v>2416</v>
      </c>
      <c r="D398" s="15" t="s">
        <v>2417</v>
      </c>
      <c r="E398" s="15"/>
      <c r="F398" s="15"/>
      <c r="G398" s="15"/>
      <c r="H398" s="15"/>
      <c r="I398" s="15"/>
      <c r="J398" s="15"/>
      <c r="K398" s="15"/>
      <c r="L398" s="15"/>
      <c r="M398" s="15"/>
      <c r="N398" s="45"/>
      <c r="O398" s="30" t="s">
        <v>2418</v>
      </c>
      <c r="P398" s="1449"/>
      <c r="Q398" s="543"/>
    </row>
    <row r="399" spans="1:31" ht="12" customHeight="1">
      <c r="A399" s="24"/>
      <c r="B399" s="1061" t="s">
        <v>217</v>
      </c>
      <c r="C399" s="15" t="s">
        <v>2419</v>
      </c>
      <c r="D399" s="79"/>
      <c r="E399" s="15"/>
      <c r="F399" s="15"/>
      <c r="G399" s="15"/>
      <c r="H399" s="15"/>
      <c r="I399" s="15"/>
      <c r="J399" s="15"/>
      <c r="K399" s="15"/>
      <c r="L399" s="15"/>
      <c r="M399" s="15"/>
      <c r="N399" s="15"/>
      <c r="O399" s="30">
        <v>2</v>
      </c>
      <c r="P399" s="276"/>
      <c r="Q399" s="314"/>
      <c r="R399" s="79"/>
      <c r="S399" s="79"/>
      <c r="T399" s="79"/>
      <c r="U399" s="79"/>
      <c r="V399" s="79"/>
      <c r="W399" s="79"/>
      <c r="X399" s="79"/>
      <c r="Y399" s="79"/>
      <c r="Z399" s="79"/>
      <c r="AA399" s="79"/>
      <c r="AB399" s="79"/>
      <c r="AC399" s="79"/>
      <c r="AD399" s="79"/>
      <c r="AE399" s="79"/>
    </row>
    <row r="400" spans="1:31" ht="12" customHeight="1">
      <c r="A400" s="24"/>
      <c r="B400" s="1061" t="s">
        <v>221</v>
      </c>
      <c r="C400" s="4142" t="s">
        <v>2420</v>
      </c>
      <c r="D400" s="4142"/>
      <c r="E400" s="4142"/>
      <c r="F400" s="4142"/>
      <c r="G400" s="15" t="s">
        <v>2421</v>
      </c>
      <c r="H400" s="79"/>
      <c r="I400" s="79"/>
      <c r="J400" s="2840"/>
      <c r="K400" s="2841"/>
      <c r="L400" s="79"/>
      <c r="M400" s="15" t="s">
        <v>2422</v>
      </c>
      <c r="N400" s="79"/>
      <c r="O400" s="79"/>
      <c r="P400" s="1450"/>
      <c r="Q400" s="1451"/>
      <c r="R400" s="79"/>
      <c r="S400" s="79"/>
      <c r="T400" s="79"/>
      <c r="U400" s="79"/>
      <c r="V400" s="79"/>
      <c r="W400" s="79"/>
      <c r="X400" s="79"/>
      <c r="Y400" s="79"/>
      <c r="Z400" s="79"/>
      <c r="AA400" s="79"/>
      <c r="AB400" s="79"/>
      <c r="AC400" s="79"/>
      <c r="AD400" s="79"/>
      <c r="AE400" s="79"/>
    </row>
    <row r="401" spans="1:44" ht="12" customHeight="1">
      <c r="A401" s="24"/>
      <c r="B401" s="79"/>
      <c r="C401" s="4142"/>
      <c r="D401" s="4142"/>
      <c r="E401" s="4142"/>
      <c r="F401" s="4142"/>
      <c r="G401" s="15" t="s">
        <v>2423</v>
      </c>
      <c r="H401" s="79"/>
      <c r="I401" s="79"/>
      <c r="J401" s="567"/>
      <c r="K401" s="319"/>
      <c r="L401" s="79"/>
      <c r="M401" s="15" t="s">
        <v>2424</v>
      </c>
      <c r="N401" s="79"/>
      <c r="O401" s="79"/>
      <c r="P401" s="567"/>
      <c r="Q401" s="319"/>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142"/>
      <c r="D402" s="4142"/>
      <c r="E402" s="4142"/>
      <c r="F402" s="4142"/>
      <c r="G402" s="79"/>
      <c r="H402" s="79"/>
      <c r="I402" s="79"/>
      <c r="J402" s="283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15"/>
      <c r="E403" s="715"/>
      <c r="F403" s="715"/>
      <c r="G403" s="715"/>
      <c r="H403" s="715"/>
      <c r="I403" s="4147" t="s">
        <v>2425</v>
      </c>
      <c r="J403" s="4147" t="s">
        <v>2426</v>
      </c>
      <c r="K403" s="4147" t="s">
        <v>2427</v>
      </c>
      <c r="L403" s="4147"/>
      <c r="M403" s="4147"/>
      <c r="N403" s="4181" t="s">
        <v>2428</v>
      </c>
      <c r="O403" s="30"/>
      <c r="P403" s="4294" t="s">
        <v>2429</v>
      </c>
      <c r="Q403" s="4294"/>
      <c r="S403" s="1144"/>
      <c r="T403" s="1144"/>
      <c r="U403" s="1144"/>
      <c r="V403" s="1144"/>
      <c r="W403" s="1144"/>
      <c r="X403" s="1144"/>
      <c r="Y403" s="1144"/>
      <c r="Z403" s="1144"/>
      <c r="AA403" s="1144"/>
      <c r="AB403" s="1144"/>
      <c r="AC403" s="1144"/>
      <c r="AD403" s="1144"/>
      <c r="AE403" s="1144"/>
      <c r="AF403" s="1144"/>
      <c r="AG403" s="1144"/>
      <c r="AH403" s="1144"/>
      <c r="AI403" s="1144"/>
      <c r="AJ403" s="1144"/>
      <c r="AK403" s="1144"/>
      <c r="AL403" s="1144"/>
      <c r="AM403" s="1144"/>
      <c r="AN403" s="1144"/>
      <c r="AO403" s="1144"/>
      <c r="AP403" s="1144"/>
      <c r="AQ403" s="1144"/>
      <c r="AR403" s="1144"/>
    </row>
    <row r="404" spans="1:44" s="45" customFormat="1" ht="12.75" customHeight="1">
      <c r="A404" s="74"/>
      <c r="B404" s="108"/>
      <c r="D404" s="715"/>
      <c r="E404" s="715"/>
      <c r="F404" s="715"/>
      <c r="G404" s="715"/>
      <c r="H404" s="715"/>
      <c r="I404" s="4260"/>
      <c r="J404" s="4147"/>
      <c r="K404" s="4147"/>
      <c r="L404" s="4147"/>
      <c r="M404" s="4147"/>
      <c r="N404" s="4182"/>
      <c r="O404" s="30"/>
      <c r="P404" s="4295"/>
      <c r="Q404" s="4295"/>
      <c r="S404" s="1144"/>
      <c r="T404" s="1144"/>
      <c r="U404" s="1144"/>
      <c r="V404" s="1144"/>
      <c r="W404" s="1144"/>
      <c r="X404" s="1144"/>
      <c r="Y404" s="1144"/>
      <c r="Z404" s="1144"/>
      <c r="AA404" s="1144"/>
      <c r="AB404" s="1144"/>
      <c r="AC404" s="1144"/>
      <c r="AD404" s="1144"/>
      <c r="AE404" s="1144"/>
      <c r="AF404" s="1144"/>
      <c r="AG404" s="1144"/>
      <c r="AH404" s="1144"/>
      <c r="AI404" s="1144"/>
      <c r="AJ404" s="1144"/>
      <c r="AK404" s="1144"/>
      <c r="AL404" s="1144"/>
      <c r="AM404" s="1144"/>
      <c r="AN404" s="1144"/>
      <c r="AO404" s="1144"/>
      <c r="AP404" s="1144"/>
      <c r="AQ404" s="1144"/>
      <c r="AR404" s="1144"/>
    </row>
    <row r="405" spans="1:44" s="45" customFormat="1" ht="12.75" customHeight="1">
      <c r="A405" s="106"/>
      <c r="B405" s="275"/>
      <c r="C405" s="4142" t="s">
        <v>2430</v>
      </c>
      <c r="D405" s="4142"/>
      <c r="E405" s="4142"/>
      <c r="F405" s="4142"/>
      <c r="G405" s="4142"/>
      <c r="H405" s="4142"/>
      <c r="I405" s="268">
        <f>K290</f>
        <v>0</v>
      </c>
      <c r="J405" s="1452"/>
      <c r="K405" s="4148"/>
      <c r="L405" s="4148"/>
      <c r="M405" s="4149"/>
      <c r="N405" s="1297">
        <f>MAX(J405,K405)</f>
        <v>0</v>
      </c>
      <c r="O405" s="30" t="s">
        <v>2431</v>
      </c>
      <c r="P405" s="276"/>
      <c r="Q405" s="314"/>
      <c r="S405" s="1144"/>
      <c r="T405" s="1144"/>
      <c r="U405" s="1144"/>
      <c r="V405" s="1144"/>
      <c r="W405" s="1144"/>
      <c r="X405" s="1144"/>
      <c r="Y405" s="1144"/>
      <c r="Z405" s="1144"/>
      <c r="AA405" s="1144"/>
      <c r="AB405" s="1144"/>
      <c r="AC405" s="1144"/>
      <c r="AD405" s="1144"/>
      <c r="AE405" s="1144"/>
      <c r="AF405" s="1144"/>
      <c r="AG405" s="1144"/>
      <c r="AH405" s="1144"/>
      <c r="AI405" s="1144"/>
      <c r="AJ405" s="1144"/>
      <c r="AK405" s="1144"/>
      <c r="AL405" s="1144"/>
      <c r="AM405" s="1144"/>
      <c r="AN405" s="1144"/>
      <c r="AO405" s="1144"/>
      <c r="AP405" s="1144"/>
      <c r="AQ405" s="1144"/>
      <c r="AR405" s="1144"/>
    </row>
    <row r="406" spans="1:44" s="99" customFormat="1" ht="12.75" customHeight="1">
      <c r="A406" s="163"/>
      <c r="B406" s="160"/>
      <c r="C406" s="4142"/>
      <c r="D406" s="4142"/>
      <c r="E406" s="4142"/>
      <c r="F406" s="4142"/>
      <c r="G406" s="4142"/>
      <c r="H406" s="4142"/>
      <c r="I406" s="162"/>
      <c r="J406" s="1453"/>
      <c r="K406" s="4183"/>
      <c r="L406" s="4183"/>
      <c r="M406" s="4184"/>
      <c r="N406" s="1297">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8"/>
      <c r="D407" s="348"/>
      <c r="E407" s="348"/>
      <c r="F407" s="348"/>
      <c r="G407" s="348"/>
      <c r="H407" s="348"/>
      <c r="I407" s="15"/>
      <c r="J407" s="15"/>
      <c r="M407" s="715"/>
      <c r="N407" s="1298"/>
      <c r="O407" s="30"/>
      <c r="S407" s="174"/>
      <c r="T407" s="174"/>
      <c r="U407" s="174"/>
      <c r="V407" s="1145"/>
      <c r="W407" s="174"/>
      <c r="X407" s="1145"/>
      <c r="Y407" s="174"/>
      <c r="Z407" s="1146" t="str">
        <f t="shared" ref="Z407:AG407" si="3">IF(AA407="","",IF(AA407&lt;AC407,"Check!!!",""))</f>
        <v/>
      </c>
      <c r="AA407" s="1146" t="str">
        <f t="shared" si="3"/>
        <v/>
      </c>
      <c r="AB407" s="1146" t="str">
        <f t="shared" si="3"/>
        <v/>
      </c>
      <c r="AC407" s="1146" t="str">
        <f t="shared" si="3"/>
        <v/>
      </c>
      <c r="AD407" s="1146" t="str">
        <f t="shared" si="3"/>
        <v/>
      </c>
      <c r="AE407" s="1146" t="str">
        <f t="shared" si="3"/>
        <v/>
      </c>
      <c r="AF407" s="1146" t="str">
        <f t="shared" si="3"/>
        <v/>
      </c>
      <c r="AG407" s="1146"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2432</v>
      </c>
      <c r="E408" s="75"/>
      <c r="F408" s="75"/>
      <c r="G408" s="75"/>
      <c r="H408" s="75"/>
      <c r="I408" s="268">
        <f>K291</f>
        <v>0</v>
      </c>
      <c r="J408" s="1452"/>
      <c r="K408" s="4148"/>
      <c r="L408" s="4148"/>
      <c r="M408" s="4149"/>
      <c r="N408" s="1297">
        <f>MAX(J408,K408)</f>
        <v>0</v>
      </c>
      <c r="O408" s="30"/>
      <c r="P408" s="725"/>
      <c r="Q408" s="1062"/>
      <c r="S408" s="1144"/>
      <c r="T408" s="1147"/>
      <c r="U408" s="1147"/>
      <c r="V408" s="1147"/>
      <c r="W408" s="1147"/>
      <c r="X408" s="1147"/>
      <c r="Y408" s="1147"/>
      <c r="Z408" s="1147"/>
      <c r="AA408" s="1147"/>
      <c r="AB408" s="1147"/>
      <c r="AC408" s="1147"/>
      <c r="AD408" s="1147"/>
      <c r="AE408" s="1147"/>
      <c r="AF408" s="1147"/>
      <c r="AG408" s="1147"/>
      <c r="AH408" s="1144"/>
      <c r="AI408" s="1144"/>
      <c r="AJ408" s="1144"/>
      <c r="AK408" s="1144"/>
      <c r="AL408" s="1144"/>
      <c r="AM408" s="1144"/>
      <c r="AN408" s="1144"/>
      <c r="AO408" s="1144"/>
      <c r="AP408" s="1144"/>
      <c r="AQ408" s="1144"/>
      <c r="AR408" s="1144"/>
    </row>
    <row r="409" spans="1:44" s="99" customFormat="1" ht="12.75" customHeight="1">
      <c r="A409" s="163"/>
      <c r="B409" s="160"/>
      <c r="C409" s="348"/>
      <c r="D409" s="75"/>
      <c r="E409" s="75"/>
      <c r="F409" s="75"/>
      <c r="G409" s="75"/>
      <c r="H409" s="75"/>
      <c r="J409" s="1453"/>
      <c r="K409" s="4183"/>
      <c r="L409" s="4183"/>
      <c r="M409" s="4184"/>
      <c r="N409" s="1297">
        <f>MAX(J409,K409)</f>
        <v>0</v>
      </c>
      <c r="O409" s="18"/>
      <c r="P409" s="18"/>
      <c r="Q409" s="18"/>
      <c r="S409" s="174"/>
      <c r="T409" s="174"/>
      <c r="U409" s="174"/>
      <c r="V409" s="1145"/>
      <c r="W409" s="1148"/>
      <c r="X409" s="1145"/>
      <c r="Y409" s="174"/>
      <c r="Z409" s="1146" t="str">
        <f t="shared" ref="Z409:AG409" si="4">IF(AA409="","",IF(AA409&lt;AC409,"Check!!!",""))</f>
        <v/>
      </c>
      <c r="AA409" s="1146" t="str">
        <f t="shared" si="4"/>
        <v/>
      </c>
      <c r="AB409" s="1146" t="str">
        <f t="shared" si="4"/>
        <v/>
      </c>
      <c r="AC409" s="1146" t="str">
        <f t="shared" si="4"/>
        <v/>
      </c>
      <c r="AD409" s="1146" t="str">
        <f t="shared" si="4"/>
        <v/>
      </c>
      <c r="AE409" s="1146" t="str">
        <f t="shared" si="4"/>
        <v/>
      </c>
      <c r="AF409" s="1146" t="str">
        <f t="shared" si="4"/>
        <v/>
      </c>
      <c r="AG409" s="1146" t="str">
        <f t="shared" si="4"/>
        <v/>
      </c>
      <c r="AH409" s="174"/>
      <c r="AI409" s="174"/>
      <c r="AJ409" s="174"/>
      <c r="AK409" s="174"/>
      <c r="AL409" s="174"/>
      <c r="AM409" s="174"/>
      <c r="AN409" s="174"/>
      <c r="AO409" s="174"/>
      <c r="AP409" s="174"/>
      <c r="AQ409" s="174"/>
      <c r="AR409" s="174"/>
    </row>
    <row r="410" spans="1:44" s="99" customFormat="1" ht="9" customHeight="1">
      <c r="A410" s="163"/>
      <c r="B410" s="160"/>
      <c r="C410" s="348"/>
      <c r="D410" s="75"/>
      <c r="E410" s="75"/>
      <c r="F410" s="75"/>
      <c r="G410" s="75"/>
      <c r="H410" s="75"/>
      <c r="M410" s="715"/>
      <c r="N410" s="1298"/>
      <c r="O410" s="18"/>
      <c r="P410" s="18"/>
      <c r="Q410" s="18"/>
      <c r="S410" s="174"/>
      <c r="T410" s="174"/>
      <c r="U410" s="174"/>
      <c r="V410" s="1145"/>
      <c r="W410" s="1148"/>
      <c r="X410" s="1145"/>
      <c r="Y410" s="174"/>
      <c r="Z410" s="1146"/>
      <c r="AA410" s="1146"/>
      <c r="AB410" s="1146"/>
      <c r="AC410" s="1146"/>
      <c r="AD410" s="1146"/>
      <c r="AE410" s="1146"/>
      <c r="AF410" s="1146"/>
      <c r="AG410" s="1146"/>
      <c r="AH410" s="174"/>
      <c r="AI410" s="174"/>
      <c r="AJ410" s="174"/>
      <c r="AK410" s="174"/>
      <c r="AL410" s="174"/>
      <c r="AM410" s="174"/>
      <c r="AN410" s="174"/>
      <c r="AO410" s="174"/>
      <c r="AP410" s="174"/>
      <c r="AQ410" s="174"/>
      <c r="AR410" s="174"/>
    </row>
    <row r="411" spans="1:44" s="45" customFormat="1" ht="12.75" customHeight="1">
      <c r="A411" s="24"/>
      <c r="B411" s="18"/>
      <c r="C411" s="4142" t="s">
        <v>2433</v>
      </c>
      <c r="D411" s="4142"/>
      <c r="E411" s="4142"/>
      <c r="F411" s="4142"/>
      <c r="G411" s="4142"/>
      <c r="H411" s="4142"/>
      <c r="I411" s="268">
        <f>K293</f>
        <v>0</v>
      </c>
      <c r="J411" s="1452"/>
      <c r="K411" s="4148"/>
      <c r="L411" s="4148"/>
      <c r="M411" s="4149"/>
      <c r="N411" s="1297">
        <f>MAX(J411,K411)</f>
        <v>0</v>
      </c>
      <c r="O411" s="30" t="s">
        <v>2434</v>
      </c>
      <c r="P411" s="276"/>
      <c r="Q411" s="314"/>
      <c r="S411" s="1144"/>
      <c r="T411" s="1145"/>
      <c r="U411" s="1145"/>
      <c r="V411" s="1145"/>
      <c r="W411" s="1145"/>
      <c r="X411" s="1145"/>
      <c r="Y411" s="1145"/>
      <c r="Z411" s="1145"/>
      <c r="AA411" s="1145"/>
      <c r="AB411" s="1145"/>
      <c r="AC411" s="1145"/>
      <c r="AD411" s="1145"/>
      <c r="AE411" s="1145"/>
      <c r="AF411" s="1145"/>
      <c r="AG411" s="1145"/>
      <c r="AH411" s="1144"/>
      <c r="AI411" s="1144"/>
      <c r="AJ411" s="1144"/>
      <c r="AK411" s="1144"/>
      <c r="AL411" s="1144"/>
      <c r="AM411" s="1144"/>
      <c r="AN411" s="1144"/>
      <c r="AO411" s="1144"/>
      <c r="AP411" s="1144"/>
      <c r="AQ411" s="1144"/>
      <c r="AR411" s="1144"/>
    </row>
    <row r="412" spans="1:44" s="99" customFormat="1" ht="12.75" customHeight="1">
      <c r="A412" s="163"/>
      <c r="C412" s="4142"/>
      <c r="D412" s="4142"/>
      <c r="E412" s="4142"/>
      <c r="F412" s="4142"/>
      <c r="G412" s="4142"/>
      <c r="H412" s="4142"/>
      <c r="J412" s="1453"/>
      <c r="K412" s="4183"/>
      <c r="L412" s="4183"/>
      <c r="M412" s="4184"/>
      <c r="N412" s="1297">
        <f>MAX(J412,K412)</f>
        <v>0</v>
      </c>
      <c r="O412" s="15"/>
      <c r="P412" s="714"/>
      <c r="Q412" s="15"/>
      <c r="S412" s="174"/>
      <c r="T412" s="1145"/>
      <c r="U412" s="1148"/>
      <c r="V412" s="1145"/>
      <c r="W412" s="1148"/>
      <c r="X412" s="1145"/>
      <c r="Y412" s="1145"/>
      <c r="Z412" s="1145"/>
      <c r="AA412" s="1145"/>
      <c r="AB412" s="1145"/>
      <c r="AC412" s="1145"/>
      <c r="AD412" s="1145"/>
      <c r="AE412" s="1145"/>
      <c r="AF412" s="1145"/>
      <c r="AG412" s="1145"/>
      <c r="AH412" s="174"/>
      <c r="AI412" s="174"/>
      <c r="AJ412" s="174"/>
      <c r="AK412" s="174"/>
      <c r="AL412" s="174"/>
      <c r="AM412" s="174"/>
      <c r="AN412" s="174"/>
      <c r="AO412" s="174"/>
      <c r="AP412" s="174"/>
      <c r="AQ412" s="174"/>
      <c r="AR412" s="174"/>
    </row>
    <row r="413" spans="1:44" s="99" customFormat="1" ht="3" customHeight="1">
      <c r="A413" s="163"/>
      <c r="C413" s="710"/>
      <c r="D413" s="710"/>
      <c r="E413" s="710"/>
      <c r="F413" s="710"/>
      <c r="G413" s="710"/>
      <c r="H413" s="710"/>
      <c r="O413" s="18"/>
      <c r="P413" s="30"/>
      <c r="S413" s="174"/>
      <c r="T413" s="174"/>
      <c r="U413" s="174"/>
      <c r="V413" s="1145"/>
      <c r="W413" s="1148"/>
      <c r="X413" s="1145"/>
      <c r="Y413" s="174"/>
      <c r="Z413" s="1146"/>
      <c r="AA413" s="1146"/>
      <c r="AB413" s="1146"/>
      <c r="AC413" s="1146"/>
      <c r="AD413" s="1146"/>
      <c r="AE413" s="1146"/>
      <c r="AF413" s="1146"/>
      <c r="AG413" s="1146"/>
      <c r="AH413" s="174"/>
      <c r="AI413" s="174"/>
      <c r="AJ413" s="174"/>
      <c r="AK413" s="174"/>
      <c r="AL413" s="174"/>
      <c r="AM413" s="174"/>
      <c r="AN413" s="174"/>
      <c r="AO413" s="174"/>
      <c r="AP413" s="174"/>
      <c r="AQ413" s="174"/>
      <c r="AR413" s="174"/>
    </row>
    <row r="414" spans="1:44" ht="12" customHeight="1">
      <c r="A414" s="24"/>
      <c r="B414" s="1061" t="s">
        <v>261</v>
      </c>
      <c r="C414" s="18" t="s">
        <v>2435</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2436</v>
      </c>
      <c r="D415" s="79"/>
      <c r="E415" s="18"/>
      <c r="F415" s="18"/>
      <c r="G415" s="79"/>
      <c r="H415" s="79"/>
      <c r="I415" s="79"/>
      <c r="J415" s="79"/>
      <c r="K415" s="79"/>
      <c r="L415" s="18"/>
      <c r="M415" s="18"/>
      <c r="N415" s="79"/>
      <c r="O415" s="30" t="s">
        <v>2218</v>
      </c>
      <c r="P415" s="276" t="s">
        <v>712</v>
      </c>
      <c r="Q415" s="314" t="s">
        <v>712</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144" t="s">
        <v>2437</v>
      </c>
      <c r="E416" s="256" t="s">
        <v>2438</v>
      </c>
      <c r="F416" s="27" t="s">
        <v>2439</v>
      </c>
      <c r="G416" s="3549"/>
      <c r="H416" s="3550"/>
      <c r="I416" s="3550"/>
      <c r="J416" s="3550"/>
      <c r="K416" s="355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144"/>
      <c r="E417" s="256" t="s">
        <v>2440</v>
      </c>
      <c r="F417" s="27" t="s">
        <v>2441</v>
      </c>
      <c r="G417" s="4192" t="s">
        <v>713</v>
      </c>
      <c r="H417" s="4193"/>
      <c r="I417" s="4194"/>
      <c r="J417" s="27" t="s">
        <v>2442</v>
      </c>
      <c r="K417" s="79"/>
      <c r="L417" s="79"/>
      <c r="M417" s="3549"/>
      <c r="N417" s="3550"/>
      <c r="O417" s="3550"/>
      <c r="P417" s="3550"/>
      <c r="Q417" s="3551"/>
      <c r="R417" s="79"/>
      <c r="S417" s="79"/>
      <c r="T417" s="79"/>
      <c r="U417" s="79"/>
      <c r="V417" s="79"/>
      <c r="W417" s="79"/>
      <c r="X417" s="79"/>
      <c r="Y417" s="79"/>
      <c r="Z417" s="79"/>
      <c r="AA417" s="79"/>
      <c r="AB417" s="79"/>
      <c r="AC417" s="79"/>
      <c r="AD417" s="79"/>
      <c r="AE417" s="79"/>
    </row>
    <row r="418" spans="1:31" ht="12" customHeight="1">
      <c r="A418" s="45"/>
      <c r="B418" s="79"/>
      <c r="C418" s="27" t="s">
        <v>2443</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185"/>
      <c r="C419" s="4186"/>
      <c r="D419" s="4186"/>
      <c r="E419" s="4186"/>
      <c r="F419" s="4186"/>
      <c r="G419" s="4186"/>
      <c r="H419" s="4186"/>
      <c r="I419" s="4186"/>
      <c r="J419" s="4186"/>
      <c r="K419" s="4186"/>
      <c r="L419" s="4186"/>
      <c r="M419" s="4186"/>
      <c r="N419" s="4186"/>
      <c r="O419" s="4186"/>
      <c r="P419" s="4186"/>
      <c r="Q419" s="4187"/>
      <c r="R419" s="258" t="s">
        <v>2444</v>
      </c>
      <c r="S419" s="79"/>
      <c r="T419" s="79"/>
      <c r="U419" s="71"/>
      <c r="V419" s="71"/>
      <c r="W419" s="71"/>
      <c r="X419" s="71"/>
      <c r="Y419" s="71"/>
      <c r="Z419" s="71"/>
      <c r="AA419" s="71"/>
      <c r="AB419" s="71"/>
      <c r="AC419" s="71"/>
      <c r="AD419" s="71"/>
      <c r="AE419" s="71"/>
    </row>
    <row r="420" spans="1:31" s="79" customFormat="1" ht="3" customHeight="1">
      <c r="A420" s="372"/>
      <c r="B420" s="372"/>
      <c r="C420" s="372"/>
      <c r="D420" s="372"/>
      <c r="E420" s="372"/>
      <c r="F420" s="372"/>
      <c r="G420" s="372"/>
      <c r="H420" s="372"/>
      <c r="I420" s="372"/>
      <c r="J420" s="372"/>
      <c r="K420" s="372"/>
      <c r="L420" s="372"/>
      <c r="M420" s="372"/>
      <c r="N420" s="372"/>
      <c r="O420" s="372"/>
      <c r="P420" s="372"/>
      <c r="Q420" s="372"/>
    </row>
    <row r="421" spans="1:31" s="79" customFormat="1">
      <c r="A421" s="77" t="s">
        <v>206</v>
      </c>
      <c r="B421" s="4143" t="s">
        <v>2445</v>
      </c>
      <c r="C421" s="4142"/>
      <c r="D421" s="4142"/>
      <c r="E421" s="4142"/>
      <c r="F421" s="4142"/>
      <c r="G421" s="4142"/>
      <c r="H421" s="4142"/>
      <c r="I421" s="4142"/>
      <c r="J421" s="4142"/>
      <c r="K421" s="4142"/>
      <c r="L421" s="4142"/>
      <c r="M421" s="4142"/>
      <c r="N421" s="4142"/>
    </row>
    <row r="422" spans="1:31" s="79" customFormat="1" ht="45" customHeight="1">
      <c r="B422" s="4142" t="s">
        <v>2446</v>
      </c>
      <c r="C422" s="4142"/>
      <c r="D422" s="4142"/>
      <c r="E422" s="4142"/>
      <c r="F422" s="4142"/>
      <c r="G422" s="4142"/>
      <c r="H422" s="4142"/>
      <c r="I422" s="4142"/>
      <c r="J422" s="4142"/>
      <c r="K422" s="4142"/>
      <c r="L422" s="4142"/>
      <c r="M422" s="4142"/>
      <c r="N422" s="4142"/>
      <c r="O422" s="88" t="s">
        <v>206</v>
      </c>
      <c r="P422" s="725"/>
      <c r="Q422" s="726"/>
    </row>
    <row r="423" spans="1:31" ht="12" customHeight="1">
      <c r="A423" s="79"/>
      <c r="B423" s="76" t="s">
        <v>1403</v>
      </c>
      <c r="C423" s="79"/>
      <c r="D423" s="76"/>
      <c r="E423" s="76"/>
      <c r="F423" s="76"/>
      <c r="G423" s="76"/>
      <c r="H423" s="18"/>
      <c r="I423" s="714"/>
      <c r="J423" s="714"/>
      <c r="K423" s="714"/>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4153"/>
      <c r="B424" s="4154"/>
      <c r="C424" s="4154"/>
      <c r="D424" s="4154"/>
      <c r="E424" s="4154"/>
      <c r="F424" s="4154"/>
      <c r="G424" s="4154"/>
      <c r="H424" s="4154"/>
      <c r="I424" s="4154"/>
      <c r="J424" s="4154"/>
      <c r="K424" s="4154"/>
      <c r="L424" s="4154"/>
      <c r="M424" s="4154"/>
      <c r="N424" s="4154"/>
      <c r="O424" s="4154"/>
      <c r="P424" s="4154"/>
      <c r="Q424" s="4155"/>
      <c r="R424" s="79"/>
      <c r="S424" s="79"/>
      <c r="T424" s="79"/>
      <c r="U424" s="71"/>
      <c r="V424" s="71"/>
      <c r="W424" s="71"/>
      <c r="X424" s="71"/>
      <c r="Y424" s="71"/>
      <c r="Z424" s="71"/>
      <c r="AA424" s="71"/>
      <c r="AB424" s="71"/>
      <c r="AC424" s="71"/>
      <c r="AD424" s="71"/>
      <c r="AE424" s="71"/>
    </row>
    <row r="425" spans="1:31" ht="12" customHeight="1">
      <c r="A425" s="79"/>
      <c r="B425" s="72" t="s">
        <v>1399</v>
      </c>
      <c r="C425" s="73"/>
      <c r="D425" s="710"/>
      <c r="E425" s="710"/>
      <c r="F425" s="710"/>
      <c r="G425" s="710"/>
      <c r="H425" s="710"/>
      <c r="I425" s="710"/>
      <c r="J425" s="710"/>
      <c r="K425" s="710"/>
      <c r="L425" s="710"/>
      <c r="M425" s="710"/>
      <c r="N425" s="710"/>
      <c r="O425" s="710"/>
      <c r="P425" s="710"/>
      <c r="Q425" s="710"/>
      <c r="R425" s="79"/>
      <c r="S425" s="79"/>
      <c r="T425" s="79"/>
      <c r="U425" s="79"/>
      <c r="V425" s="79"/>
      <c r="W425" s="79"/>
      <c r="X425" s="79"/>
      <c r="Y425" s="79"/>
      <c r="Z425" s="79"/>
      <c r="AA425" s="79"/>
      <c r="AB425" s="79"/>
      <c r="AC425" s="79"/>
      <c r="AD425" s="79"/>
      <c r="AE425" s="79"/>
    </row>
    <row r="426" spans="1:31" ht="33.6" customHeight="1">
      <c r="A426" s="4150"/>
      <c r="B426" s="4151"/>
      <c r="C426" s="4151"/>
      <c r="D426" s="4151"/>
      <c r="E426" s="4151"/>
      <c r="F426" s="4151"/>
      <c r="G426" s="4151"/>
      <c r="H426" s="4151"/>
      <c r="I426" s="4151"/>
      <c r="J426" s="4151"/>
      <c r="K426" s="4151"/>
      <c r="L426" s="4151"/>
      <c r="M426" s="4151"/>
      <c r="N426" s="4151"/>
      <c r="O426" s="4151"/>
      <c r="P426" s="4151"/>
      <c r="Q426" s="4152"/>
      <c r="R426" s="79"/>
      <c r="S426" s="79"/>
      <c r="T426" s="79"/>
      <c r="U426" s="79"/>
      <c r="V426" s="79"/>
      <c r="W426" s="79"/>
      <c r="X426" s="79"/>
      <c r="Y426" s="79"/>
      <c r="Z426" s="79"/>
      <c r="AA426" s="79"/>
      <c r="AB426" s="79"/>
      <c r="AC426" s="79"/>
      <c r="AD426" s="79"/>
      <c r="AE426" s="79"/>
    </row>
    <row r="427" spans="1:31" ht="3" customHeight="1">
      <c r="A427" s="542"/>
      <c r="B427" s="714"/>
      <c r="C427" s="710"/>
      <c r="D427" s="710"/>
      <c r="E427" s="710"/>
      <c r="F427" s="710"/>
      <c r="G427" s="710"/>
      <c r="H427" s="710"/>
      <c r="I427" s="710"/>
      <c r="J427" s="710"/>
      <c r="K427" s="710"/>
      <c r="L427" s="710"/>
      <c r="M427" s="710"/>
      <c r="N427" s="79"/>
      <c r="O427" s="79"/>
      <c r="P427" s="79"/>
      <c r="Q427" s="542"/>
      <c r="R427" s="79"/>
      <c r="S427" s="79"/>
      <c r="T427" s="79"/>
      <c r="U427" s="79"/>
      <c r="V427" s="79"/>
      <c r="W427" s="79"/>
      <c r="X427" s="79"/>
      <c r="Y427" s="79"/>
      <c r="Z427" s="79"/>
      <c r="AA427" s="79"/>
      <c r="AB427" s="79"/>
      <c r="AC427" s="79"/>
      <c r="AD427" s="79"/>
      <c r="AE427" s="79"/>
    </row>
    <row r="428" spans="1:31" ht="14.1" customHeight="1">
      <c r="A428" s="2" t="s">
        <v>1902</v>
      </c>
      <c r="B428" s="4" t="s">
        <v>1544</v>
      </c>
      <c r="C428" s="4"/>
      <c r="D428" s="40"/>
      <c r="E428" s="710"/>
      <c r="F428" s="710"/>
      <c r="G428" s="710"/>
      <c r="H428" s="710"/>
      <c r="I428" s="79"/>
      <c r="J428" s="79"/>
      <c r="K428" s="79"/>
      <c r="L428" s="79"/>
      <c r="M428" s="79"/>
      <c r="N428" s="79"/>
      <c r="O428" s="68" t="s">
        <v>1397</v>
      </c>
      <c r="P428" s="4145"/>
      <c r="Q428" s="4146"/>
      <c r="R428" s="79"/>
      <c r="S428" s="79"/>
      <c r="T428" s="79"/>
      <c r="U428" s="79"/>
      <c r="V428" s="79"/>
      <c r="W428" s="79"/>
      <c r="X428" s="79"/>
      <c r="Y428" s="79"/>
      <c r="Z428" s="79"/>
      <c r="AA428" s="79"/>
      <c r="AB428" s="79"/>
      <c r="AC428" s="79"/>
      <c r="AD428" s="79"/>
      <c r="AE428" s="79"/>
    </row>
    <row r="429" spans="1:31" ht="14.1" customHeight="1">
      <c r="A429" s="79"/>
      <c r="B429" s="40" t="s">
        <v>2447</v>
      </c>
      <c r="C429" s="4"/>
      <c r="D429" s="40"/>
      <c r="E429" s="710"/>
      <c r="F429" s="710"/>
      <c r="G429" s="710"/>
      <c r="H429" s="710"/>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194</v>
      </c>
      <c r="B430" s="4142" t="s">
        <v>1546</v>
      </c>
      <c r="C430" s="4142"/>
      <c r="D430" s="4142"/>
      <c r="E430" s="4142"/>
      <c r="F430" s="4142"/>
      <c r="G430" s="4142"/>
      <c r="H430" s="4142"/>
      <c r="I430" s="4142"/>
      <c r="J430" s="4142"/>
      <c r="K430" s="4142"/>
      <c r="L430" s="4142"/>
      <c r="M430" s="4142"/>
      <c r="N430" s="4142"/>
      <c r="O430" s="88" t="s">
        <v>194</v>
      </c>
      <c r="P430" s="1493"/>
      <c r="Q430" s="1494"/>
      <c r="R430" s="239"/>
      <c r="S430" s="239"/>
      <c r="T430" s="239"/>
      <c r="U430" s="239"/>
      <c r="V430" s="239"/>
      <c r="W430" s="239"/>
      <c r="X430" s="239"/>
      <c r="Y430" s="239"/>
      <c r="Z430" s="239"/>
      <c r="AA430" s="239"/>
      <c r="AB430" s="239"/>
      <c r="AC430" s="239"/>
      <c r="AD430" s="239"/>
      <c r="AE430" s="239"/>
    </row>
    <row r="431" spans="1:31" s="69" customFormat="1" ht="22.5" customHeight="1">
      <c r="A431" s="77" t="s">
        <v>206</v>
      </c>
      <c r="B431" s="4142" t="s">
        <v>2448</v>
      </c>
      <c r="C431" s="4142"/>
      <c r="D431" s="4142"/>
      <c r="E431" s="4142"/>
      <c r="F431" s="4142"/>
      <c r="G431" s="4142"/>
      <c r="H431" s="4142"/>
      <c r="I431" s="4142"/>
      <c r="J431" s="4142"/>
      <c r="K431" s="4142"/>
      <c r="L431" s="4142"/>
      <c r="M431" s="4142"/>
      <c r="N431" s="4142"/>
      <c r="O431" s="88" t="s">
        <v>206</v>
      </c>
      <c r="P431" s="323"/>
      <c r="Q431" s="317"/>
      <c r="R431" s="239"/>
      <c r="S431" s="239"/>
      <c r="T431" s="239"/>
      <c r="U431" s="239"/>
      <c r="V431" s="239"/>
      <c r="W431" s="239"/>
      <c r="X431" s="239"/>
      <c r="Y431" s="239"/>
      <c r="Z431" s="239"/>
      <c r="AA431" s="239"/>
      <c r="AB431" s="239"/>
      <c r="AC431" s="239"/>
      <c r="AD431" s="239"/>
      <c r="AE431" s="239"/>
    </row>
    <row r="432" spans="1:31" s="69" customFormat="1" ht="22.5" customHeight="1">
      <c r="A432" s="239"/>
      <c r="B432" s="275" t="s">
        <v>1459</v>
      </c>
      <c r="C432" s="4142" t="s">
        <v>1548</v>
      </c>
      <c r="D432" s="4142"/>
      <c r="E432" s="4142"/>
      <c r="F432" s="4142"/>
      <c r="G432" s="4142"/>
      <c r="H432" s="4142"/>
      <c r="I432" s="4142"/>
      <c r="J432" s="4142"/>
      <c r="K432" s="4142"/>
      <c r="L432" s="4142"/>
      <c r="M432" s="4142"/>
      <c r="N432" s="4142"/>
      <c r="O432" s="88" t="s">
        <v>1459</v>
      </c>
      <c r="P432" s="323"/>
      <c r="Q432" s="317"/>
      <c r="R432" s="239"/>
      <c r="S432" s="239"/>
      <c r="T432" s="239"/>
      <c r="U432" s="239"/>
      <c r="V432" s="239"/>
      <c r="W432" s="239"/>
      <c r="X432" s="239"/>
      <c r="Y432" s="239"/>
      <c r="Z432" s="239"/>
      <c r="AA432" s="239"/>
      <c r="AB432" s="239"/>
      <c r="AC432" s="239"/>
      <c r="AD432" s="239"/>
      <c r="AE432" s="239"/>
    </row>
    <row r="433" spans="1:31" s="20" customFormat="1" ht="12" customHeight="1">
      <c r="A433" s="45"/>
      <c r="B433" s="275" t="s">
        <v>1462</v>
      </c>
      <c r="C433" s="15" t="s">
        <v>1549</v>
      </c>
      <c r="D433" s="70"/>
      <c r="E433" s="70"/>
      <c r="F433" s="70"/>
      <c r="G433" s="70"/>
      <c r="H433" s="70"/>
      <c r="I433" s="70"/>
      <c r="J433" s="70"/>
      <c r="K433" s="70"/>
      <c r="L433" s="70"/>
      <c r="M433" s="70"/>
      <c r="N433" s="70"/>
      <c r="O433" s="30" t="s">
        <v>1462</v>
      </c>
      <c r="P433" s="211"/>
      <c r="Q433" s="315"/>
      <c r="R433" s="45"/>
      <c r="S433" s="45"/>
      <c r="T433" s="45"/>
      <c r="U433" s="45"/>
      <c r="V433" s="45"/>
      <c r="W433" s="45"/>
      <c r="X433" s="45"/>
      <c r="Y433" s="45"/>
      <c r="Z433" s="45"/>
      <c r="AA433" s="45"/>
      <c r="AB433" s="45"/>
      <c r="AC433" s="45"/>
      <c r="AD433" s="45"/>
      <c r="AE433" s="45"/>
    </row>
    <row r="434" spans="1:31" s="69" customFormat="1" ht="33" customHeight="1">
      <c r="A434" s="239"/>
      <c r="B434" s="275" t="s">
        <v>1463</v>
      </c>
      <c r="C434" s="4142" t="s">
        <v>1550</v>
      </c>
      <c r="D434" s="4142"/>
      <c r="E434" s="4142"/>
      <c r="F434" s="4142"/>
      <c r="G434" s="4142"/>
      <c r="H434" s="4142"/>
      <c r="I434" s="4142"/>
      <c r="J434" s="4142"/>
      <c r="K434" s="4142"/>
      <c r="L434" s="4142"/>
      <c r="M434" s="4142"/>
      <c r="N434" s="4142"/>
      <c r="O434" s="88" t="s">
        <v>1463</v>
      </c>
      <c r="P434" s="323"/>
      <c r="Q434" s="317"/>
      <c r="R434" s="239"/>
      <c r="S434" s="239"/>
      <c r="T434" s="239"/>
      <c r="U434" s="239"/>
      <c r="V434" s="239"/>
      <c r="W434" s="239"/>
      <c r="X434" s="239"/>
      <c r="Y434" s="239"/>
      <c r="Z434" s="239"/>
      <c r="AA434" s="239"/>
      <c r="AB434" s="239"/>
      <c r="AC434" s="239"/>
      <c r="AD434" s="239"/>
      <c r="AE434" s="239"/>
    </row>
    <row r="435" spans="1:31" s="69" customFormat="1" ht="22.5" customHeight="1">
      <c r="A435" s="239"/>
      <c r="B435" s="275" t="s">
        <v>1464</v>
      </c>
      <c r="C435" s="4142" t="s">
        <v>1551</v>
      </c>
      <c r="D435" s="4142"/>
      <c r="E435" s="4142"/>
      <c r="F435" s="4142"/>
      <c r="G435" s="4142"/>
      <c r="H435" s="4142"/>
      <c r="I435" s="4142"/>
      <c r="J435" s="4142"/>
      <c r="K435" s="4142"/>
      <c r="L435" s="4142"/>
      <c r="M435" s="4142"/>
      <c r="N435" s="4142"/>
      <c r="O435" s="88" t="s">
        <v>1464</v>
      </c>
      <c r="P435" s="323"/>
      <c r="Q435" s="317"/>
      <c r="R435" s="239"/>
      <c r="S435" s="239"/>
      <c r="T435" s="239"/>
      <c r="U435" s="239"/>
      <c r="V435" s="239"/>
      <c r="W435" s="239"/>
      <c r="X435" s="239"/>
      <c r="Y435" s="239"/>
      <c r="Z435" s="239"/>
      <c r="AA435" s="239"/>
      <c r="AB435" s="239"/>
      <c r="AC435" s="239"/>
      <c r="AD435" s="239"/>
      <c r="AE435" s="239"/>
    </row>
    <row r="436" spans="1:31" s="69" customFormat="1" ht="22.5" customHeight="1">
      <c r="A436" s="77" t="s">
        <v>227</v>
      </c>
      <c r="B436" s="4142" t="s">
        <v>1552</v>
      </c>
      <c r="C436" s="4142"/>
      <c r="D436" s="4142"/>
      <c r="E436" s="4142"/>
      <c r="F436" s="4142"/>
      <c r="G436" s="4142"/>
      <c r="H436" s="4142"/>
      <c r="I436" s="4142"/>
      <c r="J436" s="4142"/>
      <c r="K436" s="4142"/>
      <c r="L436" s="4142"/>
      <c r="M436" s="4142"/>
      <c r="N436" s="4142"/>
      <c r="O436" s="88" t="s">
        <v>227</v>
      </c>
      <c r="P436" s="323"/>
      <c r="Q436" s="317"/>
      <c r="R436" s="239"/>
      <c r="S436" s="239"/>
      <c r="T436" s="239"/>
      <c r="U436" s="239"/>
      <c r="V436" s="239"/>
      <c r="W436" s="239"/>
      <c r="X436" s="239"/>
      <c r="Y436" s="239"/>
      <c r="Z436" s="239"/>
      <c r="AA436" s="239"/>
      <c r="AB436" s="239"/>
      <c r="AC436" s="239"/>
      <c r="AD436" s="239"/>
      <c r="AE436" s="239"/>
    </row>
    <row r="437" spans="1:31" s="69" customFormat="1" ht="22.5" customHeight="1">
      <c r="A437" s="77" t="s">
        <v>229</v>
      </c>
      <c r="B437" s="4142" t="s">
        <v>1553</v>
      </c>
      <c r="C437" s="4142"/>
      <c r="D437" s="4142"/>
      <c r="E437" s="4142"/>
      <c r="F437" s="4142"/>
      <c r="G437" s="4142"/>
      <c r="H437" s="4142"/>
      <c r="I437" s="4142"/>
      <c r="J437" s="4142"/>
      <c r="K437" s="4142"/>
      <c r="L437" s="4142"/>
      <c r="M437" s="4142"/>
      <c r="N437" s="4142"/>
      <c r="O437" s="88" t="s">
        <v>229</v>
      </c>
      <c r="P437" s="323"/>
      <c r="Q437" s="317"/>
      <c r="R437" s="239"/>
      <c r="S437" s="239"/>
      <c r="T437" s="239"/>
      <c r="U437" s="239"/>
      <c r="V437" s="239"/>
      <c r="W437" s="239"/>
      <c r="X437" s="239"/>
      <c r="Y437" s="239"/>
      <c r="Z437" s="239"/>
      <c r="AA437" s="239"/>
      <c r="AB437" s="239"/>
      <c r="AC437" s="239"/>
      <c r="AD437" s="239"/>
      <c r="AE437" s="239"/>
    </row>
    <row r="438" spans="1:31" s="69" customFormat="1" ht="21.75" customHeight="1">
      <c r="A438" s="77" t="s">
        <v>236</v>
      </c>
      <c r="B438" s="4142" t="s">
        <v>1554</v>
      </c>
      <c r="C438" s="4142"/>
      <c r="D438" s="4142"/>
      <c r="E438" s="4142"/>
      <c r="F438" s="4142"/>
      <c r="G438" s="4142"/>
      <c r="H438" s="4142"/>
      <c r="I438" s="4142"/>
      <c r="J438" s="4142"/>
      <c r="K438" s="4142"/>
      <c r="L438" s="4142"/>
      <c r="M438" s="4142"/>
      <c r="N438" s="4142"/>
      <c r="O438" s="88" t="s">
        <v>236</v>
      </c>
      <c r="P438" s="323"/>
      <c r="Q438" s="317"/>
      <c r="R438" s="239"/>
      <c r="S438" s="239"/>
      <c r="T438" s="239"/>
      <c r="U438" s="239"/>
      <c r="V438" s="239"/>
      <c r="W438" s="239"/>
      <c r="X438" s="239"/>
      <c r="Y438" s="239"/>
      <c r="Z438" s="239"/>
      <c r="AA438" s="239"/>
      <c r="AB438" s="239"/>
      <c r="AC438" s="239"/>
      <c r="AD438" s="239"/>
      <c r="AE438" s="239"/>
    </row>
    <row r="439" spans="1:31" s="239" customFormat="1" ht="21.75" customHeight="1">
      <c r="A439" s="77" t="s">
        <v>238</v>
      </c>
      <c r="B439" s="4142" t="s">
        <v>2449</v>
      </c>
      <c r="C439" s="4142"/>
      <c r="D439" s="4142"/>
      <c r="E439" s="4142"/>
      <c r="F439" s="4142"/>
      <c r="G439" s="4142"/>
      <c r="H439" s="4142"/>
      <c r="I439" s="4142"/>
      <c r="J439" s="4142"/>
      <c r="K439" s="4142"/>
      <c r="L439" s="4142"/>
      <c r="M439" s="4142"/>
      <c r="N439" s="4142"/>
      <c r="O439" s="88" t="s">
        <v>238</v>
      </c>
      <c r="P439" s="717"/>
      <c r="Q439" s="716"/>
    </row>
    <row r="440" spans="1:31" ht="11.25" customHeight="1">
      <c r="A440" s="79"/>
      <c r="B440" s="76" t="s">
        <v>1403</v>
      </c>
      <c r="C440" s="79"/>
      <c r="D440" s="76"/>
      <c r="E440" s="76"/>
      <c r="F440" s="76"/>
      <c r="G440" s="76"/>
      <c r="H440" s="18"/>
      <c r="I440" s="714"/>
      <c r="J440" s="714"/>
      <c r="K440" s="714"/>
      <c r="L440" s="542"/>
      <c r="M440" s="542"/>
      <c r="N440" s="542"/>
      <c r="O440" s="542"/>
      <c r="P440" s="542"/>
      <c r="Q440" s="542"/>
      <c r="R440" s="79"/>
      <c r="S440" s="79"/>
      <c r="T440" s="79"/>
      <c r="U440" s="79"/>
      <c r="V440" s="79"/>
      <c r="W440" s="79"/>
      <c r="X440" s="79"/>
      <c r="Y440" s="79"/>
      <c r="Z440" s="79"/>
      <c r="AA440" s="79"/>
      <c r="AB440" s="79"/>
      <c r="AC440" s="79"/>
      <c r="AD440" s="79"/>
      <c r="AE440" s="79"/>
    </row>
    <row r="441" spans="1:31" ht="12.75" customHeight="1">
      <c r="A441" s="4153"/>
      <c r="B441" s="4154"/>
      <c r="C441" s="4154"/>
      <c r="D441" s="4154"/>
      <c r="E441" s="4154"/>
      <c r="F441" s="4154"/>
      <c r="G441" s="4154"/>
      <c r="H441" s="4154"/>
      <c r="I441" s="4154"/>
      <c r="J441" s="4154"/>
      <c r="K441" s="4154"/>
      <c r="L441" s="4154"/>
      <c r="M441" s="4154"/>
      <c r="N441" s="4154"/>
      <c r="O441" s="4154"/>
      <c r="P441" s="4154"/>
      <c r="Q441" s="4155"/>
      <c r="R441" s="258" t="s">
        <v>2152</v>
      </c>
      <c r="S441" s="259"/>
      <c r="T441" s="79"/>
      <c r="U441" s="71"/>
      <c r="V441" s="71"/>
      <c r="W441" s="71"/>
      <c r="X441" s="71"/>
      <c r="Y441" s="71"/>
      <c r="Z441" s="71"/>
      <c r="AA441" s="71"/>
      <c r="AB441" s="71"/>
      <c r="AC441" s="71"/>
      <c r="AD441" s="71"/>
      <c r="AE441" s="71"/>
    </row>
    <row r="442" spans="1:31" ht="11.25" customHeight="1">
      <c r="A442" s="79"/>
      <c r="B442" s="72" t="s">
        <v>1399</v>
      </c>
      <c r="C442" s="73"/>
      <c r="D442" s="710"/>
      <c r="E442" s="710"/>
      <c r="F442" s="710"/>
      <c r="G442" s="710"/>
      <c r="H442" s="710"/>
      <c r="I442" s="710"/>
      <c r="J442" s="710"/>
      <c r="K442" s="710"/>
      <c r="L442" s="710"/>
      <c r="M442" s="710"/>
      <c r="N442" s="710"/>
      <c r="O442" s="710"/>
      <c r="P442" s="710"/>
      <c r="Q442" s="710"/>
      <c r="R442" s="79"/>
      <c r="S442" s="79"/>
      <c r="T442" s="79"/>
      <c r="U442" s="79"/>
      <c r="V442" s="79"/>
      <c r="W442" s="79"/>
      <c r="X442" s="79"/>
      <c r="Y442" s="79"/>
      <c r="Z442" s="79"/>
      <c r="AA442" s="79"/>
      <c r="AB442" s="79"/>
      <c r="AC442" s="79"/>
      <c r="AD442" s="79"/>
      <c r="AE442" s="79"/>
    </row>
    <row r="443" spans="1:31" ht="12.75" customHeight="1">
      <c r="A443" s="4150"/>
      <c r="B443" s="4151"/>
      <c r="C443" s="4151"/>
      <c r="D443" s="4151"/>
      <c r="E443" s="4151"/>
      <c r="F443" s="4151"/>
      <c r="G443" s="4151"/>
      <c r="H443" s="4151"/>
      <c r="I443" s="4151"/>
      <c r="J443" s="4151"/>
      <c r="K443" s="4151"/>
      <c r="L443" s="4151"/>
      <c r="M443" s="4151"/>
      <c r="N443" s="4151"/>
      <c r="O443" s="4151"/>
      <c r="P443" s="4151"/>
      <c r="Q443" s="4152"/>
      <c r="R443" s="79"/>
      <c r="S443" s="79"/>
      <c r="T443" s="79"/>
      <c r="U443" s="79"/>
      <c r="V443" s="79"/>
      <c r="W443" s="79"/>
      <c r="X443" s="79"/>
      <c r="Y443" s="79"/>
      <c r="Z443" s="79"/>
      <c r="AA443" s="79"/>
      <c r="AB443" s="79"/>
      <c r="AC443" s="79"/>
      <c r="AD443" s="79"/>
      <c r="AE443" s="79"/>
    </row>
    <row r="444" spans="1:31" ht="3" customHeight="1">
      <c r="A444" s="542"/>
      <c r="B444" s="714"/>
      <c r="C444" s="710"/>
      <c r="D444" s="710"/>
      <c r="E444" s="710"/>
      <c r="F444" s="710"/>
      <c r="G444" s="710"/>
      <c r="H444" s="710"/>
      <c r="I444" s="710"/>
      <c r="J444" s="710"/>
      <c r="K444" s="710"/>
      <c r="L444" s="710"/>
      <c r="M444" s="710"/>
      <c r="N444" s="79"/>
      <c r="O444" s="79"/>
      <c r="P444" s="79"/>
      <c r="Q444" s="542"/>
      <c r="R444" s="79"/>
      <c r="S444" s="79"/>
      <c r="T444" s="79"/>
      <c r="U444" s="79"/>
      <c r="V444" s="79"/>
      <c r="W444" s="79"/>
      <c r="X444" s="79"/>
      <c r="Y444" s="79"/>
      <c r="Z444" s="79"/>
      <c r="AA444" s="79"/>
      <c r="AB444" s="79"/>
      <c r="AC444" s="79"/>
      <c r="AD444" s="79"/>
      <c r="AE444" s="79"/>
    </row>
    <row r="445" spans="1:31" ht="14.1" customHeight="1">
      <c r="A445" s="2" t="s">
        <v>1701</v>
      </c>
      <c r="B445" s="4"/>
      <c r="C445" s="4" t="s">
        <v>1557</v>
      </c>
      <c r="D445" s="40"/>
      <c r="E445" s="710"/>
      <c r="F445" s="710"/>
      <c r="G445" s="710"/>
      <c r="H445" s="710"/>
      <c r="I445" s="79"/>
      <c r="J445" s="710"/>
      <c r="K445" s="710"/>
      <c r="L445" s="710"/>
      <c r="M445" s="710"/>
      <c r="N445" s="79"/>
      <c r="O445" s="68" t="s">
        <v>1397</v>
      </c>
      <c r="P445" s="4145"/>
      <c r="Q445" s="4146"/>
      <c r="R445" s="79"/>
      <c r="S445" s="79"/>
      <c r="T445" s="79"/>
      <c r="U445" s="79"/>
      <c r="V445" s="79"/>
      <c r="W445" s="79"/>
      <c r="X445" s="79"/>
      <c r="Y445" s="79"/>
      <c r="Z445" s="79"/>
      <c r="AA445" s="79"/>
      <c r="AB445" s="79"/>
      <c r="AC445" s="79"/>
      <c r="AD445" s="79"/>
      <c r="AE445" s="79"/>
    </row>
    <row r="446" spans="1:31" ht="11.25" customHeight="1">
      <c r="A446" s="2"/>
      <c r="B446" s="76" t="s">
        <v>1403</v>
      </c>
      <c r="C446" s="79"/>
      <c r="D446" s="76"/>
      <c r="E446" s="76"/>
      <c r="F446" s="76"/>
      <c r="G446" s="76"/>
      <c r="H446" s="18"/>
      <c r="I446" s="714"/>
      <c r="J446" s="714"/>
      <c r="K446" s="714"/>
      <c r="L446" s="542"/>
      <c r="M446" s="542"/>
      <c r="N446" s="542"/>
      <c r="O446" s="542"/>
      <c r="P446" s="542"/>
      <c r="Q446" s="542"/>
      <c r="R446" s="79"/>
      <c r="S446" s="79"/>
      <c r="T446" s="79"/>
      <c r="U446" s="79"/>
      <c r="V446" s="79"/>
      <c r="W446" s="79"/>
      <c r="X446" s="79"/>
      <c r="Y446" s="79"/>
      <c r="Z446" s="79"/>
      <c r="AA446" s="79"/>
      <c r="AB446" s="79"/>
      <c r="AC446" s="79"/>
      <c r="AD446" s="79"/>
      <c r="AE446" s="79"/>
    </row>
    <row r="447" spans="1:31" ht="12" customHeight="1">
      <c r="A447" s="4153"/>
      <c r="B447" s="4154"/>
      <c r="C447" s="4154"/>
      <c r="D447" s="4154"/>
      <c r="E447" s="4154"/>
      <c r="F447" s="4154"/>
      <c r="G447" s="4154"/>
      <c r="H447" s="4154"/>
      <c r="I447" s="4154"/>
      <c r="J447" s="4154"/>
      <c r="K447" s="4154"/>
      <c r="L447" s="4154"/>
      <c r="M447" s="4154"/>
      <c r="N447" s="4154"/>
      <c r="O447" s="4154"/>
      <c r="P447" s="4154"/>
      <c r="Q447" s="4155"/>
      <c r="R447" s="258" t="s">
        <v>2152</v>
      </c>
      <c r="S447" s="259"/>
      <c r="T447" s="79"/>
      <c r="U447" s="71"/>
      <c r="V447" s="71"/>
      <c r="W447" s="71"/>
      <c r="X447" s="71"/>
      <c r="Y447" s="71"/>
      <c r="Z447" s="71"/>
      <c r="AA447" s="71"/>
      <c r="AB447" s="71"/>
      <c r="AC447" s="71"/>
      <c r="AD447" s="71"/>
      <c r="AE447" s="71"/>
    </row>
    <row r="448" spans="1:31" ht="11.25" customHeight="1">
      <c r="A448" s="79"/>
      <c r="B448" s="72" t="s">
        <v>1399</v>
      </c>
      <c r="C448" s="73"/>
      <c r="D448" s="710"/>
      <c r="E448" s="710"/>
      <c r="F448" s="710"/>
      <c r="G448" s="710"/>
      <c r="H448" s="710"/>
      <c r="I448" s="710"/>
      <c r="J448" s="710"/>
      <c r="K448" s="710"/>
      <c r="L448" s="710"/>
      <c r="M448" s="710"/>
      <c r="N448" s="710"/>
      <c r="O448" s="710"/>
      <c r="P448" s="710"/>
      <c r="Q448" s="710"/>
      <c r="R448" s="79"/>
      <c r="S448" s="79"/>
      <c r="T448" s="79"/>
      <c r="U448" s="79"/>
      <c r="V448" s="79"/>
      <c r="W448" s="79"/>
      <c r="X448" s="79"/>
      <c r="Y448" s="79"/>
      <c r="Z448" s="79"/>
      <c r="AA448" s="79"/>
      <c r="AB448" s="79"/>
      <c r="AC448" s="79"/>
      <c r="AD448" s="79"/>
      <c r="AE448" s="79"/>
    </row>
    <row r="449" spans="1:18" ht="12" customHeight="1">
      <c r="A449" s="4150"/>
      <c r="B449" s="4151"/>
      <c r="C449" s="4151"/>
      <c r="D449" s="4151"/>
      <c r="E449" s="4151"/>
      <c r="F449" s="4151"/>
      <c r="G449" s="4151"/>
      <c r="H449" s="4151"/>
      <c r="I449" s="4151"/>
      <c r="J449" s="4151"/>
      <c r="K449" s="4151"/>
      <c r="L449" s="4151"/>
      <c r="M449" s="4151"/>
      <c r="N449" s="4151"/>
      <c r="O449" s="4151"/>
      <c r="P449" s="4151"/>
      <c r="Q449" s="4152"/>
      <c r="R449" s="79"/>
    </row>
    <row r="450" spans="1:18" ht="3" customHeight="1">
      <c r="A450" s="542"/>
      <c r="B450" s="714"/>
      <c r="C450" s="710"/>
      <c r="D450" s="710"/>
      <c r="E450" s="710"/>
      <c r="F450" s="710"/>
      <c r="G450" s="710"/>
      <c r="H450" s="710"/>
      <c r="I450" s="710"/>
      <c r="J450" s="710"/>
      <c r="K450" s="710"/>
      <c r="L450" s="710"/>
      <c r="M450" s="710"/>
      <c r="N450" s="710"/>
      <c r="O450" s="710"/>
      <c r="P450" s="710"/>
      <c r="Q450" s="542"/>
      <c r="R450" s="79"/>
    </row>
    <row r="451" spans="1:18" ht="3" customHeight="1">
      <c r="A451" s="542"/>
      <c r="B451" s="714"/>
      <c r="C451" s="710"/>
      <c r="D451" s="710"/>
      <c r="E451" s="710"/>
      <c r="F451" s="710"/>
      <c r="G451" s="710"/>
      <c r="H451" s="710"/>
      <c r="I451" s="710"/>
      <c r="J451" s="710"/>
      <c r="K451" s="710"/>
      <c r="L451" s="710"/>
      <c r="M451" s="710"/>
      <c r="N451" s="710"/>
      <c r="O451" s="710"/>
      <c r="P451" s="710"/>
      <c r="Q451" s="542"/>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39" customFormat="1" ht="11.25">
      <c r="A456" s="27"/>
      <c r="B456" s="27"/>
      <c r="C456" s="639" t="s">
        <v>712</v>
      </c>
      <c r="J456" s="1554" t="s">
        <v>1558</v>
      </c>
      <c r="N456" s="640"/>
      <c r="O456" s="1554" t="s">
        <v>1559</v>
      </c>
      <c r="P456" s="1555"/>
      <c r="R456" s="27"/>
    </row>
    <row r="457" spans="1:18" s="639" customFormat="1" ht="11.25">
      <c r="A457" s="27"/>
      <c r="B457" s="27"/>
      <c r="C457" s="1556" t="s">
        <v>1560</v>
      </c>
      <c r="J457" s="1554" t="s">
        <v>1561</v>
      </c>
      <c r="N457" s="640"/>
      <c r="O457" s="1554" t="s">
        <v>1562</v>
      </c>
      <c r="P457" s="1555"/>
      <c r="R457" s="27"/>
    </row>
    <row r="458" spans="1:18" s="639" customFormat="1" ht="11.25">
      <c r="A458" s="27"/>
      <c r="B458" s="27"/>
      <c r="C458" s="1556" t="s">
        <v>1563</v>
      </c>
      <c r="J458" s="1554" t="s">
        <v>1564</v>
      </c>
      <c r="N458" s="640"/>
      <c r="O458" s="1554" t="s">
        <v>1565</v>
      </c>
      <c r="P458" s="1555"/>
      <c r="R458" s="27"/>
    </row>
    <row r="459" spans="1:18" s="639" customFormat="1" ht="11.25">
      <c r="A459" s="27"/>
      <c r="B459" s="27"/>
      <c r="C459" s="1556" t="s">
        <v>1566</v>
      </c>
      <c r="J459" s="1554" t="s">
        <v>1567</v>
      </c>
      <c r="N459" s="640"/>
      <c r="O459" s="1554" t="s">
        <v>1568</v>
      </c>
      <c r="P459" s="1555"/>
      <c r="R459" s="27"/>
    </row>
    <row r="460" spans="1:18" s="639" customFormat="1" ht="11.25">
      <c r="A460" s="27"/>
      <c r="B460" s="27"/>
      <c r="C460" s="1556" t="s">
        <v>1569</v>
      </c>
      <c r="J460" s="1554" t="s">
        <v>1570</v>
      </c>
      <c r="N460" s="640"/>
      <c r="O460" s="1554" t="s">
        <v>1571</v>
      </c>
      <c r="P460" s="1555"/>
      <c r="R460" s="27"/>
    </row>
    <row r="461" spans="1:18" s="639" customFormat="1" ht="11.25">
      <c r="A461" s="27"/>
      <c r="B461" s="27"/>
      <c r="C461" s="1556" t="s">
        <v>1572</v>
      </c>
      <c r="J461" s="1554" t="s">
        <v>1573</v>
      </c>
      <c r="N461" s="640"/>
      <c r="O461" s="1554" t="s">
        <v>1574</v>
      </c>
      <c r="P461" s="1555"/>
      <c r="R461" s="27"/>
    </row>
    <row r="462" spans="1:18" s="639" customFormat="1" ht="11.25">
      <c r="A462" s="27"/>
      <c r="B462" s="27"/>
      <c r="C462" s="1556" t="s">
        <v>1575</v>
      </c>
      <c r="J462" s="1554" t="s">
        <v>1576</v>
      </c>
      <c r="N462" s="640"/>
      <c r="O462" s="1554" t="s">
        <v>1577</v>
      </c>
      <c r="P462" s="1555"/>
      <c r="R462" s="27"/>
    </row>
    <row r="463" spans="1:18" s="639" customFormat="1" ht="11.25">
      <c r="A463" s="27"/>
      <c r="B463" s="27"/>
      <c r="C463" s="1556" t="s">
        <v>1578</v>
      </c>
      <c r="J463" s="1554" t="s">
        <v>1579</v>
      </c>
      <c r="N463" s="640"/>
      <c r="O463" s="639" t="s">
        <v>1580</v>
      </c>
      <c r="P463" s="1555"/>
      <c r="R463" s="27"/>
    </row>
    <row r="464" spans="1:18" s="639" customFormat="1" ht="11.25">
      <c r="A464" s="27"/>
      <c r="B464" s="27"/>
      <c r="C464" s="1556" t="s">
        <v>1581</v>
      </c>
      <c r="J464" s="1554" t="s">
        <v>1582</v>
      </c>
      <c r="N464" s="640"/>
      <c r="O464" s="639" t="s">
        <v>1583</v>
      </c>
      <c r="P464" s="1555"/>
      <c r="R464" s="27"/>
    </row>
    <row r="465" spans="1:22" s="639" customFormat="1" ht="11.25">
      <c r="A465" s="27"/>
      <c r="B465" s="27"/>
      <c r="C465" s="1556" t="s">
        <v>1584</v>
      </c>
      <c r="J465" s="1554" t="s">
        <v>1585</v>
      </c>
      <c r="N465" s="640"/>
      <c r="O465" s="1554"/>
      <c r="P465" s="1555"/>
      <c r="R465" s="27"/>
    </row>
    <row r="466" spans="1:22" s="639" customFormat="1" ht="11.25">
      <c r="A466" s="27"/>
      <c r="B466" s="27"/>
      <c r="C466" s="1556" t="s">
        <v>1586</v>
      </c>
      <c r="J466" s="1554" t="s">
        <v>1587</v>
      </c>
      <c r="N466" s="640"/>
      <c r="O466" s="1555"/>
      <c r="P466" s="1555"/>
      <c r="R466" s="27"/>
    </row>
    <row r="467" spans="1:22" s="639" customFormat="1" ht="11.25">
      <c r="A467" s="27"/>
      <c r="B467" s="27"/>
      <c r="C467" s="1556" t="s">
        <v>1588</v>
      </c>
      <c r="J467" s="1554" t="s">
        <v>1589</v>
      </c>
      <c r="N467" s="640"/>
      <c r="O467" s="1554"/>
      <c r="P467" s="1555"/>
      <c r="R467" s="27"/>
    </row>
    <row r="468" spans="1:22" s="639" customFormat="1" ht="11.25">
      <c r="A468" s="27"/>
      <c r="B468" s="27"/>
      <c r="C468" s="1556" t="s">
        <v>1590</v>
      </c>
      <c r="N468" s="640"/>
      <c r="O468" s="1555"/>
      <c r="P468" s="1555"/>
      <c r="R468" s="27"/>
    </row>
    <row r="469" spans="1:22" s="639" customFormat="1" ht="11.25">
      <c r="A469" s="27"/>
      <c r="B469" s="27"/>
      <c r="N469" s="640"/>
      <c r="O469" s="1555"/>
      <c r="P469" s="1555"/>
      <c r="R469" s="27"/>
    </row>
    <row r="470" spans="1:22" s="639" customFormat="1" ht="11.25">
      <c r="A470" s="27"/>
      <c r="B470" s="27"/>
      <c r="R470" s="27"/>
      <c r="S470" s="27"/>
      <c r="T470" s="27"/>
      <c r="U470" s="27"/>
      <c r="V470" s="27"/>
    </row>
    <row r="471" spans="1:22" s="639" customFormat="1" ht="11.25">
      <c r="A471" s="27"/>
      <c r="B471" s="27"/>
      <c r="C471" s="1557" t="s">
        <v>1591</v>
      </c>
      <c r="R471" s="27"/>
    </row>
    <row r="472" spans="1:22" s="639" customFormat="1" ht="11.25">
      <c r="A472" s="27"/>
      <c r="B472" s="27"/>
      <c r="C472" s="639" t="s">
        <v>1592</v>
      </c>
      <c r="R472" s="27"/>
    </row>
    <row r="473" spans="1:22" s="639" customFormat="1" ht="11.25">
      <c r="A473" s="27"/>
      <c r="B473" s="27"/>
      <c r="C473" s="1556" t="s">
        <v>1593</v>
      </c>
      <c r="R473" s="27"/>
    </row>
    <row r="474" spans="1:22" s="639" customFormat="1" ht="11.25">
      <c r="A474" s="27"/>
      <c r="B474" s="27"/>
      <c r="C474" s="1556" t="s">
        <v>1594</v>
      </c>
      <c r="L474" s="1556"/>
      <c r="R474" s="27"/>
    </row>
    <row r="475" spans="1:22" s="639" customFormat="1" ht="11.25">
      <c r="A475" s="27"/>
      <c r="B475" s="27"/>
      <c r="C475" s="1556" t="s">
        <v>1595</v>
      </c>
      <c r="L475" s="1556"/>
      <c r="R475" s="27"/>
    </row>
    <row r="476" spans="1:22" s="639" customFormat="1" ht="11.25">
      <c r="A476" s="27"/>
      <c r="B476" s="27"/>
      <c r="C476" s="1556" t="s">
        <v>1596</v>
      </c>
      <c r="L476" s="1556"/>
      <c r="R476" s="27"/>
    </row>
    <row r="477" spans="1:22" s="639" customFormat="1" ht="11.25">
      <c r="A477" s="27"/>
      <c r="B477" s="27"/>
      <c r="C477" s="1556" t="s">
        <v>1597</v>
      </c>
      <c r="L477" s="1556"/>
      <c r="R477" s="27"/>
    </row>
    <row r="478" spans="1:22" s="639" customFormat="1" ht="11.25">
      <c r="A478" s="27"/>
      <c r="B478" s="27"/>
      <c r="C478" s="639" t="s">
        <v>1598</v>
      </c>
      <c r="L478" s="1556"/>
      <c r="R478" s="27"/>
    </row>
    <row r="479" spans="1:22" s="639" customFormat="1" ht="11.25">
      <c r="A479" s="27"/>
      <c r="B479" s="27"/>
      <c r="C479" s="639" t="s">
        <v>1599</v>
      </c>
      <c r="R479" s="27"/>
    </row>
    <row r="480" spans="1:22" s="639" customFormat="1" ht="11.25">
      <c r="A480" s="27"/>
      <c r="B480" s="27"/>
      <c r="C480" s="1556" t="s">
        <v>1600</v>
      </c>
      <c r="L480" s="1556"/>
      <c r="R480" s="27"/>
    </row>
    <row r="481" spans="1:18" s="639" customFormat="1" ht="11.25">
      <c r="A481" s="27"/>
      <c r="B481" s="27"/>
      <c r="C481" s="639" t="s">
        <v>1601</v>
      </c>
      <c r="L481" s="1556"/>
      <c r="R481" s="27"/>
    </row>
    <row r="482" spans="1:18" s="639" customFormat="1" ht="11.25">
      <c r="A482" s="27"/>
      <c r="B482" s="27"/>
      <c r="C482" s="639" t="s">
        <v>1597</v>
      </c>
      <c r="L482" s="1556"/>
      <c r="R482" s="27"/>
    </row>
    <row r="483" spans="1:18" s="639" customFormat="1" ht="11.25">
      <c r="A483" s="27"/>
      <c r="B483" s="27"/>
      <c r="C483" s="639" t="s">
        <v>1602</v>
      </c>
      <c r="L483" s="1556"/>
      <c r="R483" s="27"/>
    </row>
    <row r="484" spans="1:18" s="639" customFormat="1" ht="11.25">
      <c r="A484" s="27"/>
      <c r="B484" s="27"/>
      <c r="C484" s="639" t="s">
        <v>1603</v>
      </c>
      <c r="R484" s="27"/>
    </row>
    <row r="485" spans="1:18" s="639" customFormat="1" ht="11.25">
      <c r="A485" s="27"/>
      <c r="B485" s="27"/>
      <c r="C485" s="1556" t="s">
        <v>1604</v>
      </c>
      <c r="L485" s="1556"/>
      <c r="R485" s="27"/>
    </row>
    <row r="486" spans="1:18" s="639" customFormat="1" ht="11.25">
      <c r="A486" s="27"/>
      <c r="B486" s="27"/>
      <c r="C486" s="639" t="s">
        <v>1605</v>
      </c>
      <c r="L486" s="1556"/>
      <c r="R486" s="27"/>
    </row>
    <row r="487" spans="1:18" s="639" customFormat="1" ht="11.25">
      <c r="A487" s="27"/>
      <c r="B487" s="27"/>
      <c r="C487" s="639" t="s">
        <v>1606</v>
      </c>
      <c r="L487" s="1556"/>
      <c r="R487" s="27"/>
    </row>
    <row r="488" spans="1:18" s="639" customFormat="1" ht="11.25">
      <c r="A488" s="27"/>
      <c r="B488" s="27"/>
      <c r="C488" s="639" t="s">
        <v>1607</v>
      </c>
      <c r="K488" s="1557" t="s">
        <v>1608</v>
      </c>
      <c r="L488" s="1556"/>
      <c r="R488" s="27"/>
    </row>
    <row r="489" spans="1:18" s="639" customFormat="1" ht="11.25">
      <c r="A489" s="27"/>
      <c r="B489" s="27"/>
      <c r="C489" s="639" t="s">
        <v>1609</v>
      </c>
      <c r="K489" s="639" t="s">
        <v>1498</v>
      </c>
      <c r="L489" s="1556"/>
      <c r="R489" s="27"/>
    </row>
    <row r="490" spans="1:18" s="639" customFormat="1" ht="11.25">
      <c r="A490" s="27"/>
      <c r="B490" s="27"/>
      <c r="C490" s="639" t="s">
        <v>1610</v>
      </c>
      <c r="K490" s="639" t="s">
        <v>1611</v>
      </c>
      <c r="R490" s="27"/>
    </row>
    <row r="491" spans="1:18" s="639" customFormat="1" ht="11.25">
      <c r="A491" s="27"/>
      <c r="B491" s="27"/>
      <c r="C491" s="1556" t="s">
        <v>1612</v>
      </c>
      <c r="K491" s="639" t="s">
        <v>1613</v>
      </c>
      <c r="R491" s="27"/>
    </row>
    <row r="492" spans="1:18" s="639" customFormat="1" ht="11.25">
      <c r="A492" s="27"/>
      <c r="B492" s="27"/>
      <c r="R492" s="27"/>
    </row>
    <row r="493" spans="1:18" s="639" customFormat="1" ht="11.25">
      <c r="A493" s="27"/>
      <c r="B493" s="27"/>
      <c r="C493" s="1557" t="s">
        <v>1614</v>
      </c>
      <c r="K493" s="1557" t="s">
        <v>1615</v>
      </c>
      <c r="R493" s="27"/>
    </row>
    <row r="494" spans="1:18" s="639" customFormat="1" ht="11.25">
      <c r="A494" s="27"/>
      <c r="B494" s="27"/>
      <c r="C494" s="639" t="s">
        <v>1616</v>
      </c>
      <c r="K494" s="639" t="s">
        <v>1496</v>
      </c>
      <c r="R494" s="27"/>
    </row>
    <row r="495" spans="1:18" s="639" customFormat="1" ht="11.25">
      <c r="A495" s="27"/>
      <c r="B495" s="27"/>
      <c r="C495" s="639" t="s">
        <v>1617</v>
      </c>
      <c r="K495" s="639" t="s">
        <v>1618</v>
      </c>
      <c r="R495" s="27"/>
    </row>
    <row r="496" spans="1:18" s="639" customFormat="1" ht="11.25">
      <c r="A496" s="27"/>
      <c r="B496" s="27"/>
      <c r="C496" s="639" t="s">
        <v>1619</v>
      </c>
      <c r="K496" s="639" t="s">
        <v>1620</v>
      </c>
      <c r="R496" s="27"/>
    </row>
    <row r="497" spans="1:18" s="639" customFormat="1" ht="11.25">
      <c r="A497" s="27"/>
      <c r="B497" s="27"/>
      <c r="C497" s="639" t="s">
        <v>1621</v>
      </c>
      <c r="K497" s="639" t="s">
        <v>1622</v>
      </c>
      <c r="R497" s="27"/>
    </row>
    <row r="498" spans="1:18" s="639" customFormat="1" ht="11.25">
      <c r="A498" s="27"/>
      <c r="B498" s="27"/>
      <c r="C498" s="639" t="s">
        <v>1623</v>
      </c>
      <c r="K498" s="639" t="s">
        <v>1624</v>
      </c>
      <c r="R498" s="27"/>
    </row>
    <row r="499" spans="1:18" s="639" customFormat="1" ht="11.25">
      <c r="A499" s="27"/>
      <c r="B499" s="27"/>
      <c r="K499" s="1557" t="s">
        <v>1625</v>
      </c>
      <c r="R499" s="27"/>
    </row>
    <row r="500" spans="1:18" s="639" customFormat="1" ht="11.25">
      <c r="A500" s="27"/>
      <c r="B500" s="27"/>
      <c r="K500" s="639" t="s">
        <v>1626</v>
      </c>
      <c r="R500" s="27"/>
    </row>
    <row r="501" spans="1:18" s="639" customFormat="1" ht="11.25">
      <c r="A501" s="27"/>
      <c r="B501" s="27"/>
      <c r="K501" s="639" t="s">
        <v>1627</v>
      </c>
      <c r="R501" s="27"/>
    </row>
    <row r="502" spans="1:18" s="639" customFormat="1" ht="11.25">
      <c r="A502" s="27"/>
      <c r="B502" s="27"/>
      <c r="K502" s="639" t="s">
        <v>1628</v>
      </c>
      <c r="R502" s="27"/>
    </row>
    <row r="503" spans="1:18" s="639" customFormat="1" ht="11.25">
      <c r="A503" s="27"/>
      <c r="B503" s="27"/>
      <c r="K503" s="639" t="s">
        <v>1629</v>
      </c>
      <c r="R503" s="27"/>
    </row>
    <row r="504" spans="1:18" s="639" customFormat="1" ht="11.25">
      <c r="A504" s="27"/>
      <c r="B504" s="27"/>
      <c r="K504" s="639" t="s">
        <v>1630</v>
      </c>
      <c r="R504" s="27"/>
    </row>
    <row r="505" spans="1:18" s="639" customFormat="1" ht="11.25">
      <c r="A505" s="27"/>
      <c r="B505" s="27"/>
      <c r="R505" s="27"/>
    </row>
    <row r="506" spans="1:18" s="639" customFormat="1" ht="11.25">
      <c r="A506" s="27"/>
      <c r="B506" s="27"/>
      <c r="C506" s="1557" t="s">
        <v>1631</v>
      </c>
      <c r="M506" s="1557" t="s">
        <v>1632</v>
      </c>
      <c r="R506" s="27"/>
    </row>
    <row r="507" spans="1:18" s="639" customFormat="1" ht="11.25">
      <c r="A507" s="27"/>
      <c r="B507" s="27"/>
      <c r="C507" s="639" t="s">
        <v>1460</v>
      </c>
      <c r="M507" s="639" t="s">
        <v>1460</v>
      </c>
      <c r="R507" s="27"/>
    </row>
    <row r="508" spans="1:18" s="639" customFormat="1" ht="11.25">
      <c r="A508" s="27"/>
      <c r="B508" s="27"/>
      <c r="C508" s="639" t="s">
        <v>1633</v>
      </c>
      <c r="M508" s="639" t="s">
        <v>1634</v>
      </c>
      <c r="R508" s="27"/>
    </row>
    <row r="509" spans="1:18" s="639" customFormat="1" ht="11.25">
      <c r="A509" s="27"/>
      <c r="B509" s="27"/>
      <c r="C509" s="639" t="s">
        <v>1635</v>
      </c>
      <c r="M509" s="639" t="s">
        <v>1636</v>
      </c>
      <c r="R509" s="27"/>
    </row>
    <row r="510" spans="1:18" s="639" customFormat="1" ht="11.25">
      <c r="A510" s="27"/>
      <c r="B510" s="27"/>
      <c r="C510" s="639" t="s">
        <v>1637</v>
      </c>
      <c r="M510" s="639" t="s">
        <v>1638</v>
      </c>
      <c r="R510" s="27"/>
    </row>
    <row r="511" spans="1:18" s="639" customFormat="1" ht="11.25">
      <c r="A511" s="27"/>
      <c r="B511" s="27"/>
      <c r="C511" s="639" t="s">
        <v>1639</v>
      </c>
      <c r="M511" s="639" t="s">
        <v>1640</v>
      </c>
      <c r="R511" s="27"/>
    </row>
    <row r="512" spans="1:18" s="639" customFormat="1" ht="11.25">
      <c r="A512" s="27"/>
      <c r="B512" s="27"/>
      <c r="C512" s="639" t="s">
        <v>1641</v>
      </c>
      <c r="M512" s="639" t="s">
        <v>1642</v>
      </c>
      <c r="R512" s="27"/>
    </row>
    <row r="513" spans="1:18" s="639" customFormat="1" ht="11.25">
      <c r="A513" s="27"/>
      <c r="B513" s="27"/>
      <c r="C513" s="639" t="s">
        <v>1643</v>
      </c>
      <c r="M513" s="639" t="s">
        <v>1644</v>
      </c>
      <c r="R513" s="27"/>
    </row>
    <row r="514" spans="1:18" s="639" customFormat="1" ht="11.25">
      <c r="A514" s="27"/>
      <c r="B514" s="27"/>
      <c r="C514" s="639" t="s">
        <v>1645</v>
      </c>
      <c r="M514" s="639" t="s">
        <v>1646</v>
      </c>
      <c r="R514" s="27"/>
    </row>
    <row r="515" spans="1:18" s="639" customFormat="1" ht="11.25">
      <c r="A515" s="27"/>
      <c r="B515" s="27"/>
      <c r="M515" s="639" t="s">
        <v>1589</v>
      </c>
      <c r="R515" s="27"/>
    </row>
    <row r="516" spans="1:18" s="639" customFormat="1" ht="11.25">
      <c r="A516" s="27"/>
      <c r="B516" s="27"/>
      <c r="R516" s="27"/>
    </row>
    <row r="517" spans="1:18" s="639" customFormat="1" ht="11.25">
      <c r="A517" s="27"/>
      <c r="B517" s="27"/>
      <c r="R517" s="27"/>
    </row>
    <row r="518" spans="1:18" s="639" customFormat="1" ht="11.25">
      <c r="A518" s="27"/>
      <c r="B518" s="27"/>
      <c r="M518" s="1558" t="s">
        <v>1648</v>
      </c>
      <c r="R518" s="27"/>
    </row>
    <row r="519" spans="1:18" s="639" customFormat="1" ht="11.25">
      <c r="A519" s="27"/>
      <c r="B519" s="27"/>
      <c r="M519" s="639" t="s">
        <v>1477</v>
      </c>
      <c r="R519" s="27"/>
    </row>
    <row r="520" spans="1:18" s="639" customFormat="1" ht="11.25">
      <c r="A520" s="27"/>
      <c r="B520" s="27"/>
      <c r="M520" s="639" t="s">
        <v>1649</v>
      </c>
      <c r="R520" s="27"/>
    </row>
    <row r="521" spans="1:18" s="639" customFormat="1" ht="11.25">
      <c r="A521" s="27"/>
      <c r="B521" s="27"/>
      <c r="M521" s="639" t="s">
        <v>1650</v>
      </c>
      <c r="R521" s="27"/>
    </row>
    <row r="522" spans="1:18" s="639" customFormat="1" ht="11.25">
      <c r="A522" s="27"/>
      <c r="B522" s="27"/>
      <c r="M522" s="639" t="s">
        <v>1651</v>
      </c>
      <c r="R522" s="27"/>
    </row>
    <row r="523" spans="1:18" s="639" customFormat="1" ht="11.25">
      <c r="A523" s="27"/>
      <c r="B523" s="27"/>
      <c r="D523" s="1558" t="s">
        <v>1652</v>
      </c>
      <c r="M523" s="639" t="s">
        <v>1653</v>
      </c>
      <c r="R523" s="27"/>
    </row>
    <row r="524" spans="1:18" s="639" customFormat="1">
      <c r="A524" s="27"/>
      <c r="B524" s="27"/>
      <c r="J524" s="261"/>
      <c r="M524" s="639" t="s">
        <v>1654</v>
      </c>
      <c r="R524" s="27"/>
    </row>
    <row r="525" spans="1:18" s="261" customFormat="1">
      <c r="A525" s="79"/>
      <c r="B525" s="79"/>
      <c r="M525" s="639" t="s">
        <v>1655</v>
      </c>
      <c r="O525" s="639"/>
      <c r="R525" s="79"/>
    </row>
    <row r="526" spans="1:18" s="261" customFormat="1">
      <c r="A526" s="79"/>
      <c r="B526" s="79"/>
      <c r="M526" s="639" t="s">
        <v>1656</v>
      </c>
      <c r="R526" s="79"/>
    </row>
    <row r="527" spans="1:18" s="261" customFormat="1">
      <c r="A527" s="79"/>
      <c r="B527" s="79"/>
      <c r="M527" s="639" t="s">
        <v>1657</v>
      </c>
      <c r="R527" s="79"/>
    </row>
    <row r="528" spans="1:18" s="261" customFormat="1">
      <c r="A528" s="79"/>
      <c r="B528" s="79"/>
      <c r="M528" s="639" t="s">
        <v>1658</v>
      </c>
      <c r="R528" s="79"/>
    </row>
    <row r="529" spans="1:22" s="261" customFormat="1">
      <c r="A529" s="79"/>
      <c r="B529" s="79"/>
      <c r="M529" s="639" t="s">
        <v>1659</v>
      </c>
      <c r="R529" s="79"/>
    </row>
    <row r="530" spans="1:22" s="261" customFormat="1">
      <c r="A530" s="79"/>
      <c r="B530" s="79"/>
      <c r="M530" s="639" t="s">
        <v>1660</v>
      </c>
      <c r="R530" s="79"/>
    </row>
    <row r="531" spans="1:22" s="261" customFormat="1">
      <c r="A531" s="79"/>
      <c r="B531" s="79"/>
      <c r="M531" s="639" t="s">
        <v>1661</v>
      </c>
      <c r="R531" s="79"/>
    </row>
    <row r="532" spans="1:22" s="261" customFormat="1">
      <c r="A532" s="79"/>
      <c r="B532" s="79"/>
      <c r="M532" s="639" t="s">
        <v>1662</v>
      </c>
      <c r="R532" s="79"/>
    </row>
    <row r="533" spans="1:22" s="261" customFormat="1">
      <c r="A533" s="79"/>
      <c r="B533" s="79"/>
      <c r="M533" s="639" t="s">
        <v>1663</v>
      </c>
      <c r="R533" s="79"/>
    </row>
    <row r="534" spans="1:22" s="261" customFormat="1">
      <c r="A534" s="79"/>
      <c r="B534" s="79"/>
      <c r="M534" s="639"/>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00" customFormat="1" ht="12.75" customHeight="1">
      <c r="A1" s="102"/>
      <c r="B1" s="102"/>
      <c r="C1" s="102"/>
      <c r="D1"/>
      <c r="G1" s="1038"/>
      <c r="H1" s="151"/>
      <c r="I1" s="99"/>
      <c r="J1" s="102"/>
      <c r="K1" s="152"/>
      <c r="L1" s="152"/>
      <c r="M1" s="152"/>
      <c r="N1" s="152"/>
      <c r="O1" s="102"/>
      <c r="P1" s="99"/>
      <c r="Q1" s="150"/>
      <c r="R1" s="150"/>
      <c r="S1" s="99"/>
      <c r="T1" s="99"/>
      <c r="U1" s="99"/>
      <c r="AA1" s="42"/>
      <c r="AB1" s="42"/>
    </row>
    <row r="2" spans="1:28" s="100" customFormat="1" ht="11.65" customHeight="1">
      <c r="A2" s="4324" t="s">
        <v>2450</v>
      </c>
      <c r="B2" s="4324"/>
      <c r="C2" s="102"/>
      <c r="D2" s="633">
        <v>2021</v>
      </c>
      <c r="E2" s="99"/>
      <c r="F2" s="4318" t="s">
        <v>2451</v>
      </c>
      <c r="G2" s="4319"/>
      <c r="H2" s="4319"/>
      <c r="I2" s="4319"/>
      <c r="J2" s="4320"/>
      <c r="K2" s="152"/>
      <c r="L2" s="334" t="s">
        <v>2452</v>
      </c>
      <c r="M2" s="152"/>
      <c r="N2" s="4318" t="s">
        <v>2451</v>
      </c>
      <c r="O2" s="4319"/>
      <c r="P2" s="4319"/>
      <c r="Q2" s="4319"/>
      <c r="R2" s="4320"/>
      <c r="S2" s="157"/>
      <c r="T2" s="99"/>
      <c r="U2" s="99"/>
      <c r="V2" s="232"/>
      <c r="W2" s="232"/>
      <c r="X2" s="232"/>
      <c r="AA2" s="42"/>
      <c r="AB2" s="42"/>
    </row>
    <row r="3" spans="1:28" s="100" customFormat="1" ht="11.65" customHeight="1">
      <c r="A3" s="4324"/>
      <c r="B3" s="4324"/>
      <c r="D3" s="335" t="s">
        <v>2453</v>
      </c>
      <c r="E3" s="335" t="s">
        <v>2454</v>
      </c>
      <c r="F3" s="336">
        <v>0</v>
      </c>
      <c r="G3" s="337">
        <v>1</v>
      </c>
      <c r="H3" s="663">
        <v>2</v>
      </c>
      <c r="I3" s="663">
        <v>3</v>
      </c>
      <c r="J3" s="338" t="s">
        <v>2455</v>
      </c>
      <c r="L3" s="335" t="s">
        <v>2453</v>
      </c>
      <c r="M3" s="335" t="s">
        <v>2454</v>
      </c>
      <c r="N3" s="336">
        <v>0</v>
      </c>
      <c r="O3" s="337">
        <v>1</v>
      </c>
      <c r="P3" s="663">
        <v>2</v>
      </c>
      <c r="Q3" s="663">
        <v>3</v>
      </c>
      <c r="R3" s="338" t="s">
        <v>2455</v>
      </c>
      <c r="S3" s="157"/>
      <c r="T3" s="99"/>
      <c r="U3" s="99"/>
      <c r="V3" s="232"/>
      <c r="W3" s="232"/>
      <c r="X3" s="232"/>
      <c r="AA3" s="42"/>
      <c r="AB3" s="42"/>
    </row>
    <row r="4" spans="1:28" s="100" customFormat="1" ht="11.65" customHeight="1">
      <c r="A4" s="4324"/>
      <c r="B4" s="4324"/>
      <c r="D4" s="623" t="s">
        <v>1975</v>
      </c>
      <c r="E4" s="623" t="s">
        <v>2456</v>
      </c>
      <c r="F4" s="624">
        <v>142816</v>
      </c>
      <c r="G4" s="624">
        <v>184662</v>
      </c>
      <c r="H4" s="624">
        <v>220865</v>
      </c>
      <c r="I4" s="624">
        <v>263215</v>
      </c>
      <c r="J4" s="624">
        <v>310038</v>
      </c>
      <c r="L4" s="157" t="s">
        <v>1975</v>
      </c>
      <c r="M4" s="157" t="s">
        <v>2456</v>
      </c>
      <c r="N4" s="673">
        <f t="shared" ref="N4:N39" si="0">ROUNDDOWN(F4*1.1,0)</f>
        <v>157097</v>
      </c>
      <c r="O4" s="673">
        <f t="shared" ref="O4:O39" si="1">ROUNDDOWN(G4*1.1,0)</f>
        <v>203128</v>
      </c>
      <c r="P4" s="673">
        <f t="shared" ref="P4:P39" si="2">ROUNDDOWN(H4*1.1,0)</f>
        <v>242951</v>
      </c>
      <c r="Q4" s="673">
        <f t="shared" ref="Q4:Q39" si="3">ROUNDDOWN(I4*1.1,0)</f>
        <v>289536</v>
      </c>
      <c r="R4" s="673">
        <f t="shared" ref="R4:R39" si="4">ROUNDDOWN(J4*1.1,0)</f>
        <v>341041</v>
      </c>
      <c r="S4" s="157"/>
      <c r="T4" s="99"/>
      <c r="U4" s="99"/>
      <c r="V4" s="232"/>
      <c r="W4" s="232"/>
      <c r="X4" s="232"/>
      <c r="AA4" s="42"/>
      <c r="AB4" s="42"/>
    </row>
    <row r="5" spans="1:28" s="100" customFormat="1" ht="11.65" customHeight="1">
      <c r="A5" s="102"/>
      <c r="D5" s="623" t="s">
        <v>1975</v>
      </c>
      <c r="E5" s="623" t="s">
        <v>1215</v>
      </c>
      <c r="F5" s="624">
        <v>111333</v>
      </c>
      <c r="G5" s="624">
        <v>155866</v>
      </c>
      <c r="H5" s="624">
        <v>200399</v>
      </c>
      <c r="I5" s="624">
        <v>267199</v>
      </c>
      <c r="J5" s="624">
        <v>333999</v>
      </c>
      <c r="L5" s="157" t="s">
        <v>1975</v>
      </c>
      <c r="M5" s="157" t="s">
        <v>1215</v>
      </c>
      <c r="N5" s="673">
        <f t="shared" si="0"/>
        <v>122466</v>
      </c>
      <c r="O5" s="673">
        <f t="shared" si="1"/>
        <v>171452</v>
      </c>
      <c r="P5" s="673">
        <f t="shared" si="2"/>
        <v>220438</v>
      </c>
      <c r="Q5" s="673">
        <f t="shared" si="3"/>
        <v>293918</v>
      </c>
      <c r="R5" s="673">
        <f t="shared" si="4"/>
        <v>367398</v>
      </c>
      <c r="S5" s="157"/>
      <c r="T5" s="99"/>
      <c r="U5" s="99"/>
      <c r="V5" s="232"/>
      <c r="W5" s="232"/>
      <c r="X5" s="232"/>
      <c r="AA5" s="42"/>
      <c r="AB5" s="42"/>
    </row>
    <row r="6" spans="1:28" s="100" customFormat="1" ht="11.65" customHeight="1">
      <c r="A6" s="102"/>
      <c r="D6" s="623" t="s">
        <v>1975</v>
      </c>
      <c r="E6" s="623" t="s">
        <v>1213</v>
      </c>
      <c r="F6" s="624">
        <v>123345</v>
      </c>
      <c r="G6" s="624">
        <v>160923</v>
      </c>
      <c r="H6" s="624">
        <v>194869</v>
      </c>
      <c r="I6" s="624">
        <v>237606</v>
      </c>
      <c r="J6" s="624">
        <v>281429</v>
      </c>
      <c r="L6" s="157" t="s">
        <v>1975</v>
      </c>
      <c r="M6" s="157" t="s">
        <v>1213</v>
      </c>
      <c r="N6" s="673">
        <f t="shared" si="0"/>
        <v>135679</v>
      </c>
      <c r="O6" s="673">
        <f t="shared" si="1"/>
        <v>177015</v>
      </c>
      <c r="P6" s="673">
        <f t="shared" si="2"/>
        <v>214355</v>
      </c>
      <c r="Q6" s="673">
        <f t="shared" si="3"/>
        <v>261366</v>
      </c>
      <c r="R6" s="673">
        <f t="shared" si="4"/>
        <v>309571</v>
      </c>
      <c r="S6" s="157"/>
      <c r="T6" s="99"/>
      <c r="U6" s="99"/>
      <c r="V6" s="232"/>
      <c r="W6" s="232"/>
      <c r="X6" s="232"/>
      <c r="AA6" s="42"/>
      <c r="AB6" s="42"/>
    </row>
    <row r="7" spans="1:28" s="100" customFormat="1" ht="11.65" customHeight="1">
      <c r="A7" s="102"/>
      <c r="D7" s="623" t="s">
        <v>1975</v>
      </c>
      <c r="E7" s="623" t="s">
        <v>1214</v>
      </c>
      <c r="F7" s="624">
        <v>110658</v>
      </c>
      <c r="G7" s="624">
        <v>150909</v>
      </c>
      <c r="H7" s="624">
        <v>191026</v>
      </c>
      <c r="I7" s="624">
        <v>251664</v>
      </c>
      <c r="J7" s="624">
        <v>311733</v>
      </c>
      <c r="L7" s="157" t="s">
        <v>1975</v>
      </c>
      <c r="M7" s="157" t="s">
        <v>1214</v>
      </c>
      <c r="N7" s="673">
        <f t="shared" si="0"/>
        <v>121723</v>
      </c>
      <c r="O7" s="673">
        <f t="shared" si="1"/>
        <v>165999</v>
      </c>
      <c r="P7" s="673">
        <f t="shared" si="2"/>
        <v>210128</v>
      </c>
      <c r="Q7" s="673">
        <f t="shared" si="3"/>
        <v>276830</v>
      </c>
      <c r="R7" s="673">
        <f t="shared" si="4"/>
        <v>342906</v>
      </c>
      <c r="S7" s="157"/>
      <c r="T7" s="99"/>
      <c r="U7" s="99"/>
      <c r="V7" s="232"/>
      <c r="W7" s="232"/>
      <c r="X7" s="232"/>
      <c r="AA7" s="42"/>
      <c r="AB7" s="42"/>
    </row>
    <row r="8" spans="1:28" s="100" customFormat="1" ht="11.65" customHeight="1">
      <c r="A8" s="102"/>
      <c r="D8" s="615" t="s">
        <v>2457</v>
      </c>
      <c r="E8" s="615" t="s">
        <v>2456</v>
      </c>
      <c r="F8" s="616">
        <v>141797</v>
      </c>
      <c r="G8" s="616">
        <v>183527</v>
      </c>
      <c r="H8" s="616">
        <v>219633</v>
      </c>
      <c r="I8" s="616">
        <v>261936</v>
      </c>
      <c r="J8" s="616">
        <v>308710</v>
      </c>
      <c r="L8" s="157" t="s">
        <v>2457</v>
      </c>
      <c r="M8" s="157" t="s">
        <v>2456</v>
      </c>
      <c r="N8" s="673">
        <f t="shared" si="0"/>
        <v>155976</v>
      </c>
      <c r="O8" s="673">
        <f t="shared" si="1"/>
        <v>201879</v>
      </c>
      <c r="P8" s="673">
        <f t="shared" si="2"/>
        <v>241596</v>
      </c>
      <c r="Q8" s="673">
        <f t="shared" si="3"/>
        <v>288129</v>
      </c>
      <c r="R8" s="673">
        <f t="shared" si="4"/>
        <v>339581</v>
      </c>
      <c r="S8" s="157"/>
      <c r="T8" s="99"/>
      <c r="U8" s="99"/>
      <c r="V8" s="232"/>
      <c r="W8" s="232"/>
      <c r="X8" s="232"/>
      <c r="AA8" s="42"/>
      <c r="AB8" s="42"/>
    </row>
    <row r="9" spans="1:28" s="100" customFormat="1" ht="11.65" customHeight="1">
      <c r="A9" s="102"/>
      <c r="D9" s="615" t="s">
        <v>2457</v>
      </c>
      <c r="E9" s="615" t="s">
        <v>1215</v>
      </c>
      <c r="F9" s="616">
        <v>110497</v>
      </c>
      <c r="G9" s="616">
        <v>154696</v>
      </c>
      <c r="H9" s="616">
        <v>198895</v>
      </c>
      <c r="I9" s="616">
        <v>265193</v>
      </c>
      <c r="J9" s="616">
        <v>331491</v>
      </c>
      <c r="L9" s="157" t="s">
        <v>2457</v>
      </c>
      <c r="M9" s="157" t="s">
        <v>1215</v>
      </c>
      <c r="N9" s="673">
        <f t="shared" si="0"/>
        <v>121546</v>
      </c>
      <c r="O9" s="673">
        <f t="shared" si="1"/>
        <v>170165</v>
      </c>
      <c r="P9" s="673">
        <f t="shared" si="2"/>
        <v>218784</v>
      </c>
      <c r="Q9" s="673">
        <f t="shared" si="3"/>
        <v>291712</v>
      </c>
      <c r="R9" s="673">
        <f t="shared" si="4"/>
        <v>364640</v>
      </c>
      <c r="S9" s="157"/>
      <c r="T9" s="99"/>
      <c r="U9" s="99"/>
      <c r="V9" s="232"/>
      <c r="W9" s="232"/>
      <c r="X9" s="232"/>
      <c r="AA9" s="42"/>
      <c r="AB9" s="42"/>
    </row>
    <row r="10" spans="1:28" s="100" customFormat="1" ht="11.65" customHeight="1">
      <c r="A10" s="102"/>
      <c r="D10" s="615" t="s">
        <v>2457</v>
      </c>
      <c r="E10" s="615" t="s">
        <v>1213</v>
      </c>
      <c r="F10" s="616">
        <v>121614</v>
      </c>
      <c r="G10" s="616">
        <v>158920</v>
      </c>
      <c r="H10" s="616">
        <v>192685</v>
      </c>
      <c r="I10" s="616">
        <v>235391</v>
      </c>
      <c r="J10" s="616">
        <v>279054</v>
      </c>
      <c r="L10" s="157" t="s">
        <v>2457</v>
      </c>
      <c r="M10" s="157" t="s">
        <v>1213</v>
      </c>
      <c r="N10" s="673">
        <f t="shared" si="0"/>
        <v>133775</v>
      </c>
      <c r="O10" s="673">
        <f t="shared" si="1"/>
        <v>174812</v>
      </c>
      <c r="P10" s="673">
        <f t="shared" si="2"/>
        <v>211953</v>
      </c>
      <c r="Q10" s="673">
        <f t="shared" si="3"/>
        <v>258930</v>
      </c>
      <c r="R10" s="673">
        <f t="shared" si="4"/>
        <v>306959</v>
      </c>
      <c r="S10" s="157"/>
      <c r="T10" s="99"/>
      <c r="U10" s="99"/>
      <c r="V10" s="232"/>
      <c r="W10" s="232"/>
      <c r="X10" s="232"/>
      <c r="AA10" s="42"/>
      <c r="AB10" s="42"/>
    </row>
    <row r="11" spans="1:28" s="100" customFormat="1" ht="11.65" customHeight="1">
      <c r="A11" s="102"/>
      <c r="D11" s="615" t="s">
        <v>2457</v>
      </c>
      <c r="E11" s="615" t="s">
        <v>1214</v>
      </c>
      <c r="F11" s="616">
        <v>108520</v>
      </c>
      <c r="G11" s="616">
        <v>147769</v>
      </c>
      <c r="H11" s="616">
        <v>186880</v>
      </c>
      <c r="I11" s="616">
        <v>246024</v>
      </c>
      <c r="J11" s="616">
        <v>304578</v>
      </c>
      <c r="L11" s="157" t="s">
        <v>2457</v>
      </c>
      <c r="M11" s="157" t="s">
        <v>1214</v>
      </c>
      <c r="N11" s="673">
        <f t="shared" si="0"/>
        <v>119372</v>
      </c>
      <c r="O11" s="673">
        <f t="shared" si="1"/>
        <v>162545</v>
      </c>
      <c r="P11" s="673">
        <f t="shared" si="2"/>
        <v>205568</v>
      </c>
      <c r="Q11" s="673">
        <f t="shared" si="3"/>
        <v>270626</v>
      </c>
      <c r="R11" s="673">
        <f t="shared" si="4"/>
        <v>335035</v>
      </c>
      <c r="S11" s="157"/>
      <c r="T11" s="99"/>
      <c r="U11" s="99"/>
      <c r="V11" s="232"/>
      <c r="W11" s="232"/>
      <c r="X11" s="232"/>
      <c r="AA11" s="42"/>
      <c r="AB11" s="42"/>
    </row>
    <row r="12" spans="1:28" s="100" customFormat="1" ht="11.65" customHeight="1">
      <c r="A12" s="102"/>
      <c r="D12" s="613" t="s">
        <v>55</v>
      </c>
      <c r="E12" s="613" t="s">
        <v>2456</v>
      </c>
      <c r="F12" s="614">
        <v>155687</v>
      </c>
      <c r="G12" s="614">
        <v>201438</v>
      </c>
      <c r="H12" s="614">
        <v>241022</v>
      </c>
      <c r="I12" s="614">
        <v>287374</v>
      </c>
      <c r="J12" s="614">
        <v>338625</v>
      </c>
      <c r="L12" s="333" t="s">
        <v>55</v>
      </c>
      <c r="M12" s="333" t="s">
        <v>2456</v>
      </c>
      <c r="N12" s="673">
        <f t="shared" si="0"/>
        <v>171255</v>
      </c>
      <c r="O12" s="673">
        <f t="shared" si="1"/>
        <v>221581</v>
      </c>
      <c r="P12" s="673">
        <f t="shared" si="2"/>
        <v>265124</v>
      </c>
      <c r="Q12" s="673">
        <f t="shared" si="3"/>
        <v>316111</v>
      </c>
      <c r="R12" s="673">
        <f t="shared" si="4"/>
        <v>372487</v>
      </c>
      <c r="S12" s="157"/>
      <c r="T12" s="99"/>
      <c r="U12" s="99"/>
      <c r="V12" s="232"/>
      <c r="W12" s="232"/>
      <c r="X12" s="232"/>
      <c r="AA12" s="42"/>
      <c r="AB12" s="42"/>
    </row>
    <row r="13" spans="1:28" s="100" customFormat="1" ht="11.65" customHeight="1">
      <c r="A13" s="102"/>
      <c r="D13" s="613" t="s">
        <v>55</v>
      </c>
      <c r="E13" s="613" t="s">
        <v>1215</v>
      </c>
      <c r="F13" s="614">
        <v>121337</v>
      </c>
      <c r="G13" s="614">
        <v>169871</v>
      </c>
      <c r="H13" s="614">
        <v>218406</v>
      </c>
      <c r="I13" s="614">
        <v>291208</v>
      </c>
      <c r="J13" s="614">
        <v>364010</v>
      </c>
      <c r="L13" s="333" t="s">
        <v>55</v>
      </c>
      <c r="M13" s="333" t="s">
        <v>1215</v>
      </c>
      <c r="N13" s="673">
        <f t="shared" si="0"/>
        <v>133470</v>
      </c>
      <c r="O13" s="673">
        <f t="shared" si="1"/>
        <v>186858</v>
      </c>
      <c r="P13" s="673">
        <f t="shared" si="2"/>
        <v>240246</v>
      </c>
      <c r="Q13" s="673">
        <f t="shared" si="3"/>
        <v>320328</v>
      </c>
      <c r="R13" s="673">
        <f t="shared" si="4"/>
        <v>400411</v>
      </c>
      <c r="S13" s="157"/>
      <c r="T13" s="99"/>
      <c r="U13" s="99"/>
      <c r="V13" s="232"/>
      <c r="W13" s="232"/>
      <c r="X13" s="232"/>
      <c r="AA13" s="42"/>
      <c r="AB13" s="42"/>
    </row>
    <row r="14" spans="1:28" s="100" customFormat="1" ht="11.65" customHeight="1">
      <c r="A14" s="102"/>
      <c r="D14" s="613" t="s">
        <v>55</v>
      </c>
      <c r="E14" s="613" t="s">
        <v>1213</v>
      </c>
      <c r="F14" s="614">
        <v>133842</v>
      </c>
      <c r="G14" s="614">
        <v>174804</v>
      </c>
      <c r="H14" s="614">
        <v>211854</v>
      </c>
      <c r="I14" s="614">
        <v>258642</v>
      </c>
      <c r="J14" s="614">
        <v>306526</v>
      </c>
      <c r="L14" s="333" t="s">
        <v>55</v>
      </c>
      <c r="M14" s="333" t="s">
        <v>1213</v>
      </c>
      <c r="N14" s="673">
        <f t="shared" si="0"/>
        <v>147226</v>
      </c>
      <c r="O14" s="673">
        <f t="shared" si="1"/>
        <v>192284</v>
      </c>
      <c r="P14" s="673">
        <f t="shared" si="2"/>
        <v>233039</v>
      </c>
      <c r="Q14" s="673">
        <f t="shared" si="3"/>
        <v>284506</v>
      </c>
      <c r="R14" s="673">
        <f t="shared" si="4"/>
        <v>337178</v>
      </c>
      <c r="S14" s="157"/>
      <c r="T14" s="99"/>
      <c r="U14" s="99"/>
      <c r="V14" s="232"/>
      <c r="W14" s="232"/>
      <c r="X14" s="232"/>
      <c r="AA14" s="42"/>
      <c r="AB14" s="42"/>
    </row>
    <row r="15" spans="1:28" s="100" customFormat="1" ht="11.65" customHeight="1">
      <c r="A15" s="102"/>
      <c r="D15" s="613" t="s">
        <v>55</v>
      </c>
      <c r="E15" s="613" t="s">
        <v>1214</v>
      </c>
      <c r="F15" s="614">
        <v>119649</v>
      </c>
      <c r="G15" s="614">
        <v>163008</v>
      </c>
      <c r="H15" s="614">
        <v>206217</v>
      </c>
      <c r="I15" s="614">
        <v>271547</v>
      </c>
      <c r="J15" s="614">
        <v>336239</v>
      </c>
      <c r="L15" s="333" t="s">
        <v>55</v>
      </c>
      <c r="M15" s="333" t="s">
        <v>1214</v>
      </c>
      <c r="N15" s="673">
        <f t="shared" si="0"/>
        <v>131613</v>
      </c>
      <c r="O15" s="673">
        <f t="shared" si="1"/>
        <v>179308</v>
      </c>
      <c r="P15" s="673">
        <f t="shared" si="2"/>
        <v>226838</v>
      </c>
      <c r="Q15" s="673">
        <f t="shared" si="3"/>
        <v>298701</v>
      </c>
      <c r="R15" s="673">
        <f t="shared" si="4"/>
        <v>369862</v>
      </c>
      <c r="S15" s="157"/>
      <c r="T15" s="99"/>
      <c r="U15" s="99"/>
      <c r="V15" s="232"/>
      <c r="W15" s="232"/>
      <c r="X15" s="232"/>
      <c r="AA15" s="42"/>
      <c r="AB15" s="42"/>
    </row>
    <row r="16" spans="1:28" s="100" customFormat="1" ht="11.65" customHeight="1">
      <c r="A16" s="102"/>
      <c r="D16" s="617" t="s">
        <v>2458</v>
      </c>
      <c r="E16" s="617" t="s">
        <v>2456</v>
      </c>
      <c r="F16" s="618">
        <v>145521</v>
      </c>
      <c r="G16" s="618">
        <v>188031</v>
      </c>
      <c r="H16" s="618">
        <v>224805</v>
      </c>
      <c r="I16" s="618">
        <v>267776</v>
      </c>
      <c r="J16" s="618">
        <v>315283</v>
      </c>
      <c r="L16" s="333" t="s">
        <v>2458</v>
      </c>
      <c r="M16" s="333" t="s">
        <v>2456</v>
      </c>
      <c r="N16" s="673">
        <f t="shared" si="0"/>
        <v>160073</v>
      </c>
      <c r="O16" s="673">
        <f t="shared" si="1"/>
        <v>206834</v>
      </c>
      <c r="P16" s="673">
        <f t="shared" si="2"/>
        <v>247285</v>
      </c>
      <c r="Q16" s="673">
        <f t="shared" si="3"/>
        <v>294553</v>
      </c>
      <c r="R16" s="673">
        <f t="shared" si="4"/>
        <v>346811</v>
      </c>
      <c r="S16" s="157"/>
      <c r="T16" s="99"/>
      <c r="U16" s="99"/>
      <c r="V16" s="232"/>
      <c r="W16" s="232"/>
      <c r="X16" s="232"/>
      <c r="AA16" s="42"/>
      <c r="AB16" s="42"/>
    </row>
    <row r="17" spans="1:28" s="100" customFormat="1" ht="11.65" customHeight="1">
      <c r="A17" s="102"/>
      <c r="D17" s="617" t="s">
        <v>2458</v>
      </c>
      <c r="E17" s="617" t="s">
        <v>1215</v>
      </c>
      <c r="F17" s="618">
        <v>113472</v>
      </c>
      <c r="G17" s="618">
        <v>158861</v>
      </c>
      <c r="H17" s="618">
        <v>204249</v>
      </c>
      <c r="I17" s="618">
        <v>272333</v>
      </c>
      <c r="J17" s="618">
        <v>340416</v>
      </c>
      <c r="L17" s="333" t="s">
        <v>2458</v>
      </c>
      <c r="M17" s="333" t="s">
        <v>1215</v>
      </c>
      <c r="N17" s="673">
        <f t="shared" si="0"/>
        <v>124819</v>
      </c>
      <c r="O17" s="673">
        <f t="shared" si="1"/>
        <v>174747</v>
      </c>
      <c r="P17" s="673">
        <f t="shared" si="2"/>
        <v>224673</v>
      </c>
      <c r="Q17" s="673">
        <f t="shared" si="3"/>
        <v>299566</v>
      </c>
      <c r="R17" s="673">
        <f t="shared" si="4"/>
        <v>374457</v>
      </c>
      <c r="S17" s="157"/>
      <c r="T17" s="99"/>
      <c r="U17" s="99"/>
      <c r="V17" s="232"/>
      <c r="W17" s="232"/>
      <c r="X17" s="232"/>
      <c r="AA17" s="42"/>
      <c r="AB17" s="42"/>
    </row>
    <row r="18" spans="1:28" s="100" customFormat="1" ht="11.65" customHeight="1">
      <c r="A18" s="102"/>
      <c r="D18" s="617" t="s">
        <v>2458</v>
      </c>
      <c r="E18" s="617" t="s">
        <v>1213</v>
      </c>
      <c r="F18" s="618">
        <v>126289</v>
      </c>
      <c r="G18" s="618">
        <v>164581</v>
      </c>
      <c r="H18" s="618">
        <v>199126</v>
      </c>
      <c r="I18" s="618">
        <v>242479</v>
      </c>
      <c r="J18" s="618">
        <v>287022</v>
      </c>
      <c r="L18" s="333" t="s">
        <v>2458</v>
      </c>
      <c r="M18" s="333" t="s">
        <v>1213</v>
      </c>
      <c r="N18" s="673">
        <f t="shared" si="0"/>
        <v>138917</v>
      </c>
      <c r="O18" s="673">
        <f t="shared" si="1"/>
        <v>181039</v>
      </c>
      <c r="P18" s="673">
        <f t="shared" si="2"/>
        <v>219038</v>
      </c>
      <c r="Q18" s="673">
        <f t="shared" si="3"/>
        <v>266726</v>
      </c>
      <c r="R18" s="673">
        <f t="shared" si="4"/>
        <v>315724</v>
      </c>
      <c r="S18" s="157"/>
      <c r="T18" s="99"/>
      <c r="U18" s="99"/>
      <c r="V18" s="232"/>
      <c r="W18" s="232"/>
      <c r="X18" s="232"/>
      <c r="AA18" s="42"/>
      <c r="AB18" s="42"/>
    </row>
    <row r="19" spans="1:28" s="100" customFormat="1" ht="11.65" customHeight="1">
      <c r="A19" s="102"/>
      <c r="D19" s="617" t="s">
        <v>2458</v>
      </c>
      <c r="E19" s="617" t="s">
        <v>1214</v>
      </c>
      <c r="F19" s="618">
        <v>113715</v>
      </c>
      <c r="G19" s="618">
        <v>155238</v>
      </c>
      <c r="H19" s="618">
        <v>196629</v>
      </c>
      <c r="I19" s="618">
        <v>259171</v>
      </c>
      <c r="J19" s="618">
        <v>321151</v>
      </c>
      <c r="L19" s="333" t="s">
        <v>2458</v>
      </c>
      <c r="M19" s="333" t="s">
        <v>1214</v>
      </c>
      <c r="N19" s="673">
        <f t="shared" si="0"/>
        <v>125086</v>
      </c>
      <c r="O19" s="673">
        <f t="shared" si="1"/>
        <v>170761</v>
      </c>
      <c r="P19" s="673">
        <f t="shared" si="2"/>
        <v>216291</v>
      </c>
      <c r="Q19" s="673">
        <f t="shared" si="3"/>
        <v>285088</v>
      </c>
      <c r="R19" s="673">
        <f t="shared" si="4"/>
        <v>353266</v>
      </c>
      <c r="S19" s="157"/>
      <c r="T19" s="99"/>
      <c r="U19" s="99"/>
      <c r="V19" s="232"/>
      <c r="W19" s="232"/>
      <c r="X19" s="232"/>
      <c r="AA19" s="42"/>
      <c r="AB19" s="42"/>
    </row>
    <row r="20" spans="1:28" s="100" customFormat="1" ht="11.65" customHeight="1">
      <c r="A20" s="102"/>
      <c r="D20" s="157" t="s">
        <v>2459</v>
      </c>
      <c r="E20" s="157" t="s">
        <v>2456</v>
      </c>
      <c r="F20" s="524">
        <v>151294</v>
      </c>
      <c r="G20" s="524">
        <v>195836</v>
      </c>
      <c r="H20" s="524">
        <v>234374</v>
      </c>
      <c r="I20" s="524">
        <v>279532</v>
      </c>
      <c r="J20" s="524">
        <v>329464</v>
      </c>
      <c r="L20" s="157" t="s">
        <v>2459</v>
      </c>
      <c r="M20" s="333" t="s">
        <v>2456</v>
      </c>
      <c r="N20" s="673">
        <f t="shared" si="0"/>
        <v>166423</v>
      </c>
      <c r="O20" s="673">
        <f t="shared" si="1"/>
        <v>215419</v>
      </c>
      <c r="P20" s="673">
        <f t="shared" si="2"/>
        <v>257811</v>
      </c>
      <c r="Q20" s="673">
        <f t="shared" si="3"/>
        <v>307485</v>
      </c>
      <c r="R20" s="673">
        <f t="shared" si="4"/>
        <v>362410</v>
      </c>
      <c r="S20" s="157"/>
      <c r="T20" s="99"/>
      <c r="U20" s="99"/>
      <c r="V20" s="232"/>
      <c r="W20" s="232"/>
      <c r="X20" s="232"/>
      <c r="AA20" s="42"/>
      <c r="AB20" s="42"/>
    </row>
    <row r="21" spans="1:28" s="100" customFormat="1" ht="11.65" customHeight="1">
      <c r="A21" s="102"/>
      <c r="D21" s="157" t="s">
        <v>2459</v>
      </c>
      <c r="E21" s="157" t="s">
        <v>1215</v>
      </c>
      <c r="F21" s="524">
        <v>117895</v>
      </c>
      <c r="G21" s="524">
        <v>165052</v>
      </c>
      <c r="H21" s="524">
        <v>212210</v>
      </c>
      <c r="I21" s="524">
        <v>282947</v>
      </c>
      <c r="J21" s="524">
        <v>353684</v>
      </c>
      <c r="L21" s="157" t="s">
        <v>2459</v>
      </c>
      <c r="M21" s="333" t="s">
        <v>1215</v>
      </c>
      <c r="N21" s="673">
        <f t="shared" si="0"/>
        <v>129684</v>
      </c>
      <c r="O21" s="673">
        <f t="shared" si="1"/>
        <v>181557</v>
      </c>
      <c r="P21" s="673">
        <f t="shared" si="2"/>
        <v>233431</v>
      </c>
      <c r="Q21" s="673">
        <f t="shared" si="3"/>
        <v>311241</v>
      </c>
      <c r="R21" s="673">
        <f t="shared" si="4"/>
        <v>389052</v>
      </c>
      <c r="S21" s="157"/>
      <c r="T21" s="99"/>
      <c r="U21" s="99"/>
      <c r="V21" s="232"/>
      <c r="W21" s="232"/>
      <c r="X21" s="232"/>
      <c r="AA21" s="42"/>
      <c r="AB21" s="42"/>
    </row>
    <row r="22" spans="1:28" s="100" customFormat="1" ht="11.65" customHeight="1">
      <c r="A22" s="102"/>
      <c r="D22" s="157" t="s">
        <v>2459</v>
      </c>
      <c r="E22" s="157" t="s">
        <v>1213</v>
      </c>
      <c r="F22" s="524">
        <v>129687</v>
      </c>
      <c r="G22" s="524">
        <v>169491</v>
      </c>
      <c r="H22" s="524">
        <v>205524</v>
      </c>
      <c r="I22" s="524">
        <v>251113</v>
      </c>
      <c r="J22" s="524">
        <v>297714</v>
      </c>
      <c r="L22" s="157" t="s">
        <v>2459</v>
      </c>
      <c r="M22" s="333" t="s">
        <v>1213</v>
      </c>
      <c r="N22" s="673">
        <f t="shared" si="0"/>
        <v>142655</v>
      </c>
      <c r="O22" s="673">
        <f t="shared" si="1"/>
        <v>186440</v>
      </c>
      <c r="P22" s="673">
        <f t="shared" si="2"/>
        <v>226076</v>
      </c>
      <c r="Q22" s="673">
        <f t="shared" si="3"/>
        <v>276224</v>
      </c>
      <c r="R22" s="673">
        <f t="shared" si="4"/>
        <v>327485</v>
      </c>
      <c r="S22" s="157"/>
      <c r="T22" s="99"/>
      <c r="U22" s="99"/>
      <c r="V22" s="232"/>
      <c r="W22" s="232"/>
      <c r="X22" s="232"/>
      <c r="AA22" s="42"/>
      <c r="AB22" s="42"/>
    </row>
    <row r="23" spans="1:28" s="100" customFormat="1" ht="11.65" customHeight="1">
      <c r="A23" s="102"/>
      <c r="D23" s="157" t="s">
        <v>2459</v>
      </c>
      <c r="E23" s="157" t="s">
        <v>1214</v>
      </c>
      <c r="F23" s="524">
        <v>115673</v>
      </c>
      <c r="G23" s="524">
        <v>157490</v>
      </c>
      <c r="H23" s="524">
        <v>199159</v>
      </c>
      <c r="I23" s="524">
        <v>262174</v>
      </c>
      <c r="J23" s="524">
        <v>324557</v>
      </c>
      <c r="L23" s="157" t="s">
        <v>2459</v>
      </c>
      <c r="M23" s="333" t="s">
        <v>1214</v>
      </c>
      <c r="N23" s="673">
        <f t="shared" si="0"/>
        <v>127240</v>
      </c>
      <c r="O23" s="673">
        <f t="shared" si="1"/>
        <v>173239</v>
      </c>
      <c r="P23" s="673">
        <f t="shared" si="2"/>
        <v>219074</v>
      </c>
      <c r="Q23" s="673">
        <f t="shared" si="3"/>
        <v>288391</v>
      </c>
      <c r="R23" s="673">
        <f t="shared" si="4"/>
        <v>357012</v>
      </c>
      <c r="S23" s="157"/>
      <c r="T23" s="99"/>
      <c r="U23" s="99"/>
      <c r="V23" s="232"/>
      <c r="W23" s="232"/>
      <c r="X23" s="232"/>
      <c r="AA23" s="42"/>
      <c r="AB23" s="42"/>
    </row>
    <row r="24" spans="1:28" s="100" customFormat="1" ht="11.65" customHeight="1">
      <c r="A24" s="102"/>
      <c r="D24" s="619" t="s">
        <v>2460</v>
      </c>
      <c r="E24" s="619" t="s">
        <v>2456</v>
      </c>
      <c r="F24" s="620">
        <v>142816</v>
      </c>
      <c r="G24" s="620">
        <v>184662</v>
      </c>
      <c r="H24" s="620">
        <v>220865</v>
      </c>
      <c r="I24" s="620">
        <v>263215</v>
      </c>
      <c r="J24" s="620">
        <v>310038</v>
      </c>
      <c r="L24" s="157" t="s">
        <v>2460</v>
      </c>
      <c r="M24" s="157" t="s">
        <v>2456</v>
      </c>
      <c r="N24" s="673">
        <f t="shared" si="0"/>
        <v>157097</v>
      </c>
      <c r="O24" s="673">
        <f t="shared" si="1"/>
        <v>203128</v>
      </c>
      <c r="P24" s="673">
        <f t="shared" si="2"/>
        <v>242951</v>
      </c>
      <c r="Q24" s="673">
        <f t="shared" si="3"/>
        <v>289536</v>
      </c>
      <c r="R24" s="673">
        <f t="shared" si="4"/>
        <v>341041</v>
      </c>
      <c r="S24" s="157"/>
      <c r="T24" s="99"/>
      <c r="U24" s="99"/>
      <c r="V24" s="232"/>
      <c r="W24" s="232"/>
      <c r="X24" s="232"/>
      <c r="AA24" s="42"/>
      <c r="AB24" s="42"/>
    </row>
    <row r="25" spans="1:28" s="100" customFormat="1" ht="11.65" customHeight="1">
      <c r="A25" s="102"/>
      <c r="D25" s="619" t="s">
        <v>2460</v>
      </c>
      <c r="E25" s="619" t="s">
        <v>1215</v>
      </c>
      <c r="F25" s="620">
        <v>111333</v>
      </c>
      <c r="G25" s="620">
        <v>155866</v>
      </c>
      <c r="H25" s="620">
        <v>200399</v>
      </c>
      <c r="I25" s="620">
        <v>267199</v>
      </c>
      <c r="J25" s="620">
        <v>333999</v>
      </c>
      <c r="L25" s="157" t="s">
        <v>2460</v>
      </c>
      <c r="M25" s="157" t="s">
        <v>1215</v>
      </c>
      <c r="N25" s="673">
        <f t="shared" si="0"/>
        <v>122466</v>
      </c>
      <c r="O25" s="673">
        <f t="shared" si="1"/>
        <v>171452</v>
      </c>
      <c r="P25" s="673">
        <f t="shared" si="2"/>
        <v>220438</v>
      </c>
      <c r="Q25" s="673">
        <f t="shared" si="3"/>
        <v>293918</v>
      </c>
      <c r="R25" s="673">
        <f t="shared" si="4"/>
        <v>367398</v>
      </c>
      <c r="S25" s="157"/>
      <c r="T25" s="99"/>
      <c r="U25" s="99"/>
      <c r="V25" s="232"/>
      <c r="W25" s="232"/>
      <c r="X25" s="232"/>
      <c r="AA25" s="42"/>
      <c r="AB25" s="42"/>
    </row>
    <row r="26" spans="1:28" s="100" customFormat="1" ht="11.65" customHeight="1">
      <c r="A26" s="102"/>
      <c r="D26" s="619" t="s">
        <v>2460</v>
      </c>
      <c r="E26" s="619" t="s">
        <v>1213</v>
      </c>
      <c r="F26" s="620">
        <v>123345</v>
      </c>
      <c r="G26" s="620">
        <v>160923</v>
      </c>
      <c r="H26" s="620">
        <v>194869</v>
      </c>
      <c r="I26" s="620">
        <v>237606</v>
      </c>
      <c r="J26" s="620">
        <v>281429</v>
      </c>
      <c r="L26" s="157" t="s">
        <v>2460</v>
      </c>
      <c r="M26" s="157" t="s">
        <v>1213</v>
      </c>
      <c r="N26" s="673">
        <f t="shared" si="0"/>
        <v>135679</v>
      </c>
      <c r="O26" s="673">
        <f t="shared" si="1"/>
        <v>177015</v>
      </c>
      <c r="P26" s="673">
        <f t="shared" si="2"/>
        <v>214355</v>
      </c>
      <c r="Q26" s="673">
        <f t="shared" si="3"/>
        <v>261366</v>
      </c>
      <c r="R26" s="673">
        <f t="shared" si="4"/>
        <v>309571</v>
      </c>
      <c r="S26" s="157"/>
      <c r="T26" s="99"/>
      <c r="U26" s="99"/>
      <c r="V26" s="232"/>
      <c r="W26" s="232"/>
      <c r="X26" s="232"/>
      <c r="AA26" s="42"/>
      <c r="AB26" s="42"/>
    </row>
    <row r="27" spans="1:28" s="100" customFormat="1" ht="11.65" customHeight="1">
      <c r="A27" s="102"/>
      <c r="D27" s="619" t="s">
        <v>2460</v>
      </c>
      <c r="E27" s="619" t="s">
        <v>1214</v>
      </c>
      <c r="F27" s="620">
        <v>110658</v>
      </c>
      <c r="G27" s="620">
        <v>150909</v>
      </c>
      <c r="H27" s="620">
        <v>191026</v>
      </c>
      <c r="I27" s="620">
        <v>251664</v>
      </c>
      <c r="J27" s="620">
        <v>311733</v>
      </c>
      <c r="L27" s="157" t="s">
        <v>2460</v>
      </c>
      <c r="M27" s="157" t="s">
        <v>1214</v>
      </c>
      <c r="N27" s="673">
        <f t="shared" si="0"/>
        <v>121723</v>
      </c>
      <c r="O27" s="673">
        <f t="shared" si="1"/>
        <v>165999</v>
      </c>
      <c r="P27" s="673">
        <f t="shared" si="2"/>
        <v>210128</v>
      </c>
      <c r="Q27" s="673">
        <f t="shared" si="3"/>
        <v>276830</v>
      </c>
      <c r="R27" s="673">
        <f t="shared" si="4"/>
        <v>342906</v>
      </c>
      <c r="S27" s="157"/>
      <c r="T27" s="99"/>
      <c r="U27" s="99"/>
      <c r="V27" s="232"/>
      <c r="W27" s="232"/>
      <c r="X27" s="232"/>
      <c r="AA27" s="42"/>
      <c r="AB27" s="42"/>
    </row>
    <row r="28" spans="1:28" s="100" customFormat="1" ht="11.65" customHeight="1">
      <c r="A28" s="102"/>
      <c r="D28" s="621" t="s">
        <v>2461</v>
      </c>
      <c r="E28" s="621" t="s">
        <v>2456</v>
      </c>
      <c r="F28" s="622">
        <v>145346</v>
      </c>
      <c r="G28" s="622">
        <v>188013</v>
      </c>
      <c r="H28" s="622">
        <v>224927</v>
      </c>
      <c r="I28" s="622">
        <v>268137</v>
      </c>
      <c r="J28" s="622">
        <v>315913</v>
      </c>
      <c r="L28" s="333" t="s">
        <v>2461</v>
      </c>
      <c r="M28" s="333" t="s">
        <v>2456</v>
      </c>
      <c r="N28" s="673">
        <f t="shared" si="0"/>
        <v>159880</v>
      </c>
      <c r="O28" s="673">
        <f t="shared" si="1"/>
        <v>206814</v>
      </c>
      <c r="P28" s="673">
        <f t="shared" si="2"/>
        <v>247419</v>
      </c>
      <c r="Q28" s="673">
        <f t="shared" si="3"/>
        <v>294950</v>
      </c>
      <c r="R28" s="673">
        <f t="shared" si="4"/>
        <v>347504</v>
      </c>
      <c r="S28" s="157"/>
      <c r="T28" s="99"/>
      <c r="U28" s="99"/>
      <c r="V28" s="232"/>
      <c r="W28" s="232"/>
      <c r="X28" s="232"/>
      <c r="AA28" s="42"/>
      <c r="AB28" s="42"/>
    </row>
    <row r="29" spans="1:28" s="100" customFormat="1" ht="11.65" customHeight="1">
      <c r="A29" s="102"/>
      <c r="D29" s="621" t="s">
        <v>2461</v>
      </c>
      <c r="E29" s="621" t="s">
        <v>1215</v>
      </c>
      <c r="F29" s="622">
        <v>113288</v>
      </c>
      <c r="G29" s="622">
        <v>158603</v>
      </c>
      <c r="H29" s="622">
        <v>203918</v>
      </c>
      <c r="I29" s="622">
        <v>271890</v>
      </c>
      <c r="J29" s="622">
        <v>339863</v>
      </c>
      <c r="L29" s="333" t="s">
        <v>2461</v>
      </c>
      <c r="M29" s="333" t="s">
        <v>1215</v>
      </c>
      <c r="N29" s="673">
        <f t="shared" si="0"/>
        <v>124616</v>
      </c>
      <c r="O29" s="673">
        <f t="shared" si="1"/>
        <v>174463</v>
      </c>
      <c r="P29" s="673">
        <f t="shared" si="2"/>
        <v>224309</v>
      </c>
      <c r="Q29" s="673">
        <f t="shared" si="3"/>
        <v>299079</v>
      </c>
      <c r="R29" s="673">
        <f t="shared" si="4"/>
        <v>373849</v>
      </c>
      <c r="S29" s="157"/>
      <c r="T29" s="99"/>
      <c r="U29" s="99"/>
      <c r="V29" s="232"/>
      <c r="W29" s="232"/>
      <c r="X29" s="232"/>
      <c r="AA29" s="42"/>
      <c r="AB29" s="42"/>
    </row>
    <row r="30" spans="1:28" s="100" customFormat="1" ht="11.65" customHeight="1">
      <c r="A30" s="102"/>
      <c r="D30" s="621" t="s">
        <v>2461</v>
      </c>
      <c r="E30" s="621" t="s">
        <v>1213</v>
      </c>
      <c r="F30" s="622">
        <v>125163</v>
      </c>
      <c r="G30" s="622">
        <v>163405</v>
      </c>
      <c r="H30" s="622">
        <v>197979</v>
      </c>
      <c r="I30" s="622">
        <v>241592</v>
      </c>
      <c r="J30" s="622">
        <v>286257</v>
      </c>
      <c r="L30" s="333" t="s">
        <v>2461</v>
      </c>
      <c r="M30" s="333" t="s">
        <v>1213</v>
      </c>
      <c r="N30" s="673">
        <f t="shared" si="0"/>
        <v>137679</v>
      </c>
      <c r="O30" s="673">
        <f t="shared" si="1"/>
        <v>179745</v>
      </c>
      <c r="P30" s="673">
        <f t="shared" si="2"/>
        <v>217776</v>
      </c>
      <c r="Q30" s="673">
        <f t="shared" si="3"/>
        <v>265751</v>
      </c>
      <c r="R30" s="673">
        <f t="shared" si="4"/>
        <v>314882</v>
      </c>
      <c r="S30" s="157"/>
      <c r="T30" s="99"/>
      <c r="U30" s="99"/>
      <c r="V30" s="232"/>
      <c r="W30" s="232"/>
      <c r="X30" s="232"/>
      <c r="AA30" s="42"/>
      <c r="AB30" s="42"/>
    </row>
    <row r="31" spans="1:28" s="100" customFormat="1" ht="11.65" customHeight="1">
      <c r="A31" s="102"/>
      <c r="D31" s="621" t="s">
        <v>2461</v>
      </c>
      <c r="E31" s="621" t="s">
        <v>1214</v>
      </c>
      <c r="F31" s="622">
        <v>112036</v>
      </c>
      <c r="G31" s="622">
        <v>152693</v>
      </c>
      <c r="H31" s="622">
        <v>193210</v>
      </c>
      <c r="I31" s="622">
        <v>254464</v>
      </c>
      <c r="J31" s="622">
        <v>315128</v>
      </c>
      <c r="L31" s="333" t="s">
        <v>2461</v>
      </c>
      <c r="M31" s="333" t="s">
        <v>1214</v>
      </c>
      <c r="N31" s="673">
        <f t="shared" si="0"/>
        <v>123239</v>
      </c>
      <c r="O31" s="673">
        <f t="shared" si="1"/>
        <v>167962</v>
      </c>
      <c r="P31" s="673">
        <f t="shared" si="2"/>
        <v>212531</v>
      </c>
      <c r="Q31" s="673">
        <f t="shared" si="3"/>
        <v>279910</v>
      </c>
      <c r="R31" s="673">
        <f t="shared" si="4"/>
        <v>346640</v>
      </c>
      <c r="S31" s="157"/>
      <c r="T31" s="99"/>
      <c r="U31" s="99"/>
      <c r="V31" s="232"/>
      <c r="W31" s="232"/>
      <c r="X31" s="232"/>
      <c r="AA31" s="42"/>
      <c r="AB31" s="42"/>
    </row>
    <row r="32" spans="1:28" s="100" customFormat="1" ht="11.65" customHeight="1">
      <c r="A32" s="102"/>
      <c r="D32" s="613" t="s">
        <v>2462</v>
      </c>
      <c r="E32" s="613" t="s">
        <v>2456</v>
      </c>
      <c r="F32" s="614">
        <v>148008</v>
      </c>
      <c r="G32" s="614">
        <v>191377</v>
      </c>
      <c r="H32" s="614">
        <v>228898</v>
      </c>
      <c r="I32" s="614">
        <v>272788</v>
      </c>
      <c r="J32" s="614">
        <v>321315</v>
      </c>
      <c r="L32" s="333" t="s">
        <v>2462</v>
      </c>
      <c r="M32" s="333" t="s">
        <v>2456</v>
      </c>
      <c r="N32" s="673">
        <f t="shared" si="0"/>
        <v>162808</v>
      </c>
      <c r="O32" s="673">
        <f t="shared" si="1"/>
        <v>210514</v>
      </c>
      <c r="P32" s="673">
        <f t="shared" si="2"/>
        <v>251787</v>
      </c>
      <c r="Q32" s="673">
        <f t="shared" si="3"/>
        <v>300066</v>
      </c>
      <c r="R32" s="673">
        <f t="shared" si="4"/>
        <v>353446</v>
      </c>
      <c r="S32" s="157"/>
      <c r="T32" s="99"/>
      <c r="U32" s="99"/>
      <c r="V32" s="232"/>
      <c r="W32" s="232"/>
      <c r="X32" s="232"/>
      <c r="AA32" s="42"/>
      <c r="AB32" s="42"/>
    </row>
    <row r="33" spans="1:295" s="100" customFormat="1" ht="11.65" customHeight="1">
      <c r="A33" s="102"/>
      <c r="D33" s="613" t="s">
        <v>2462</v>
      </c>
      <c r="E33" s="613" t="s">
        <v>1215</v>
      </c>
      <c r="F33" s="614">
        <v>115381</v>
      </c>
      <c r="G33" s="614">
        <v>161533</v>
      </c>
      <c r="H33" s="614">
        <v>207685</v>
      </c>
      <c r="I33" s="614">
        <v>276913</v>
      </c>
      <c r="J33" s="614">
        <v>346142</v>
      </c>
      <c r="L33" s="333" t="s">
        <v>2462</v>
      </c>
      <c r="M33" s="333" t="s">
        <v>1215</v>
      </c>
      <c r="N33" s="673">
        <f t="shared" si="0"/>
        <v>126919</v>
      </c>
      <c r="O33" s="673">
        <f t="shared" si="1"/>
        <v>177686</v>
      </c>
      <c r="P33" s="673">
        <f t="shared" si="2"/>
        <v>228453</v>
      </c>
      <c r="Q33" s="673">
        <f t="shared" si="3"/>
        <v>304604</v>
      </c>
      <c r="R33" s="673">
        <f t="shared" si="4"/>
        <v>380756</v>
      </c>
      <c r="S33" s="157"/>
      <c r="T33" s="99"/>
      <c r="U33" s="99"/>
      <c r="V33" s="232"/>
      <c r="W33" s="232"/>
      <c r="X33" s="232"/>
      <c r="AA33" s="42"/>
      <c r="AB33" s="42"/>
    </row>
    <row r="34" spans="1:295" s="100" customFormat="1" ht="11.65" customHeight="1">
      <c r="A34" s="102"/>
      <c r="D34" s="613" t="s">
        <v>2462</v>
      </c>
      <c r="E34" s="613" t="s">
        <v>1213</v>
      </c>
      <c r="F34" s="614">
        <v>127825</v>
      </c>
      <c r="G34" s="614">
        <v>166769</v>
      </c>
      <c r="H34" s="614">
        <v>201950</v>
      </c>
      <c r="I34" s="614">
        <v>246243</v>
      </c>
      <c r="J34" s="614">
        <v>291659</v>
      </c>
      <c r="L34" s="333" t="s">
        <v>2462</v>
      </c>
      <c r="M34" s="333" t="s">
        <v>1213</v>
      </c>
      <c r="N34" s="673">
        <f t="shared" si="0"/>
        <v>140607</v>
      </c>
      <c r="O34" s="673">
        <f t="shared" si="1"/>
        <v>183445</v>
      </c>
      <c r="P34" s="673">
        <f t="shared" si="2"/>
        <v>222145</v>
      </c>
      <c r="Q34" s="673">
        <f t="shared" si="3"/>
        <v>270867</v>
      </c>
      <c r="R34" s="673">
        <f t="shared" si="4"/>
        <v>320824</v>
      </c>
      <c r="S34" s="157"/>
      <c r="T34" s="99"/>
      <c r="U34" s="99"/>
      <c r="V34" s="232"/>
      <c r="W34" s="232"/>
      <c r="X34" s="232"/>
      <c r="AA34" s="42"/>
      <c r="AB34" s="42"/>
    </row>
    <row r="35" spans="1:295" s="100" customFormat="1" ht="11.65" customHeight="1">
      <c r="A35" s="102"/>
      <c r="D35" s="613" t="s">
        <v>2462</v>
      </c>
      <c r="E35" s="613" t="s">
        <v>1214</v>
      </c>
      <c r="F35" s="614">
        <v>114674</v>
      </c>
      <c r="G35" s="614">
        <v>156385</v>
      </c>
      <c r="H35" s="614">
        <v>197957</v>
      </c>
      <c r="I35" s="614">
        <v>260794</v>
      </c>
      <c r="J35" s="614">
        <v>323041</v>
      </c>
      <c r="L35" s="333" t="s">
        <v>2462</v>
      </c>
      <c r="M35" s="333" t="s">
        <v>1214</v>
      </c>
      <c r="N35" s="673">
        <f t="shared" si="0"/>
        <v>126141</v>
      </c>
      <c r="O35" s="673">
        <f t="shared" si="1"/>
        <v>172023</v>
      </c>
      <c r="P35" s="673">
        <f t="shared" si="2"/>
        <v>217752</v>
      </c>
      <c r="Q35" s="673">
        <f t="shared" si="3"/>
        <v>286873</v>
      </c>
      <c r="R35" s="673">
        <f t="shared" si="4"/>
        <v>355345</v>
      </c>
      <c r="S35" s="157"/>
      <c r="T35" s="99"/>
      <c r="U35" s="99"/>
      <c r="V35" s="232"/>
      <c r="W35" s="232"/>
      <c r="X35" s="232"/>
      <c r="AA35" s="42"/>
      <c r="AB35" s="42"/>
    </row>
    <row r="36" spans="1:295" s="100" customFormat="1" ht="11.65" customHeight="1">
      <c r="A36" s="102"/>
      <c r="D36" s="617" t="s">
        <v>2048</v>
      </c>
      <c r="E36" s="617" t="s">
        <v>2456</v>
      </c>
      <c r="F36" s="618">
        <v>135717</v>
      </c>
      <c r="G36" s="618">
        <v>175691</v>
      </c>
      <c r="H36" s="618">
        <v>210278</v>
      </c>
      <c r="I36" s="618">
        <v>250813</v>
      </c>
      <c r="J36" s="618">
        <v>295633</v>
      </c>
      <c r="L36" s="333" t="s">
        <v>2048</v>
      </c>
      <c r="M36" s="333" t="s">
        <v>2456</v>
      </c>
      <c r="N36" s="673">
        <f t="shared" si="0"/>
        <v>149288</v>
      </c>
      <c r="O36" s="673">
        <f t="shared" si="1"/>
        <v>193260</v>
      </c>
      <c r="P36" s="673">
        <f t="shared" si="2"/>
        <v>231305</v>
      </c>
      <c r="Q36" s="673">
        <f t="shared" si="3"/>
        <v>275894</v>
      </c>
      <c r="R36" s="673">
        <f t="shared" si="4"/>
        <v>325196</v>
      </c>
      <c r="S36" s="157"/>
      <c r="T36" s="99"/>
      <c r="U36" s="99"/>
      <c r="V36" s="232"/>
      <c r="W36" s="232"/>
      <c r="X36" s="232"/>
      <c r="AA36" s="42"/>
      <c r="AB36" s="42"/>
    </row>
    <row r="37" spans="1:295" s="100" customFormat="1" ht="11.65" customHeight="1">
      <c r="A37" s="102"/>
      <c r="D37" s="617" t="s">
        <v>2048</v>
      </c>
      <c r="E37" s="617" t="s">
        <v>1215</v>
      </c>
      <c r="F37" s="618">
        <v>105752</v>
      </c>
      <c r="G37" s="618">
        <v>148052</v>
      </c>
      <c r="H37" s="618">
        <v>190353</v>
      </c>
      <c r="I37" s="618">
        <v>253804</v>
      </c>
      <c r="J37" s="618">
        <v>317255</v>
      </c>
      <c r="L37" s="333" t="s">
        <v>2048</v>
      </c>
      <c r="M37" s="333" t="s">
        <v>1215</v>
      </c>
      <c r="N37" s="673">
        <f t="shared" si="0"/>
        <v>116327</v>
      </c>
      <c r="O37" s="673">
        <f t="shared" si="1"/>
        <v>162857</v>
      </c>
      <c r="P37" s="673">
        <f t="shared" si="2"/>
        <v>209388</v>
      </c>
      <c r="Q37" s="673">
        <f t="shared" si="3"/>
        <v>279184</v>
      </c>
      <c r="R37" s="673">
        <f t="shared" si="4"/>
        <v>348980</v>
      </c>
      <c r="S37" s="157"/>
      <c r="T37" s="99"/>
      <c r="U37" s="99"/>
      <c r="V37" s="232"/>
      <c r="W37" s="232"/>
      <c r="X37" s="232"/>
      <c r="AA37" s="42"/>
      <c r="AB37" s="42"/>
    </row>
    <row r="38" spans="1:295" s="100" customFormat="1" ht="11.65" customHeight="1">
      <c r="A38" s="102"/>
      <c r="D38" s="617" t="s">
        <v>2048</v>
      </c>
      <c r="E38" s="617" t="s">
        <v>1213</v>
      </c>
      <c r="F38" s="618">
        <v>116246</v>
      </c>
      <c r="G38" s="618">
        <v>151952</v>
      </c>
      <c r="H38" s="618">
        <v>184281</v>
      </c>
      <c r="I38" s="618">
        <v>225204</v>
      </c>
      <c r="J38" s="618">
        <v>267023</v>
      </c>
      <c r="L38" s="333" t="s">
        <v>2048</v>
      </c>
      <c r="M38" s="333" t="s">
        <v>1213</v>
      </c>
      <c r="N38" s="673">
        <f t="shared" si="0"/>
        <v>127870</v>
      </c>
      <c r="O38" s="673">
        <f t="shared" si="1"/>
        <v>167147</v>
      </c>
      <c r="P38" s="673">
        <f t="shared" si="2"/>
        <v>202709</v>
      </c>
      <c r="Q38" s="673">
        <f t="shared" si="3"/>
        <v>247724</v>
      </c>
      <c r="R38" s="673">
        <f t="shared" si="4"/>
        <v>293725</v>
      </c>
      <c r="S38" s="157"/>
      <c r="T38" s="99"/>
      <c r="U38" s="99"/>
      <c r="V38" s="232"/>
      <c r="W38" s="232"/>
      <c r="X38" s="232"/>
      <c r="AA38" s="42"/>
      <c r="AB38" s="42"/>
    </row>
    <row r="39" spans="1:295" s="100" customFormat="1" ht="11.65" customHeight="1">
      <c r="A39" s="102"/>
      <c r="D39" s="617" t="s">
        <v>2048</v>
      </c>
      <c r="E39" s="617" t="s">
        <v>1214</v>
      </c>
      <c r="F39" s="618">
        <v>103624</v>
      </c>
      <c r="G39" s="618">
        <v>141062</v>
      </c>
      <c r="H39" s="618">
        <v>178366</v>
      </c>
      <c r="I39" s="618">
        <v>234784</v>
      </c>
      <c r="J39" s="618">
        <v>290632</v>
      </c>
      <c r="L39" s="333" t="s">
        <v>2048</v>
      </c>
      <c r="M39" s="333" t="s">
        <v>1214</v>
      </c>
      <c r="N39" s="673">
        <f t="shared" si="0"/>
        <v>113986</v>
      </c>
      <c r="O39" s="673">
        <f t="shared" si="1"/>
        <v>155168</v>
      </c>
      <c r="P39" s="673">
        <f t="shared" si="2"/>
        <v>196202</v>
      </c>
      <c r="Q39" s="673">
        <f t="shared" si="3"/>
        <v>258262</v>
      </c>
      <c r="R39" s="67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85" t="s">
        <v>2463</v>
      </c>
      <c r="B42" s="1486"/>
      <c r="C42" s="1486"/>
    </row>
    <row r="44" spans="1:295" s="14" customFormat="1" ht="12.75" customHeight="1">
      <c r="A44" s="2" t="s">
        <v>25</v>
      </c>
      <c r="B44" s="4" t="s">
        <v>2464</v>
      </c>
      <c r="C44" s="4"/>
      <c r="D44" s="4"/>
      <c r="E44" s="710"/>
      <c r="F44" s="79"/>
      <c r="G44" s="365"/>
      <c r="H44" s="365"/>
      <c r="I44" s="365"/>
      <c r="J44" s="45"/>
      <c r="K44" s="79"/>
      <c r="L44" s="366"/>
      <c r="M44" s="366"/>
      <c r="N44" s="366"/>
      <c r="O44" s="68" t="s">
        <v>1397</v>
      </c>
      <c r="P44" s="4145"/>
      <c r="Q44" s="4146"/>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334"/>
      <c r="B45" s="4334"/>
      <c r="C45" s="4334"/>
      <c r="D45" s="4334"/>
      <c r="E45" s="4334"/>
      <c r="F45" s="1005"/>
      <c r="G45" s="4347" t="s">
        <v>2465</v>
      </c>
      <c r="H45" s="4348"/>
      <c r="I45" s="40"/>
      <c r="J45" s="45"/>
      <c r="K45" s="4349" t="s">
        <v>2466</v>
      </c>
      <c r="L45" s="4350"/>
      <c r="M45" s="4350"/>
      <c r="N45" s="4351"/>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334"/>
      <c r="B46" s="4334"/>
      <c r="C46" s="4334"/>
      <c r="D46" s="4334"/>
      <c r="E46" s="4334"/>
      <c r="F46" s="1005"/>
      <c r="G46" s="4352" t="s">
        <v>2467</v>
      </c>
      <c r="H46" s="4353"/>
      <c r="I46" s="40"/>
      <c r="J46" s="45"/>
      <c r="K46" s="4327" t="s">
        <v>2468</v>
      </c>
      <c r="L46" s="4328"/>
      <c r="M46" s="4328"/>
      <c r="N46" s="4329"/>
      <c r="O46" s="79"/>
      <c r="P46" s="303" t="s">
        <v>2469</v>
      </c>
      <c r="Q46" s="276"/>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1005"/>
      <c r="B47" s="1005"/>
      <c r="C47" s="1005"/>
      <c r="D47" s="1005"/>
      <c r="E47" s="1005"/>
      <c r="F47" s="1005"/>
      <c r="G47" s="40"/>
      <c r="H47" s="40"/>
      <c r="I47" s="40"/>
      <c r="J47" s="45"/>
      <c r="K47" s="4197"/>
      <c r="L47" s="4197"/>
      <c r="M47" s="4197"/>
      <c r="N47" s="4197"/>
      <c r="O47" s="79"/>
      <c r="P47" s="4332" t="s">
        <v>2470</v>
      </c>
      <c r="Q47" s="4332"/>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8" t="s">
        <v>1274</v>
      </c>
      <c r="E48" s="79"/>
      <c r="F48" s="369" t="s">
        <v>2471</v>
      </c>
      <c r="G48" s="4322" t="s">
        <v>2472</v>
      </c>
      <c r="H48" s="4322"/>
      <c r="I48" s="4322"/>
      <c r="J48" s="79"/>
      <c r="K48" s="369" t="s">
        <v>2471</v>
      </c>
      <c r="L48" s="4322" t="s">
        <v>2473</v>
      </c>
      <c r="M48" s="4322"/>
      <c r="N48" s="4322"/>
      <c r="O48" s="79"/>
      <c r="P48" s="4332"/>
      <c r="Q48" s="4332"/>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326" t="s">
        <v>2456</v>
      </c>
      <c r="B49" s="4326"/>
      <c r="C49" s="4326"/>
      <c r="D49" s="521" t="s">
        <v>763</v>
      </c>
      <c r="E49" s="522">
        <v>0</v>
      </c>
      <c r="F49" s="1003" t="str">
        <f>IF('Part V-Revenues &amp; Expenses'!$K$147 =0,"",'Part V-Revenues &amp; Expenses'!$K$147)</f>
        <v/>
      </c>
      <c r="G49" s="523">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1004" t="str">
        <f>IF(F49="","",F49*G49)</f>
        <v/>
      </c>
      <c r="J49" s="45"/>
      <c r="K49" s="1003" t="str">
        <f>IF('Part V-Revenues &amp; Expenses'!$K$148 =0,"",'Part V-Revenues &amp; Expenses'!$K$148)</f>
        <v/>
      </c>
      <c r="L49" s="523">
        <f>G49*(1+'DCA Underwriting Assumptions'!$Q$12)</f>
        <v>205506.84</v>
      </c>
      <c r="M49" s="18" t="str">
        <f>CONCATENATE("x ", K49," units = ")</f>
        <v xml:space="preserve">x  units = </v>
      </c>
      <c r="N49" s="1004" t="str">
        <f>IF(K49="","",K49*L49)</f>
        <v/>
      </c>
      <c r="O49" s="710"/>
      <c r="P49" s="4333"/>
      <c r="Q49" s="4333"/>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326"/>
      <c r="B50" s="4326"/>
      <c r="C50" s="4326"/>
      <c r="D50" s="521" t="s">
        <v>802</v>
      </c>
      <c r="E50" s="522">
        <v>1</v>
      </c>
      <c r="F50" s="1003" t="str">
        <f>IF('Part V-Revenues &amp; Expenses'!$L$147 =0,"",'Part V-Revenues &amp; Expenses'!$L$147)</f>
        <v/>
      </c>
      <c r="G50" s="523">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1004" t="str">
        <f>IF(F50="","",F50*G50)</f>
        <v/>
      </c>
      <c r="J50" s="45"/>
      <c r="K50" s="1003" t="str">
        <f>IF('Part V-Revenues &amp; Expenses'!$L$148 =0,"",'Part V-Revenues &amp; Expenses'!$L$148)</f>
        <v/>
      </c>
      <c r="L50" s="523">
        <f>G50*(1+'DCA Underwriting Assumptions'!$Q$12)</f>
        <v>254819.07</v>
      </c>
      <c r="M50" s="18" t="str">
        <f>CONCATENATE("x ", K50," units = ")</f>
        <v xml:space="preserve">x  units = </v>
      </c>
      <c r="N50" s="1004" t="str">
        <f>IF(K50="","",K50*L50)</f>
        <v/>
      </c>
      <c r="O50" s="710"/>
      <c r="P50" s="4339" t="str">
        <f>IF('Part I-Project Identification'!$F$26="","",VLOOKUP('Part I-Project Identification'!$J$26,'DCA Underwriting Assumptions'!$G$141:$N$300,8,FALSE))</f>
        <v>Atlanta</v>
      </c>
      <c r="Q50" s="4340"/>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326"/>
      <c r="B51" s="4326"/>
      <c r="C51" s="4326"/>
      <c r="D51" s="521" t="s">
        <v>803</v>
      </c>
      <c r="E51" s="522">
        <v>2</v>
      </c>
      <c r="F51" s="1003" t="str">
        <f>IF('Part V-Revenues &amp; Expenses'!$M$147 =0,"",'Part V-Revenues &amp; Expenses'!$M$147)</f>
        <v/>
      </c>
      <c r="G51" s="523">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1004" t="str">
        <f>IF(F51="","",F51*G51)</f>
        <v/>
      </c>
      <c r="J51" s="45"/>
      <c r="K51" s="1003" t="str">
        <f>IF('Part V-Revenues &amp; Expenses'!$M$148 =0,"",'Part V-Revenues &amp; Expenses'!$M$148)</f>
        <v/>
      </c>
      <c r="L51" s="523">
        <f>G51*(1+'DCA Underwriting Assumptions'!$Q$12)</f>
        <v>304892.83</v>
      </c>
      <c r="M51" s="18" t="str">
        <f>CONCATENATE("x ", K51," units = ")</f>
        <v xml:space="preserve">x  units = </v>
      </c>
      <c r="N51" s="1004" t="str">
        <f>IF(K51="","",K51*L51)</f>
        <v/>
      </c>
      <c r="O51" s="710"/>
      <c r="P51" s="4341"/>
      <c r="Q51" s="4342"/>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326"/>
      <c r="B52" s="4326"/>
      <c r="C52" s="4326"/>
      <c r="D52" s="521" t="s">
        <v>804</v>
      </c>
      <c r="E52" s="522">
        <v>3</v>
      </c>
      <c r="F52" s="1003" t="str">
        <f>IF('Part V-Revenues &amp; Expenses'!$N$147 =0,"",'Part V-Revenues &amp; Expenses'!$N$147)</f>
        <v/>
      </c>
      <c r="G52" s="523">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1004" t="str">
        <f>IF(F52="","",F52*G52)</f>
        <v/>
      </c>
      <c r="J52" s="45"/>
      <c r="K52" s="1003" t="str">
        <f>IF('Part V-Revenues &amp; Expenses'!$N$148 =0,"",'Part V-Revenues &amp; Expenses'!$N$148)</f>
        <v/>
      </c>
      <c r="L52" s="523">
        <f>G52*(1+'DCA Underwriting Assumptions'!$Q$12)</f>
        <v>347722.54000000004</v>
      </c>
      <c r="M52" s="18" t="str">
        <f>CONCATENATE("x ", K52," units = ")</f>
        <v xml:space="preserve">x  units = </v>
      </c>
      <c r="N52" s="1004" t="str">
        <f>IF(K52="","",K52*L52)</f>
        <v/>
      </c>
      <c r="O52" s="710"/>
      <c r="P52" s="4294" t="s">
        <v>2474</v>
      </c>
      <c r="Q52" s="4294"/>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21" t="s">
        <v>805</v>
      </c>
      <c r="E53" s="522">
        <v>4</v>
      </c>
      <c r="F53" s="1003" t="str">
        <f>IF('Part V-Revenues &amp; Expenses'!$O$147 =0,"",'Part V-Revenues &amp; Expenses'!$O$147)</f>
        <v/>
      </c>
      <c r="G53" s="523">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1004" t="str">
        <f>IF(F53="","",F53*G53)</f>
        <v/>
      </c>
      <c r="J53" s="45"/>
      <c r="K53" s="1003" t="str">
        <f>IF('Part V-Revenues &amp; Expenses'!$O$148 =0,"",'Part V-Revenues &amp; Expenses'!$O$148)</f>
        <v/>
      </c>
      <c r="L53" s="523">
        <f>G53*(1+'DCA Underwriting Assumptions'!$Q$12)</f>
        <v>409736.25000000012</v>
      </c>
      <c r="M53" s="18" t="str">
        <f>CONCATENATE("x ", K53," units = ")</f>
        <v xml:space="preserve">x  units = </v>
      </c>
      <c r="N53" s="1004" t="str">
        <f>IF(K53="","",K53*L53)</f>
        <v/>
      </c>
      <c r="O53" s="710"/>
      <c r="P53" s="4330">
        <f ca="1">'Part III-A-Uses of Funds'!$G$146</f>
        <v>35829793.968287915</v>
      </c>
      <c r="Q53" s="4331"/>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3" t="s">
        <v>2475</v>
      </c>
      <c r="E54" s="239"/>
      <c r="F54" s="694">
        <f>SUM(F49:F53)</f>
        <v>0</v>
      </c>
      <c r="G54" s="370"/>
      <c r="H54" s="695"/>
      <c r="I54" s="696">
        <f>SUM(I49:I53)</f>
        <v>0</v>
      </c>
      <c r="J54" s="697"/>
      <c r="K54" s="694">
        <f>SUM(K49:K53)</f>
        <v>0</v>
      </c>
      <c r="L54" s="697"/>
      <c r="M54" s="695"/>
      <c r="N54" s="696">
        <f>SUM(N49:N53)</f>
        <v>0</v>
      </c>
      <c r="O54" s="710"/>
      <c r="P54" s="4294" t="s">
        <v>2476</v>
      </c>
      <c r="Q54" s="4294"/>
      <c r="R54" s="4321" t="s">
        <v>2477</v>
      </c>
      <c r="S54" s="4321"/>
      <c r="T54" s="4321"/>
      <c r="V54" s="1060"/>
      <c r="W54" s="1060"/>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0"/>
      <c r="E55" s="320"/>
      <c r="F55" s="371"/>
      <c r="G55" s="75"/>
      <c r="H55" s="79"/>
      <c r="I55" s="371"/>
      <c r="J55" s="79"/>
      <c r="K55" s="371"/>
      <c r="L55" s="79"/>
      <c r="M55" s="710"/>
      <c r="N55" s="371"/>
      <c r="O55" s="710"/>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326" t="s">
        <v>1213</v>
      </c>
      <c r="B56" s="4326"/>
      <c r="C56" s="4326"/>
      <c r="D56" s="521" t="s">
        <v>763</v>
      </c>
      <c r="E56" s="525">
        <v>0</v>
      </c>
      <c r="F56" s="1003" t="str">
        <f>IF('Part V-Revenues &amp; Expenses'!$K$149 =0,"",'Part V-Revenues &amp; Expenses'!$K$149)</f>
        <v/>
      </c>
      <c r="G56" s="523">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1004" t="str">
        <f>IF(F56="","",F56*G56)</f>
        <v/>
      </c>
      <c r="J56" s="45"/>
      <c r="K56" s="1003" t="str">
        <f>IF('Part V-Revenues &amp; Expenses'!$K$150 =0,"",'Part V-Revenues &amp; Expenses'!$K$150)</f>
        <v/>
      </c>
      <c r="L56" s="523">
        <f>G56*(1+'DCA Underwriting Assumptions'!$Q$12)</f>
        <v>176671.44</v>
      </c>
      <c r="M56" s="18" t="str">
        <f>CONCATENATE("x ", K56," units = ")</f>
        <v xml:space="preserve">x  units = </v>
      </c>
      <c r="N56" s="1004" t="str">
        <f>IF(K56="","",K56*L56)</f>
        <v/>
      </c>
      <c r="P56" s="4330">
        <f ca="1">'Part III-A-Uses of Funds'!$G$146-'Part III-A-Uses of Funds'!$G$92-'Part III-A-Uses of Funds'!$G$114-'Part III-A-Uses of Funds'!$G$130-'Part III-A-Uses of Funds'!$G$131-'Part III-A-Uses of Funds'!$G$132</f>
        <v>34128796.600000001</v>
      </c>
      <c r="Q56" s="4331"/>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326"/>
      <c r="B57" s="4326"/>
      <c r="C57" s="4326"/>
      <c r="D57" s="521" t="s">
        <v>802</v>
      </c>
      <c r="E57" s="522">
        <v>1</v>
      </c>
      <c r="F57" s="1003" t="str">
        <f>IF('Part V-Revenues &amp; Expenses'!$L$149 =0,"",'Part V-Revenues &amp; Expenses'!$L$149)</f>
        <v/>
      </c>
      <c r="G57" s="523">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units = </v>
      </c>
      <c r="I57" s="1004" t="str">
        <f>IF(F57="","",F57*G57)</f>
        <v/>
      </c>
      <c r="J57" s="45"/>
      <c r="K57" s="1003" t="str">
        <f>IF('Part V-Revenues &amp; Expenses'!$L$150 =0,"",'Part V-Revenues &amp; Expenses'!$L$150)</f>
        <v/>
      </c>
      <c r="L57" s="523">
        <f>G57*(1+'DCA Underwriting Assumptions'!$Q$12)</f>
        <v>221127.06</v>
      </c>
      <c r="M57" s="18" t="str">
        <f>CONCATENATE("x ", K57," units = ")</f>
        <v xml:space="preserve">x  units = </v>
      </c>
      <c r="N57" s="1004" t="str">
        <f>IF(K57="","",K57*L57)</f>
        <v/>
      </c>
      <c r="P57" s="3315" t="s">
        <v>2478</v>
      </c>
      <c r="Q57" s="3315"/>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326"/>
      <c r="B58" s="4326"/>
      <c r="C58" s="4326"/>
      <c r="D58" s="521" t="s">
        <v>803</v>
      </c>
      <c r="E58" s="522">
        <v>2</v>
      </c>
      <c r="F58" s="1003">
        <f>IF('Part V-Revenues &amp; Expenses'!$M$149 =0,"",'Part V-Revenues &amp; Expenses'!$M$149)</f>
        <v>38</v>
      </c>
      <c r="G58" s="523">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38 units = </v>
      </c>
      <c r="I58" s="1004">
        <f>IF(F58="","",F58*G58)</f>
        <v>9258019.7999999989</v>
      </c>
      <c r="J58" s="45"/>
      <c r="K58" s="1003" t="str">
        <f>IF('Part V-Revenues &amp; Expenses'!$M$150 =0,"",'Part V-Revenues &amp; Expenses'!$M$150)</f>
        <v/>
      </c>
      <c r="L58" s="523">
        <f>G58*(1+'DCA Underwriting Assumptions'!$Q$12)</f>
        <v>267995.31</v>
      </c>
      <c r="M58" s="18" t="str">
        <f>CONCATENATE("x ", K58," units = ")</f>
        <v xml:space="preserve">x  units = </v>
      </c>
      <c r="N58" s="1004" t="str">
        <f>IF(K58="","",K58*L58)</f>
        <v/>
      </c>
      <c r="O58" s="332"/>
      <c r="P58" s="4343"/>
      <c r="Q58" s="4344"/>
      <c r="R58" s="235"/>
      <c r="S58" s="4304" t="s">
        <v>2479</v>
      </c>
      <c r="T58" s="4305"/>
      <c r="U58" s="4305"/>
      <c r="V58" s="4306"/>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21" t="s">
        <v>804</v>
      </c>
      <c r="E59" s="522">
        <v>3</v>
      </c>
      <c r="F59" s="1003">
        <f>IF('Part V-Revenues &amp; Expenses'!$N$149 =0,"",'Part V-Revenues &amp; Expenses'!$N$149)</f>
        <v>4</v>
      </c>
      <c r="G59" s="523">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4 units = </v>
      </c>
      <c r="I59" s="1004">
        <f>IF(F59="","",F59*G59)</f>
        <v>1138024.8</v>
      </c>
      <c r="J59" s="45"/>
      <c r="K59" s="1003" t="str">
        <f>IF('Part V-Revenues &amp; Expenses'!$N$150 =0,"",'Part V-Revenues &amp; Expenses'!$N$150)</f>
        <v/>
      </c>
      <c r="L59" s="523">
        <f>G59*(1+'DCA Underwriting Assumptions'!$Q$12)</f>
        <v>312956.82000000007</v>
      </c>
      <c r="M59" s="18" t="str">
        <f>CONCATENATE("x ", K59," units = ")</f>
        <v xml:space="preserve">x  units = </v>
      </c>
      <c r="N59" s="1004" t="str">
        <f>IF(K59="","",K59*L59)</f>
        <v/>
      </c>
      <c r="O59" s="332"/>
      <c r="P59" s="4345"/>
      <c r="Q59" s="4346"/>
      <c r="S59" s="4307"/>
      <c r="T59" s="4308"/>
      <c r="U59" s="4308"/>
      <c r="V59" s="4309"/>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21" t="s">
        <v>805</v>
      </c>
      <c r="E60" s="522">
        <v>4</v>
      </c>
      <c r="F60" s="1003" t="str">
        <f>IF('Part V-Revenues &amp; Expenses'!$O$149 =0,"",'Part V-Revenues &amp; Expenses'!$O$149)</f>
        <v/>
      </c>
      <c r="G60" s="523">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1004" t="str">
        <f>IF(F60="","",F60*G60)</f>
        <v/>
      </c>
      <c r="J60" s="45"/>
      <c r="K60" s="1003" t="str">
        <f>IF('Part V-Revenues &amp; Expenses'!$O$150 =0,"",'Part V-Revenues &amp; Expenses'!$O$150)</f>
        <v/>
      </c>
      <c r="L60" s="523">
        <f>G60*(1+'DCA Underwriting Assumptions'!$Q$12)</f>
        <v>370896.46000000008</v>
      </c>
      <c r="M60" s="18" t="str">
        <f>CONCATENATE("x ", K60," units = ")</f>
        <v xml:space="preserve">x  units = </v>
      </c>
      <c r="N60" s="1004" t="str">
        <f>IF(K60="","",K60*L60)</f>
        <v/>
      </c>
      <c r="O60" s="332"/>
      <c r="P60" s="4325" t="s">
        <v>2480</v>
      </c>
      <c r="Q60" s="4325"/>
      <c r="S60" s="4307"/>
      <c r="T60" s="4308"/>
      <c r="U60" s="4308"/>
      <c r="V60" s="4309"/>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3" t="s">
        <v>2475</v>
      </c>
      <c r="E61" s="239"/>
      <c r="F61" s="694">
        <f>SUM(F56:F60)</f>
        <v>42</v>
      </c>
      <c r="G61" s="370"/>
      <c r="H61" s="695"/>
      <c r="I61" s="696">
        <f>SUM(I56:I60)</f>
        <v>10396044.6</v>
      </c>
      <c r="J61" s="697"/>
      <c r="K61" s="694">
        <f>SUM(K56:K60)</f>
        <v>0</v>
      </c>
      <c r="L61" s="697"/>
      <c r="M61" s="695"/>
      <c r="N61" s="696">
        <f>SUM(N56:N60)</f>
        <v>0</v>
      </c>
      <c r="O61" s="332"/>
      <c r="P61" s="700" t="s">
        <v>1712</v>
      </c>
      <c r="Q61" s="700" t="s">
        <v>1666</v>
      </c>
      <c r="R61" s="235"/>
      <c r="S61" s="4307"/>
      <c r="T61" s="4308"/>
      <c r="U61" s="4308"/>
      <c r="V61" s="4309"/>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0"/>
      <c r="E62" s="320"/>
      <c r="F62" s="371"/>
      <c r="G62" s="75"/>
      <c r="H62" s="79"/>
      <c r="I62" s="371"/>
      <c r="J62" s="79"/>
      <c r="K62" s="371"/>
      <c r="L62" s="79"/>
      <c r="M62" s="710"/>
      <c r="N62" s="371"/>
      <c r="O62" s="332"/>
      <c r="R62" s="235"/>
      <c r="S62" s="4307"/>
      <c r="T62" s="4308"/>
      <c r="U62" s="4308"/>
      <c r="V62" s="4309"/>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2" t="s">
        <v>1214</v>
      </c>
      <c r="B63" s="341"/>
      <c r="C63" s="45"/>
      <c r="D63" s="521" t="s">
        <v>763</v>
      </c>
      <c r="E63" s="522">
        <v>0</v>
      </c>
      <c r="F63" s="1003" t="str">
        <f>IF('Part V-Revenues &amp; Expenses'!$K$151 =0,"",'Part V-Revenues &amp; Expenses'!$K$151)</f>
        <v/>
      </c>
      <c r="G63" s="523">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1004" t="str">
        <f>IF(F63="","",F63*G63)</f>
        <v/>
      </c>
      <c r="J63" s="45"/>
      <c r="K63" s="1003" t="str">
        <f>IF('Part V-Revenues &amp; Expenses'!$K$152 =0,"",'Part V-Revenues &amp; Expenses'!$K$152)</f>
        <v/>
      </c>
      <c r="L63" s="523">
        <f>G63*(1+'DCA Underwriting Assumptions'!$Q$12)</f>
        <v>157936.68</v>
      </c>
      <c r="M63" s="18" t="str">
        <f>CONCATENATE("x ", K63," units = ")</f>
        <v xml:space="preserve">x  units = </v>
      </c>
      <c r="N63" s="1004" t="str">
        <f>IF(K63="","",K63*L63)</f>
        <v/>
      </c>
      <c r="O63" s="332"/>
      <c r="P63" s="699">
        <f>'Part VIII Scoring Criteria OLD'!O378</f>
        <v>0</v>
      </c>
      <c r="Q63" s="699">
        <f>'Part VIII Scoring Criteria OLD'!P378</f>
        <v>0</v>
      </c>
      <c r="R63" s="235"/>
      <c r="S63" s="4307"/>
      <c r="T63" s="4308"/>
      <c r="U63" s="4308"/>
      <c r="V63" s="4309"/>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21" t="s">
        <v>802</v>
      </c>
      <c r="E64" s="522">
        <v>1</v>
      </c>
      <c r="F64" s="1003">
        <f>IF('Part V-Revenues &amp; Expenses'!$L$151 =0,"",'Part V-Revenues &amp; Expenses'!$L$151)</f>
        <v>62</v>
      </c>
      <c r="G64" s="523">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62 units = </v>
      </c>
      <c r="I64" s="1004">
        <f>IF(F64="","",F64*G64)</f>
        <v>11622470.399999999</v>
      </c>
      <c r="J64" s="45"/>
      <c r="K64" s="1003" t="str">
        <f>IF('Part V-Revenues &amp; Expenses'!$L$152 =0,"",'Part V-Revenues &amp; Expenses'!$L$152)</f>
        <v/>
      </c>
      <c r="L64" s="523">
        <f>G64*(1+'DCA Underwriting Assumptions'!$Q$12)</f>
        <v>206205.12</v>
      </c>
      <c r="M64" s="18" t="str">
        <f>CONCATENATE("x ", K64," units = ")</f>
        <v xml:space="preserve">x  units = </v>
      </c>
      <c r="N64" s="1004" t="str">
        <f>IF(K64="","",K64*L64)</f>
        <v/>
      </c>
      <c r="P64" s="4325" t="s">
        <v>2481</v>
      </c>
      <c r="Q64" s="4325"/>
      <c r="S64" s="4307"/>
      <c r="T64" s="4308"/>
      <c r="U64" s="4308"/>
      <c r="V64" s="4309"/>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21" t="s">
        <v>803</v>
      </c>
      <c r="E65" s="522">
        <v>2</v>
      </c>
      <c r="F65" s="1003">
        <f>IF('Part V-Revenues &amp; Expenses'!$M$151 =0,"",'Part V-Revenues &amp; Expenses'!$M$151)</f>
        <v>64</v>
      </c>
      <c r="G65" s="523">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64 units = </v>
      </c>
      <c r="I65" s="1004">
        <f>IF(F65="","",F65*G65)</f>
        <v>15177571.199999999</v>
      </c>
      <c r="J65" s="45"/>
      <c r="K65" s="1003" t="str">
        <f>IF('Part V-Revenues &amp; Expenses'!$M$152 =0,"",'Part V-Revenues &amp; Expenses'!$M$152)</f>
        <v/>
      </c>
      <c r="L65" s="523">
        <f>G65*(1+'DCA Underwriting Assumptions'!$Q$12)</f>
        <v>260864.505</v>
      </c>
      <c r="M65" s="18" t="str">
        <f>CONCATENATE("x ", K65," units = ")</f>
        <v xml:space="preserve">x  units = </v>
      </c>
      <c r="N65" s="1004" t="str">
        <f>IF(K65="","",K65*L65)</f>
        <v/>
      </c>
      <c r="P65" s="700" t="s">
        <v>1712</v>
      </c>
      <c r="Q65" s="700" t="s">
        <v>1666</v>
      </c>
      <c r="S65" s="4307"/>
      <c r="T65" s="4308"/>
      <c r="U65" s="4308"/>
      <c r="V65" s="4309"/>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21" t="s">
        <v>804</v>
      </c>
      <c r="E66" s="522">
        <v>3</v>
      </c>
      <c r="F66" s="1003">
        <f>IF('Part V-Revenues &amp; Expenses'!$N$151 =0,"",'Part V-Revenues &amp; Expenses'!$N$151)</f>
        <v>31</v>
      </c>
      <c r="G66" s="523">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31 units = </v>
      </c>
      <c r="I66" s="1004">
        <f>IF(F66="","",F66*G66)</f>
        <v>9259752.7000000011</v>
      </c>
      <c r="J66" s="45"/>
      <c r="K66" s="1003" t="str">
        <f>IF('Part V-Revenues &amp; Expenses'!$N$152 =0,"",'Part V-Revenues &amp; Expenses'!$N$152)</f>
        <v/>
      </c>
      <c r="L66" s="523">
        <f>G66*(1+'DCA Underwriting Assumptions'!$Q$12)</f>
        <v>328571.87000000005</v>
      </c>
      <c r="M66" s="18" t="str">
        <f>CONCATENATE("x ", K66," units = ")</f>
        <v xml:space="preserve">x  units = </v>
      </c>
      <c r="N66" s="1004" t="str">
        <f>IF(K66="","",K66*L66)</f>
        <v/>
      </c>
      <c r="O66" s="332"/>
      <c r="P66" s="699">
        <f>'Part VIII Scoring Criteria OLD'!O113</f>
        <v>0</v>
      </c>
      <c r="Q66" s="699">
        <f>'Part VIII Scoring Criteria OLD'!P113</f>
        <v>0</v>
      </c>
      <c r="S66" s="4307"/>
      <c r="T66" s="4308"/>
      <c r="U66" s="4308"/>
      <c r="V66" s="4309"/>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21" t="s">
        <v>805</v>
      </c>
      <c r="E67" s="522">
        <v>4</v>
      </c>
      <c r="F67" s="1003" t="str">
        <f>IF('Part V-Revenues &amp; Expenses'!$O$151 =0,"",'Part V-Revenues &amp; Expenses'!$O$151)</f>
        <v/>
      </c>
      <c r="G67" s="523">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units = </v>
      </c>
      <c r="I67" s="1004" t="str">
        <f>IF(F67="","",F67*G67)</f>
        <v/>
      </c>
      <c r="J67" s="45"/>
      <c r="K67" s="1003" t="str">
        <f>IF('Part V-Revenues &amp; Expenses'!$O$152 =0,"",'Part V-Revenues &amp; Expenses'!$O$152)</f>
        <v/>
      </c>
      <c r="L67" s="523">
        <f>G67*(1+'DCA Underwriting Assumptions'!$Q$12)</f>
        <v>406849.19000000006</v>
      </c>
      <c r="M67" s="18" t="str">
        <f>CONCATENATE("x ", K67," units = ")</f>
        <v xml:space="preserve">x  units = </v>
      </c>
      <c r="N67" s="1004" t="str">
        <f>IF(K67="","",K67*L67)</f>
        <v/>
      </c>
      <c r="O67" s="332"/>
      <c r="P67" s="4316" t="s">
        <v>2482</v>
      </c>
      <c r="Q67" s="4316"/>
      <c r="S67" s="4307"/>
      <c r="T67" s="4308"/>
      <c r="U67" s="4308"/>
      <c r="V67" s="4309"/>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3" t="s">
        <v>2475</v>
      </c>
      <c r="E68" s="239"/>
      <c r="F68" s="694">
        <f>SUM(F63:F67)</f>
        <v>157</v>
      </c>
      <c r="G68" s="370"/>
      <c r="H68" s="695"/>
      <c r="I68" s="696">
        <f>SUM(I63:I67)</f>
        <v>36059794.299999997</v>
      </c>
      <c r="J68" s="697"/>
      <c r="K68" s="694">
        <f>SUM(K63:K67)</f>
        <v>0</v>
      </c>
      <c r="L68" s="697"/>
      <c r="M68" s="695"/>
      <c r="N68" s="696">
        <f>SUM(N63:N67)</f>
        <v>0</v>
      </c>
      <c r="O68" s="332"/>
      <c r="P68" s="4316"/>
      <c r="Q68" s="4316"/>
      <c r="S68" s="4307"/>
      <c r="T68" s="4308"/>
      <c r="U68" s="4308"/>
      <c r="V68" s="4309"/>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0"/>
      <c r="E69" s="320"/>
      <c r="F69" s="371"/>
      <c r="G69" s="75"/>
      <c r="H69" s="79"/>
      <c r="I69" s="371"/>
      <c r="J69" s="79"/>
      <c r="K69" s="371"/>
      <c r="L69" s="79"/>
      <c r="M69" s="710"/>
      <c r="N69" s="371"/>
      <c r="O69" s="332"/>
      <c r="P69" s="4316"/>
      <c r="Q69" s="4316"/>
      <c r="R69" s="235"/>
      <c r="S69" s="4307"/>
      <c r="T69" s="4308"/>
      <c r="U69" s="4308"/>
      <c r="V69" s="4309"/>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2" t="s">
        <v>1215</v>
      </c>
      <c r="B70" s="79"/>
      <c r="C70" s="45"/>
      <c r="D70" s="521" t="s">
        <v>763</v>
      </c>
      <c r="E70" s="522">
        <v>0</v>
      </c>
      <c r="F70" s="1003" t="str">
        <f>IF('Part V-Revenues &amp; Expenses'!$K$153 =0,"",'Part V-Revenues &amp; Expenses'!$K$153)</f>
        <v/>
      </c>
      <c r="G70" s="523">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units = </v>
      </c>
      <c r="I70" s="1004" t="str">
        <f>IF(F70="","",F70*G70)</f>
        <v/>
      </c>
      <c r="J70" s="45"/>
      <c r="K70" s="1003" t="str">
        <f>IF('Part V-Revenues &amp; Expenses'!$K$154 =0,"",'Part V-Revenues &amp; Expenses'!$K$154)</f>
        <v/>
      </c>
      <c r="L70" s="523">
        <f>G70*(1+'DCA Underwriting Assumptions'!$Q$12)</f>
        <v>160164.84</v>
      </c>
      <c r="M70" s="18" t="str">
        <f>CONCATENATE("x ", K70," units = ")</f>
        <v xml:space="preserve">x  units = </v>
      </c>
      <c r="N70" s="1004" t="str">
        <f>IF(K70="","",K70*L70)</f>
        <v/>
      </c>
      <c r="O70" s="332"/>
      <c r="P70" s="4317"/>
      <c r="Q70" s="4317"/>
      <c r="R70" s="235"/>
      <c r="S70" s="4310"/>
      <c r="T70" s="4311"/>
      <c r="U70" s="4311"/>
      <c r="V70" s="4312"/>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21" t="s">
        <v>802</v>
      </c>
      <c r="E71" s="522">
        <v>1</v>
      </c>
      <c r="F71" s="1003" t="str">
        <f>IF('Part V-Revenues &amp; Expenses'!$L$153 =0,"",'Part V-Revenues &amp; Expenses'!$L$153)</f>
        <v/>
      </c>
      <c r="G71" s="523">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units = </v>
      </c>
      <c r="I71" s="1004" t="str">
        <f>IF(F71="","",F71*G71)</f>
        <v/>
      </c>
      <c r="J71" s="45"/>
      <c r="K71" s="1003" t="str">
        <f>IF('Part V-Revenues &amp; Expenses'!$L$154 =0,"",'Part V-Revenues &amp; Expenses'!$L$154)</f>
        <v/>
      </c>
      <c r="L71" s="523">
        <f>G71*(1+'DCA Underwriting Assumptions'!$Q$12)</f>
        <v>214886.815</v>
      </c>
      <c r="M71" s="18" t="str">
        <f>CONCATENATE("x ", K71," units = ")</f>
        <v xml:space="preserve">x  units = </v>
      </c>
      <c r="N71" s="1004" t="str">
        <f>IF(K71="","",K71*L71)</f>
        <v/>
      </c>
      <c r="O71" s="332"/>
      <c r="P71" s="4335">
        <f>IF(P58&gt;1,P58, IF(OR('Part VIII Scoring Criteria OLD'!$O$113='Part VIII Scoring Criteria OLD'!$M$113,AND('Part III-A-Uses of Funds'!$T$179="Yes",'Part VIII Scoring Criteria OLD'!$O$378&gt;0)),H77+M77,H77))</f>
        <v>46455838.899999999</v>
      </c>
      <c r="Q71" s="4336"/>
      <c r="R71" s="1058"/>
      <c r="S71" s="1059"/>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21" t="s">
        <v>803</v>
      </c>
      <c r="E72" s="522">
        <v>2</v>
      </c>
      <c r="F72" s="1003" t="str">
        <f>IF('Part V-Revenues &amp; Expenses'!$M$153 =0,"",'Part V-Revenues &amp; Expenses'!$M$153)</f>
        <v/>
      </c>
      <c r="G72" s="523">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units = </v>
      </c>
      <c r="I72" s="1004" t="str">
        <f>IF(F72="","",F72*G72)</f>
        <v/>
      </c>
      <c r="J72" s="45"/>
      <c r="K72" s="1003" t="str">
        <f>IF('Part V-Revenues &amp; Expenses'!$M$154 =0,"",'Part V-Revenues &amp; Expenses'!$M$154)</f>
        <v/>
      </c>
      <c r="L72" s="523">
        <f>G72*(1+'DCA Underwriting Assumptions'!$Q$12)</f>
        <v>276283.59000000003</v>
      </c>
      <c r="M72" s="18" t="str">
        <f>CONCATENATE("x ", K72," units = ")</f>
        <v xml:space="preserve">x  units = </v>
      </c>
      <c r="N72" s="1004" t="str">
        <f>IF(K72="","",K72*L72)</f>
        <v/>
      </c>
      <c r="P72" s="4337"/>
      <c r="Q72" s="4338"/>
      <c r="R72" s="1058"/>
      <c r="S72" s="1059"/>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21" t="s">
        <v>804</v>
      </c>
      <c r="E73" s="522">
        <v>3</v>
      </c>
      <c r="F73" s="1003" t="str">
        <f>IF('Part V-Revenues &amp; Expenses'!$N$153 =0,"",'Part V-Revenues &amp; Expenses'!$N$153)</f>
        <v/>
      </c>
      <c r="G73" s="523">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units = </v>
      </c>
      <c r="I73" s="1004" t="str">
        <f>IF(F73="","",F73*G73)</f>
        <v/>
      </c>
      <c r="J73" s="45"/>
      <c r="K73" s="1003" t="str">
        <f>IF('Part V-Revenues &amp; Expenses'!$N$154 =0,"",'Part V-Revenues &amp; Expenses'!$N$154)</f>
        <v/>
      </c>
      <c r="L73" s="523">
        <f>G73*(1+'DCA Underwriting Assumptions'!$Q$12)</f>
        <v>352361.68000000005</v>
      </c>
      <c r="M73" s="18" t="str">
        <f>CONCATENATE("x ", K73," units = ")</f>
        <v xml:space="preserve">x  units = </v>
      </c>
      <c r="N73" s="1004" t="str">
        <f>IF(K73="","",K73*L73)</f>
        <v/>
      </c>
      <c r="P73" s="4313" t="s">
        <v>2483</v>
      </c>
      <c r="Q73" s="4313"/>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21" t="s">
        <v>805</v>
      </c>
      <c r="E74" s="522">
        <v>4</v>
      </c>
      <c r="F74" s="1003" t="str">
        <f>IF('Part V-Revenues &amp; Expenses'!$O$153 =0,"",'Part V-Revenues &amp; Expenses'!$O$153)</f>
        <v/>
      </c>
      <c r="G74" s="523">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1004" t="str">
        <f>IF(F74="","",F74*G74)</f>
        <v/>
      </c>
      <c r="J74" s="45"/>
      <c r="K74" s="1003" t="str">
        <f>IF('Part V-Revenues &amp; Expenses'!$O$154 =0,"",'Part V-Revenues &amp; Expenses'!$O$154)</f>
        <v/>
      </c>
      <c r="L74" s="523">
        <f>G74*(1+'DCA Underwriting Assumptions'!$Q$12)</f>
        <v>440452.10000000009</v>
      </c>
      <c r="M74" s="18" t="str">
        <f>CONCATENATE("x ", K74," units = ")</f>
        <v xml:space="preserve">x  units = </v>
      </c>
      <c r="N74" s="1004" t="str">
        <f>IF(K74="","",K74*L74)</f>
        <v/>
      </c>
      <c r="O74" s="332"/>
      <c r="P74" s="4314"/>
      <c r="Q74" s="4314"/>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3" t="s">
        <v>2475</v>
      </c>
      <c r="E75" s="239"/>
      <c r="F75" s="694">
        <f>SUM(F70:F74)</f>
        <v>0</v>
      </c>
      <c r="G75" s="370"/>
      <c r="H75" s="695"/>
      <c r="I75" s="698">
        <f>SUM(I70:I74)</f>
        <v>0</v>
      </c>
      <c r="J75" s="697"/>
      <c r="K75" s="694">
        <f>SUM(K70:K74)</f>
        <v>0</v>
      </c>
      <c r="L75" s="697"/>
      <c r="M75" s="695"/>
      <c r="N75" s="698">
        <f>SUM(N70:N74)</f>
        <v>0</v>
      </c>
      <c r="O75" s="332"/>
      <c r="P75" s="4314"/>
      <c r="Q75" s="4314"/>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842"/>
      <c r="I76" s="2842"/>
      <c r="J76" s="2842"/>
      <c r="K76" s="2842"/>
      <c r="L76" s="2842"/>
      <c r="M76" s="2842"/>
      <c r="N76" s="711"/>
      <c r="O76" s="332"/>
      <c r="P76" s="4314"/>
      <c r="Q76" s="4314"/>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2484</v>
      </c>
      <c r="B77" s="45"/>
      <c r="C77" s="45"/>
      <c r="D77" s="43"/>
      <c r="E77" s="50"/>
      <c r="F77" s="363">
        <f>F54+F61+F68+F75</f>
        <v>199</v>
      </c>
      <c r="G77" s="171"/>
      <c r="H77" s="4323">
        <f>I54+I61+I68+I75</f>
        <v>46455838.899999999</v>
      </c>
      <c r="I77" s="4323"/>
      <c r="J77" s="4323"/>
      <c r="K77" s="363">
        <f>K54+K61+K68+K75</f>
        <v>0</v>
      </c>
      <c r="L77" s="364"/>
      <c r="M77" s="4323">
        <f>N54+N61+N68+N75</f>
        <v>0</v>
      </c>
      <c r="N77" s="4323"/>
      <c r="O77" s="4323"/>
      <c r="P77" s="4314"/>
      <c r="Q77" s="4314"/>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1403</v>
      </c>
      <c r="C78" s="79"/>
      <c r="D78" s="46"/>
      <c r="E78" s="46"/>
      <c r="F78" s="46"/>
      <c r="G78" s="46"/>
      <c r="H78" s="18"/>
      <c r="I78" s="714"/>
      <c r="J78" s="714"/>
      <c r="K78" s="72" t="s">
        <v>1399</v>
      </c>
      <c r="L78" s="542"/>
      <c r="M78" s="542"/>
      <c r="N78" s="542"/>
      <c r="O78" s="542"/>
      <c r="P78" s="4315"/>
      <c r="Q78" s="4315"/>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153"/>
      <c r="B79" s="4154"/>
      <c r="C79" s="4154"/>
      <c r="D79" s="4154"/>
      <c r="E79" s="4154"/>
      <c r="F79" s="4154"/>
      <c r="G79" s="4154"/>
      <c r="H79" s="4154"/>
      <c r="I79" s="4154"/>
      <c r="J79" s="4155"/>
      <c r="K79" s="4150"/>
      <c r="L79" s="4151"/>
      <c r="M79" s="4151"/>
      <c r="N79" s="4151"/>
      <c r="O79" s="4151"/>
      <c r="P79" s="4151"/>
      <c r="Q79" s="4152"/>
      <c r="R79" s="258" t="s">
        <v>2152</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14"/>
      <c r="C80" s="710"/>
      <c r="D80" s="710"/>
      <c r="E80" s="710"/>
      <c r="F80" s="710"/>
      <c r="G80" s="710"/>
      <c r="H80" s="710"/>
      <c r="I80" s="710"/>
      <c r="J80" s="710"/>
      <c r="K80" s="710"/>
      <c r="L80" s="710"/>
      <c r="M80" s="710"/>
      <c r="N80" s="710"/>
      <c r="O80" s="710"/>
      <c r="P80" s="710"/>
      <c r="Q80" s="542"/>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5" customWidth="1"/>
    <col min="15" max="16" width="6.7109375" style="11" customWidth="1"/>
    <col min="17" max="17" width="6" customWidth="1"/>
    <col min="18" max="21" width="9.28515625" customWidth="1"/>
    <col min="22" max="23" width="10" customWidth="1"/>
  </cols>
  <sheetData>
    <row r="1" spans="1:25" s="14" customFormat="1" ht="14.1" customHeight="1">
      <c r="A1" s="3270" t="str">
        <f>CONCATENATE("PART EIGHT - SCORING CRITERIA","  -  ",'Part I-Project Identification'!$O$7," ",'Part I-Project Identification'!$F$25,", ",'Part I-Project Identification'!F26,", ",'Part I-Project Identification'!J26," County")</f>
        <v>PART EIGHT - SCORING CRITERIA  -  2023-5 Ashley Collegetown Phase I, Atlanta, Fulton County</v>
      </c>
      <c r="B1" s="3271"/>
      <c r="C1" s="3271"/>
      <c r="D1" s="3271"/>
      <c r="E1" s="3271"/>
      <c r="F1" s="3271"/>
      <c r="G1" s="3271"/>
      <c r="H1" s="3271"/>
      <c r="I1" s="3271"/>
      <c r="J1" s="3271"/>
      <c r="K1" s="3271"/>
      <c r="L1" s="3271"/>
      <c r="M1" s="3271"/>
      <c r="N1" s="3271"/>
      <c r="O1" s="3271"/>
      <c r="P1" s="3272"/>
      <c r="Q1" s="4355" t="s">
        <v>2485</v>
      </c>
      <c r="R1" s="4355"/>
      <c r="S1" s="4355"/>
      <c r="T1" s="4355"/>
      <c r="U1" s="4355"/>
      <c r="V1" s="4355"/>
      <c r="W1" s="1639"/>
      <c r="X1" s="1604"/>
      <c r="Y1" s="79"/>
    </row>
    <row r="2" spans="1:25" s="14" customFormat="1" ht="4.3499999999999996" customHeight="1">
      <c r="A2" s="15"/>
      <c r="B2" s="15"/>
      <c r="C2" s="16"/>
      <c r="D2" s="15"/>
      <c r="E2" s="15"/>
      <c r="F2" s="15"/>
      <c r="G2" s="15"/>
      <c r="H2" s="15"/>
      <c r="I2" s="15"/>
      <c r="J2" s="15"/>
      <c r="K2" s="15"/>
      <c r="L2" s="15"/>
      <c r="M2" s="714"/>
      <c r="N2" s="34"/>
      <c r="O2" s="82"/>
      <c r="P2" s="82"/>
      <c r="Q2" s="4355"/>
      <c r="R2" s="4355"/>
      <c r="S2" s="4355"/>
      <c r="T2" s="4355"/>
      <c r="U2" s="4355"/>
      <c r="V2" s="4355"/>
      <c r="W2" s="1639"/>
      <c r="X2" s="1604"/>
      <c r="Y2" s="79"/>
    </row>
    <row r="3" spans="1:25" s="20" customFormat="1" ht="12" customHeight="1">
      <c r="A3" s="4406" t="s">
        <v>2486</v>
      </c>
      <c r="B3" s="4406"/>
      <c r="C3" s="4406"/>
      <c r="D3" s="4406"/>
      <c r="E3" s="4406"/>
      <c r="F3" s="4406"/>
      <c r="G3" s="4406"/>
      <c r="H3" s="4406"/>
      <c r="I3" s="4406"/>
      <c r="J3" s="4406"/>
      <c r="K3" s="4406"/>
      <c r="L3" s="4406"/>
      <c r="M3" s="532"/>
      <c r="N3" s="34"/>
      <c r="O3" s="2945" t="s">
        <v>1665</v>
      </c>
      <c r="P3" s="2946" t="s">
        <v>1666</v>
      </c>
      <c r="Q3" s="4355"/>
      <c r="R3" s="4355"/>
      <c r="S3" s="4355"/>
      <c r="T3" s="4355"/>
      <c r="U3" s="4355"/>
      <c r="V3" s="4355"/>
      <c r="W3" s="1639"/>
      <c r="X3" s="1604"/>
      <c r="Y3" s="45"/>
    </row>
    <row r="4" spans="1:25" s="22" customFormat="1" ht="12" customHeight="1">
      <c r="A4" s="4406"/>
      <c r="B4" s="4406"/>
      <c r="C4" s="4406"/>
      <c r="D4" s="4406"/>
      <c r="E4" s="4406"/>
      <c r="F4" s="4406"/>
      <c r="G4" s="4406"/>
      <c r="H4" s="4406"/>
      <c r="I4" s="4406"/>
      <c r="J4" s="4406"/>
      <c r="K4" s="4406"/>
      <c r="L4" s="4406"/>
      <c r="M4" s="532"/>
      <c r="N4" s="38"/>
      <c r="O4" s="104" t="s">
        <v>1667</v>
      </c>
      <c r="P4" s="104" t="s">
        <v>1667</v>
      </c>
      <c r="Q4" s="4355"/>
      <c r="R4" s="4355"/>
      <c r="S4" s="4355"/>
      <c r="T4" s="4355"/>
      <c r="U4" s="4355"/>
      <c r="V4" s="4355"/>
    </row>
    <row r="5" spans="1:25" s="22" customFormat="1" ht="3" customHeight="1" thickBot="1">
      <c r="A5" s="45"/>
      <c r="B5" s="45"/>
      <c r="C5" s="45"/>
      <c r="D5" s="45"/>
      <c r="E5" s="45"/>
      <c r="F5" s="45"/>
      <c r="G5" s="45"/>
      <c r="H5" s="45"/>
      <c r="I5" s="45"/>
      <c r="J5" s="45"/>
      <c r="K5" s="45"/>
      <c r="M5" s="1335"/>
      <c r="N5" s="4"/>
      <c r="O5" s="82"/>
      <c r="P5" s="11"/>
      <c r="Q5" s="4355"/>
      <c r="R5" s="4355"/>
      <c r="S5" s="4355"/>
      <c r="T5" s="4355"/>
      <c r="U5" s="4355"/>
      <c r="V5" s="4355"/>
    </row>
    <row r="6" spans="1:25" s="22" customFormat="1" ht="13.5" customHeight="1" thickTop="1" thickBot="1">
      <c r="A6" s="45"/>
      <c r="B6" s="4501" t="str">
        <f>'Part I-Project Identification'!$A$6</f>
        <v>Sept 2023</v>
      </c>
      <c r="C6" s="4501"/>
      <c r="D6" s="4501"/>
      <c r="E6" s="4501"/>
      <c r="F6" s="4501"/>
      <c r="G6" s="45"/>
      <c r="H6" s="45"/>
      <c r="I6" s="45"/>
      <c r="J6" s="45"/>
      <c r="L6" s="32" t="s">
        <v>1668</v>
      </c>
      <c r="M6" s="3"/>
      <c r="N6" s="2780"/>
      <c r="O6" s="1316">
        <f>O442</f>
        <v>22</v>
      </c>
      <c r="P6" s="1316">
        <f>P442</f>
        <v>22</v>
      </c>
      <c r="Q6" s="1252" t="s">
        <v>2487</v>
      </c>
      <c r="R6" s="1635"/>
      <c r="S6" s="1635"/>
      <c r="T6" s="1635"/>
      <c r="U6" s="1635"/>
      <c r="V6" s="1635"/>
      <c r="W6" s="1635"/>
      <c r="X6" s="1635"/>
      <c r="Y6" s="1635"/>
    </row>
    <row r="7" spans="1:25" s="21" customFormat="1" ht="3.6" customHeight="1" thickTop="1">
      <c r="A7" s="45"/>
      <c r="B7" s="24"/>
      <c r="C7" s="15"/>
      <c r="D7" s="50"/>
      <c r="E7" s="50"/>
      <c r="F7" s="50"/>
      <c r="G7" s="50"/>
      <c r="H7" s="50"/>
      <c r="I7" s="50"/>
      <c r="J7" s="50"/>
      <c r="K7" s="50"/>
      <c r="L7" s="45"/>
      <c r="M7" s="34"/>
      <c r="N7" s="60"/>
      <c r="O7" s="3"/>
      <c r="P7" s="82"/>
      <c r="Q7" s="1635"/>
      <c r="R7" s="1635"/>
      <c r="S7" s="1635"/>
      <c r="T7" s="1635"/>
      <c r="U7" s="1635"/>
      <c r="V7" s="1635"/>
      <c r="W7" s="1635"/>
      <c r="X7" s="1635"/>
      <c r="Y7" s="1635"/>
    </row>
    <row r="8" spans="1:25" s="20" customFormat="1" ht="2.25" customHeight="1">
      <c r="A8" s="956"/>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1670</v>
      </c>
      <c r="C9" s="4"/>
      <c r="D9" s="15"/>
      <c r="E9" s="15"/>
      <c r="F9" s="15"/>
      <c r="G9" s="25"/>
      <c r="H9" s="102"/>
      <c r="I9" s="25"/>
      <c r="J9" s="25"/>
      <c r="K9" s="25"/>
      <c r="L9" s="25"/>
      <c r="M9" s="25"/>
      <c r="N9" s="25"/>
      <c r="O9" s="25"/>
      <c r="P9" s="25"/>
      <c r="Q9" s="1635"/>
      <c r="R9" s="1635"/>
      <c r="S9" s="1635"/>
      <c r="T9" s="1635"/>
      <c r="U9" s="1635"/>
      <c r="V9" s="1635"/>
      <c r="W9" s="1635"/>
      <c r="X9" s="1635"/>
      <c r="Y9" s="1635"/>
    </row>
    <row r="10" spans="1:25" s="20" customFormat="1" ht="12" customHeight="1" thickBot="1">
      <c r="A10" s="956" t="s">
        <v>1671</v>
      </c>
      <c r="B10" s="45"/>
      <c r="C10" s="45"/>
      <c r="D10" s="15"/>
      <c r="E10" s="15"/>
      <c r="F10" s="15"/>
      <c r="G10" s="25"/>
      <c r="H10" s="102" t="s">
        <v>2488</v>
      </c>
      <c r="I10" s="25"/>
      <c r="J10" s="25"/>
      <c r="K10" s="25"/>
      <c r="L10" s="25"/>
      <c r="M10" s="950" t="s">
        <v>2489</v>
      </c>
      <c r="N10" s="25"/>
      <c r="O10" s="25"/>
      <c r="P10" s="719">
        <f>IF(P12&lt;2,0,IF(AND(P12&gt;1,P12&lt;5),1,IF(P12&gt;4,P12-3)))</f>
        <v>0</v>
      </c>
      <c r="Q10" s="1635"/>
      <c r="R10" s="1635"/>
      <c r="S10" s="1635"/>
      <c r="T10" s="1635"/>
      <c r="U10" s="1635"/>
      <c r="V10" s="1635"/>
      <c r="W10" s="1635"/>
      <c r="X10" s="1635"/>
      <c r="Y10" s="1635"/>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68" t="s">
        <v>1673</v>
      </c>
      <c r="B12" s="968" t="s">
        <v>1674</v>
      </c>
      <c r="C12" s="748"/>
      <c r="D12" s="748"/>
      <c r="E12" s="153" t="s">
        <v>1675</v>
      </c>
      <c r="F12" s="4498" t="s">
        <v>1676</v>
      </c>
      <c r="G12" s="4498"/>
      <c r="H12" s="4498"/>
      <c r="I12" s="4498"/>
      <c r="J12" s="4498"/>
      <c r="K12" s="4498"/>
      <c r="L12" s="4498"/>
      <c r="M12" s="4498"/>
      <c r="N12" s="4498"/>
      <c r="O12" s="969" t="s">
        <v>1677</v>
      </c>
      <c r="P12" s="970">
        <f>SUM(P13:P31)</f>
        <v>0</v>
      </c>
      <c r="Q12" s="4354" t="s">
        <v>2490</v>
      </c>
      <c r="R12" s="4354"/>
      <c r="S12" s="4354"/>
      <c r="T12" s="4354"/>
      <c r="U12" s="4354"/>
      <c r="V12" s="948"/>
      <c r="W12" s="45"/>
      <c r="X12" s="45"/>
      <c r="Y12" s="45"/>
    </row>
    <row r="13" spans="1:25" s="20" customFormat="1" ht="10.5" customHeight="1">
      <c r="A13" s="736" t="s">
        <v>66</v>
      </c>
      <c r="B13" s="2843" t="s">
        <v>1678</v>
      </c>
      <c r="C13" s="2844"/>
      <c r="D13" s="2947"/>
      <c r="E13" s="2948">
        <f>$O$103</f>
        <v>0</v>
      </c>
      <c r="F13" s="4499">
        <f>$A$109</f>
        <v>0</v>
      </c>
      <c r="G13" s="4500"/>
      <c r="H13" s="4500"/>
      <c r="I13" s="4500"/>
      <c r="J13" s="4500"/>
      <c r="K13" s="4500"/>
      <c r="L13" s="4500"/>
      <c r="M13" s="4500"/>
      <c r="N13" s="4500"/>
      <c r="O13" s="4500"/>
      <c r="P13" s="976"/>
      <c r="Q13" s="4354"/>
      <c r="R13" s="4354"/>
      <c r="S13" s="4354"/>
      <c r="T13" s="4354"/>
      <c r="U13" s="4354"/>
      <c r="V13" s="948"/>
      <c r="W13" s="45"/>
      <c r="X13" s="45"/>
      <c r="Y13" s="45"/>
    </row>
    <row r="14" spans="1:25" s="20" customFormat="1" ht="10.5" customHeight="1">
      <c r="A14" s="736" t="s">
        <v>75</v>
      </c>
      <c r="B14" s="594" t="s">
        <v>1679</v>
      </c>
      <c r="C14" s="691"/>
      <c r="D14" s="737"/>
      <c r="E14" s="1459">
        <f>$O$113</f>
        <v>0</v>
      </c>
      <c r="F14" s="4374">
        <f>$A$147</f>
        <v>0</v>
      </c>
      <c r="G14" s="4375"/>
      <c r="H14" s="4375"/>
      <c r="I14" s="4375"/>
      <c r="J14" s="4375"/>
      <c r="K14" s="4375"/>
      <c r="L14" s="4375"/>
      <c r="M14" s="4375"/>
      <c r="N14" s="4375"/>
      <c r="O14" s="4376"/>
      <c r="P14" s="977"/>
      <c r="Q14" s="4354"/>
      <c r="R14" s="4354"/>
      <c r="S14" s="4354"/>
      <c r="T14" s="4354"/>
      <c r="U14" s="4354"/>
      <c r="V14" s="45"/>
      <c r="W14" s="45"/>
      <c r="X14" s="45"/>
      <c r="Y14" s="45"/>
    </row>
    <row r="15" spans="1:25" s="20" customFormat="1" ht="10.5" customHeight="1">
      <c r="A15" s="736" t="s">
        <v>77</v>
      </c>
      <c r="B15" s="594" t="s">
        <v>1680</v>
      </c>
      <c r="C15" s="691"/>
      <c r="D15" s="737"/>
      <c r="E15" s="1459">
        <f>$O$152</f>
        <v>0</v>
      </c>
      <c r="F15" s="4374">
        <f>$A$165</f>
        <v>0</v>
      </c>
      <c r="G15" s="4375"/>
      <c r="H15" s="4375"/>
      <c r="I15" s="4375"/>
      <c r="J15" s="4375"/>
      <c r="K15" s="4375"/>
      <c r="L15" s="4375"/>
      <c r="M15" s="4375"/>
      <c r="N15" s="4375"/>
      <c r="O15" s="4376"/>
      <c r="P15" s="977"/>
      <c r="Q15" s="1645"/>
      <c r="R15" s="1645"/>
      <c r="S15" s="1645"/>
      <c r="T15" s="1645"/>
      <c r="U15" s="1645"/>
      <c r="V15" s="45"/>
      <c r="W15" s="45"/>
      <c r="X15" s="45"/>
      <c r="Y15" s="45"/>
    </row>
    <row r="16" spans="1:25" s="20" customFormat="1" ht="10.5" customHeight="1">
      <c r="A16" s="1315" t="s">
        <v>1427</v>
      </c>
      <c r="B16" s="594" t="s">
        <v>1681</v>
      </c>
      <c r="C16" s="691"/>
      <c r="D16" s="737"/>
      <c r="E16" s="965">
        <f>$O$169</f>
        <v>0</v>
      </c>
      <c r="F16" s="4374">
        <f>$A$186</f>
        <v>0</v>
      </c>
      <c r="G16" s="4375"/>
      <c r="H16" s="4375"/>
      <c r="I16" s="4375"/>
      <c r="J16" s="4375"/>
      <c r="K16" s="4375"/>
      <c r="L16" s="4375"/>
      <c r="M16" s="4375"/>
      <c r="N16" s="4375"/>
      <c r="O16" s="4376"/>
      <c r="P16" s="977"/>
      <c r="Q16" s="1645"/>
      <c r="R16" s="1645"/>
      <c r="S16" s="1645"/>
      <c r="T16" s="1645"/>
      <c r="U16" s="1645"/>
      <c r="V16" s="45"/>
      <c r="W16" s="45"/>
      <c r="X16" s="45"/>
      <c r="Y16" s="45"/>
    </row>
    <row r="17" spans="1:35" s="20" customFormat="1" ht="10.5" customHeight="1">
      <c r="A17" s="736" t="s">
        <v>1432</v>
      </c>
      <c r="B17" s="743" t="s">
        <v>1682</v>
      </c>
      <c r="C17" s="744"/>
      <c r="D17" s="745"/>
      <c r="E17" s="966" t="s">
        <v>1683</v>
      </c>
      <c r="F17" s="4438">
        <f>$A$201</f>
        <v>0</v>
      </c>
      <c r="G17" s="4439"/>
      <c r="H17" s="4439"/>
      <c r="I17" s="4439"/>
      <c r="J17" s="4439"/>
      <c r="K17" s="4439"/>
      <c r="L17" s="4439"/>
      <c r="M17" s="4439"/>
      <c r="N17" s="4439"/>
      <c r="O17" s="4440"/>
      <c r="P17" s="977"/>
      <c r="Q17" s="1645"/>
      <c r="R17" s="1645"/>
      <c r="S17" s="1645"/>
      <c r="T17" s="1645"/>
      <c r="U17" s="1645"/>
      <c r="V17" s="45"/>
      <c r="W17" s="45"/>
      <c r="X17" s="45"/>
      <c r="Y17" s="45"/>
      <c r="Z17" s="45"/>
      <c r="AA17" s="45"/>
      <c r="AB17" s="45"/>
      <c r="AC17" s="45"/>
      <c r="AD17" s="45"/>
      <c r="AE17" s="45"/>
      <c r="AF17" s="45"/>
      <c r="AG17" s="45"/>
      <c r="AH17" s="45"/>
      <c r="AI17" s="45"/>
    </row>
    <row r="18" spans="1:35" s="20" customFormat="1" ht="10.5" customHeight="1">
      <c r="A18" s="736" t="s">
        <v>1434</v>
      </c>
      <c r="B18" s="594" t="s">
        <v>1684</v>
      </c>
      <c r="C18" s="691"/>
      <c r="D18" s="737"/>
      <c r="E18" s="964">
        <f>$O$205</f>
        <v>0</v>
      </c>
      <c r="F18" s="4374">
        <f>$A$220</f>
        <v>0</v>
      </c>
      <c r="G18" s="4375"/>
      <c r="H18" s="4375"/>
      <c r="I18" s="4375"/>
      <c r="J18" s="4375"/>
      <c r="K18" s="4375"/>
      <c r="L18" s="4375"/>
      <c r="M18" s="4375"/>
      <c r="N18" s="4375"/>
      <c r="O18" s="4376"/>
      <c r="P18" s="977"/>
      <c r="Q18" s="4433" t="str">
        <f>IF(OR($A$109="",$A$147="",$A$165="",$A$186="",$A$201="",$A$220="",$A$238="",$A$248="",$A$257="",$A$281="",$A$306="",$A$314="",$A$338="",$A$374="",$A$393="",$A$414="",$A$420="",$A$430="",$A$438=""),"Some Applicant Scoring Justification boxes are empty! Check to see if points claimed.","")</f>
        <v>Some Applicant Scoring Justification boxes are empty! Check to see if points claimed.</v>
      </c>
      <c r="R18" s="4434"/>
      <c r="S18" s="4434"/>
      <c r="T18" s="45"/>
      <c r="U18" s="45"/>
      <c r="V18" s="45"/>
      <c r="W18" s="45"/>
      <c r="X18" s="45"/>
      <c r="Y18" s="45"/>
      <c r="Z18" s="45"/>
      <c r="AA18" s="45"/>
      <c r="AB18" s="45"/>
      <c r="AC18" s="45"/>
      <c r="AD18" s="45"/>
      <c r="AE18" s="45"/>
      <c r="AF18" s="45"/>
      <c r="AG18" s="45"/>
      <c r="AH18" s="45"/>
      <c r="AI18" s="45"/>
    </row>
    <row r="19" spans="1:35" s="20" customFormat="1" ht="10.5" customHeight="1">
      <c r="A19" s="736" t="s">
        <v>1685</v>
      </c>
      <c r="B19" s="594" t="s">
        <v>1686</v>
      </c>
      <c r="C19" s="691"/>
      <c r="D19" s="737"/>
      <c r="E19" s="964">
        <f>$O$233</f>
        <v>0</v>
      </c>
      <c r="F19" s="4374">
        <f>$A$238</f>
        <v>0</v>
      </c>
      <c r="G19" s="4375"/>
      <c r="H19" s="4375"/>
      <c r="I19" s="4375"/>
      <c r="J19" s="4375"/>
      <c r="K19" s="4375"/>
      <c r="L19" s="4375"/>
      <c r="M19" s="4375"/>
      <c r="N19" s="4375"/>
      <c r="O19" s="4376"/>
      <c r="P19" s="977"/>
      <c r="Q19" s="4433"/>
      <c r="R19" s="4434"/>
      <c r="S19" s="4434"/>
      <c r="T19" s="45"/>
      <c r="U19" s="45"/>
      <c r="V19" s="45"/>
      <c r="W19" s="45"/>
      <c r="X19" s="45"/>
      <c r="Y19" s="45"/>
      <c r="Z19" s="45"/>
      <c r="AA19" s="45"/>
      <c r="AB19" s="45"/>
      <c r="AC19" s="45"/>
      <c r="AD19" s="45"/>
      <c r="AE19" s="45"/>
      <c r="AF19" s="45"/>
      <c r="AG19" s="45"/>
      <c r="AH19" s="45"/>
      <c r="AI19" s="45"/>
    </row>
    <row r="20" spans="1:35" s="20" customFormat="1" ht="10.5" customHeight="1">
      <c r="A20" s="736" t="s">
        <v>1687</v>
      </c>
      <c r="B20" s="594" t="s">
        <v>1688</v>
      </c>
      <c r="C20" s="691"/>
      <c r="D20" s="737"/>
      <c r="E20" s="966">
        <f>$O$242</f>
        <v>0</v>
      </c>
      <c r="F20" s="4374">
        <f>$A$248</f>
        <v>0</v>
      </c>
      <c r="G20" s="4375"/>
      <c r="H20" s="4375"/>
      <c r="I20" s="4375"/>
      <c r="J20" s="4375"/>
      <c r="K20" s="4375"/>
      <c r="L20" s="4375"/>
      <c r="M20" s="4375"/>
      <c r="N20" s="4375"/>
      <c r="O20" s="4376"/>
      <c r="P20" s="977"/>
      <c r="Q20" s="4433"/>
      <c r="R20" s="4434"/>
      <c r="S20" s="4434"/>
      <c r="T20" s="45"/>
      <c r="U20" s="45"/>
      <c r="V20" s="45"/>
      <c r="W20" s="45"/>
      <c r="X20" s="45"/>
      <c r="Y20" s="45"/>
      <c r="Z20" s="45"/>
      <c r="AA20" s="45"/>
      <c r="AB20" s="45"/>
      <c r="AC20" s="45"/>
      <c r="AD20" s="45"/>
      <c r="AE20" s="45"/>
      <c r="AF20" s="45"/>
      <c r="AG20" s="45"/>
      <c r="AH20" s="45"/>
      <c r="AI20" s="45"/>
    </row>
    <row r="21" spans="1:35" s="20" customFormat="1" ht="10.5" customHeight="1">
      <c r="A21" s="742" t="s">
        <v>1689</v>
      </c>
      <c r="B21" s="743" t="s">
        <v>1690</v>
      </c>
      <c r="C21" s="744"/>
      <c r="D21" s="745"/>
      <c r="E21" s="967">
        <f>$O$252</f>
        <v>0</v>
      </c>
      <c r="F21" s="4438">
        <f>$A$257</f>
        <v>0</v>
      </c>
      <c r="G21" s="4439"/>
      <c r="H21" s="4439"/>
      <c r="I21" s="4439"/>
      <c r="J21" s="4439"/>
      <c r="K21" s="4439"/>
      <c r="L21" s="4439"/>
      <c r="M21" s="4439"/>
      <c r="N21" s="4439"/>
      <c r="O21" s="4440"/>
      <c r="P21" s="977"/>
      <c r="Q21" s="4433"/>
      <c r="R21" s="4434"/>
      <c r="S21" s="4434"/>
      <c r="T21" s="45"/>
      <c r="U21" s="45"/>
      <c r="V21" s="45"/>
      <c r="W21" s="45"/>
      <c r="X21" s="45"/>
      <c r="Y21" s="45"/>
      <c r="Z21" s="45"/>
      <c r="AA21" s="45"/>
      <c r="AB21" s="45"/>
      <c r="AC21" s="45"/>
      <c r="AD21" s="45"/>
      <c r="AE21" s="45"/>
      <c r="AF21" s="45"/>
      <c r="AG21" s="45"/>
      <c r="AH21" s="45"/>
      <c r="AI21" s="45"/>
    </row>
    <row r="22" spans="1:35" s="20" customFormat="1" ht="10.5" customHeight="1">
      <c r="A22" s="736" t="s">
        <v>1691</v>
      </c>
      <c r="B22" s="594" t="s">
        <v>1692</v>
      </c>
      <c r="C22" s="691"/>
      <c r="D22" s="737"/>
      <c r="E22" s="964">
        <f>$O$274</f>
        <v>0</v>
      </c>
      <c r="F22" s="4374">
        <f>$A$281</f>
        <v>0</v>
      </c>
      <c r="G22" s="4375"/>
      <c r="H22" s="4375"/>
      <c r="I22" s="4375"/>
      <c r="J22" s="4375"/>
      <c r="K22" s="4375"/>
      <c r="L22" s="4375"/>
      <c r="M22" s="4375"/>
      <c r="N22" s="4375"/>
      <c r="O22" s="4376"/>
      <c r="P22" s="977"/>
      <c r="Q22" s="4433"/>
      <c r="R22" s="4434"/>
      <c r="S22" s="4434"/>
      <c r="T22" s="45"/>
      <c r="U22" s="45"/>
      <c r="V22" s="45"/>
      <c r="W22" s="45"/>
      <c r="X22" s="45"/>
      <c r="Y22" s="45"/>
      <c r="Z22" s="45"/>
      <c r="AA22" s="45"/>
      <c r="AB22" s="45"/>
      <c r="AC22" s="45"/>
      <c r="AD22" s="45"/>
      <c r="AE22" s="45"/>
      <c r="AF22" s="45"/>
      <c r="AG22" s="45"/>
      <c r="AH22" s="45"/>
      <c r="AI22" s="45"/>
    </row>
    <row r="23" spans="1:35" s="20" customFormat="1" ht="10.5" customHeight="1">
      <c r="A23" s="736" t="s">
        <v>1693</v>
      </c>
      <c r="B23" s="594" t="s">
        <v>1694</v>
      </c>
      <c r="C23" s="691"/>
      <c r="D23" s="737"/>
      <c r="E23" s="964">
        <f>$O$285</f>
        <v>0</v>
      </c>
      <c r="F23" s="4374">
        <f>$A$306</f>
        <v>0</v>
      </c>
      <c r="G23" s="4375"/>
      <c r="H23" s="4375"/>
      <c r="I23" s="4375"/>
      <c r="J23" s="4375"/>
      <c r="K23" s="4375"/>
      <c r="L23" s="4375"/>
      <c r="M23" s="4375"/>
      <c r="N23" s="4375"/>
      <c r="O23" s="4376"/>
      <c r="P23" s="977"/>
      <c r="Q23" s="4433"/>
      <c r="R23" s="4434"/>
      <c r="S23" s="4434"/>
      <c r="T23" s="45"/>
      <c r="U23" s="45"/>
      <c r="V23" s="45"/>
      <c r="W23" s="45"/>
      <c r="X23" s="45"/>
      <c r="Y23" s="45"/>
      <c r="Z23" s="45"/>
      <c r="AA23" s="45"/>
      <c r="AB23" s="45"/>
      <c r="AC23" s="45"/>
      <c r="AD23" s="45"/>
      <c r="AE23" s="45"/>
      <c r="AF23" s="45"/>
      <c r="AG23" s="45"/>
      <c r="AH23" s="45"/>
      <c r="AI23" s="45"/>
    </row>
    <row r="24" spans="1:35" s="20" customFormat="1" ht="10.5" customHeight="1">
      <c r="A24" s="1315" t="s">
        <v>1491</v>
      </c>
      <c r="B24" s="1566" t="s">
        <v>1695</v>
      </c>
      <c r="C24" s="1567"/>
      <c r="D24" s="1568"/>
      <c r="E24" s="965">
        <f>$O$310</f>
        <v>0</v>
      </c>
      <c r="F24" s="4427">
        <f>$A$314</f>
        <v>0</v>
      </c>
      <c r="G24" s="4428"/>
      <c r="H24" s="4428"/>
      <c r="I24" s="4428"/>
      <c r="J24" s="4428"/>
      <c r="K24" s="4428"/>
      <c r="L24" s="4428"/>
      <c r="M24" s="4428"/>
      <c r="N24" s="4428"/>
      <c r="O24" s="4429"/>
      <c r="P24" s="977"/>
      <c r="Q24" s="4433"/>
      <c r="R24" s="4434"/>
      <c r="S24" s="4434"/>
      <c r="T24" s="45"/>
      <c r="U24" s="45"/>
      <c r="V24" s="45"/>
      <c r="W24" s="45"/>
      <c r="X24" s="45"/>
      <c r="Y24" s="45"/>
      <c r="Z24" s="45"/>
      <c r="AA24" s="45"/>
      <c r="AB24" s="45"/>
      <c r="AC24" s="45"/>
      <c r="AD24" s="45"/>
      <c r="AE24" s="45"/>
      <c r="AF24" s="45"/>
      <c r="AG24" s="45"/>
      <c r="AH24" s="45"/>
      <c r="AI24" s="45"/>
    </row>
    <row r="25" spans="1:35" s="20" customFormat="1" ht="10.5" customHeight="1">
      <c r="A25" s="736" t="s">
        <v>1508</v>
      </c>
      <c r="B25" s="594" t="s">
        <v>1696</v>
      </c>
      <c r="C25" s="691"/>
      <c r="D25" s="737"/>
      <c r="E25" s="964">
        <f>$O$334</f>
        <v>0</v>
      </c>
      <c r="F25" s="4374">
        <f>$A$338</f>
        <v>0</v>
      </c>
      <c r="G25" s="4375"/>
      <c r="H25" s="4375"/>
      <c r="I25" s="4375"/>
      <c r="J25" s="4375"/>
      <c r="K25" s="4375"/>
      <c r="L25" s="4375"/>
      <c r="M25" s="4375"/>
      <c r="N25" s="4375"/>
      <c r="O25" s="4376"/>
      <c r="P25" s="977"/>
      <c r="Q25" s="4433"/>
      <c r="R25" s="4434"/>
      <c r="S25" s="4434"/>
      <c r="T25" s="45"/>
      <c r="U25" s="45"/>
      <c r="V25" s="45"/>
      <c r="W25" s="45"/>
      <c r="X25" s="45"/>
      <c r="Y25" s="45"/>
      <c r="Z25" s="45"/>
      <c r="AA25" s="45"/>
      <c r="AB25" s="45"/>
      <c r="AC25" s="45"/>
      <c r="AD25" s="45"/>
      <c r="AE25" s="45"/>
      <c r="AF25" s="45"/>
      <c r="AG25" s="45"/>
      <c r="AH25" s="45"/>
      <c r="AI25" s="45"/>
    </row>
    <row r="26" spans="1:35" s="20" customFormat="1" ht="10.5" customHeight="1">
      <c r="A26" s="736" t="s">
        <v>1515</v>
      </c>
      <c r="B26" s="594" t="s">
        <v>1697</v>
      </c>
      <c r="C26" s="691"/>
      <c r="D26" s="737"/>
      <c r="E26" s="964">
        <f>$O$342</f>
        <v>0</v>
      </c>
      <c r="F26" s="4374">
        <f>$A$374</f>
        <v>0</v>
      </c>
      <c r="G26" s="4375"/>
      <c r="H26" s="4375"/>
      <c r="I26" s="4375"/>
      <c r="J26" s="4375"/>
      <c r="K26" s="4375"/>
      <c r="L26" s="4375"/>
      <c r="M26" s="4375"/>
      <c r="N26" s="4375"/>
      <c r="O26" s="4376"/>
      <c r="P26" s="977"/>
      <c r="Q26" s="4433"/>
      <c r="R26" s="4434"/>
      <c r="S26" s="4434"/>
      <c r="T26" s="45"/>
      <c r="U26" s="45"/>
      <c r="V26" s="45"/>
      <c r="W26" s="45"/>
      <c r="X26" s="45"/>
      <c r="Y26" s="45"/>
      <c r="Z26" s="45"/>
      <c r="AA26" s="45"/>
      <c r="AB26" s="45"/>
      <c r="AC26" s="45"/>
      <c r="AD26" s="45"/>
      <c r="AE26" s="45"/>
      <c r="AF26" s="45"/>
      <c r="AG26" s="45"/>
      <c r="AH26" s="45"/>
      <c r="AI26" s="45"/>
    </row>
    <row r="27" spans="1:35" s="20" customFormat="1" ht="10.5" customHeight="1">
      <c r="A27" s="736" t="s">
        <v>1529</v>
      </c>
      <c r="B27" s="594" t="s">
        <v>1698</v>
      </c>
      <c r="C27" s="691"/>
      <c r="D27" s="737"/>
      <c r="E27" s="966">
        <f>$O$378</f>
        <v>0</v>
      </c>
      <c r="F27" s="4374">
        <f>$A$393</f>
        <v>0</v>
      </c>
      <c r="G27" s="4375"/>
      <c r="H27" s="4375"/>
      <c r="I27" s="4375"/>
      <c r="J27" s="4375"/>
      <c r="K27" s="4375"/>
      <c r="L27" s="4375"/>
      <c r="M27" s="4375"/>
      <c r="N27" s="4375"/>
      <c r="O27" s="4376"/>
      <c r="P27" s="977"/>
      <c r="Q27" s="1634"/>
      <c r="R27" s="1330"/>
      <c r="S27" s="1330"/>
      <c r="T27" s="45"/>
      <c r="U27" s="45"/>
      <c r="V27" s="45"/>
      <c r="W27" s="45"/>
      <c r="X27" s="45"/>
      <c r="Y27" s="45"/>
      <c r="Z27" s="45"/>
      <c r="AA27" s="4"/>
      <c r="AB27" s="4"/>
      <c r="AC27" s="4"/>
      <c r="AD27" s="4"/>
      <c r="AE27" s="4"/>
      <c r="AF27" s="4"/>
      <c r="AG27" s="45"/>
      <c r="AH27" s="45"/>
      <c r="AI27" s="45"/>
    </row>
    <row r="28" spans="1:35" s="20" customFormat="1" ht="10.5" customHeight="1">
      <c r="A28" s="738" t="s">
        <v>1543</v>
      </c>
      <c r="B28" s="739" t="s">
        <v>1699</v>
      </c>
      <c r="C28" s="740"/>
      <c r="D28" s="741"/>
      <c r="E28" s="1326">
        <f>$O$405</f>
        <v>2</v>
      </c>
      <c r="F28" s="4389">
        <f>$A$414</f>
        <v>0</v>
      </c>
      <c r="G28" s="4390"/>
      <c r="H28" s="4390"/>
      <c r="I28" s="4390"/>
      <c r="J28" s="4390"/>
      <c r="K28" s="4390"/>
      <c r="L28" s="4390"/>
      <c r="M28" s="4390"/>
      <c r="N28" s="4390"/>
      <c r="O28" s="4391"/>
      <c r="P28" s="978"/>
      <c r="Q28" s="1634"/>
      <c r="R28" s="1330"/>
      <c r="S28" s="1330"/>
      <c r="T28" s="45"/>
      <c r="U28" s="45"/>
      <c r="V28" s="45"/>
      <c r="W28" s="45"/>
      <c r="X28" s="4"/>
      <c r="Y28" s="4"/>
      <c r="Z28" s="4"/>
      <c r="AA28" s="4"/>
      <c r="AB28" s="4"/>
      <c r="AC28" s="4"/>
      <c r="AD28" s="4"/>
      <c r="AE28" s="4"/>
      <c r="AF28" s="4"/>
      <c r="AG28" s="4"/>
      <c r="AH28" s="4"/>
      <c r="AI28" s="4"/>
    </row>
    <row r="29" spans="1:35" s="20" customFormat="1" ht="10.5" customHeight="1">
      <c r="A29" s="736" t="s">
        <v>1556</v>
      </c>
      <c r="B29" s="594" t="s">
        <v>1700</v>
      </c>
      <c r="C29" s="691"/>
      <c r="D29" s="737"/>
      <c r="E29" s="964">
        <f>$O$418</f>
        <v>0</v>
      </c>
      <c r="F29" s="4374">
        <f>$A$420</f>
        <v>0</v>
      </c>
      <c r="G29" s="4375"/>
      <c r="H29" s="4375"/>
      <c r="I29" s="4375"/>
      <c r="J29" s="4375"/>
      <c r="K29" s="4375"/>
      <c r="L29" s="4375"/>
      <c r="M29" s="4375"/>
      <c r="N29" s="4375"/>
      <c r="O29" s="4376"/>
      <c r="P29" s="977"/>
      <c r="Q29" s="1634"/>
      <c r="R29" s="1330"/>
      <c r="S29" s="1330"/>
      <c r="T29" s="45"/>
      <c r="U29" s="45"/>
      <c r="V29" s="45"/>
      <c r="W29" s="45"/>
      <c r="X29" s="45"/>
      <c r="Y29" s="45"/>
      <c r="Z29" s="45"/>
      <c r="AA29" s="45"/>
      <c r="AB29" s="45"/>
      <c r="AC29" s="45"/>
      <c r="AD29" s="45"/>
      <c r="AE29" s="45"/>
      <c r="AF29" s="45"/>
      <c r="AG29" s="45"/>
      <c r="AH29" s="45"/>
      <c r="AI29" s="45"/>
    </row>
    <row r="30" spans="1:35" s="20" customFormat="1" ht="10.5" customHeight="1">
      <c r="A30" s="736" t="s">
        <v>1701</v>
      </c>
      <c r="B30" s="594" t="s">
        <v>1702</v>
      </c>
      <c r="C30" s="691"/>
      <c r="D30" s="737"/>
      <c r="E30" s="964">
        <f>$O$428</f>
        <v>0</v>
      </c>
      <c r="F30" s="4374">
        <f>$A$430</f>
        <v>0</v>
      </c>
      <c r="G30" s="4375"/>
      <c r="H30" s="4375"/>
      <c r="I30" s="4375"/>
      <c r="J30" s="4375"/>
      <c r="K30" s="4375"/>
      <c r="L30" s="4375"/>
      <c r="M30" s="4375"/>
      <c r="N30" s="4375"/>
      <c r="O30" s="4376"/>
      <c r="P30" s="977"/>
      <c r="Q30" s="1634"/>
      <c r="R30" s="1330"/>
      <c r="S30" s="1330"/>
      <c r="T30" s="45"/>
      <c r="U30" s="45"/>
      <c r="V30" s="45"/>
      <c r="W30" s="45"/>
      <c r="X30" s="45"/>
      <c r="Y30" s="45"/>
      <c r="Z30" s="45"/>
      <c r="AA30" s="3532" t="s">
        <v>1931</v>
      </c>
      <c r="AB30" s="3532"/>
      <c r="AC30" s="3532"/>
      <c r="AD30" s="3532"/>
      <c r="AE30" s="3532"/>
      <c r="AF30" s="3532"/>
      <c r="AG30" s="45"/>
      <c r="AH30" s="45"/>
      <c r="AI30" s="45"/>
    </row>
    <row r="31" spans="1:35" s="20" customFormat="1" ht="10.5" customHeight="1">
      <c r="A31" s="738" t="s">
        <v>1703</v>
      </c>
      <c r="B31" s="739" t="s">
        <v>1704</v>
      </c>
      <c r="C31" s="740"/>
      <c r="D31" s="741"/>
      <c r="E31" s="1326">
        <f>$O$434</f>
        <v>0</v>
      </c>
      <c r="F31" s="4389">
        <f>$A$438</f>
        <v>0</v>
      </c>
      <c r="G31" s="4390"/>
      <c r="H31" s="4390"/>
      <c r="I31" s="4390"/>
      <c r="J31" s="4390"/>
      <c r="K31" s="4390"/>
      <c r="L31" s="4390"/>
      <c r="M31" s="4390"/>
      <c r="N31" s="4390"/>
      <c r="O31" s="4391"/>
      <c r="P31" s="978"/>
      <c r="Q31" s="1634"/>
      <c r="R31" s="1330"/>
      <c r="S31" s="1330"/>
      <c r="T31" s="45"/>
      <c r="U31" s="45"/>
      <c r="V31" s="45"/>
      <c r="W31" s="45"/>
      <c r="X31" s="3532" t="s">
        <v>1932</v>
      </c>
      <c r="Y31" s="3532"/>
      <c r="Z31" s="3532"/>
      <c r="AA31" s="3532"/>
      <c r="AB31" s="3532"/>
      <c r="AC31" s="3532"/>
      <c r="AD31" s="3532" t="s">
        <v>1933</v>
      </c>
      <c r="AE31" s="3532"/>
      <c r="AF31" s="3532"/>
      <c r="AG31" s="3532"/>
      <c r="AH31" s="3532"/>
      <c r="AI31" s="3532"/>
    </row>
    <row r="32" spans="1:35" s="79" customFormat="1" ht="5.25" customHeight="1">
      <c r="C32" s="42"/>
      <c r="D32" s="42"/>
      <c r="E32" s="42"/>
      <c r="F32" s="42"/>
      <c r="G32" s="1227"/>
      <c r="H32" s="42"/>
      <c r="I32" s="42"/>
      <c r="J32" s="42"/>
      <c r="K32" s="42"/>
    </row>
    <row r="33" spans="1:46" s="79" customFormat="1" ht="12.75" customHeight="1">
      <c r="A33" s="83" t="s">
        <v>25</v>
      </c>
      <c r="B33" s="52" t="s">
        <v>1934</v>
      </c>
      <c r="C33" s="44"/>
      <c r="D33" s="42"/>
      <c r="E33" s="42"/>
      <c r="F33" s="42"/>
      <c r="G33" s="4441" t="s">
        <v>1935</v>
      </c>
      <c r="H33" s="4441"/>
      <c r="I33" s="4435" t="s">
        <v>1713</v>
      </c>
      <c r="J33" s="4436"/>
      <c r="K33" s="4436"/>
      <c r="L33" s="4437"/>
      <c r="M33" s="4502" t="s">
        <v>1936</v>
      </c>
      <c r="N33" s="4502"/>
      <c r="O33" s="4502"/>
      <c r="P33" s="4502"/>
      <c r="Q33" s="328"/>
      <c r="R33" s="328"/>
      <c r="S33" s="52" t="s">
        <v>1934</v>
      </c>
      <c r="T33" s="328"/>
      <c r="U33" s="328"/>
      <c r="V33" s="328"/>
      <c r="X33" s="4421" t="s">
        <v>1935</v>
      </c>
      <c r="Y33" s="4423"/>
      <c r="Z33" s="4421" t="s">
        <v>1713</v>
      </c>
      <c r="AA33" s="4422"/>
      <c r="AB33" s="4422"/>
      <c r="AC33" s="4423"/>
      <c r="AD33" s="4430" t="s">
        <v>1935</v>
      </c>
      <c r="AE33" s="4431"/>
      <c r="AF33" s="4432" t="s">
        <v>1713</v>
      </c>
      <c r="AG33" s="4430"/>
      <c r="AH33" s="4430"/>
      <c r="AI33" s="4431"/>
    </row>
    <row r="34" spans="1:46" s="79" customFormat="1" ht="11.25" customHeight="1">
      <c r="A34" s="27"/>
      <c r="B34" s="15"/>
      <c r="C34" s="27"/>
      <c r="D34" s="27"/>
      <c r="E34" s="27"/>
      <c r="F34" s="27"/>
      <c r="G34" s="1417">
        <v>0.09</v>
      </c>
      <c r="H34" s="1417">
        <v>0.04</v>
      </c>
      <c r="I34" s="1417">
        <v>0.04</v>
      </c>
      <c r="J34" s="1417" t="s">
        <v>1940</v>
      </c>
      <c r="K34" s="1417" t="s">
        <v>1941</v>
      </c>
      <c r="L34" s="1417" t="s">
        <v>1942</v>
      </c>
      <c r="M34" s="4424" t="str">
        <f>'Part I-Project Identification'!F12</f>
        <v>4% Credit/TE Bond</v>
      </c>
      <c r="N34" s="4425"/>
      <c r="O34" s="4425"/>
      <c r="P34" s="4426"/>
      <c r="Q34" s="328"/>
      <c r="R34" s="27"/>
      <c r="S34" s="15"/>
      <c r="T34" s="27"/>
      <c r="U34" s="27"/>
      <c r="V34" s="27"/>
      <c r="W34" s="27"/>
      <c r="X34" s="1417">
        <v>0.09</v>
      </c>
      <c r="Y34" s="1417">
        <v>0.04</v>
      </c>
      <c r="Z34" s="1417">
        <v>0.04</v>
      </c>
      <c r="AA34" s="1417" t="s">
        <v>1940</v>
      </c>
      <c r="AB34" s="1417" t="s">
        <v>1941</v>
      </c>
      <c r="AC34" s="1417" t="s">
        <v>1942</v>
      </c>
      <c r="AD34" s="1417">
        <v>0.09</v>
      </c>
      <c r="AE34" s="1417">
        <v>0.04</v>
      </c>
      <c r="AF34" s="1417">
        <v>0.04</v>
      </c>
      <c r="AG34" s="1417" t="s">
        <v>1940</v>
      </c>
      <c r="AH34" s="1417" t="s">
        <v>1941</v>
      </c>
      <c r="AI34" s="1417" t="s">
        <v>1942</v>
      </c>
    </row>
    <row r="35" spans="1:46" s="79" customFormat="1" ht="10.5" customHeight="1">
      <c r="A35" s="520" t="s">
        <v>21</v>
      </c>
      <c r="B35" s="1418" t="s">
        <v>1944</v>
      </c>
      <c r="C35" s="1419"/>
      <c r="D35" s="1420"/>
      <c r="E35" s="1420"/>
      <c r="F35" s="1420"/>
      <c r="G35" s="1421">
        <v>0</v>
      </c>
      <c r="H35" s="1422">
        <v>0</v>
      </c>
      <c r="I35" s="1664">
        <v>0</v>
      </c>
      <c r="J35" s="1665">
        <v>0</v>
      </c>
      <c r="K35" s="1665">
        <v>0</v>
      </c>
      <c r="L35" s="1666">
        <v>0</v>
      </c>
      <c r="Q35" s="97"/>
      <c r="R35" s="520" t="s">
        <v>21</v>
      </c>
      <c r="S35" s="1418" t="s">
        <v>1944</v>
      </c>
      <c r="T35" s="1418"/>
      <c r="U35" s="1537"/>
      <c r="V35" s="1537"/>
      <c r="W35" s="1537"/>
      <c r="X35" s="1472">
        <v>0</v>
      </c>
      <c r="Y35" s="1507">
        <v>0</v>
      </c>
      <c r="Z35" s="1508">
        <v>0</v>
      </c>
      <c r="AA35" s="1511">
        <v>0</v>
      </c>
      <c r="AB35" s="1511">
        <v>0</v>
      </c>
      <c r="AC35" s="1512">
        <v>0</v>
      </c>
      <c r="AD35" s="1465">
        <f t="shared" ref="AD35:AI35" si="0">-$P$10</f>
        <v>0</v>
      </c>
      <c r="AE35" s="1540">
        <f t="shared" si="0"/>
        <v>0</v>
      </c>
      <c r="AF35" s="1508">
        <f t="shared" si="0"/>
        <v>0</v>
      </c>
      <c r="AG35" s="1511">
        <f t="shared" si="0"/>
        <v>0</v>
      </c>
      <c r="AH35" s="1511">
        <f t="shared" si="0"/>
        <v>0</v>
      </c>
      <c r="AI35" s="1540">
        <f t="shared" si="0"/>
        <v>0</v>
      </c>
    </row>
    <row r="36" spans="1:46" s="79" customFormat="1" ht="10.5" customHeight="1">
      <c r="A36" s="520" t="s">
        <v>31</v>
      </c>
      <c r="B36" s="1418" t="s">
        <v>1946</v>
      </c>
      <c r="C36" s="1419"/>
      <c r="D36" s="1420"/>
      <c r="E36" s="1420"/>
      <c r="F36" s="1420"/>
      <c r="G36" s="1421">
        <v>10</v>
      </c>
      <c r="H36" s="1422">
        <v>10</v>
      </c>
      <c r="I36" s="1421">
        <v>10</v>
      </c>
      <c r="J36" s="1667">
        <v>10</v>
      </c>
      <c r="K36" s="1501">
        <v>10</v>
      </c>
      <c r="L36" s="1427">
        <v>10</v>
      </c>
      <c r="Q36" s="97"/>
      <c r="R36" s="520" t="s">
        <v>31</v>
      </c>
      <c r="S36" s="1418" t="s">
        <v>1946</v>
      </c>
      <c r="T36" s="1418"/>
      <c r="U36" s="1537"/>
      <c r="V36" s="1537"/>
      <c r="W36" s="1537"/>
      <c r="X36" s="1472">
        <f>O64</f>
        <v>10</v>
      </c>
      <c r="Y36" s="1507">
        <f>O64</f>
        <v>10</v>
      </c>
      <c r="Z36" s="1462">
        <f>O64</f>
        <v>10</v>
      </c>
      <c r="AA36" s="1502">
        <f>O64</f>
        <v>10</v>
      </c>
      <c r="AB36" s="1502">
        <f>O64</f>
        <v>10</v>
      </c>
      <c r="AC36" s="1503">
        <f>O64</f>
        <v>10</v>
      </c>
      <c r="AD36" s="1466">
        <f>P64</f>
        <v>10</v>
      </c>
      <c r="AE36" s="1470">
        <f>P64</f>
        <v>10</v>
      </c>
      <c r="AF36" s="1462">
        <f>P64</f>
        <v>10</v>
      </c>
      <c r="AG36" s="1502">
        <f>P64</f>
        <v>10</v>
      </c>
      <c r="AH36" s="1502">
        <f>P64</f>
        <v>10</v>
      </c>
      <c r="AI36" s="1470">
        <f>P64</f>
        <v>10</v>
      </c>
    </row>
    <row r="37" spans="1:46" s="79" customFormat="1" ht="10.5" customHeight="1">
      <c r="A37" s="520" t="s">
        <v>50</v>
      </c>
      <c r="B37" s="1423" t="s">
        <v>1948</v>
      </c>
      <c r="C37" s="1424"/>
      <c r="D37" s="1425"/>
      <c r="E37" s="1425"/>
      <c r="F37" s="1425"/>
      <c r="G37" s="1426">
        <v>3</v>
      </c>
      <c r="H37" s="1427">
        <v>3</v>
      </c>
      <c r="I37" s="1426"/>
      <c r="J37" s="1501"/>
      <c r="K37" s="1501"/>
      <c r="L37" s="1427"/>
      <c r="M37" s="171" t="s">
        <v>1949</v>
      </c>
      <c r="N37" s="97"/>
      <c r="O37" s="97"/>
      <c r="P37" s="1636" t="str">
        <f>IF(OR($M$34="9% Credit Competitive Round only", $M$34="9% Credit &amp; HOME"),"9%",IF(OR($M$34="4% Credit/TE Bond", $M$34="4% Credit/TE Bond &amp; HOME", $M$34="4% Credit/TE Bond &amp; HOME NOFA", $M$34="4% Credit &amp; NHTF", $M$34="4% Credit &amp; NHTF &amp; HOME"),"4%",""))</f>
        <v>4%</v>
      </c>
      <c r="Q37" s="97"/>
      <c r="R37" s="520" t="s">
        <v>50</v>
      </c>
      <c r="S37" s="1423" t="s">
        <v>1948</v>
      </c>
      <c r="T37" s="1423"/>
      <c r="U37" s="1538"/>
      <c r="V37" s="1538"/>
      <c r="W37" s="1538"/>
      <c r="X37" s="1462">
        <f>O89</f>
        <v>0</v>
      </c>
      <c r="Y37" s="1470">
        <f>O89</f>
        <v>0</v>
      </c>
      <c r="Z37" s="1462"/>
      <c r="AA37" s="1501"/>
      <c r="AB37" s="1502"/>
      <c r="AC37" s="1503"/>
      <c r="AD37" s="1466">
        <f>P89</f>
        <v>0</v>
      </c>
      <c r="AE37" s="1470">
        <f>P89</f>
        <v>0</v>
      </c>
      <c r="AF37" s="1462"/>
      <c r="AG37" s="1501"/>
      <c r="AH37" s="1502"/>
      <c r="AI37" s="1470"/>
    </row>
    <row r="38" spans="1:46" s="79" customFormat="1" ht="10.5" customHeight="1">
      <c r="A38" s="520" t="s">
        <v>66</v>
      </c>
      <c r="B38" s="1423" t="s">
        <v>1678</v>
      </c>
      <c r="C38" s="1424"/>
      <c r="D38" s="1425"/>
      <c r="E38" s="1425"/>
      <c r="F38" s="1425"/>
      <c r="G38" s="1426">
        <v>20</v>
      </c>
      <c r="H38" s="1427">
        <v>12</v>
      </c>
      <c r="I38" s="1426"/>
      <c r="J38" s="1501"/>
      <c r="K38" s="1501"/>
      <c r="L38" s="1427"/>
      <c r="Q38" s="97"/>
      <c r="R38" s="520" t="s">
        <v>66</v>
      </c>
      <c r="S38" s="1423" t="s">
        <v>1678</v>
      </c>
      <c r="T38" s="1423"/>
      <c r="U38" s="1538"/>
      <c r="V38" s="1538"/>
      <c r="W38" s="1538"/>
      <c r="X38" s="1463">
        <f>O103</f>
        <v>0</v>
      </c>
      <c r="Y38" s="1471">
        <f>O103</f>
        <v>0</v>
      </c>
      <c r="Z38" s="1426"/>
      <c r="AA38" s="1501"/>
      <c r="AB38" s="1501"/>
      <c r="AC38" s="1504"/>
      <c r="AD38" s="1467">
        <f>P103</f>
        <v>0</v>
      </c>
      <c r="AE38" s="1471">
        <f>P103</f>
        <v>0</v>
      </c>
      <c r="AF38" s="1426"/>
      <c r="AG38" s="1501"/>
      <c r="AH38" s="1501"/>
      <c r="AI38" s="1427"/>
    </row>
    <row r="39" spans="1:46" s="79" customFormat="1" ht="10.5" customHeight="1">
      <c r="A39" s="520" t="s">
        <v>75</v>
      </c>
      <c r="B39" s="1423" t="s">
        <v>1679</v>
      </c>
      <c r="C39" s="1424"/>
      <c r="D39" s="1425"/>
      <c r="E39" s="1425"/>
      <c r="F39" s="1425"/>
      <c r="G39" s="1426">
        <v>6</v>
      </c>
      <c r="H39" s="1427">
        <v>4</v>
      </c>
      <c r="I39" s="1426"/>
      <c r="J39" s="1501"/>
      <c r="K39" s="1501"/>
      <c r="L39" s="1427"/>
      <c r="Q39" s="97"/>
      <c r="R39" s="520" t="s">
        <v>75</v>
      </c>
      <c r="S39" s="1423" t="s">
        <v>1679</v>
      </c>
      <c r="T39" s="1423"/>
      <c r="U39" s="1538"/>
      <c r="V39" s="1538"/>
      <c r="W39" s="1538"/>
      <c r="X39" s="1463">
        <f>O113</f>
        <v>0</v>
      </c>
      <c r="Y39" s="1471">
        <f>O113</f>
        <v>0</v>
      </c>
      <c r="Z39" s="1426"/>
      <c r="AA39" s="1501"/>
      <c r="AB39" s="1501"/>
      <c r="AC39" s="1504"/>
      <c r="AD39" s="1467">
        <f>P113</f>
        <v>0</v>
      </c>
      <c r="AE39" s="1471">
        <f>P113</f>
        <v>0</v>
      </c>
      <c r="AF39" s="1426"/>
      <c r="AG39" s="1501"/>
      <c r="AH39" s="1501"/>
      <c r="AI39" s="1427"/>
    </row>
    <row r="40" spans="1:46" s="79" customFormat="1" ht="10.5" customHeight="1">
      <c r="A40" s="520" t="s">
        <v>77</v>
      </c>
      <c r="B40" s="1423" t="s">
        <v>1680</v>
      </c>
      <c r="C40" s="1424"/>
      <c r="D40" s="1425"/>
      <c r="E40" s="1425"/>
      <c r="F40" s="1425"/>
      <c r="G40" s="1426">
        <v>3</v>
      </c>
      <c r="H40" s="1427">
        <v>2</v>
      </c>
      <c r="I40" s="1426"/>
      <c r="J40" s="1501"/>
      <c r="K40" s="1501"/>
      <c r="L40" s="1427"/>
      <c r="M40" s="4503" t="s">
        <v>1953</v>
      </c>
      <c r="N40" s="4504"/>
      <c r="O40" s="4504"/>
      <c r="P40" s="4504"/>
      <c r="Q40" s="97"/>
      <c r="R40" s="520" t="s">
        <v>77</v>
      </c>
      <c r="S40" s="1423" t="s">
        <v>1680</v>
      </c>
      <c r="T40" s="1423"/>
      <c r="U40" s="1538"/>
      <c r="V40" s="1538"/>
      <c r="W40" s="1538"/>
      <c r="X40" s="1426">
        <f>O152</f>
        <v>0</v>
      </c>
      <c r="Y40" s="1427">
        <f>O152</f>
        <v>0</v>
      </c>
      <c r="Z40" s="1426"/>
      <c r="AA40" s="1501"/>
      <c r="AB40" s="1501"/>
      <c r="AC40" s="1504"/>
      <c r="AD40" s="1461">
        <f>P152</f>
        <v>0</v>
      </c>
      <c r="AE40" s="1427">
        <f>P152</f>
        <v>0</v>
      </c>
      <c r="AF40" s="1426"/>
      <c r="AG40" s="1501"/>
      <c r="AH40" s="1501"/>
      <c r="AI40" s="1427"/>
    </row>
    <row r="41" spans="1:46" s="79" customFormat="1" ht="10.5" customHeight="1">
      <c r="A41" s="520" t="s">
        <v>1427</v>
      </c>
      <c r="B41" s="1423" t="s">
        <v>1681</v>
      </c>
      <c r="C41" s="1424"/>
      <c r="D41" s="1425"/>
      <c r="E41" s="1425"/>
      <c r="F41" s="1425"/>
      <c r="G41" s="1426">
        <v>7</v>
      </c>
      <c r="H41" s="1427">
        <v>5</v>
      </c>
      <c r="I41" s="1426"/>
      <c r="J41" s="1501"/>
      <c r="K41" s="1501"/>
      <c r="L41" s="1427"/>
      <c r="M41" s="4503"/>
      <c r="N41" s="4504"/>
      <c r="O41" s="4504"/>
      <c r="P41" s="4504"/>
      <c r="Q41" s="97"/>
      <c r="R41" s="520" t="s">
        <v>1427</v>
      </c>
      <c r="S41" s="1423" t="s">
        <v>1681</v>
      </c>
      <c r="T41" s="1423"/>
      <c r="U41" s="1538"/>
      <c r="V41" s="1538"/>
      <c r="W41" s="1538"/>
      <c r="X41" s="1462">
        <f>O169</f>
        <v>0</v>
      </c>
      <c r="Y41" s="1470">
        <f>O169</f>
        <v>0</v>
      </c>
      <c r="Z41" s="1426"/>
      <c r="AA41" s="1501"/>
      <c r="AB41" s="1501"/>
      <c r="AC41" s="1504"/>
      <c r="AD41" s="1466">
        <f>P169</f>
        <v>0</v>
      </c>
      <c r="AE41" s="1470">
        <f>P169</f>
        <v>0</v>
      </c>
      <c r="AF41" s="1426"/>
      <c r="AG41" s="1501"/>
      <c r="AH41" s="1501"/>
      <c r="AI41" s="1427"/>
    </row>
    <row r="42" spans="1:46" s="79" customFormat="1" ht="10.5" customHeight="1">
      <c r="A42" s="520" t="s">
        <v>1432</v>
      </c>
      <c r="B42" s="1423" t="s">
        <v>1682</v>
      </c>
      <c r="C42" s="1424"/>
      <c r="D42" s="1425"/>
      <c r="E42" s="1425"/>
      <c r="F42" s="1425"/>
      <c r="G42" s="1426">
        <v>3</v>
      </c>
      <c r="H42" s="1427"/>
      <c r="I42" s="1426"/>
      <c r="J42" s="1501"/>
      <c r="K42" s="1501"/>
      <c r="L42" s="1427"/>
      <c r="M42" s="102" t="s">
        <v>1956</v>
      </c>
      <c r="N42" s="102"/>
      <c r="O42" s="102"/>
      <c r="P42" s="993"/>
      <c r="Q42" s="97"/>
      <c r="R42" s="520" t="s">
        <v>1432</v>
      </c>
      <c r="S42" s="1423" t="s">
        <v>1682</v>
      </c>
      <c r="T42" s="1423"/>
      <c r="U42" s="1538"/>
      <c r="V42" s="1538"/>
      <c r="W42" s="1538"/>
      <c r="X42" s="1464"/>
      <c r="Y42" s="1469"/>
      <c r="Z42" s="1464"/>
      <c r="AA42" s="1505"/>
      <c r="AB42" s="1505"/>
      <c r="AC42" s="1506"/>
      <c r="AD42" s="1466">
        <f>P190</f>
        <v>0</v>
      </c>
      <c r="AE42" s="1427"/>
      <c r="AF42" s="1426"/>
      <c r="AG42" s="1501"/>
      <c r="AH42" s="1501"/>
      <c r="AI42" s="1427"/>
    </row>
    <row r="43" spans="1:46" s="79" customFormat="1" ht="10.5" customHeight="1">
      <c r="A43" s="520" t="s">
        <v>1434</v>
      </c>
      <c r="B43" s="1423" t="s">
        <v>1684</v>
      </c>
      <c r="C43" s="1424"/>
      <c r="D43" s="1425"/>
      <c r="E43" s="1425"/>
      <c r="F43" s="1425"/>
      <c r="G43" s="1426">
        <v>10</v>
      </c>
      <c r="H43" s="1427">
        <v>5</v>
      </c>
      <c r="I43" s="1426"/>
      <c r="J43" s="1501"/>
      <c r="K43" s="1501"/>
      <c r="L43" s="1427"/>
      <c r="M43" s="102" t="s">
        <v>1959</v>
      </c>
      <c r="N43" s="102"/>
      <c r="O43" s="102"/>
      <c r="P43" s="652"/>
      <c r="Q43" s="97"/>
      <c r="R43" s="520" t="s">
        <v>1434</v>
      </c>
      <c r="S43" s="1423" t="s">
        <v>1684</v>
      </c>
      <c r="T43" s="1423"/>
      <c r="U43" s="1538"/>
      <c r="V43" s="1538"/>
      <c r="W43" s="1538"/>
      <c r="X43" s="1462">
        <f>O205</f>
        <v>0</v>
      </c>
      <c r="Y43" s="1470">
        <f>O205</f>
        <v>0</v>
      </c>
      <c r="Z43" s="1426"/>
      <c r="AA43" s="1501"/>
      <c r="AB43" s="1501"/>
      <c r="AC43" s="1504"/>
      <c r="AD43" s="1466">
        <f>P205</f>
        <v>0</v>
      </c>
      <c r="AE43" s="1470">
        <f>P205</f>
        <v>0</v>
      </c>
      <c r="AF43" s="1426"/>
      <c r="AG43" s="1501"/>
      <c r="AH43" s="1501"/>
      <c r="AI43" s="1427"/>
    </row>
    <row r="44" spans="1:46" s="79" customFormat="1" ht="10.5" customHeight="1">
      <c r="A44" s="520" t="s">
        <v>1436</v>
      </c>
      <c r="B44" s="1423" t="s">
        <v>1964</v>
      </c>
      <c r="C44" s="1424"/>
      <c r="D44" s="1425"/>
      <c r="E44" s="1425"/>
      <c r="F44" s="1425"/>
      <c r="G44" s="1426">
        <v>1</v>
      </c>
      <c r="H44" s="1427"/>
      <c r="I44" s="1426"/>
      <c r="J44" s="1501"/>
      <c r="K44" s="1501"/>
      <c r="L44" s="1427"/>
      <c r="M44" s="1513" t="s">
        <v>1965</v>
      </c>
      <c r="N44" s="141"/>
      <c r="O44" s="141"/>
      <c r="P44" s="650"/>
      <c r="Q44" s="97"/>
      <c r="R44" s="520" t="s">
        <v>1436</v>
      </c>
      <c r="S44" s="1423" t="s">
        <v>1964</v>
      </c>
      <c r="T44" s="1423"/>
      <c r="U44" s="1538"/>
      <c r="V44" s="1538"/>
      <c r="W44" s="1538"/>
      <c r="X44" s="1462">
        <f>O225</f>
        <v>0</v>
      </c>
      <c r="Y44" s="1427"/>
      <c r="Z44" s="1426"/>
      <c r="AA44" s="1501"/>
      <c r="AB44" s="1501"/>
      <c r="AC44" s="1504"/>
      <c r="AD44" s="1466">
        <f>P225</f>
        <v>0</v>
      </c>
      <c r="AE44" s="1427"/>
      <c r="AF44" s="1426"/>
      <c r="AG44" s="1501"/>
      <c r="AH44" s="1501"/>
      <c r="AI44" s="1427"/>
    </row>
    <row r="45" spans="1:46" s="79" customFormat="1" ht="10.5" customHeight="1">
      <c r="A45" s="520" t="s">
        <v>1443</v>
      </c>
      <c r="B45" s="1423" t="s">
        <v>1686</v>
      </c>
      <c r="C45" s="1424"/>
      <c r="D45" s="1425"/>
      <c r="E45" s="1425"/>
      <c r="F45" s="1425"/>
      <c r="G45" s="1426">
        <v>10</v>
      </c>
      <c r="H45" s="1427">
        <v>5</v>
      </c>
      <c r="I45" s="1426"/>
      <c r="J45" s="1501"/>
      <c r="K45" s="1501"/>
      <c r="L45" s="1427"/>
      <c r="M45" s="1513" t="s">
        <v>1968</v>
      </c>
      <c r="N45" s="141"/>
      <c r="O45" s="157" t="s">
        <v>1974</v>
      </c>
      <c r="P45" s="1591" t="str">
        <f>IF('Part VII-Threshold Criteria OLD'!$P$341="Agree","Yes","")</f>
        <v/>
      </c>
      <c r="Q45" s="97"/>
      <c r="R45" s="520" t="s">
        <v>1443</v>
      </c>
      <c r="S45" s="1423" t="s">
        <v>1686</v>
      </c>
      <c r="T45" s="1423"/>
      <c r="U45" s="1538"/>
      <c r="V45" s="1538"/>
      <c r="W45" s="1538"/>
      <c r="X45" s="1462">
        <f>O233</f>
        <v>0</v>
      </c>
      <c r="Y45" s="1470">
        <f>O233</f>
        <v>0</v>
      </c>
      <c r="Z45" s="1426"/>
      <c r="AA45" s="1501"/>
      <c r="AB45" s="1501"/>
      <c r="AC45" s="1504"/>
      <c r="AD45" s="1466">
        <f>P233</f>
        <v>0</v>
      </c>
      <c r="AE45" s="1470">
        <f>P233</f>
        <v>0</v>
      </c>
      <c r="AF45" s="1426"/>
      <c r="AG45" s="1501"/>
      <c r="AH45" s="1501"/>
      <c r="AI45" s="1427"/>
    </row>
    <row r="46" spans="1:46" s="79" customFormat="1" ht="10.5" customHeight="1">
      <c r="A46" s="520" t="s">
        <v>1449</v>
      </c>
      <c r="B46" s="1423" t="s">
        <v>1973</v>
      </c>
      <c r="C46" s="1424"/>
      <c r="D46" s="1425"/>
      <c r="E46" s="1425"/>
      <c r="F46" s="1425"/>
      <c r="G46" s="1426">
        <v>3</v>
      </c>
      <c r="H46" s="1427"/>
      <c r="I46" s="1426"/>
      <c r="J46" s="1501"/>
      <c r="K46" s="1501"/>
      <c r="L46" s="1427"/>
      <c r="M46" s="1513"/>
      <c r="N46" s="141"/>
      <c r="O46" s="157" t="s">
        <v>1978</v>
      </c>
      <c r="P46" s="1592" t="str">
        <f>IF('Part VII-Threshold Criteria OLD'!$P$344="Agree","Yes","")</f>
        <v/>
      </c>
      <c r="Q46" s="97"/>
      <c r="R46" s="520" t="s">
        <v>1449</v>
      </c>
      <c r="S46" s="1423" t="s">
        <v>1973</v>
      </c>
      <c r="T46" s="1423"/>
      <c r="U46" s="1538"/>
      <c r="V46" s="1538"/>
      <c r="W46" s="1538"/>
      <c r="X46" s="1462">
        <f>O242</f>
        <v>0</v>
      </c>
      <c r="Y46" s="1427"/>
      <c r="Z46" s="1426"/>
      <c r="AA46" s="1501"/>
      <c r="AB46" s="1501"/>
      <c r="AC46" s="1504"/>
      <c r="AD46" s="1466">
        <f>P242</f>
        <v>0</v>
      </c>
      <c r="AE46" s="1427"/>
      <c r="AF46" s="1426"/>
      <c r="AG46" s="1501"/>
      <c r="AH46" s="1501"/>
      <c r="AI46" s="1427"/>
    </row>
    <row r="47" spans="1:46" s="79" customFormat="1" ht="10.5" customHeight="1">
      <c r="A47" s="520" t="s">
        <v>1472</v>
      </c>
      <c r="B47" s="1423" t="s">
        <v>1690</v>
      </c>
      <c r="C47" s="1424"/>
      <c r="D47" s="1425"/>
      <c r="E47" s="1425"/>
      <c r="F47" s="1425"/>
      <c r="G47" s="1426">
        <v>5</v>
      </c>
      <c r="H47" s="1427"/>
      <c r="I47" s="1426"/>
      <c r="J47" s="1501"/>
      <c r="K47" s="1501"/>
      <c r="L47" s="1427"/>
      <c r="M47" s="1029"/>
      <c r="N47" s="1536"/>
      <c r="O47" s="1514" t="s">
        <v>1982</v>
      </c>
      <c r="P47" s="1593" t="str">
        <f>IF('Part VII-Threshold Criteria OLD'!$P$346="Agree","Yes","")</f>
        <v/>
      </c>
      <c r="Q47" s="97"/>
      <c r="R47" s="520" t="s">
        <v>1472</v>
      </c>
      <c r="S47" s="1423" t="s">
        <v>1690</v>
      </c>
      <c r="T47" s="1423"/>
      <c r="U47" s="1538"/>
      <c r="V47" s="1538"/>
      <c r="W47" s="1538"/>
      <c r="X47" s="1462">
        <f>O252</f>
        <v>0</v>
      </c>
      <c r="Y47" s="1427"/>
      <c r="Z47" s="1426"/>
      <c r="AA47" s="1501"/>
      <c r="AB47" s="1501"/>
      <c r="AC47" s="1504"/>
      <c r="AD47" s="1466">
        <f>P252</f>
        <v>0</v>
      </c>
      <c r="AE47" s="1427"/>
      <c r="AF47" s="1426"/>
      <c r="AG47" s="1501"/>
      <c r="AH47" s="1501"/>
      <c r="AI47" s="1427"/>
    </row>
    <row r="48" spans="1:46" s="79" customFormat="1" ht="10.5" customHeight="1">
      <c r="A48" s="520" t="s">
        <v>1470</v>
      </c>
      <c r="B48" s="1423" t="s">
        <v>1981</v>
      </c>
      <c r="C48" s="1424"/>
      <c r="D48" s="1425"/>
      <c r="E48" s="1425"/>
      <c r="F48" s="1425"/>
      <c r="G48" s="1426">
        <v>4</v>
      </c>
      <c r="H48" s="1427">
        <v>4</v>
      </c>
      <c r="I48" s="1426">
        <v>4</v>
      </c>
      <c r="J48" s="1501">
        <v>4</v>
      </c>
      <c r="K48" s="1501">
        <v>4</v>
      </c>
      <c r="L48" s="1427">
        <v>4</v>
      </c>
      <c r="M48" s="1530" t="s">
        <v>1985</v>
      </c>
      <c r="N48" s="1531"/>
      <c r="O48" s="1532"/>
      <c r="P48" s="993"/>
      <c r="R48" s="520" t="s">
        <v>1470</v>
      </c>
      <c r="S48" s="1423" t="s">
        <v>1981</v>
      </c>
      <c r="T48" s="1423"/>
      <c r="U48" s="1538"/>
      <c r="V48" s="1538"/>
      <c r="W48" s="1538"/>
      <c r="X48" s="1462">
        <f>O261</f>
        <v>0</v>
      </c>
      <c r="Y48" s="1470">
        <f>O261</f>
        <v>0</v>
      </c>
      <c r="Z48" s="1462">
        <f>O261</f>
        <v>0</v>
      </c>
      <c r="AA48" s="1502">
        <f>O261</f>
        <v>0</v>
      </c>
      <c r="AB48" s="1502">
        <f>O261</f>
        <v>0</v>
      </c>
      <c r="AC48" s="1503">
        <f>O261</f>
        <v>0</v>
      </c>
      <c r="AD48" s="1466">
        <f>P261</f>
        <v>0</v>
      </c>
      <c r="AE48" s="1470">
        <f>P261</f>
        <v>0</v>
      </c>
      <c r="AF48" s="1462">
        <f>P261</f>
        <v>0</v>
      </c>
      <c r="AG48" s="1502">
        <f>P261</f>
        <v>0</v>
      </c>
      <c r="AH48" s="1502">
        <f>P261</f>
        <v>0</v>
      </c>
      <c r="AI48" s="1470">
        <f>P261</f>
        <v>0</v>
      </c>
      <c r="AT48" s="1599" t="s">
        <v>2349</v>
      </c>
    </row>
    <row r="49" spans="1:46" s="79" customFormat="1" ht="10.5" customHeight="1">
      <c r="A49" s="520" t="s">
        <v>1472</v>
      </c>
      <c r="B49" s="1423" t="s">
        <v>1692</v>
      </c>
      <c r="C49" s="1424"/>
      <c r="D49" s="1425"/>
      <c r="E49" s="1425"/>
      <c r="F49" s="1425"/>
      <c r="G49" s="1426">
        <v>2</v>
      </c>
      <c r="H49" s="1427">
        <v>2</v>
      </c>
      <c r="I49" s="1426">
        <v>2</v>
      </c>
      <c r="J49" s="1501">
        <v>2</v>
      </c>
      <c r="K49" s="1501">
        <v>2</v>
      </c>
      <c r="L49" s="1427">
        <v>2</v>
      </c>
      <c r="M49" s="1533" t="s">
        <v>1989</v>
      </c>
      <c r="N49" s="1534"/>
      <c r="O49" s="1535"/>
      <c r="P49" s="650"/>
      <c r="R49" s="520" t="s">
        <v>1472</v>
      </c>
      <c r="S49" s="1423" t="s">
        <v>1692</v>
      </c>
      <c r="T49" s="1423"/>
      <c r="U49" s="1538"/>
      <c r="V49" s="1538"/>
      <c r="W49" s="1538"/>
      <c r="X49" s="1462">
        <f>O274</f>
        <v>0</v>
      </c>
      <c r="Y49" s="1470">
        <f>O274</f>
        <v>0</v>
      </c>
      <c r="Z49" s="1462">
        <f>O274</f>
        <v>0</v>
      </c>
      <c r="AA49" s="1502">
        <f>O274</f>
        <v>0</v>
      </c>
      <c r="AB49" s="1502">
        <f>O274</f>
        <v>0</v>
      </c>
      <c r="AC49" s="1503">
        <f>O274</f>
        <v>0</v>
      </c>
      <c r="AD49" s="1466">
        <f>P274</f>
        <v>0</v>
      </c>
      <c r="AE49" s="1470">
        <f>P274</f>
        <v>0</v>
      </c>
      <c r="AF49" s="1462">
        <f>P274</f>
        <v>0</v>
      </c>
      <c r="AG49" s="1502">
        <f>P274</f>
        <v>0</v>
      </c>
      <c r="AH49" s="1502">
        <f>P274</f>
        <v>0</v>
      </c>
      <c r="AI49" s="1470">
        <f>P274</f>
        <v>0</v>
      </c>
      <c r="AQ49" s="1598" t="s">
        <v>2491</v>
      </c>
      <c r="AR49" s="141"/>
      <c r="AS49" s="45"/>
      <c r="AT49" s="1589">
        <f>'Part V-Revenues &amp; Expenses'!P115+'Part V-Revenues &amp; Expenses'!P122+'Part V-Revenues &amp; Expenses'!P123</f>
        <v>0</v>
      </c>
    </row>
    <row r="50" spans="1:46" s="79" customFormat="1" ht="10.5" customHeight="1">
      <c r="A50" s="520" t="s">
        <v>1481</v>
      </c>
      <c r="B50" s="1423" t="s">
        <v>1988</v>
      </c>
      <c r="C50" s="1424"/>
      <c r="D50" s="1425"/>
      <c r="E50" s="1425"/>
      <c r="F50" s="1425"/>
      <c r="G50" s="1426">
        <v>2</v>
      </c>
      <c r="H50" s="1427">
        <v>2</v>
      </c>
      <c r="I50" s="1426">
        <v>2</v>
      </c>
      <c r="J50" s="1501">
        <v>2</v>
      </c>
      <c r="K50" s="1501">
        <v>2</v>
      </c>
      <c r="L50" s="1427">
        <v>2</v>
      </c>
      <c r="M50" s="102" t="s">
        <v>1992</v>
      </c>
      <c r="N50" s="45"/>
      <c r="O50" s="45"/>
      <c r="P50" s="347" t="str">
        <f>'Part II-Sources of Funds'!$L$14</f>
        <v>Yes</v>
      </c>
      <c r="R50" s="520" t="s">
        <v>1481</v>
      </c>
      <c r="S50" s="1423" t="s">
        <v>1988</v>
      </c>
      <c r="T50" s="1423"/>
      <c r="U50" s="1538"/>
      <c r="V50" s="1538"/>
      <c r="W50" s="1538"/>
      <c r="X50" s="1462">
        <f>O285</f>
        <v>0</v>
      </c>
      <c r="Y50" s="1470">
        <f>O285</f>
        <v>0</v>
      </c>
      <c r="Z50" s="1462">
        <f>O285</f>
        <v>0</v>
      </c>
      <c r="AA50" s="1502">
        <f>O285</f>
        <v>0</v>
      </c>
      <c r="AB50" s="1502">
        <f>O285</f>
        <v>0</v>
      </c>
      <c r="AC50" s="1503">
        <f>O285</f>
        <v>0</v>
      </c>
      <c r="AD50" s="1466">
        <f>P285</f>
        <v>0</v>
      </c>
      <c r="AE50" s="1470">
        <f>P285</f>
        <v>0</v>
      </c>
      <c r="AF50" s="1462">
        <f>P285</f>
        <v>0</v>
      </c>
      <c r="AG50" s="1502">
        <f>P285</f>
        <v>0</v>
      </c>
      <c r="AH50" s="1502">
        <f>P285</f>
        <v>0</v>
      </c>
      <c r="AI50" s="1470">
        <f>P285</f>
        <v>0</v>
      </c>
      <c r="AQ50" s="1598" t="s">
        <v>2492</v>
      </c>
      <c r="AR50" s="1252"/>
      <c r="AS50" s="1252"/>
      <c r="AT50" s="1590">
        <f>'Part V-Revenues &amp; Expenses'!P118+'Part V-Revenues &amp; Expenses'!P121-'Part V-Revenues &amp; Expenses'!$P$122-'Part V-Revenues &amp; Expenses'!$P$123</f>
        <v>199</v>
      </c>
    </row>
    <row r="51" spans="1:46" s="79" customFormat="1" ht="10.5" customHeight="1">
      <c r="A51" s="520" t="s">
        <v>1491</v>
      </c>
      <c r="B51" s="1423" t="s">
        <v>1695</v>
      </c>
      <c r="C51" s="1424"/>
      <c r="D51" s="1425"/>
      <c r="E51" s="1425"/>
      <c r="F51" s="1425"/>
      <c r="G51" s="1426">
        <v>2</v>
      </c>
      <c r="H51" s="1427"/>
      <c r="I51" s="1426"/>
      <c r="J51" s="1501">
        <v>2</v>
      </c>
      <c r="K51" s="1501">
        <v>2</v>
      </c>
      <c r="L51" s="1427">
        <v>2</v>
      </c>
      <c r="Q51" s="97"/>
      <c r="R51" s="520" t="s">
        <v>1491</v>
      </c>
      <c r="S51" s="1423" t="s">
        <v>1695</v>
      </c>
      <c r="T51" s="1423"/>
      <c r="U51" s="1538"/>
      <c r="V51" s="1538"/>
      <c r="W51" s="1538"/>
      <c r="X51" s="1462">
        <f>O310</f>
        <v>0</v>
      </c>
      <c r="Y51" s="1427"/>
      <c r="Z51" s="1426"/>
      <c r="AA51" s="1502">
        <f>O310</f>
        <v>0</v>
      </c>
      <c r="AB51" s="1502">
        <f>O310</f>
        <v>0</v>
      </c>
      <c r="AC51" s="1503">
        <f>O310</f>
        <v>0</v>
      </c>
      <c r="AD51" s="1466">
        <f>P310</f>
        <v>0</v>
      </c>
      <c r="AE51" s="1427"/>
      <c r="AF51" s="1426"/>
      <c r="AG51" s="1502">
        <f>P310</f>
        <v>0</v>
      </c>
      <c r="AH51" s="1502">
        <f>P310</f>
        <v>0</v>
      </c>
      <c r="AI51" s="1470">
        <f>P310</f>
        <v>0</v>
      </c>
    </row>
    <row r="52" spans="1:46" s="79" customFormat="1" ht="10.5" customHeight="1">
      <c r="A52" s="520" t="s">
        <v>1500</v>
      </c>
      <c r="B52" s="1423" t="s">
        <v>1995</v>
      </c>
      <c r="C52" s="1424"/>
      <c r="D52" s="1425"/>
      <c r="E52" s="1425"/>
      <c r="F52" s="1425"/>
      <c r="G52" s="1426">
        <v>2</v>
      </c>
      <c r="H52" s="1427"/>
      <c r="I52" s="1426"/>
      <c r="J52" s="1501">
        <v>2</v>
      </c>
      <c r="K52" s="1501">
        <v>2</v>
      </c>
      <c r="L52" s="1427">
        <v>2</v>
      </c>
      <c r="M52" s="4634" t="s">
        <v>2493</v>
      </c>
      <c r="N52" s="4635"/>
      <c r="O52" s="4635"/>
      <c r="P52" s="4635"/>
      <c r="Q52" s="290"/>
      <c r="R52" s="520" t="s">
        <v>1500</v>
      </c>
      <c r="S52" s="1423" t="s">
        <v>1995</v>
      </c>
      <c r="T52" s="1423"/>
      <c r="U52" s="1538"/>
      <c r="V52" s="1538"/>
      <c r="W52" s="1538"/>
      <c r="X52" s="1468"/>
      <c r="Y52" s="1469"/>
      <c r="Z52" s="1464"/>
      <c r="AA52" s="1509"/>
      <c r="AB52" s="1509"/>
      <c r="AC52" s="1510"/>
      <c r="AD52" s="1466">
        <f>P318</f>
        <v>0</v>
      </c>
      <c r="AE52" s="1427"/>
      <c r="AF52" s="1426"/>
      <c r="AG52" s="1502">
        <f>P318</f>
        <v>0</v>
      </c>
      <c r="AH52" s="1502">
        <f>P318</f>
        <v>0</v>
      </c>
      <c r="AI52" s="1470">
        <f>P318</f>
        <v>0</v>
      </c>
    </row>
    <row r="53" spans="1:46" s="79" customFormat="1" ht="10.5" customHeight="1">
      <c r="A53" s="520" t="s">
        <v>1508</v>
      </c>
      <c r="B53" s="1423" t="s">
        <v>1696</v>
      </c>
      <c r="C53" s="1424"/>
      <c r="D53" s="1425"/>
      <c r="E53" s="1425"/>
      <c r="F53" s="1425"/>
      <c r="G53" s="1426">
        <v>2</v>
      </c>
      <c r="H53" s="1427"/>
      <c r="I53" s="1426"/>
      <c r="J53" s="1501">
        <v>2</v>
      </c>
      <c r="K53" s="1501">
        <v>2</v>
      </c>
      <c r="L53" s="1427">
        <v>2</v>
      </c>
      <c r="M53" s="4634"/>
      <c r="N53" s="4635"/>
      <c r="O53" s="4635"/>
      <c r="P53" s="4635"/>
      <c r="R53" s="520" t="s">
        <v>1508</v>
      </c>
      <c r="S53" s="1423" t="s">
        <v>1696</v>
      </c>
      <c r="T53" s="1423"/>
      <c r="U53" s="1538"/>
      <c r="V53" s="1538"/>
      <c r="W53" s="1538"/>
      <c r="X53" s="1462">
        <f>O334</f>
        <v>0</v>
      </c>
      <c r="Y53" s="1470"/>
      <c r="Z53" s="1462"/>
      <c r="AA53" s="1502">
        <f>O334</f>
        <v>0</v>
      </c>
      <c r="AB53" s="1502">
        <f>O334</f>
        <v>0</v>
      </c>
      <c r="AC53" s="1503">
        <f>O334</f>
        <v>0</v>
      </c>
      <c r="AD53" s="1466">
        <f>P334</f>
        <v>0</v>
      </c>
      <c r="AE53" s="1470"/>
      <c r="AF53" s="1462"/>
      <c r="AG53" s="1502">
        <f>P334</f>
        <v>0</v>
      </c>
      <c r="AH53" s="1502">
        <f>P334</f>
        <v>0</v>
      </c>
      <c r="AI53" s="1470">
        <f>P334</f>
        <v>0</v>
      </c>
    </row>
    <row r="54" spans="1:46" s="79" customFormat="1" ht="10.5" customHeight="1">
      <c r="A54" s="520" t="s">
        <v>1515</v>
      </c>
      <c r="B54" s="1423" t="s">
        <v>1697</v>
      </c>
      <c r="C54" s="1424"/>
      <c r="D54" s="1425"/>
      <c r="E54" s="1425"/>
      <c r="F54" s="1425"/>
      <c r="G54" s="1426">
        <v>4</v>
      </c>
      <c r="H54" s="1427">
        <v>2</v>
      </c>
      <c r="I54" s="1426">
        <v>2</v>
      </c>
      <c r="J54" s="1501">
        <v>4</v>
      </c>
      <c r="K54" s="1501">
        <v>4</v>
      </c>
      <c r="L54" s="1427">
        <v>4</v>
      </c>
      <c r="M54" s="4636"/>
      <c r="N54" s="4637"/>
      <c r="O54" s="4637"/>
      <c r="P54" s="4637"/>
      <c r="R54" s="520" t="s">
        <v>1515</v>
      </c>
      <c r="S54" s="1423" t="s">
        <v>1697</v>
      </c>
      <c r="T54" s="1423"/>
      <c r="U54" s="1538"/>
      <c r="V54" s="1538"/>
      <c r="W54" s="1538"/>
      <c r="X54" s="1462">
        <f>O342</f>
        <v>0</v>
      </c>
      <c r="Y54" s="1470">
        <f>O342</f>
        <v>0</v>
      </c>
      <c r="Z54" s="1462">
        <f>O342</f>
        <v>0</v>
      </c>
      <c r="AA54" s="1502">
        <f>O342</f>
        <v>0</v>
      </c>
      <c r="AB54" s="1502">
        <f>O342</f>
        <v>0</v>
      </c>
      <c r="AC54" s="1503">
        <f>O342</f>
        <v>0</v>
      </c>
      <c r="AD54" s="1466">
        <f>P342</f>
        <v>0</v>
      </c>
      <c r="AE54" s="1470">
        <f>P342</f>
        <v>0</v>
      </c>
      <c r="AF54" s="1462">
        <f>P342</f>
        <v>0</v>
      </c>
      <c r="AG54" s="1502">
        <f>P342</f>
        <v>0</v>
      </c>
      <c r="AH54" s="1502">
        <f>P342</f>
        <v>0</v>
      </c>
      <c r="AI54" s="1470">
        <f>P342</f>
        <v>0</v>
      </c>
    </row>
    <row r="55" spans="1:46" s="79" customFormat="1" ht="10.5" customHeight="1">
      <c r="A55" s="520" t="s">
        <v>1529</v>
      </c>
      <c r="B55" s="1423" t="s">
        <v>1698</v>
      </c>
      <c r="C55" s="1424"/>
      <c r="D55" s="1425"/>
      <c r="E55" s="1425"/>
      <c r="F55" s="1425"/>
      <c r="G55" s="1426">
        <v>2</v>
      </c>
      <c r="H55" s="1427"/>
      <c r="I55" s="1426"/>
      <c r="J55" s="1501"/>
      <c r="K55" s="1501"/>
      <c r="L55" s="1427"/>
      <c r="M55" s="4505" t="s">
        <v>2494</v>
      </c>
      <c r="N55" s="4506"/>
      <c r="O55" s="4506"/>
      <c r="P55" s="4507"/>
      <c r="R55" s="520" t="s">
        <v>1529</v>
      </c>
      <c r="S55" s="1423" t="s">
        <v>1698</v>
      </c>
      <c r="T55" s="1423"/>
      <c r="U55" s="1538"/>
      <c r="V55" s="1538"/>
      <c r="W55" s="1538"/>
      <c r="X55" s="1462">
        <f>O378</f>
        <v>0</v>
      </c>
      <c r="Y55" s="1470"/>
      <c r="Z55" s="1462"/>
      <c r="AA55" s="1502"/>
      <c r="AB55" s="1502"/>
      <c r="AC55" s="1503"/>
      <c r="AD55" s="1466">
        <f>P378</f>
        <v>0</v>
      </c>
      <c r="AE55" s="1470"/>
      <c r="AF55" s="1462"/>
      <c r="AG55" s="1502"/>
      <c r="AH55" s="1502"/>
      <c r="AI55" s="1470"/>
    </row>
    <row r="56" spans="1:46" s="79" customFormat="1" ht="10.5" customHeight="1">
      <c r="A56" s="520" t="s">
        <v>1536</v>
      </c>
      <c r="B56" s="1423" t="s">
        <v>2005</v>
      </c>
      <c r="C56" s="1424"/>
      <c r="D56" s="1425"/>
      <c r="E56" s="1425"/>
      <c r="F56" s="1425"/>
      <c r="G56" s="1426">
        <v>10</v>
      </c>
      <c r="H56" s="1427">
        <v>10</v>
      </c>
      <c r="I56" s="1426">
        <v>10</v>
      </c>
      <c r="J56" s="1501">
        <v>10</v>
      </c>
      <c r="K56" s="1501">
        <v>10</v>
      </c>
      <c r="L56" s="1427">
        <v>10</v>
      </c>
      <c r="M56" s="4508"/>
      <c r="N56" s="4509"/>
      <c r="O56" s="4509"/>
      <c r="P56" s="4510"/>
      <c r="R56" s="520" t="s">
        <v>1536</v>
      </c>
      <c r="S56" s="1423" t="s">
        <v>2005</v>
      </c>
      <c r="T56" s="1423"/>
      <c r="U56" s="1538"/>
      <c r="V56" s="1538"/>
      <c r="W56" s="1538"/>
      <c r="X56" s="1462">
        <f>O397</f>
        <v>10</v>
      </c>
      <c r="Y56" s="1470">
        <f>O397</f>
        <v>10</v>
      </c>
      <c r="Z56" s="1462">
        <f>O397</f>
        <v>10</v>
      </c>
      <c r="AA56" s="1502">
        <f>O397</f>
        <v>10</v>
      </c>
      <c r="AB56" s="1502">
        <f>O397</f>
        <v>10</v>
      </c>
      <c r="AC56" s="1503">
        <f>O397</f>
        <v>10</v>
      </c>
      <c r="AD56" s="1466">
        <f>P397</f>
        <v>10</v>
      </c>
      <c r="AE56" s="1470">
        <f>P397</f>
        <v>10</v>
      </c>
      <c r="AF56" s="1462">
        <f>P397</f>
        <v>10</v>
      </c>
      <c r="AG56" s="1502">
        <f>P397</f>
        <v>10</v>
      </c>
      <c r="AH56" s="1502">
        <f>P397</f>
        <v>10</v>
      </c>
      <c r="AI56" s="1470">
        <f>P397</f>
        <v>10</v>
      </c>
    </row>
    <row r="57" spans="1:46" s="79" customFormat="1" ht="10.5" customHeight="1">
      <c r="A57" s="520" t="s">
        <v>1543</v>
      </c>
      <c r="B57" s="1423" t="s">
        <v>2009</v>
      </c>
      <c r="C57" s="1424"/>
      <c r="D57" s="1425"/>
      <c r="E57" s="1425"/>
      <c r="F57" s="1425"/>
      <c r="G57" s="1426">
        <v>3</v>
      </c>
      <c r="H57" s="1427">
        <v>3</v>
      </c>
      <c r="I57" s="1426">
        <v>3</v>
      </c>
      <c r="J57" s="1501">
        <v>3</v>
      </c>
      <c r="K57" s="1501">
        <v>3</v>
      </c>
      <c r="L57" s="1427">
        <v>3</v>
      </c>
      <c r="R57" s="520" t="s">
        <v>1543</v>
      </c>
      <c r="S57" s="1423" t="s">
        <v>2009</v>
      </c>
      <c r="T57" s="1423"/>
      <c r="U57" s="1538"/>
      <c r="V57" s="1538"/>
      <c r="W57" s="1538"/>
      <c r="X57" s="1462">
        <f>O405</f>
        <v>2</v>
      </c>
      <c r="Y57" s="1470">
        <f>O405</f>
        <v>2</v>
      </c>
      <c r="Z57" s="1462">
        <f>O405</f>
        <v>2</v>
      </c>
      <c r="AA57" s="1502">
        <f>O405</f>
        <v>2</v>
      </c>
      <c r="AB57" s="1502">
        <f t="shared" ref="AB57:AB61" si="1">O398</f>
        <v>0</v>
      </c>
      <c r="AC57" s="1503">
        <f>O405</f>
        <v>2</v>
      </c>
      <c r="AD57" s="1466">
        <f>P405</f>
        <v>2</v>
      </c>
      <c r="AE57" s="1470">
        <f>P405</f>
        <v>2</v>
      </c>
      <c r="AF57" s="1462">
        <f>P405</f>
        <v>2</v>
      </c>
      <c r="AG57" s="1502">
        <f>P405</f>
        <v>2</v>
      </c>
      <c r="AH57" s="1502">
        <f>P405</f>
        <v>2</v>
      </c>
      <c r="AI57" s="1470">
        <f>P405</f>
        <v>2</v>
      </c>
    </row>
    <row r="58" spans="1:46" s="79" customFormat="1" ht="10.5" customHeight="1">
      <c r="A58" s="520" t="s">
        <v>1556</v>
      </c>
      <c r="B58" s="1423" t="s">
        <v>1700</v>
      </c>
      <c r="C58" s="1424"/>
      <c r="D58" s="1425"/>
      <c r="E58" s="1425"/>
      <c r="F58" s="1425"/>
      <c r="G58" s="1426"/>
      <c r="H58" s="1427"/>
      <c r="I58" s="1426">
        <v>6</v>
      </c>
      <c r="J58" s="1501">
        <v>6</v>
      </c>
      <c r="K58" s="1501">
        <v>6</v>
      </c>
      <c r="L58" s="1427">
        <v>6</v>
      </c>
      <c r="M58" s="4503" t="s">
        <v>1709</v>
      </c>
      <c r="N58" s="4504"/>
      <c r="O58" s="4504"/>
      <c r="P58" s="4504"/>
      <c r="Q58" s="97"/>
      <c r="R58" s="520" t="s">
        <v>1556</v>
      </c>
      <c r="S58" s="1423" t="s">
        <v>1700</v>
      </c>
      <c r="T58" s="1423"/>
      <c r="U58" s="1538"/>
      <c r="V58" s="1538"/>
      <c r="W58" s="1538"/>
      <c r="X58" s="1426"/>
      <c r="Y58" s="1427"/>
      <c r="Z58" s="1462">
        <f>O418</f>
        <v>0</v>
      </c>
      <c r="AA58" s="1502">
        <f>O418</f>
        <v>0</v>
      </c>
      <c r="AB58" s="1502">
        <f t="shared" si="1"/>
        <v>10</v>
      </c>
      <c r="AC58" s="1503">
        <f>O418</f>
        <v>0</v>
      </c>
      <c r="AD58" s="1461"/>
      <c r="AE58" s="1427"/>
      <c r="AF58" s="1462">
        <f>P418</f>
        <v>0</v>
      </c>
      <c r="AG58" s="1502">
        <f>P418</f>
        <v>0</v>
      </c>
      <c r="AH58" s="1502">
        <f>P418</f>
        <v>0</v>
      </c>
      <c r="AI58" s="1470">
        <f>P418</f>
        <v>0</v>
      </c>
    </row>
    <row r="59" spans="1:46" s="79" customFormat="1" ht="10.5" customHeight="1">
      <c r="A59" s="520" t="s">
        <v>1902</v>
      </c>
      <c r="B59" s="1423" t="s">
        <v>2495</v>
      </c>
      <c r="C59" s="1424"/>
      <c r="D59" s="1425"/>
      <c r="E59" s="1425"/>
      <c r="F59" s="1425"/>
      <c r="G59" s="1426"/>
      <c r="H59" s="1427"/>
      <c r="I59" s="1426">
        <v>6</v>
      </c>
      <c r="J59" s="1501">
        <v>6</v>
      </c>
      <c r="K59" s="1501">
        <v>6</v>
      </c>
      <c r="L59" s="1427">
        <v>6</v>
      </c>
      <c r="M59" s="4632"/>
      <c r="N59" s="4633"/>
      <c r="O59" s="4633"/>
      <c r="P59" s="4633"/>
      <c r="Q59" s="97"/>
      <c r="R59" s="520" t="s">
        <v>1902</v>
      </c>
      <c r="S59" s="1423" t="s">
        <v>2495</v>
      </c>
      <c r="T59" s="1423"/>
      <c r="U59" s="1538"/>
      <c r="V59" s="1538"/>
      <c r="W59" s="1538"/>
      <c r="X59" s="1426"/>
      <c r="Y59" s="1427"/>
      <c r="Z59" s="1462">
        <f>O424</f>
        <v>0</v>
      </c>
      <c r="AA59" s="1502">
        <f>O424</f>
        <v>0</v>
      </c>
      <c r="AB59" s="1502">
        <f t="shared" si="1"/>
        <v>0</v>
      </c>
      <c r="AC59" s="1503">
        <f>O424</f>
        <v>0</v>
      </c>
      <c r="AD59" s="1461"/>
      <c r="AE59" s="1427"/>
      <c r="AF59" s="1462">
        <f>P424</f>
        <v>0</v>
      </c>
      <c r="AG59" s="1502">
        <f>P424</f>
        <v>0</v>
      </c>
      <c r="AH59" s="1502">
        <f>P424</f>
        <v>0</v>
      </c>
      <c r="AI59" s="1470">
        <f>P424</f>
        <v>0</v>
      </c>
    </row>
    <row r="60" spans="1:46" s="79" customFormat="1" ht="10.5" customHeight="1">
      <c r="A60" s="520" t="s">
        <v>1701</v>
      </c>
      <c r="B60" s="1423" t="s">
        <v>1702</v>
      </c>
      <c r="C60" s="1424"/>
      <c r="D60" s="1425"/>
      <c r="E60" s="1425"/>
      <c r="F60" s="1425"/>
      <c r="G60" s="1426"/>
      <c r="H60" s="1427"/>
      <c r="I60" s="1426">
        <v>4</v>
      </c>
      <c r="J60" s="1501">
        <v>4</v>
      </c>
      <c r="K60" s="1501">
        <v>4</v>
      </c>
      <c r="L60" s="1427">
        <v>4</v>
      </c>
      <c r="M60" s="4366" t="s">
        <v>2496</v>
      </c>
      <c r="N60" s="4367"/>
      <c r="O60" s="4367"/>
      <c r="P60" s="4368"/>
      <c r="R60" s="520" t="s">
        <v>1701</v>
      </c>
      <c r="S60" s="1423" t="s">
        <v>1702</v>
      </c>
      <c r="T60" s="1423"/>
      <c r="U60" s="1538"/>
      <c r="V60" s="1538"/>
      <c r="W60" s="1538"/>
      <c r="X60" s="1426"/>
      <c r="Y60" s="1427"/>
      <c r="Z60" s="1462">
        <f>O428</f>
        <v>0</v>
      </c>
      <c r="AA60" s="1502">
        <f>O428</f>
        <v>0</v>
      </c>
      <c r="AB60" s="1502">
        <f t="shared" si="1"/>
        <v>0</v>
      </c>
      <c r="AC60" s="1503">
        <f>O428</f>
        <v>0</v>
      </c>
      <c r="AD60" s="1461"/>
      <c r="AE60" s="1427"/>
      <c r="AF60" s="1462">
        <f>P428</f>
        <v>0</v>
      </c>
      <c r="AG60" s="1502">
        <f>P428</f>
        <v>0</v>
      </c>
      <c r="AH60" s="1502">
        <f>P428</f>
        <v>0</v>
      </c>
      <c r="AI60" s="1470">
        <f>P428</f>
        <v>0</v>
      </c>
    </row>
    <row r="61" spans="1:46" s="79" customFormat="1" ht="10.5" customHeight="1">
      <c r="A61" s="520" t="s">
        <v>1703</v>
      </c>
      <c r="B61" s="1428" t="s">
        <v>1704</v>
      </c>
      <c r="C61" s="1429"/>
      <c r="D61" s="1430"/>
      <c r="E61" s="1430"/>
      <c r="F61" s="1430"/>
      <c r="G61" s="1431"/>
      <c r="H61" s="1432"/>
      <c r="I61" s="1431">
        <v>6</v>
      </c>
      <c r="J61" s="1668">
        <v>4</v>
      </c>
      <c r="K61" s="1668">
        <v>6</v>
      </c>
      <c r="L61" s="1432">
        <v>4</v>
      </c>
      <c r="M61" s="4369"/>
      <c r="N61" s="4370"/>
      <c r="O61" s="4370"/>
      <c r="P61" s="4371"/>
      <c r="Q61" s="97"/>
      <c r="R61" s="520" t="s">
        <v>1703</v>
      </c>
      <c r="S61" s="1428" t="s">
        <v>1704</v>
      </c>
      <c r="T61" s="1428"/>
      <c r="U61" s="1539"/>
      <c r="V61" s="1539"/>
      <c r="W61" s="1539"/>
      <c r="X61" s="1431"/>
      <c r="Y61" s="1474"/>
      <c r="Z61" s="1541">
        <f>O434</f>
        <v>0</v>
      </c>
      <c r="AA61" s="1559">
        <f>O434</f>
        <v>0</v>
      </c>
      <c r="AB61" s="1559">
        <f t="shared" si="1"/>
        <v>0</v>
      </c>
      <c r="AC61" s="1560">
        <f>O434</f>
        <v>0</v>
      </c>
      <c r="AD61" s="1475"/>
      <c r="AE61" s="1474"/>
      <c r="AF61" s="1541">
        <f>P434</f>
        <v>0</v>
      </c>
      <c r="AG61" s="1559">
        <f>P434</f>
        <v>0</v>
      </c>
      <c r="AH61" s="1559">
        <f>P434</f>
        <v>0</v>
      </c>
      <c r="AI61" s="1474">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336" t="s">
        <v>2022</v>
      </c>
      <c r="E63" s="1222"/>
      <c r="F63" s="1222"/>
      <c r="G63" s="1669">
        <f t="shared" ref="G63:L63" si="2">SUM(G36:G61)</f>
        <v>114</v>
      </c>
      <c r="H63" s="1669">
        <f t="shared" si="2"/>
        <v>69</v>
      </c>
      <c r="I63" s="1669">
        <f t="shared" si="2"/>
        <v>55</v>
      </c>
      <c r="J63" s="1669">
        <f t="shared" si="2"/>
        <v>61</v>
      </c>
      <c r="K63" s="1669">
        <f t="shared" si="2"/>
        <v>63</v>
      </c>
      <c r="L63" s="1669">
        <f t="shared" si="2"/>
        <v>61</v>
      </c>
      <c r="M63" s="34"/>
      <c r="N63" s="60"/>
      <c r="O63" s="3"/>
      <c r="P63" s="82"/>
      <c r="R63" s="45"/>
      <c r="S63" s="45"/>
      <c r="T63" s="44"/>
      <c r="U63" s="44"/>
      <c r="V63" s="44"/>
      <c r="W63" s="44"/>
      <c r="X63" s="1473">
        <f>SUM(X35:X61)</f>
        <v>22</v>
      </c>
      <c r="Y63" s="1473">
        <f t="shared" ref="Y63:AI63" si="3">SUM(Y35:Y61)</f>
        <v>22</v>
      </c>
      <c r="Z63" s="1473">
        <f t="shared" si="3"/>
        <v>22</v>
      </c>
      <c r="AA63" s="1473">
        <f t="shared" si="3"/>
        <v>22</v>
      </c>
      <c r="AB63" s="1473">
        <f t="shared" si="3"/>
        <v>30</v>
      </c>
      <c r="AC63" s="1473">
        <f t="shared" si="3"/>
        <v>22</v>
      </c>
      <c r="AD63" s="1473">
        <f t="shared" si="3"/>
        <v>22</v>
      </c>
      <c r="AE63" s="1473">
        <f t="shared" si="3"/>
        <v>22</v>
      </c>
      <c r="AF63" s="1473">
        <f t="shared" si="3"/>
        <v>22</v>
      </c>
      <c r="AG63" s="1473">
        <f t="shared" si="3"/>
        <v>22</v>
      </c>
      <c r="AH63" s="1473">
        <f t="shared" si="3"/>
        <v>22</v>
      </c>
      <c r="AI63" s="1473">
        <f t="shared" si="3"/>
        <v>22</v>
      </c>
    </row>
    <row r="64" spans="1:46" s="20" customFormat="1" ht="13.5" customHeight="1" thickBot="1">
      <c r="A64" s="83" t="s">
        <v>31</v>
      </c>
      <c r="B64" s="52" t="s">
        <v>1715</v>
      </c>
      <c r="C64" s="4"/>
      <c r="D64" s="4"/>
      <c r="E64" s="4"/>
      <c r="F64" s="15"/>
      <c r="G64" s="15"/>
      <c r="H64" s="102" t="s">
        <v>2497</v>
      </c>
      <c r="I64" s="45"/>
      <c r="J64" s="45"/>
      <c r="K64" s="45"/>
      <c r="L64" s="45"/>
      <c r="M64" s="82">
        <v>10</v>
      </c>
      <c r="N64" s="53"/>
      <c r="O64" s="693">
        <v>10</v>
      </c>
      <c r="P64" s="693">
        <f>MIN($M64, $M64-P67-P72-P68)</f>
        <v>10</v>
      </c>
      <c r="Q64" s="55" t="s">
        <v>1716</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194</v>
      </c>
      <c r="B66" s="96" t="s">
        <v>1717</v>
      </c>
      <c r="C66" s="45"/>
      <c r="D66" s="50"/>
      <c r="E66" s="50"/>
      <c r="F66" s="714"/>
      <c r="G66" s="45"/>
      <c r="H66" s="45"/>
      <c r="I66" s="45"/>
      <c r="J66" s="45"/>
      <c r="K66" s="45"/>
      <c r="L66" s="45"/>
      <c r="M66" s="45"/>
      <c r="N66" s="30" t="s">
        <v>194</v>
      </c>
      <c r="O66" s="45"/>
      <c r="P66" s="2845">
        <f>SUM(P67:P69)</f>
        <v>0</v>
      </c>
      <c r="Q66" s="15" t="s">
        <v>2498</v>
      </c>
      <c r="R66" s="45"/>
      <c r="S66" s="45"/>
      <c r="T66" s="45"/>
    </row>
    <row r="67" spans="1:20" s="21" customFormat="1" ht="12.75" customHeight="1">
      <c r="A67" s="74"/>
      <c r="B67" s="1313" t="s">
        <v>209</v>
      </c>
      <c r="C67" s="50" t="s">
        <v>1718</v>
      </c>
      <c r="D67" s="50"/>
      <c r="E67" s="50"/>
      <c r="F67" s="714"/>
      <c r="H67" s="102" t="s">
        <v>2499</v>
      </c>
      <c r="J67" s="25"/>
      <c r="N67" s="227" t="s">
        <v>209</v>
      </c>
      <c r="P67" s="2846">
        <f>F75</f>
        <v>0</v>
      </c>
    </row>
    <row r="68" spans="1:20" s="21" customFormat="1" ht="12.75" customHeight="1">
      <c r="A68" s="74"/>
      <c r="B68" s="1313" t="s">
        <v>217</v>
      </c>
      <c r="C68" s="50" t="s">
        <v>2500</v>
      </c>
      <c r="D68" s="50"/>
      <c r="E68" s="50"/>
      <c r="F68" s="714"/>
      <c r="H68" s="102" t="s">
        <v>2501</v>
      </c>
      <c r="J68" s="25"/>
      <c r="N68" s="227" t="s">
        <v>217</v>
      </c>
      <c r="P68" s="946">
        <f>J75</f>
        <v>0</v>
      </c>
    </row>
    <row r="69" spans="1:20" s="21" customFormat="1" ht="12.75" customHeight="1">
      <c r="A69" s="74"/>
      <c r="B69" s="1313" t="s">
        <v>221</v>
      </c>
      <c r="C69" s="50" t="s">
        <v>1720</v>
      </c>
      <c r="D69" s="50"/>
      <c r="E69" s="50"/>
      <c r="F69" s="714"/>
      <c r="H69" s="102" t="s">
        <v>2502</v>
      </c>
      <c r="J69" s="25"/>
      <c r="N69" s="227" t="s">
        <v>221</v>
      </c>
      <c r="P69" s="947"/>
    </row>
    <row r="70" spans="1:20" s="21" customFormat="1" ht="12.75" customHeight="1">
      <c r="C70" s="4418" t="s">
        <v>2503</v>
      </c>
      <c r="D70" s="4419"/>
      <c r="E70" s="4419"/>
      <c r="F70" s="4419"/>
      <c r="G70" s="4419"/>
      <c r="H70" s="4419"/>
      <c r="I70" s="4419"/>
      <c r="J70" s="4419"/>
      <c r="K70" s="4419"/>
      <c r="L70" s="4419"/>
      <c r="M70" s="4419"/>
      <c r="N70" s="4419"/>
      <c r="O70" s="4419"/>
      <c r="P70" s="4420"/>
      <c r="Q70" s="259"/>
      <c r="R70" s="259"/>
    </row>
    <row r="71" spans="1:20" s="21" customFormat="1" ht="3" customHeight="1">
      <c r="A71" s="347"/>
      <c r="B71" s="344"/>
      <c r="C71" s="345"/>
      <c r="D71" s="75"/>
      <c r="K71" s="544"/>
      <c r="L71" s="544"/>
      <c r="M71" s="349"/>
      <c r="N71" s="227"/>
      <c r="O71" s="546"/>
      <c r="P71" s="546"/>
    </row>
    <row r="72" spans="1:20" s="20" customFormat="1" ht="12.75" customHeight="1">
      <c r="A72" s="74" t="s">
        <v>206</v>
      </c>
      <c r="B72" s="96" t="s">
        <v>1722</v>
      </c>
      <c r="C72" s="45"/>
      <c r="D72" s="50"/>
      <c r="E72" s="50"/>
      <c r="F72" s="714"/>
      <c r="G72" s="45"/>
      <c r="H72" s="102" t="s">
        <v>2504</v>
      </c>
      <c r="I72" s="45"/>
      <c r="J72" s="25"/>
      <c r="K72" s="45"/>
      <c r="L72" s="45"/>
      <c r="M72" s="34"/>
      <c r="N72" s="30" t="s">
        <v>206</v>
      </c>
      <c r="O72" s="45"/>
      <c r="P72" s="949">
        <f>O75</f>
        <v>0</v>
      </c>
      <c r="Q72" s="15" t="s">
        <v>2498</v>
      </c>
      <c r="R72" s="45"/>
      <c r="S72" s="45"/>
      <c r="T72" s="45"/>
    </row>
    <row r="73" spans="1:20" s="21" customFormat="1" ht="3" customHeight="1">
      <c r="A73" s="347"/>
      <c r="B73" s="344"/>
      <c r="C73" s="345"/>
      <c r="D73" s="75"/>
      <c r="K73" s="544"/>
      <c r="L73" s="544"/>
      <c r="M73" s="349"/>
      <c r="N73" s="227"/>
      <c r="O73" s="546"/>
      <c r="P73" s="546"/>
    </row>
    <row r="74" spans="1:20" s="20" customFormat="1" ht="12.75" customHeight="1">
      <c r="A74" s="4332" t="s">
        <v>2505</v>
      </c>
      <c r="B74" s="4332"/>
      <c r="C74" s="4332"/>
      <c r="D74" s="4332"/>
      <c r="E74" s="4332"/>
      <c r="F74" s="945" t="s">
        <v>2506</v>
      </c>
      <c r="G74" s="4490" t="s">
        <v>2507</v>
      </c>
      <c r="H74" s="4490"/>
      <c r="I74" s="4490"/>
      <c r="J74" s="945" t="s">
        <v>2506</v>
      </c>
      <c r="K74" s="4494" t="s">
        <v>2508</v>
      </c>
      <c r="L74" s="4494"/>
      <c r="M74" s="4494"/>
      <c r="N74" s="4494"/>
      <c r="O74" s="4488" t="s">
        <v>2506</v>
      </c>
      <c r="P74" s="4489"/>
      <c r="Q74" s="45"/>
      <c r="R74" s="260"/>
      <c r="S74" s="86"/>
      <c r="T74" s="45"/>
    </row>
    <row r="75" spans="1:20" s="20" customFormat="1" ht="12.75" customHeight="1">
      <c r="A75" s="4487"/>
      <c r="B75" s="4487"/>
      <c r="C75" s="4487"/>
      <c r="D75" s="4487"/>
      <c r="E75" s="4487"/>
      <c r="F75" s="2847">
        <f>SUM(F76:F87)</f>
        <v>0</v>
      </c>
      <c r="G75" s="4491"/>
      <c r="H75" s="4492"/>
      <c r="I75" s="4493"/>
      <c r="J75" s="2847">
        <f>SUM(J76:J87)</f>
        <v>0</v>
      </c>
      <c r="K75" s="4495"/>
      <c r="L75" s="4496"/>
      <c r="M75" s="4496"/>
      <c r="N75" s="4497"/>
      <c r="O75" s="4478">
        <f>SUM(O76:O87)</f>
        <v>0</v>
      </c>
      <c r="P75" s="4479"/>
      <c r="Q75" s="260"/>
      <c r="R75" s="86"/>
      <c r="S75" s="45"/>
      <c r="T75" s="45"/>
    </row>
    <row r="76" spans="1:20" s="20" customFormat="1" ht="24.75" customHeight="1">
      <c r="A76" s="4480">
        <v>1</v>
      </c>
      <c r="B76" s="4481"/>
      <c r="C76" s="4481"/>
      <c r="D76" s="4481"/>
      <c r="E76" s="4482"/>
      <c r="F76" s="2848"/>
      <c r="G76" s="4480">
        <v>1</v>
      </c>
      <c r="H76" s="4481"/>
      <c r="I76" s="4482"/>
      <c r="J76" s="2849" t="s">
        <v>1683</v>
      </c>
      <c r="K76" s="4483">
        <v>1</v>
      </c>
      <c r="L76" s="4484"/>
      <c r="M76" s="4484"/>
      <c r="N76" s="4484"/>
      <c r="O76" s="4485" t="s">
        <v>1683</v>
      </c>
      <c r="P76" s="4486"/>
      <c r="Q76" s="258" t="s">
        <v>2152</v>
      </c>
      <c r="R76" s="86"/>
      <c r="S76" s="45"/>
      <c r="T76" s="45"/>
    </row>
    <row r="77" spans="1:20" s="20" customFormat="1" ht="24.75" customHeight="1">
      <c r="A77" s="4377">
        <v>2</v>
      </c>
      <c r="B77" s="4378"/>
      <c r="C77" s="4378"/>
      <c r="D77" s="4378"/>
      <c r="E77" s="4379"/>
      <c r="F77" s="537"/>
      <c r="G77" s="4377">
        <v>2</v>
      </c>
      <c r="H77" s="4378"/>
      <c r="I77" s="4379"/>
      <c r="J77" s="537"/>
      <c r="K77" s="4411">
        <v>2</v>
      </c>
      <c r="L77" s="4412"/>
      <c r="M77" s="4412"/>
      <c r="N77" s="4412"/>
      <c r="O77" s="4372"/>
      <c r="P77" s="4373"/>
      <c r="Q77" s="259"/>
      <c r="R77" s="86"/>
      <c r="S77" s="45"/>
      <c r="T77" s="45"/>
    </row>
    <row r="78" spans="1:20" s="20" customFormat="1" ht="24.75" customHeight="1">
      <c r="A78" s="4377">
        <v>3</v>
      </c>
      <c r="B78" s="4378"/>
      <c r="C78" s="4378"/>
      <c r="D78" s="4378"/>
      <c r="E78" s="4379"/>
      <c r="F78" s="537"/>
      <c r="G78" s="4377">
        <v>3</v>
      </c>
      <c r="H78" s="4378"/>
      <c r="I78" s="4379"/>
      <c r="J78" s="746" t="s">
        <v>2509</v>
      </c>
      <c r="K78" s="4411">
        <v>3</v>
      </c>
      <c r="L78" s="4412"/>
      <c r="M78" s="4412"/>
      <c r="N78" s="4412"/>
      <c r="O78" s="4595" t="s">
        <v>2509</v>
      </c>
      <c r="P78" s="4596"/>
      <c r="Q78" s="4638" t="s">
        <v>2510</v>
      </c>
      <c r="R78" s="4639"/>
      <c r="S78" s="948"/>
      <c r="T78" s="948"/>
    </row>
    <row r="79" spans="1:20" s="20" customFormat="1" ht="24.75" customHeight="1">
      <c r="A79" s="4377">
        <v>4</v>
      </c>
      <c r="B79" s="4378"/>
      <c r="C79" s="4378"/>
      <c r="D79" s="4378"/>
      <c r="E79" s="4379"/>
      <c r="F79" s="537"/>
      <c r="G79" s="4377">
        <v>4</v>
      </c>
      <c r="H79" s="4378"/>
      <c r="I79" s="4379"/>
      <c r="J79" s="537"/>
      <c r="K79" s="4411">
        <v>4</v>
      </c>
      <c r="L79" s="4412"/>
      <c r="M79" s="4412"/>
      <c r="N79" s="4412"/>
      <c r="O79" s="4595" t="s">
        <v>2509</v>
      </c>
      <c r="P79" s="4596"/>
      <c r="Q79" s="4638"/>
      <c r="R79" s="4639"/>
      <c r="S79" s="948"/>
      <c r="T79" s="948"/>
    </row>
    <row r="80" spans="1:20" s="20" customFormat="1" ht="24.75" customHeight="1">
      <c r="A80" s="4377">
        <v>5</v>
      </c>
      <c r="B80" s="4378"/>
      <c r="C80" s="4378"/>
      <c r="D80" s="4378"/>
      <c r="E80" s="4379"/>
      <c r="F80" s="537"/>
      <c r="G80" s="4377">
        <v>5</v>
      </c>
      <c r="H80" s="4378"/>
      <c r="I80" s="4379"/>
      <c r="J80" s="746" t="s">
        <v>2511</v>
      </c>
      <c r="K80" s="4411">
        <v>5</v>
      </c>
      <c r="L80" s="4412"/>
      <c r="M80" s="4412"/>
      <c r="N80" s="4412"/>
      <c r="O80" s="4372"/>
      <c r="P80" s="4373"/>
      <c r="Q80" s="4638"/>
      <c r="R80" s="4639"/>
      <c r="S80" s="948"/>
      <c r="T80" s="948"/>
    </row>
    <row r="81" spans="1:19" s="20" customFormat="1" ht="24" customHeight="1">
      <c r="A81" s="4377">
        <v>6</v>
      </c>
      <c r="B81" s="4378"/>
      <c r="C81" s="4378"/>
      <c r="D81" s="4378"/>
      <c r="E81" s="4379"/>
      <c r="F81" s="537"/>
      <c r="G81" s="4377">
        <v>6</v>
      </c>
      <c r="H81" s="4378"/>
      <c r="I81" s="4379"/>
      <c r="J81" s="537"/>
      <c r="K81" s="4411">
        <v>6</v>
      </c>
      <c r="L81" s="4412"/>
      <c r="M81" s="4412"/>
      <c r="N81" s="4412"/>
      <c r="O81" s="4372"/>
      <c r="P81" s="4373"/>
      <c r="Q81" s="4638"/>
      <c r="R81" s="4639"/>
      <c r="S81" s="45"/>
    </row>
    <row r="82" spans="1:19" s="20" customFormat="1" ht="24.75" customHeight="1">
      <c r="A82" s="4377">
        <v>7</v>
      </c>
      <c r="B82" s="4378"/>
      <c r="C82" s="4378"/>
      <c r="D82" s="4378"/>
      <c r="E82" s="4379"/>
      <c r="F82" s="537"/>
      <c r="G82" s="4377">
        <v>7</v>
      </c>
      <c r="H82" s="4378"/>
      <c r="I82" s="4379"/>
      <c r="J82" s="746" t="s">
        <v>2512</v>
      </c>
      <c r="K82" s="4411">
        <v>7</v>
      </c>
      <c r="L82" s="4412"/>
      <c r="M82" s="4412"/>
      <c r="N82" s="4412"/>
      <c r="O82" s="4372"/>
      <c r="P82" s="4373"/>
      <c r="Q82" s="86"/>
      <c r="R82" s="86"/>
      <c r="S82" s="45"/>
    </row>
    <row r="83" spans="1:19" s="20" customFormat="1" ht="24.75" customHeight="1">
      <c r="A83" s="4377">
        <v>8</v>
      </c>
      <c r="B83" s="4378"/>
      <c r="C83" s="4378"/>
      <c r="D83" s="4378"/>
      <c r="E83" s="4379"/>
      <c r="F83" s="537"/>
      <c r="G83" s="4377">
        <v>8</v>
      </c>
      <c r="H83" s="4378"/>
      <c r="I83" s="4379"/>
      <c r="J83" s="537"/>
      <c r="K83" s="4411">
        <v>8</v>
      </c>
      <c r="L83" s="4412"/>
      <c r="M83" s="4412"/>
      <c r="N83" s="4412"/>
      <c r="O83" s="4372"/>
      <c r="P83" s="4373"/>
      <c r="Q83" s="86"/>
      <c r="R83" s="86"/>
      <c r="S83" s="45"/>
    </row>
    <row r="84" spans="1:19" s="20" customFormat="1" ht="24.75" customHeight="1">
      <c r="A84" s="4377">
        <v>9</v>
      </c>
      <c r="B84" s="4378"/>
      <c r="C84" s="4378"/>
      <c r="D84" s="4378"/>
      <c r="E84" s="4379"/>
      <c r="F84" s="537"/>
      <c r="G84" s="4377">
        <v>9</v>
      </c>
      <c r="H84" s="4378"/>
      <c r="I84" s="4379"/>
      <c r="J84" s="746" t="s">
        <v>2513</v>
      </c>
      <c r="K84" s="4411">
        <v>9</v>
      </c>
      <c r="L84" s="4412"/>
      <c r="M84" s="4412"/>
      <c r="N84" s="4412"/>
      <c r="O84" s="4372"/>
      <c r="P84" s="4373"/>
      <c r="Q84" s="86"/>
      <c r="R84" s="86"/>
      <c r="S84" s="45"/>
    </row>
    <row r="85" spans="1:19" s="20" customFormat="1" ht="24.75" customHeight="1">
      <c r="A85" s="4377">
        <v>10</v>
      </c>
      <c r="B85" s="4378"/>
      <c r="C85" s="4378"/>
      <c r="D85" s="4378"/>
      <c r="E85" s="4379"/>
      <c r="F85" s="537"/>
      <c r="G85" s="4377">
        <v>10</v>
      </c>
      <c r="H85" s="4378"/>
      <c r="I85" s="4379"/>
      <c r="J85" s="537"/>
      <c r="K85" s="4411">
        <v>10</v>
      </c>
      <c r="L85" s="4412"/>
      <c r="M85" s="4412"/>
      <c r="N85" s="4412"/>
      <c r="O85" s="4372"/>
      <c r="P85" s="4373"/>
      <c r="Q85" s="86"/>
      <c r="R85" s="45"/>
      <c r="S85" s="45"/>
    </row>
    <row r="86" spans="1:19" s="20" customFormat="1" ht="24.75" customHeight="1">
      <c r="A86" s="4377">
        <v>11</v>
      </c>
      <c r="B86" s="4378"/>
      <c r="C86" s="4378"/>
      <c r="D86" s="4378"/>
      <c r="E86" s="4379"/>
      <c r="F86" s="537"/>
      <c r="G86" s="4377">
        <v>11</v>
      </c>
      <c r="H86" s="4378"/>
      <c r="I86" s="4379"/>
      <c r="J86" s="746" t="s">
        <v>2514</v>
      </c>
      <c r="K86" s="4377">
        <v>11</v>
      </c>
      <c r="L86" s="4378"/>
      <c r="M86" s="4378"/>
      <c r="N86" s="4379"/>
      <c r="O86" s="4372"/>
      <c r="P86" s="4373"/>
      <c r="Q86" s="86"/>
      <c r="R86" s="86"/>
      <c r="S86" s="45"/>
    </row>
    <row r="87" spans="1:19" s="20" customFormat="1" ht="24.75" customHeight="1">
      <c r="A87" s="4397">
        <v>12</v>
      </c>
      <c r="B87" s="4398"/>
      <c r="C87" s="4398"/>
      <c r="D87" s="4398"/>
      <c r="E87" s="4399"/>
      <c r="F87" s="538"/>
      <c r="G87" s="4397">
        <v>12</v>
      </c>
      <c r="H87" s="4398"/>
      <c r="I87" s="4399"/>
      <c r="J87" s="538"/>
      <c r="K87" s="4397">
        <v>12</v>
      </c>
      <c r="L87" s="4398"/>
      <c r="M87" s="4398"/>
      <c r="N87" s="4399"/>
      <c r="O87" s="4400"/>
      <c r="P87" s="4401"/>
      <c r="Q87" s="45"/>
      <c r="R87" s="45"/>
      <c r="S87" s="45"/>
    </row>
    <row r="88" spans="1:19" s="21" customFormat="1" ht="3" customHeight="1" thickBot="1">
      <c r="D88" s="15"/>
      <c r="E88" s="15"/>
      <c r="F88" s="82"/>
      <c r="G88" s="82"/>
      <c r="H88" s="82"/>
      <c r="I88" s="82"/>
      <c r="J88" s="18"/>
      <c r="K88" s="18"/>
      <c r="L88" s="18"/>
      <c r="M88" s="714"/>
      <c r="N88" s="82"/>
      <c r="O88" s="11"/>
      <c r="P88" s="3"/>
    </row>
    <row r="89" spans="1:19" s="44" customFormat="1" ht="13.5" customHeight="1" thickBot="1">
      <c r="A89" s="83" t="s">
        <v>50</v>
      </c>
      <c r="B89" s="52" t="s">
        <v>1727</v>
      </c>
      <c r="E89" s="15"/>
      <c r="G89" s="40"/>
      <c r="I89" s="1255" t="s">
        <v>632</v>
      </c>
      <c r="J89" s="1314" t="str">
        <f>IF(OR($M$34="9% Credit Competitive Round only", $M$34="9% Credit &amp; HOME"),"9%",IF(OR($M$34="4% Credit/TE Bond", $M$34="4% Credit/TE Bond &amp; HOME", $M$34="4% Credit/TE Bond &amp; HOME NOFA", $M$34="4% Credit &amp; NHTF", $M$34="4% Credit &amp; NHTF &amp; HOME"),"4%",""))</f>
        <v>4%</v>
      </c>
      <c r="K89" s="1258" t="s">
        <v>796</v>
      </c>
      <c r="L89" s="1257" t="str">
        <f>$M$55</f>
        <v>&lt;&lt; Select Activity Type &gt;&gt;</v>
      </c>
      <c r="M89" s="82">
        <v>3</v>
      </c>
      <c r="N89" s="34"/>
      <c r="O89" s="693">
        <f>IF(AND(O93&gt;0,O97&gt;0),"AorB?",MIN($M$89,O93+O97))</f>
        <v>0</v>
      </c>
      <c r="P89" s="693">
        <f>IF(AND(P93&gt;0,P97&gt;0),"AorB?",MIN($M$89,P93+P97))</f>
        <v>0</v>
      </c>
      <c r="Q89" s="55" t="s">
        <v>1716</v>
      </c>
      <c r="S89" s="307"/>
    </row>
    <row r="90" spans="1:19" s="21" customFormat="1" ht="2.25" customHeight="1">
      <c r="A90" s="255"/>
      <c r="B90" s="57"/>
      <c r="E90" s="15"/>
      <c r="F90" s="21" t="s">
        <v>1728</v>
      </c>
      <c r="G90" s="41"/>
      <c r="H90" s="15"/>
      <c r="I90" s="23"/>
      <c r="K90" s="303"/>
      <c r="L90" s="539"/>
      <c r="M90" s="82"/>
      <c r="N90" s="34"/>
      <c r="O90" s="3"/>
      <c r="P90" s="3"/>
      <c r="Q90" s="55"/>
      <c r="R90" s="218"/>
    </row>
    <row r="91" spans="1:19" s="21" customFormat="1" ht="13.5" customHeight="1">
      <c r="A91" s="74" t="s">
        <v>194</v>
      </c>
      <c r="B91" s="108" t="s">
        <v>2515</v>
      </c>
      <c r="E91" s="15"/>
      <c r="G91" s="41"/>
      <c r="H91" s="27" t="s">
        <v>634</v>
      </c>
      <c r="I91" s="998" t="str">
        <f>'Part V-Revenues &amp; Expenses'!$O$53</f>
        <v>40% of Units at 60% of AMI</v>
      </c>
      <c r="M91" s="82"/>
      <c r="N91" s="34"/>
      <c r="P91" s="1615" t="str">
        <f>IF(AND(O89&gt;0,NOT($M$55="New Supply")), "Ineligible to score in this section, not New Supply!","")</f>
        <v/>
      </c>
      <c r="Q91" s="34"/>
      <c r="R91" s="218"/>
    </row>
    <row r="92" spans="1:19" s="44" customFormat="1" ht="9" customHeight="1">
      <c r="A92" s="74"/>
      <c r="B92" s="4629" t="s">
        <v>2516</v>
      </c>
      <c r="C92" s="4629"/>
      <c r="D92" s="4629"/>
      <c r="E92" s="4629"/>
      <c r="F92" s="4629"/>
      <c r="G92" s="4629"/>
      <c r="H92" s="4629"/>
      <c r="I92" s="4629"/>
      <c r="J92" s="4629"/>
      <c r="K92" s="4629"/>
      <c r="L92" s="4629"/>
      <c r="M92" s="82"/>
      <c r="N92" s="34"/>
      <c r="Q92" s="34"/>
      <c r="R92" s="218"/>
    </row>
    <row r="93" spans="1:19" s="44" customFormat="1" ht="13.5" customHeight="1">
      <c r="B93" s="4629"/>
      <c r="C93" s="4629"/>
      <c r="D93" s="4629"/>
      <c r="E93" s="4629"/>
      <c r="F93" s="4629"/>
      <c r="G93" s="4629"/>
      <c r="H93" s="4629"/>
      <c r="I93" s="4629"/>
      <c r="J93" s="4629"/>
      <c r="K93" s="4629"/>
      <c r="L93" s="4629"/>
      <c r="M93" s="542">
        <v>2</v>
      </c>
      <c r="N93" s="227" t="s">
        <v>194</v>
      </c>
      <c r="O93" s="547">
        <f>IF(AND(OR($J$89="9%",$J$89="4%"),$L$89="New Supply"),MIN($M93,O94+O95),0)</f>
        <v>0</v>
      </c>
      <c r="P93" s="547">
        <f>IF(NOT($J$89="9%"),0,MIN($M93, P94+P95))</f>
        <v>0</v>
      </c>
    </row>
    <row r="94" spans="1:19" s="44" customFormat="1" ht="13.5" customHeight="1">
      <c r="A94" s="74"/>
      <c r="B94" s="962" t="s">
        <v>209</v>
      </c>
      <c r="C94" s="952" t="s">
        <v>1730</v>
      </c>
      <c r="D94" s="15"/>
      <c r="H94" s="15" t="s">
        <v>1731</v>
      </c>
      <c r="I94" s="951"/>
      <c r="J94" s="1000">
        <f>'Part V-Revenues &amp; Expenses'!$B$50</f>
        <v>60</v>
      </c>
      <c r="L94" s="4578" t="str">
        <f>IF(AND(O94&gt;0,O95&gt;0), "CHOOSE EITHER A OR B, NOT BOTH!", "")</f>
        <v/>
      </c>
      <c r="M94" s="349">
        <v>2</v>
      </c>
      <c r="N94" s="105" t="s">
        <v>209</v>
      </c>
      <c r="O94" s="304"/>
      <c r="P94" s="312"/>
      <c r="Q94" s="980" t="str">
        <f>IF(OR($O94=$M94,$O94=0,$O94=""),"","*CHECK!*")</f>
        <v/>
      </c>
      <c r="R94" s="633" t="s">
        <v>2517</v>
      </c>
    </row>
    <row r="95" spans="1:19" s="44" customFormat="1" ht="13.5" customHeight="1">
      <c r="A95" s="294" t="s">
        <v>2518</v>
      </c>
      <c r="B95" s="962" t="s">
        <v>217</v>
      </c>
      <c r="C95" s="952" t="s">
        <v>1732</v>
      </c>
      <c r="D95" s="15"/>
      <c r="I95" s="951"/>
      <c r="K95" s="15"/>
      <c r="L95" s="4578"/>
      <c r="M95" s="349">
        <v>2</v>
      </c>
      <c r="N95" s="105" t="s">
        <v>217</v>
      </c>
      <c r="O95" s="305"/>
      <c r="P95" s="313"/>
      <c r="Q95" s="980" t="str">
        <f>IF(OR($O95=$M95,$O95=0,$O95=""),"","*CHECK!*")</f>
        <v/>
      </c>
      <c r="R95" s="633" t="s">
        <v>2517</v>
      </c>
    </row>
    <row r="96" spans="1:19" s="21" customFormat="1" ht="6.75" customHeight="1">
      <c r="A96" s="347"/>
      <c r="B96" s="344"/>
      <c r="C96" s="345"/>
      <c r="D96" s="75"/>
      <c r="K96" s="544"/>
      <c r="L96" s="544"/>
      <c r="M96" s="349"/>
      <c r="N96" s="227"/>
      <c r="O96" s="546"/>
      <c r="P96" s="546"/>
    </row>
    <row r="97" spans="1:18" s="21" customFormat="1" ht="13.5" customHeight="1">
      <c r="A97" s="74" t="s">
        <v>206</v>
      </c>
      <c r="B97" s="108" t="s">
        <v>2519</v>
      </c>
      <c r="E97" s="27"/>
      <c r="H97" s="4382" t="s">
        <v>2520</v>
      </c>
      <c r="I97" s="4383"/>
      <c r="J97" s="955" t="s">
        <v>2521</v>
      </c>
      <c r="M97" s="542">
        <v>3</v>
      </c>
      <c r="N97" s="88" t="s">
        <v>206</v>
      </c>
      <c r="O97" s="547">
        <f>IF(AND(O98="Yes", O99="Yes"),$M$97,0)</f>
        <v>0</v>
      </c>
      <c r="P97" s="547">
        <f>IF(AND(P98="Yes", P99="Yes"),$M$97,0)</f>
        <v>0</v>
      </c>
    </row>
    <row r="98" spans="1:18" s="21" customFormat="1" ht="13.5" customHeight="1">
      <c r="A98" s="250"/>
      <c r="B98" s="962" t="s">
        <v>209</v>
      </c>
      <c r="C98" s="953">
        <v>0.3</v>
      </c>
      <c r="D98" s="594" t="s">
        <v>2522</v>
      </c>
      <c r="E98" s="27"/>
      <c r="F98" s="273"/>
      <c r="H98" s="752"/>
      <c r="I98" s="753"/>
      <c r="J98" s="954">
        <f>'Part V-Revenues &amp; Expenses'!$P$65</f>
        <v>199</v>
      </c>
      <c r="K98" s="1561">
        <f>IF(OR('Part V-Revenues &amp; Expenses'!$P$65="", 'Part V-Revenues &amp; Expenses'!$P$65=0),0,H98/'Part V-Revenues &amp; Expenses'!$P$65)</f>
        <v>0</v>
      </c>
      <c r="L98" s="1562">
        <f>IF(OR('Part V-Revenues &amp; Expenses'!$P$65="", 'Part V-Revenues &amp; Expenses'!$P$65=0),0,I98/'Part V-Revenues &amp; Expenses'!$P$65)</f>
        <v>0</v>
      </c>
      <c r="M98" s="349"/>
      <c r="N98" s="227" t="s">
        <v>209</v>
      </c>
      <c r="O98" s="2850" t="str">
        <f>IF(AND(K98 &gt;= $C$98,O99="Yes"),"Yes","No")</f>
        <v>No</v>
      </c>
      <c r="P98" s="2850" t="str">
        <f>IF(AND(L98 &gt;= $C$98,P99="Yes"),"Yes","No")</f>
        <v>No</v>
      </c>
    </row>
    <row r="99" spans="1:18" s="21" customFormat="1" ht="13.5" customHeight="1">
      <c r="A99" s="347"/>
      <c r="B99" s="962" t="s">
        <v>217</v>
      </c>
      <c r="C99" s="283" t="s">
        <v>2523</v>
      </c>
      <c r="E99" s="569"/>
      <c r="F99" s="273"/>
      <c r="I99" s="16"/>
      <c r="J99" s="16"/>
      <c r="K99" s="16"/>
      <c r="L99" s="16"/>
      <c r="M99" s="16"/>
      <c r="N99" s="227" t="s">
        <v>217</v>
      </c>
      <c r="O99" s="124"/>
      <c r="P99" s="316"/>
    </row>
    <row r="100" spans="1:18" s="21" customFormat="1" ht="10.5" customHeight="1">
      <c r="A100" s="45"/>
      <c r="B100" s="47" t="s">
        <v>1399</v>
      </c>
      <c r="D100" s="39"/>
      <c r="E100" s="710"/>
      <c r="F100" s="710"/>
      <c r="G100" s="710"/>
      <c r="H100" s="710"/>
      <c r="I100" s="710"/>
      <c r="J100" s="710"/>
      <c r="K100" s="710"/>
      <c r="L100" s="710"/>
      <c r="M100" s="710"/>
      <c r="N100" s="2851"/>
      <c r="O100" s="33"/>
      <c r="P100" s="82"/>
    </row>
    <row r="101" spans="1:18" s="21" customFormat="1" ht="22.5" customHeight="1">
      <c r="A101" s="4150"/>
      <c r="B101" s="4151"/>
      <c r="C101" s="4151"/>
      <c r="D101" s="4151"/>
      <c r="E101" s="4151"/>
      <c r="F101" s="4151"/>
      <c r="G101" s="4151"/>
      <c r="H101" s="4151"/>
      <c r="I101" s="4151"/>
      <c r="J101" s="4151"/>
      <c r="K101" s="4151"/>
      <c r="L101" s="4151"/>
      <c r="M101" s="4151"/>
      <c r="N101" s="4151"/>
      <c r="O101" s="4151"/>
      <c r="P101" s="4152"/>
      <c r="Q101" s="258"/>
    </row>
    <row r="102" spans="1:18" ht="7.5" customHeight="1" thickBot="1">
      <c r="N102" s="60"/>
    </row>
    <row r="103" spans="1:18" s="21" customFormat="1" ht="13.5" customHeight="1" thickBot="1">
      <c r="A103" s="83" t="s">
        <v>66</v>
      </c>
      <c r="B103" s="52" t="s">
        <v>1735</v>
      </c>
      <c r="D103" s="19"/>
      <c r="K103" s="1258" t="s">
        <v>796</v>
      </c>
      <c r="L103" s="1257" t="str">
        <f>M55</f>
        <v>&lt;&lt; Select Activity Type &gt;&gt;</v>
      </c>
      <c r="M103" s="82">
        <f>IF(AND($P$37="4%",$M$55="New Supply"),$H$38,IF(AND($P$37="4%",$M$55="Preservation"),$I$38,$G$38))</f>
        <v>20</v>
      </c>
      <c r="N103" s="30"/>
      <c r="O103" s="693">
        <f>IF(OR($M106-O107&lt;0,O106-O107&lt;0),0,IF(O106&lt;=$M106,O106-O107,IF(O106&gt;$M106,$M106-O107,0)))</f>
        <v>0</v>
      </c>
      <c r="P103" s="693">
        <f>IF(OR($M106-P107&lt;0,P106-P107&lt;0),0,IF(P106&lt;=$M106,P106-P107,IF(P106&gt;$M106,$M106-P107,0)))</f>
        <v>0</v>
      </c>
      <c r="Q103" s="55" t="s">
        <v>1716</v>
      </c>
    </row>
    <row r="104" spans="1:18" s="21" customFormat="1" ht="15">
      <c r="A104" s="45"/>
      <c r="B104" s="157" t="s">
        <v>2524</v>
      </c>
      <c r="D104" s="15"/>
      <c r="E104" s="15"/>
      <c r="F104" s="82"/>
      <c r="G104" s="82"/>
      <c r="H104" s="148"/>
      <c r="I104" s="148"/>
      <c r="J104" s="148"/>
      <c r="K104" s="148"/>
      <c r="M104" s="714"/>
      <c r="N104" s="82"/>
      <c r="O104" s="11"/>
      <c r="P104" s="294" t="str">
        <f>IF(AND(O103&gt;0,NOT($M$55="New Supply")), "Ineligible to score in this section, not New Supply!","")</f>
        <v/>
      </c>
    </row>
    <row r="105" spans="1:18" s="44" customFormat="1" ht="12.75" customHeight="1">
      <c r="A105" s="74"/>
      <c r="B105" s="15" t="s">
        <v>2525</v>
      </c>
      <c r="D105" s="13"/>
      <c r="N105" s="30"/>
      <c r="O105" s="2840"/>
      <c r="P105" s="2852"/>
    </row>
    <row r="106" spans="1:18" s="44" customFormat="1" ht="12.75" customHeight="1">
      <c r="A106" s="74" t="s">
        <v>194</v>
      </c>
      <c r="B106" s="96" t="s">
        <v>1736</v>
      </c>
      <c r="C106" s="4"/>
      <c r="D106" s="4"/>
      <c r="F106" s="158"/>
      <c r="H106" s="520" t="s">
        <v>2526</v>
      </c>
      <c r="I106" s="4402" t="s">
        <v>2527</v>
      </c>
      <c r="J106" s="4403"/>
      <c r="K106" s="4403"/>
      <c r="L106" s="4404"/>
      <c r="M106" s="349">
        <v>20</v>
      </c>
      <c r="N106" s="105" t="s">
        <v>194</v>
      </c>
      <c r="O106" s="1454"/>
      <c r="P106" s="1455"/>
      <c r="Q106" s="980"/>
      <c r="R106" s="633" t="s">
        <v>2517</v>
      </c>
    </row>
    <row r="107" spans="1:18" s="44" customFormat="1" ht="12.75" customHeight="1">
      <c r="A107" s="74" t="s">
        <v>206</v>
      </c>
      <c r="B107" s="96" t="s">
        <v>1737</v>
      </c>
      <c r="D107" s="703"/>
      <c r="F107" s="999"/>
      <c r="H107" s="520" t="s">
        <v>2528</v>
      </c>
      <c r="I107" s="4405"/>
      <c r="J107" s="4406"/>
      <c r="K107" s="4406"/>
      <c r="L107" s="4407"/>
      <c r="M107" s="714" t="s">
        <v>1738</v>
      </c>
      <c r="N107" s="30" t="s">
        <v>206</v>
      </c>
      <c r="O107" s="1456"/>
      <c r="P107" s="1457"/>
      <c r="R107" s="633" t="s">
        <v>2517</v>
      </c>
    </row>
    <row r="108" spans="1:18" s="21" customFormat="1" ht="12.75" customHeight="1" thickBot="1">
      <c r="A108" s="45"/>
      <c r="B108" s="749" t="s">
        <v>1739</v>
      </c>
      <c r="C108" s="45"/>
      <c r="D108" s="50"/>
      <c r="E108" s="50"/>
      <c r="F108" s="50"/>
      <c r="G108" s="50"/>
      <c r="H108" s="15"/>
      <c r="I108" s="4408"/>
      <c r="J108" s="4409"/>
      <c r="K108" s="4409"/>
      <c r="L108" s="4410"/>
      <c r="M108" s="34"/>
      <c r="N108" s="60"/>
      <c r="O108" s="3"/>
      <c r="P108" s="11"/>
    </row>
    <row r="109" spans="1:18" s="21" customFormat="1" ht="90" customHeight="1" thickTop="1" thickBot="1">
      <c r="A109" s="4359"/>
      <c r="B109" s="4360"/>
      <c r="C109" s="4360"/>
      <c r="D109" s="4360"/>
      <c r="E109" s="4360"/>
      <c r="F109" s="4360"/>
      <c r="G109" s="4360"/>
      <c r="H109" s="4360"/>
      <c r="I109" s="4360"/>
      <c r="J109" s="4360"/>
      <c r="K109" s="4360"/>
      <c r="L109" s="4360"/>
      <c r="M109" s="4360"/>
      <c r="N109" s="4360"/>
      <c r="O109" s="4360"/>
      <c r="P109" s="4361"/>
      <c r="Q109" s="259" t="s">
        <v>2152</v>
      </c>
      <c r="R109" s="259"/>
    </row>
    <row r="110" spans="1:18" s="21" customFormat="1" ht="11.65" customHeight="1" thickTop="1">
      <c r="A110" s="45"/>
      <c r="B110" s="25" t="s">
        <v>1399</v>
      </c>
      <c r="C110" s="45"/>
      <c r="D110" s="72"/>
      <c r="E110" s="710"/>
      <c r="F110" s="710"/>
      <c r="G110" s="710"/>
      <c r="H110" s="710"/>
      <c r="I110" s="710"/>
      <c r="J110" s="710"/>
      <c r="K110" s="710"/>
      <c r="L110" s="710"/>
      <c r="M110" s="710"/>
      <c r="N110" s="2851"/>
      <c r="O110" s="33"/>
      <c r="P110" s="82"/>
    </row>
    <row r="111" spans="1:18" s="21" customFormat="1" ht="90" customHeight="1">
      <c r="A111" s="4150"/>
      <c r="B111" s="4151"/>
      <c r="C111" s="4151"/>
      <c r="D111" s="4151"/>
      <c r="E111" s="4151"/>
      <c r="F111" s="4151"/>
      <c r="G111" s="4151"/>
      <c r="H111" s="4151"/>
      <c r="I111" s="4151"/>
      <c r="J111" s="4151"/>
      <c r="K111" s="4151"/>
      <c r="L111" s="4151"/>
      <c r="M111" s="4151"/>
      <c r="N111" s="4151"/>
      <c r="O111" s="4151"/>
      <c r="P111" s="4152"/>
      <c r="Q111" s="258"/>
      <c r="R111" s="259"/>
    </row>
    <row r="112" spans="1:18" ht="7.5" customHeight="1" thickBot="1">
      <c r="M112" s="13"/>
      <c r="N112" s="34"/>
      <c r="O112" s="82"/>
      <c r="P112" s="82"/>
    </row>
    <row r="113" spans="1:21" s="21" customFormat="1" ht="13.5" customHeight="1" thickBot="1">
      <c r="A113" s="83" t="s">
        <v>75</v>
      </c>
      <c r="B113" s="52" t="s">
        <v>1740</v>
      </c>
      <c r="D113" s="19"/>
      <c r="H113" s="1256" t="s">
        <v>2529</v>
      </c>
      <c r="I113" s="1325" t="s">
        <v>1709</v>
      </c>
      <c r="J113" s="1257" t="str">
        <f>M60</f>
        <v>&lt;&lt; Select Pool &gt;&gt;</v>
      </c>
      <c r="K113" s="1258" t="s">
        <v>796</v>
      </c>
      <c r="L113" s="1257" t="str">
        <f>M55</f>
        <v>&lt;&lt; Select Activity Type &gt;&gt;</v>
      </c>
      <c r="M113" s="82">
        <v>6</v>
      </c>
      <c r="N113" s="30"/>
      <c r="O113" s="1317">
        <f>MAX(O131,O138)</f>
        <v>0</v>
      </c>
      <c r="P113" s="1317">
        <f>MAX(P131,P138)</f>
        <v>0</v>
      </c>
      <c r="Q113" s="55" t="s">
        <v>1716</v>
      </c>
      <c r="R113" s="702"/>
      <c r="S113" s="702"/>
      <c r="T113" s="702"/>
      <c r="U113" s="702"/>
    </row>
    <row r="114" spans="1:21" s="21" customFormat="1" ht="17.25" customHeight="1">
      <c r="A114" s="83"/>
      <c r="B114" s="50" t="s">
        <v>2530</v>
      </c>
      <c r="D114" s="19"/>
      <c r="H114" s="96"/>
      <c r="L114" s="1607" t="str">
        <f>IF(AND(O113&gt;0,NOT($M$55="New Supply")), "Ineligible to score in this section, not New Supply!","")</f>
        <v/>
      </c>
      <c r="M114" s="82"/>
      <c r="N114" s="30"/>
      <c r="O114" s="631" t="s">
        <v>2531</v>
      </c>
      <c r="P114" s="631" t="s">
        <v>1831</v>
      </c>
      <c r="Q114" s="55"/>
      <c r="R114" s="702"/>
      <c r="S114" s="702"/>
      <c r="T114" s="702"/>
      <c r="U114" s="702"/>
    </row>
    <row r="115" spans="1:21" s="21" customFormat="1" ht="11.25" customHeight="1">
      <c r="A115" s="83"/>
      <c r="B115" s="217" t="s">
        <v>209</v>
      </c>
      <c r="C115" s="15" t="s">
        <v>2532</v>
      </c>
      <c r="D115" s="703"/>
      <c r="E115" s="44"/>
      <c r="F115" s="44"/>
      <c r="G115" s="44"/>
      <c r="H115" s="23"/>
      <c r="I115" s="25"/>
      <c r="M115" s="82"/>
      <c r="N115" s="30"/>
      <c r="O115" s="1033"/>
      <c r="P115" s="1034"/>
      <c r="Q115" s="55"/>
      <c r="R115" s="702"/>
      <c r="S115" s="702"/>
      <c r="T115" s="702"/>
      <c r="U115" s="702"/>
    </row>
    <row r="116" spans="1:21" s="21" customFormat="1" ht="11.25" customHeight="1">
      <c r="A116" s="83"/>
      <c r="B116" s="217" t="s">
        <v>217</v>
      </c>
      <c r="C116" s="15" t="s">
        <v>2533</v>
      </c>
      <c r="D116" s="703"/>
      <c r="E116" s="44"/>
      <c r="F116" s="44"/>
      <c r="G116" s="44"/>
      <c r="H116" s="23"/>
      <c r="I116" s="25"/>
      <c r="J116" s="50"/>
      <c r="K116" s="50"/>
      <c r="L116" s="44"/>
      <c r="M116" s="44"/>
      <c r="N116" s="30"/>
      <c r="O116" s="211"/>
      <c r="P116" s="315"/>
      <c r="Q116" s="55"/>
      <c r="R116" s="702"/>
      <c r="S116" s="702"/>
      <c r="T116" s="702"/>
      <c r="U116" s="702"/>
    </row>
    <row r="117" spans="1:21" s="21" customFormat="1" ht="11.25" customHeight="1">
      <c r="A117" s="83"/>
      <c r="B117" s="217" t="s">
        <v>221</v>
      </c>
      <c r="C117" s="15" t="s">
        <v>2534</v>
      </c>
      <c r="D117" s="703"/>
      <c r="E117" s="44"/>
      <c r="F117" s="44"/>
      <c r="G117" s="44"/>
      <c r="H117" s="23"/>
      <c r="I117" s="25"/>
      <c r="J117" s="50"/>
      <c r="K117" s="50"/>
      <c r="L117" s="44"/>
      <c r="M117" s="44"/>
      <c r="N117" s="30"/>
      <c r="O117" s="211"/>
      <c r="P117" s="315"/>
      <c r="Q117" s="55"/>
      <c r="R117" s="702"/>
      <c r="S117" s="702"/>
      <c r="T117" s="702"/>
      <c r="U117" s="702"/>
    </row>
    <row r="118" spans="1:21" s="21" customFormat="1" ht="11.25" customHeight="1">
      <c r="A118" s="83"/>
      <c r="B118" s="217" t="s">
        <v>261</v>
      </c>
      <c r="C118" s="15" t="s">
        <v>2535</v>
      </c>
      <c r="D118" s="703"/>
      <c r="E118" s="44"/>
      <c r="F118" s="44"/>
      <c r="G118" s="44"/>
      <c r="H118" s="23"/>
      <c r="I118" s="25"/>
      <c r="J118" s="50"/>
      <c r="K118" s="50"/>
      <c r="L118" s="44"/>
      <c r="M118" s="44"/>
      <c r="N118" s="30"/>
      <c r="O118" s="211"/>
      <c r="P118" s="315"/>
      <c r="Q118" s="55"/>
      <c r="R118" s="702"/>
      <c r="S118" s="702"/>
      <c r="T118" s="702"/>
      <c r="U118" s="702"/>
    </row>
    <row r="119" spans="1:21" s="21" customFormat="1" ht="11.25" customHeight="1">
      <c r="A119" s="83"/>
      <c r="B119" s="217">
        <v>5</v>
      </c>
      <c r="C119" s="15" t="s">
        <v>2536</v>
      </c>
      <c r="D119" s="703"/>
      <c r="E119" s="44"/>
      <c r="F119" s="44"/>
      <c r="G119" s="44"/>
      <c r="H119" s="23"/>
      <c r="I119" s="25"/>
      <c r="J119" s="50"/>
      <c r="K119" s="50"/>
      <c r="L119" s="44"/>
      <c r="M119" s="44"/>
      <c r="N119" s="30"/>
      <c r="O119" s="124"/>
      <c r="P119" s="316"/>
      <c r="Q119" s="55"/>
      <c r="R119" s="702"/>
      <c r="S119" s="702"/>
      <c r="T119" s="702"/>
      <c r="U119" s="702"/>
    </row>
    <row r="120" spans="1:21" s="21" customFormat="1" ht="3" customHeight="1">
      <c r="A120" s="83"/>
      <c r="C120" s="15"/>
      <c r="D120" s="703"/>
      <c r="E120" s="44"/>
      <c r="F120" s="44"/>
      <c r="G120" s="44"/>
      <c r="H120" s="23"/>
      <c r="I120" s="25"/>
      <c r="J120" s="50"/>
      <c r="K120" s="50"/>
      <c r="L120" s="44"/>
      <c r="M120" s="44"/>
      <c r="N120" s="30"/>
      <c r="O120" s="30"/>
      <c r="P120" s="30"/>
      <c r="Q120" s="55"/>
      <c r="R120" s="702"/>
      <c r="S120" s="702"/>
      <c r="T120" s="702"/>
      <c r="U120" s="702"/>
    </row>
    <row r="121" spans="1:21" s="21" customFormat="1" ht="11.25" customHeight="1">
      <c r="A121" s="83"/>
      <c r="B121" s="1518" t="s">
        <v>2537</v>
      </c>
      <c r="C121" s="15"/>
      <c r="D121" s="703"/>
      <c r="E121" s="44"/>
      <c r="F121" s="44"/>
      <c r="G121" s="44"/>
      <c r="H121" s="23"/>
      <c r="I121" s="25"/>
      <c r="J121" s="50"/>
      <c r="K121" s="50"/>
      <c r="L121" s="44"/>
      <c r="M121" s="44"/>
      <c r="N121" s="30"/>
      <c r="O121" s="30"/>
      <c r="P121" s="30"/>
      <c r="Q121" s="55"/>
      <c r="R121" s="702"/>
      <c r="S121" s="702"/>
      <c r="T121" s="702"/>
      <c r="U121" s="702"/>
    </row>
    <row r="122" spans="1:21" s="21" customFormat="1" ht="1.5" customHeight="1">
      <c r="A122" s="83"/>
      <c r="B122" s="52"/>
      <c r="D122" s="19"/>
      <c r="H122" s="23"/>
      <c r="I122" s="25"/>
      <c r="J122" s="50"/>
      <c r="K122" s="50"/>
      <c r="M122" s="82"/>
      <c r="N122" s="30"/>
      <c r="O122" s="3"/>
      <c r="P122" s="3"/>
      <c r="Q122" s="55"/>
      <c r="R122" s="702"/>
      <c r="S122" s="702"/>
      <c r="T122" s="702"/>
      <c r="U122" s="702"/>
    </row>
    <row r="123" spans="1:21" s="21" customFormat="1" ht="12.75" customHeight="1">
      <c r="A123" s="83"/>
      <c r="B123" s="50" t="s">
        <v>1743</v>
      </c>
      <c r="D123" s="19"/>
      <c r="F123" s="4464" t="s">
        <v>1744</v>
      </c>
      <c r="G123" s="4464"/>
      <c r="H123" s="4464"/>
      <c r="I123" s="4464"/>
      <c r="J123" s="4464" t="s">
        <v>1745</v>
      </c>
      <c r="K123" s="4464"/>
      <c r="L123" s="4464"/>
      <c r="M123" s="4464"/>
      <c r="N123" s="30"/>
      <c r="O123" s="4465" t="s">
        <v>2538</v>
      </c>
      <c r="P123" s="4466"/>
      <c r="Q123" s="55"/>
      <c r="R123" s="702"/>
      <c r="S123" s="702"/>
      <c r="T123" s="702"/>
      <c r="U123" s="702"/>
    </row>
    <row r="124" spans="1:21" s="21" customFormat="1" ht="12" customHeight="1">
      <c r="B124" s="1518"/>
      <c r="C124" s="951" t="s">
        <v>2539</v>
      </c>
      <c r="E124" s="141"/>
      <c r="F124" s="4415"/>
      <c r="G124" s="4416"/>
      <c r="H124" s="4380"/>
      <c r="I124" s="4381"/>
      <c r="J124" s="4415"/>
      <c r="K124" s="4416"/>
      <c r="L124" s="4380"/>
      <c r="M124" s="4381"/>
      <c r="N124" s="30"/>
      <c r="Q124" s="55"/>
      <c r="R124" s="702"/>
      <c r="S124" s="702"/>
      <c r="T124" s="702"/>
      <c r="U124" s="702"/>
    </row>
    <row r="125" spans="1:21" s="21" customFormat="1" ht="12" customHeight="1">
      <c r="A125" s="1518"/>
      <c r="B125" s="1518"/>
      <c r="C125" s="1518"/>
      <c r="D125" s="153"/>
      <c r="E125" s="1517" t="s">
        <v>2540</v>
      </c>
      <c r="F125" s="4579"/>
      <c r="G125" s="4580"/>
      <c r="H125" s="4586"/>
      <c r="I125" s="4587"/>
      <c r="J125" s="4579"/>
      <c r="K125" s="4580"/>
      <c r="L125" s="4586"/>
      <c r="M125" s="4587"/>
      <c r="N125" s="30"/>
      <c r="O125" s="1037"/>
      <c r="P125" s="734"/>
      <c r="Q125" s="55"/>
      <c r="R125" s="702"/>
      <c r="S125" s="702"/>
      <c r="T125" s="702"/>
      <c r="U125" s="702"/>
    </row>
    <row r="126" spans="1:21" s="21" customFormat="1" ht="12" customHeight="1">
      <c r="A126" s="4592" t="s">
        <v>2541</v>
      </c>
      <c r="B126" s="4592"/>
      <c r="C126" s="951" t="s">
        <v>2542</v>
      </c>
      <c r="E126" s="141"/>
      <c r="F126" s="4581"/>
      <c r="G126" s="4582"/>
      <c r="H126" s="4597"/>
      <c r="I126" s="4598"/>
      <c r="J126" s="4581"/>
      <c r="K126" s="4582"/>
      <c r="L126" s="4597"/>
      <c r="M126" s="4598"/>
      <c r="N126" s="30"/>
      <c r="O126" s="30"/>
      <c r="P126" s="30"/>
      <c r="Q126" s="55"/>
      <c r="R126" s="702"/>
      <c r="S126" s="702"/>
      <c r="T126" s="702"/>
      <c r="U126" s="702"/>
    </row>
    <row r="127" spans="1:21" s="21" customFormat="1" ht="12" customHeight="1">
      <c r="A127" s="4592"/>
      <c r="B127" s="4592"/>
      <c r="C127" s="153"/>
      <c r="D127" s="153"/>
      <c r="E127" s="1517" t="s">
        <v>2543</v>
      </c>
      <c r="F127" s="4461"/>
      <c r="G127" s="4462"/>
      <c r="H127" s="4584"/>
      <c r="I127" s="4585"/>
      <c r="J127" s="4461"/>
      <c r="K127" s="4462"/>
      <c r="L127" s="4584"/>
      <c r="M127" s="4585"/>
      <c r="N127" s="30"/>
      <c r="O127" s="1037"/>
      <c r="P127" s="734"/>
      <c r="Q127" s="55"/>
      <c r="R127" s="702"/>
      <c r="S127" s="702"/>
      <c r="T127" s="702"/>
      <c r="U127" s="702"/>
    </row>
    <row r="128" spans="1:21" s="21" customFormat="1" ht="9" customHeight="1">
      <c r="A128" s="83"/>
      <c r="B128" s="52"/>
      <c r="D128" s="19"/>
      <c r="H128" s="23"/>
      <c r="I128" s="25"/>
      <c r="J128" s="50"/>
      <c r="K128" s="50"/>
      <c r="M128" s="82"/>
      <c r="N128" s="30"/>
      <c r="O128" s="3"/>
      <c r="P128" s="3"/>
      <c r="Q128" s="55"/>
      <c r="R128" s="702"/>
      <c r="S128" s="702"/>
      <c r="T128" s="702"/>
      <c r="U128" s="702"/>
    </row>
    <row r="129" spans="1:21" s="21" customFormat="1" ht="12.6" customHeight="1">
      <c r="A129" s="1603" t="s">
        <v>2544</v>
      </c>
      <c r="B129" s="52"/>
      <c r="D129" s="19"/>
      <c r="I129" s="4588" t="str">
        <f>IF(AND(O131&gt;0,O138&gt;0),"Pick A or B, not both!","")</f>
        <v/>
      </c>
      <c r="J129" s="4588"/>
      <c r="K129" s="4588" t="str">
        <f>IF(AND(P131&gt;0,P138&gt;0),"Pick A or B, not both!","")</f>
        <v/>
      </c>
      <c r="L129" s="4588"/>
      <c r="M129" s="82"/>
      <c r="N129" s="82"/>
      <c r="O129" s="82"/>
      <c r="P129" s="82"/>
      <c r="Q129" s="55"/>
      <c r="R129" s="702"/>
      <c r="S129" s="702"/>
      <c r="T129" s="702"/>
      <c r="U129" s="702"/>
    </row>
    <row r="130" spans="1:21" s="21" customFormat="1" ht="2.25" customHeight="1">
      <c r="A130" s="297"/>
      <c r="B130" s="52"/>
      <c r="D130" s="19"/>
      <c r="F130" s="29"/>
      <c r="M130" s="82"/>
      <c r="N130" s="82"/>
      <c r="O130" s="82"/>
      <c r="P130" s="82"/>
      <c r="Q130" s="55"/>
      <c r="R130" s="702"/>
      <c r="S130" s="702"/>
      <c r="T130" s="702"/>
      <c r="U130" s="702"/>
    </row>
    <row r="131" spans="1:21" s="21" customFormat="1" ht="12.6" customHeight="1">
      <c r="A131" s="78" t="s">
        <v>194</v>
      </c>
      <c r="B131" s="96" t="s">
        <v>1755</v>
      </c>
      <c r="D131" s="19"/>
      <c r="F131" s="749" t="s">
        <v>2545</v>
      </c>
      <c r="M131" s="82">
        <v>6</v>
      </c>
      <c r="N131" s="227" t="s">
        <v>194</v>
      </c>
      <c r="O131" s="2853">
        <f>IF(OR($J$113="Atlanta Metro",$J$113="Other Metro"),MIN($M131,O133+O134),0)</f>
        <v>0</v>
      </c>
      <c r="P131" s="2853">
        <f>IF(OR($J$113="Atlanta Metro",$J$113="Other Metro"),MIN($M131,P133+P134),0)</f>
        <v>0</v>
      </c>
      <c r="Q131" s="55"/>
    </row>
    <row r="132" spans="1:21" s="21" customFormat="1" ht="12.6" customHeight="1">
      <c r="A132" s="78"/>
      <c r="B132" s="15" t="s">
        <v>2546</v>
      </c>
      <c r="D132" s="19"/>
      <c r="F132" s="23"/>
      <c r="M132" s="82"/>
      <c r="N132" s="227"/>
      <c r="O132" s="124"/>
      <c r="P132" s="316"/>
      <c r="Q132" s="55"/>
    </row>
    <row r="133" spans="1:21" s="238" customFormat="1" ht="25.5" customHeight="1">
      <c r="B133" s="254" t="s">
        <v>209</v>
      </c>
      <c r="C133" s="4463" t="s">
        <v>2547</v>
      </c>
      <c r="D133" s="4463"/>
      <c r="E133" s="4463"/>
      <c r="F133" s="4463"/>
      <c r="G133" s="4463"/>
      <c r="H133" s="4463"/>
      <c r="I133" s="4463"/>
      <c r="J133" s="4463"/>
      <c r="K133" s="4463"/>
      <c r="L133" s="4463"/>
      <c r="M133" s="1527">
        <v>6</v>
      </c>
      <c r="N133" s="277" t="s">
        <v>209</v>
      </c>
      <c r="O133" s="1588"/>
      <c r="P133" s="2949"/>
      <c r="Q133" s="980"/>
      <c r="R133" s="633" t="s">
        <v>2517</v>
      </c>
    </row>
    <row r="134" spans="1:21" s="238" customFormat="1" ht="12" customHeight="1">
      <c r="A134" s="347" t="s">
        <v>335</v>
      </c>
      <c r="B134" s="254" t="s">
        <v>217</v>
      </c>
      <c r="C134" s="3517" t="s">
        <v>2548</v>
      </c>
      <c r="D134" s="3517"/>
      <c r="E134" s="3517"/>
      <c r="F134" s="3517"/>
      <c r="G134" s="691"/>
      <c r="J134" s="4467" t="s">
        <v>2549</v>
      </c>
      <c r="K134" s="4468"/>
      <c r="L134" s="4469"/>
      <c r="M134" s="349">
        <v>5</v>
      </c>
      <c r="N134" s="252" t="s">
        <v>217</v>
      </c>
      <c r="O134" s="1600"/>
      <c r="P134" s="1601"/>
      <c r="Q134" s="1490" t="s">
        <v>1748</v>
      </c>
      <c r="R134" s="945" t="s">
        <v>1741</v>
      </c>
      <c r="S134" s="945" t="s">
        <v>1742</v>
      </c>
    </row>
    <row r="135" spans="1:21" s="238" customFormat="1" ht="12" customHeight="1">
      <c r="B135" s="254"/>
      <c r="C135" s="3517"/>
      <c r="D135" s="3517"/>
      <c r="E135" s="3517"/>
      <c r="F135" s="3517"/>
      <c r="G135" s="691"/>
      <c r="H135" s="3315" t="s">
        <v>2550</v>
      </c>
      <c r="I135" s="3315"/>
      <c r="J135" s="4470"/>
      <c r="K135" s="4471"/>
      <c r="L135" s="4472"/>
      <c r="M135" s="4197" t="str">
        <f>IF(AND(O134&gt;0,O133&gt;0),"Pick A1 or A2!","")</f>
        <v/>
      </c>
      <c r="N135" s="4197"/>
      <c r="O135" s="4197"/>
      <c r="P135" s="4197"/>
      <c r="Q135" s="635"/>
      <c r="R135" s="1259">
        <v>0.25</v>
      </c>
      <c r="S135" s="1259">
        <v>5</v>
      </c>
    </row>
    <row r="136" spans="1:21" s="238" customFormat="1" ht="12" customHeight="1">
      <c r="B136" s="254"/>
      <c r="C136" s="3517"/>
      <c r="D136" s="3517"/>
      <c r="E136" s="3517"/>
      <c r="F136" s="3517"/>
      <c r="G136" s="691"/>
      <c r="H136" s="2950"/>
      <c r="I136" s="1583"/>
      <c r="J136" s="4470"/>
      <c r="K136" s="4471"/>
      <c r="L136" s="4472"/>
      <c r="Q136" s="635"/>
      <c r="R136" s="1259">
        <v>0.5</v>
      </c>
      <c r="S136" s="1259">
        <v>4.5</v>
      </c>
    </row>
    <row r="137" spans="1:21" s="238" customFormat="1" ht="12" customHeight="1">
      <c r="B137" s="254"/>
      <c r="C137" s="3517"/>
      <c r="D137" s="3517"/>
      <c r="E137" s="3517"/>
      <c r="F137" s="3517"/>
      <c r="G137" s="691"/>
      <c r="J137" s="4470"/>
      <c r="K137" s="4471"/>
      <c r="L137" s="4472"/>
      <c r="M137" s="44"/>
      <c r="N137" s="44"/>
      <c r="O137" s="44"/>
      <c r="P137" s="44"/>
      <c r="Q137" s="295"/>
      <c r="R137" s="1260">
        <v>1</v>
      </c>
      <c r="S137" s="1260">
        <v>4</v>
      </c>
    </row>
    <row r="138" spans="1:21" s="238" customFormat="1" ht="12" customHeight="1">
      <c r="A138" s="78" t="s">
        <v>206</v>
      </c>
      <c r="B138" s="718" t="s">
        <v>1758</v>
      </c>
      <c r="C138" s="378"/>
      <c r="D138" s="378"/>
      <c r="F138" s="1581" t="s">
        <v>2551</v>
      </c>
      <c r="J138" s="4392" t="s">
        <v>2552</v>
      </c>
      <c r="K138" s="4393"/>
      <c r="L138" s="2951" t="s">
        <v>2553</v>
      </c>
      <c r="M138" s="542">
        <v>3</v>
      </c>
      <c r="N138" s="30" t="s">
        <v>206</v>
      </c>
      <c r="O138" s="2854">
        <f>IF(OR(AND(O139&gt;0,O141&gt;0,O143&gt;0), AND(O139&gt;0,O141&gt;0), AND(O141&gt;0,O143&gt;0), AND(O139&gt;0,O143&gt;0)),"Choose", IF(OR($J$113="Atlanta Metro",$J$113="Other Metro"), MIN($M138,O139+O141), IF(OR($J$113="Rural"), MIN($M138,O143),0)))</f>
        <v>0</v>
      </c>
      <c r="P138" s="2854">
        <f>IF(OR(AND(P139&gt;0,P141&gt;0,P143&gt;0), AND(P139&gt;0,P141&gt;0), AND(P141&gt;0,P143&gt;0), AND(P139&gt;0,P143&gt;0)),"Choose", IF(OR($J$113="Atlanta Metro",$J$113="Other Metro"), MIN($M138,P139+P141), IF(OR($J$113="Rural"), MIN($M138,P143),0)))</f>
        <v>0</v>
      </c>
      <c r="Q138" s="1490" t="s">
        <v>1754</v>
      </c>
      <c r="R138" s="2952">
        <v>0.25</v>
      </c>
      <c r="S138" s="2952">
        <v>3</v>
      </c>
    </row>
    <row r="139" spans="1:21" s="21" customFormat="1" ht="12" customHeight="1">
      <c r="A139" s="83"/>
      <c r="B139" s="1334" t="s">
        <v>209</v>
      </c>
      <c r="C139" s="3517" t="s">
        <v>2554</v>
      </c>
      <c r="D139" s="3517"/>
      <c r="E139" s="3517"/>
      <c r="F139" s="3517"/>
      <c r="G139" s="691"/>
      <c r="H139" s="3315" t="s">
        <v>2555</v>
      </c>
      <c r="I139" s="3315"/>
      <c r="J139" s="4394" t="s">
        <v>2556</v>
      </c>
      <c r="K139" s="4395"/>
      <c r="L139" s="4396"/>
      <c r="M139" s="349">
        <v>3</v>
      </c>
      <c r="N139" s="252" t="s">
        <v>209</v>
      </c>
      <c r="O139" s="4627"/>
      <c r="P139" s="4630"/>
      <c r="Q139" s="635" t="str">
        <f>IF(OR($O141=$M141,$O141=0,$O141=""),"","*CHECK!*")</f>
        <v/>
      </c>
      <c r="R139" s="1259">
        <v>0.5</v>
      </c>
      <c r="S139" s="1259">
        <v>2</v>
      </c>
      <c r="U139" s="238"/>
    </row>
    <row r="140" spans="1:21" s="21" customFormat="1" ht="12" customHeight="1">
      <c r="A140" s="83"/>
      <c r="B140" s="714"/>
      <c r="C140" s="3517"/>
      <c r="D140" s="3517"/>
      <c r="E140" s="3517"/>
      <c r="F140" s="3517"/>
      <c r="G140" s="44"/>
      <c r="H140" s="2950"/>
      <c r="I140" s="1583"/>
      <c r="J140" s="4614" t="s">
        <v>2557</v>
      </c>
      <c r="K140" s="4615"/>
      <c r="L140" s="4616"/>
      <c r="M140" s="44"/>
      <c r="O140" s="4628"/>
      <c r="P140" s="4631"/>
      <c r="Q140" s="55"/>
      <c r="R140" s="1260">
        <v>1</v>
      </c>
      <c r="S140" s="1260">
        <v>1</v>
      </c>
      <c r="U140" s="238"/>
    </row>
    <row r="141" spans="1:21" s="21" customFormat="1" ht="11.25" customHeight="1">
      <c r="A141" s="347" t="s">
        <v>335</v>
      </c>
      <c r="B141" s="1334" t="s">
        <v>217</v>
      </c>
      <c r="C141" s="3517" t="s">
        <v>2558</v>
      </c>
      <c r="D141" s="3517"/>
      <c r="E141" s="3517"/>
      <c r="F141" s="3517"/>
      <c r="G141" s="3517"/>
      <c r="H141" s="3517"/>
      <c r="I141" s="1582"/>
      <c r="J141" s="4617"/>
      <c r="K141" s="4618"/>
      <c r="L141" s="4619"/>
      <c r="M141" s="349">
        <v>1</v>
      </c>
      <c r="N141" s="252" t="s">
        <v>217</v>
      </c>
      <c r="O141" s="4417"/>
      <c r="P141" s="4591"/>
      <c r="U141" s="238"/>
    </row>
    <row r="142" spans="1:21" s="21" customFormat="1" ht="11.25" customHeight="1">
      <c r="B142" s="1584"/>
      <c r="C142" s="3517"/>
      <c r="D142" s="3517"/>
      <c r="E142" s="3517"/>
      <c r="F142" s="3517"/>
      <c r="G142" s="3517"/>
      <c r="H142" s="3517"/>
      <c r="I142" s="1582"/>
      <c r="J142" s="4620"/>
      <c r="K142" s="4621"/>
      <c r="L142" s="4622"/>
      <c r="O142" s="4417"/>
      <c r="P142" s="4591"/>
      <c r="T142" s="238"/>
      <c r="U142" s="238"/>
    </row>
    <row r="143" spans="1:21" s="238" customFormat="1" ht="12" customHeight="1">
      <c r="A143" s="1333" t="s">
        <v>335</v>
      </c>
      <c r="B143" s="1334" t="s">
        <v>221</v>
      </c>
      <c r="C143" s="3517" t="s">
        <v>2559</v>
      </c>
      <c r="D143" s="3517"/>
      <c r="E143" s="3517"/>
      <c r="F143" s="3517"/>
      <c r="G143" s="3517"/>
      <c r="H143" s="3517"/>
      <c r="I143" s="4626"/>
      <c r="J143" s="4614" t="s">
        <v>2560</v>
      </c>
      <c r="K143" s="4615"/>
      <c r="L143" s="4616"/>
      <c r="M143" s="1527">
        <v>2</v>
      </c>
      <c r="N143" s="277" t="s">
        <v>221</v>
      </c>
      <c r="O143" s="4589"/>
      <c r="P143" s="4413"/>
      <c r="Q143" s="635"/>
      <c r="R143" s="633"/>
    </row>
    <row r="144" spans="1:21" s="21" customFormat="1" ht="36.75" customHeight="1">
      <c r="C144" s="3517"/>
      <c r="D144" s="3517"/>
      <c r="E144" s="3517"/>
      <c r="F144" s="3517"/>
      <c r="G144" s="3517"/>
      <c r="H144" s="3517"/>
      <c r="I144" s="4626"/>
      <c r="J144" s="4623"/>
      <c r="K144" s="4624"/>
      <c r="L144" s="4625"/>
      <c r="O144" s="4590"/>
      <c r="P144" s="4414"/>
    </row>
    <row r="145" spans="1:19" s="21" customFormat="1" ht="12.6" customHeight="1">
      <c r="A145" s="15" t="s">
        <v>2561</v>
      </c>
      <c r="B145" s="96"/>
      <c r="E145" s="19"/>
      <c r="K145" s="50"/>
      <c r="M145" s="34"/>
      <c r="N145" s="34"/>
      <c r="O145" s="34"/>
      <c r="P145" s="34"/>
      <c r="Q145" s="218"/>
      <c r="R145" s="218"/>
    </row>
    <row r="146" spans="1:19" s="21" customFormat="1" ht="11.25" customHeight="1" thickBot="1">
      <c r="A146" s="45"/>
      <c r="B146" s="749" t="s">
        <v>1739</v>
      </c>
      <c r="C146" s="45"/>
      <c r="D146" s="50"/>
      <c r="E146" s="50"/>
      <c r="F146" s="50"/>
      <c r="G146" s="50"/>
      <c r="H146" s="15"/>
      <c r="K146" s="50"/>
      <c r="M146" s="34"/>
      <c r="N146" s="60"/>
      <c r="O146" s="3"/>
      <c r="P146" s="11"/>
    </row>
    <row r="147" spans="1:19" s="21" customFormat="1" ht="29.25" customHeight="1" thickTop="1" thickBot="1">
      <c r="A147" s="4359"/>
      <c r="B147" s="4360"/>
      <c r="C147" s="4360"/>
      <c r="D147" s="4360"/>
      <c r="E147" s="4360"/>
      <c r="F147" s="4360"/>
      <c r="G147" s="4360"/>
      <c r="H147" s="4360"/>
      <c r="I147" s="4360"/>
      <c r="J147" s="4360"/>
      <c r="K147" s="4360"/>
      <c r="L147" s="4360"/>
      <c r="M147" s="4360"/>
      <c r="N147" s="4360"/>
      <c r="O147" s="4360"/>
      <c r="P147" s="4361"/>
      <c r="Q147" s="259" t="s">
        <v>2152</v>
      </c>
      <c r="R147" s="259"/>
    </row>
    <row r="148" spans="1:19" s="44" customFormat="1" ht="11.65" customHeight="1" thickTop="1">
      <c r="A148" s="45"/>
      <c r="B148" s="47" t="s">
        <v>1399</v>
      </c>
      <c r="C148" s="45"/>
      <c r="D148" s="47"/>
      <c r="E148" s="712"/>
      <c r="F148" s="712"/>
      <c r="G148" s="712"/>
      <c r="H148" s="712"/>
      <c r="I148" s="712"/>
      <c r="J148" s="712"/>
      <c r="K148" s="712"/>
      <c r="L148" s="712"/>
      <c r="M148" s="712"/>
      <c r="N148" s="2855"/>
      <c r="O148" s="532"/>
      <c r="P148" s="82"/>
      <c r="Q148" s="21"/>
    </row>
    <row r="149" spans="1:19" s="21" customFormat="1" ht="11.25" customHeight="1">
      <c r="A149" s="4150"/>
      <c r="B149" s="4151"/>
      <c r="C149" s="4151"/>
      <c r="D149" s="4151"/>
      <c r="E149" s="4151"/>
      <c r="F149" s="4151"/>
      <c r="G149" s="4151"/>
      <c r="H149" s="4151"/>
      <c r="I149" s="4151"/>
      <c r="J149" s="4151"/>
      <c r="K149" s="4151"/>
      <c r="L149" s="4151"/>
      <c r="M149" s="4151"/>
      <c r="N149" s="4151"/>
      <c r="O149" s="4151"/>
      <c r="P149" s="4152"/>
      <c r="Q149" s="258"/>
    </row>
    <row r="150" spans="1:19" ht="3" customHeight="1">
      <c r="N150" s="60"/>
      <c r="R150" s="21"/>
    </row>
    <row r="151" spans="1:19" s="21" customFormat="1" ht="3" customHeight="1" thickBot="1">
      <c r="A151" s="45"/>
      <c r="C151" s="710"/>
      <c r="D151" s="710"/>
      <c r="E151" s="710"/>
      <c r="F151" s="710"/>
      <c r="G151" s="710"/>
      <c r="H151" s="710"/>
      <c r="I151" s="710"/>
      <c r="J151" s="710"/>
      <c r="K151" s="710"/>
      <c r="L151" s="710"/>
      <c r="M151" s="710"/>
      <c r="N151" s="2851"/>
      <c r="O151" s="33"/>
      <c r="P151" s="82"/>
    </row>
    <row r="152" spans="1:19" s="21" customFormat="1" ht="13.5" customHeight="1" thickBot="1">
      <c r="A152" s="83" t="s">
        <v>77</v>
      </c>
      <c r="B152" s="52" t="s">
        <v>1762</v>
      </c>
      <c r="C152" s="710"/>
      <c r="D152" s="710"/>
      <c r="E152" s="710"/>
      <c r="G152" s="1258" t="s">
        <v>2178</v>
      </c>
      <c r="H152" s="692" t="str">
        <f>'Part VII-Threshold Criteria OLD'!$J$35</f>
        <v>&lt;&lt; Select PROPOSED Tenancy &gt;&gt;</v>
      </c>
      <c r="M152" s="82">
        <v>3</v>
      </c>
      <c r="N152" s="2851"/>
      <c r="O152" s="1318"/>
      <c r="P152" s="1319"/>
      <c r="Q152" s="980" t="str">
        <f>IF(OR($O152&lt;=$M152,$O152=0,$O152=""),"","*CHECK!*")</f>
        <v/>
      </c>
      <c r="R152" s="1321" t="s">
        <v>1716</v>
      </c>
      <c r="S152" s="633" t="s">
        <v>2517</v>
      </c>
    </row>
    <row r="153" spans="1:19" ht="18.75" customHeight="1">
      <c r="C153" s="1252" t="s">
        <v>2562</v>
      </c>
      <c r="F153" s="1252"/>
      <c r="G153" s="1252"/>
      <c r="H153" s="1252"/>
      <c r="I153" s="1351"/>
      <c r="J153" s="1352"/>
      <c r="K153" s="1353"/>
      <c r="M153" s="21"/>
      <c r="N153"/>
      <c r="O153"/>
      <c r="P153" s="1633"/>
    </row>
    <row r="154" spans="1:19" ht="11.25" customHeight="1">
      <c r="C154" s="1252" t="s">
        <v>2563</v>
      </c>
      <c r="F154" s="1252"/>
      <c r="G154" s="1252"/>
      <c r="H154" s="1252"/>
      <c r="I154" s="1351"/>
      <c r="J154" s="4611" t="s">
        <v>2564</v>
      </c>
      <c r="K154" s="4612"/>
      <c r="L154" s="4612"/>
      <c r="M154" s="4613"/>
      <c r="N154"/>
      <c r="O154"/>
      <c r="P154"/>
    </row>
    <row r="155" spans="1:19" ht="12.75" customHeight="1">
      <c r="B155" s="322"/>
      <c r="C155" s="322"/>
      <c r="D155" s="322"/>
      <c r="F155" s="4147" t="s">
        <v>2565</v>
      </c>
      <c r="G155" s="4147"/>
      <c r="H155" s="4147" t="s">
        <v>2566</v>
      </c>
      <c r="I155" s="4147"/>
      <c r="J155" s="4599" t="s">
        <v>2567</v>
      </c>
      <c r="K155" s="4600"/>
      <c r="L155" s="4602" t="s">
        <v>1766</v>
      </c>
      <c r="M155" s="4603"/>
      <c r="N155" s="27"/>
      <c r="O155" s="1545"/>
      <c r="P155" s="1546"/>
    </row>
    <row r="156" spans="1:19" ht="30.75" customHeight="1">
      <c r="B156" s="322"/>
      <c r="C156" s="322"/>
      <c r="D156" s="322"/>
      <c r="F156" s="4147"/>
      <c r="G156" s="4147"/>
      <c r="H156" s="4147"/>
      <c r="I156" s="4147"/>
      <c r="J156" s="4601"/>
      <c r="K156" s="4600"/>
      <c r="L156" s="4147"/>
      <c r="M156" s="4604"/>
      <c r="N156" s="27"/>
      <c r="O156" s="1547"/>
      <c r="P156" s="1546"/>
    </row>
    <row r="157" spans="1:19" ht="12" customHeight="1">
      <c r="B157" s="50" t="s">
        <v>1767</v>
      </c>
      <c r="C157" s="712"/>
      <c r="D157" s="21"/>
      <c r="F157" s="4260"/>
      <c r="G157" s="4260"/>
      <c r="H157" s="4260"/>
      <c r="I157" s="4260"/>
      <c r="J157" s="4601"/>
      <c r="K157" s="4600"/>
      <c r="L157" s="4260"/>
      <c r="M157" s="4605"/>
      <c r="N157" s="27"/>
      <c r="O157" s="1547"/>
      <c r="P157" s="1546"/>
    </row>
    <row r="158" spans="1:19">
      <c r="B158" s="4606"/>
      <c r="C158" s="4607"/>
      <c r="D158" s="4607"/>
      <c r="E158" s="4608"/>
      <c r="F158" s="4606"/>
      <c r="G158" s="4608"/>
      <c r="H158" s="4606"/>
      <c r="I158" s="4608"/>
      <c r="J158" s="4609"/>
      <c r="K158" s="4610"/>
      <c r="L158" s="4609"/>
      <c r="M158" s="4610"/>
      <c r="N158" s="4648"/>
      <c r="O158" s="4649"/>
    </row>
    <row r="159" spans="1:19">
      <c r="B159" s="4442"/>
      <c r="C159" s="4443"/>
      <c r="D159" s="4443"/>
      <c r="E159" s="4444"/>
      <c r="F159" s="4442"/>
      <c r="G159" s="4444"/>
      <c r="H159" s="4442"/>
      <c r="I159" s="4444"/>
      <c r="J159" s="4593"/>
      <c r="K159" s="4594"/>
      <c r="L159" s="4593"/>
      <c r="M159" s="4594"/>
      <c r="N159" s="4473"/>
      <c r="O159" s="4474"/>
    </row>
    <row r="160" spans="1:19">
      <c r="B160" s="4442"/>
      <c r="C160" s="4443"/>
      <c r="D160" s="4443"/>
      <c r="E160" s="4444"/>
      <c r="F160" s="4442"/>
      <c r="G160" s="4444"/>
      <c r="H160" s="4442"/>
      <c r="I160" s="4444"/>
      <c r="J160" s="4593"/>
      <c r="K160" s="4594"/>
      <c r="L160" s="4593"/>
      <c r="M160" s="4594"/>
      <c r="N160" s="4473"/>
      <c r="O160" s="4474"/>
    </row>
    <row r="161" spans="1:26">
      <c r="B161" s="4442"/>
      <c r="C161" s="4443"/>
      <c r="D161" s="4443"/>
      <c r="E161" s="4444"/>
      <c r="F161" s="4442"/>
      <c r="G161" s="4444"/>
      <c r="H161" s="4442"/>
      <c r="I161" s="4444"/>
      <c r="J161" s="4593"/>
      <c r="K161" s="4594"/>
      <c r="L161" s="4593"/>
      <c r="M161" s="4594"/>
      <c r="N161" s="4473"/>
      <c r="O161" s="4474"/>
    </row>
    <row r="162" spans="1:26">
      <c r="B162" s="4442"/>
      <c r="C162" s="4443"/>
      <c r="D162" s="4443"/>
      <c r="E162" s="4444"/>
      <c r="F162" s="4442"/>
      <c r="G162" s="4444"/>
      <c r="H162" s="4442"/>
      <c r="I162" s="4444"/>
      <c r="J162" s="4593"/>
      <c r="K162" s="4594"/>
      <c r="L162" s="4593"/>
      <c r="M162" s="4594"/>
      <c r="N162" s="4473"/>
      <c r="O162" s="4474"/>
    </row>
    <row r="163" spans="1:26">
      <c r="B163" s="4641"/>
      <c r="C163" s="4642"/>
      <c r="D163" s="4642"/>
      <c r="E163" s="4643"/>
      <c r="F163" s="4641"/>
      <c r="G163" s="4643"/>
      <c r="H163" s="4641"/>
      <c r="I163" s="4643"/>
      <c r="J163" s="4644"/>
      <c r="K163" s="4645"/>
      <c r="L163" s="4644"/>
      <c r="M163" s="4645"/>
      <c r="N163" s="4646"/>
      <c r="O163" s="4647"/>
    </row>
    <row r="164" spans="1:26" s="21" customFormat="1" ht="10.5" customHeight="1" thickBot="1">
      <c r="A164" s="45"/>
      <c r="B164" s="749" t="s">
        <v>1739</v>
      </c>
      <c r="C164" s="45"/>
      <c r="D164" s="50"/>
      <c r="E164" s="50"/>
      <c r="F164" s="50"/>
      <c r="G164" s="50"/>
      <c r="H164" s="15"/>
      <c r="I164" s="15"/>
      <c r="J164" s="15"/>
      <c r="K164" s="15"/>
      <c r="M164" s="34"/>
      <c r="N164" s="60"/>
      <c r="O164" s="3"/>
      <c r="P164" s="11"/>
    </row>
    <row r="165" spans="1:26" s="21" customFormat="1" ht="21.75" customHeight="1" thickTop="1" thickBot="1">
      <c r="A165" s="4359"/>
      <c r="B165" s="4360"/>
      <c r="C165" s="4360"/>
      <c r="D165" s="4360"/>
      <c r="E165" s="4360"/>
      <c r="F165" s="4360"/>
      <c r="G165" s="4360"/>
      <c r="H165" s="4360"/>
      <c r="I165" s="4360"/>
      <c r="J165" s="4360"/>
      <c r="K165" s="4360"/>
      <c r="L165" s="4360"/>
      <c r="M165" s="4360"/>
      <c r="N165" s="4360"/>
      <c r="O165" s="4360"/>
      <c r="P165" s="4361"/>
      <c r="Q165" s="259" t="s">
        <v>2152</v>
      </c>
    </row>
    <row r="166" spans="1:26" s="21" customFormat="1" ht="10.5" customHeight="1" thickTop="1">
      <c r="A166" s="45"/>
      <c r="B166" s="39" t="s">
        <v>1399</v>
      </c>
      <c r="C166" s="811"/>
      <c r="D166" s="39"/>
      <c r="E166" s="48"/>
      <c r="F166" s="710"/>
      <c r="G166" s="710"/>
      <c r="H166" s="710"/>
      <c r="I166" s="710"/>
      <c r="J166" s="710"/>
      <c r="K166" s="710"/>
      <c r="L166" s="710"/>
      <c r="M166" s="710"/>
      <c r="N166" s="2851"/>
      <c r="O166" s="33"/>
      <c r="P166" s="82"/>
    </row>
    <row r="167" spans="1:26" s="21" customFormat="1" ht="11.25" customHeight="1">
      <c r="A167" s="4150"/>
      <c r="B167" s="4151"/>
      <c r="C167" s="4151"/>
      <c r="D167" s="4151"/>
      <c r="E167" s="4151"/>
      <c r="F167" s="4151"/>
      <c r="G167" s="4151"/>
      <c r="H167" s="4151"/>
      <c r="I167" s="4151"/>
      <c r="J167" s="4151"/>
      <c r="K167" s="4151"/>
      <c r="L167" s="4151"/>
      <c r="M167" s="4151"/>
      <c r="N167" s="4151"/>
      <c r="O167" s="4151"/>
      <c r="P167" s="4152"/>
      <c r="Q167" s="258"/>
      <c r="U167" s="957"/>
    </row>
    <row r="168" spans="1:26" s="21" customFormat="1" ht="3" customHeight="1" thickBot="1">
      <c r="A168" s="45"/>
      <c r="C168" s="710"/>
      <c r="D168" s="710"/>
      <c r="E168" s="710"/>
      <c r="F168" s="710"/>
      <c r="G168" s="710"/>
      <c r="H168" s="710"/>
      <c r="I168" s="710"/>
      <c r="J168" s="710"/>
      <c r="K168" s="710"/>
      <c r="L168" s="710"/>
      <c r="M168" s="710"/>
      <c r="N168" s="2851"/>
      <c r="O168" s="33"/>
      <c r="P168" s="82"/>
    </row>
    <row r="169" spans="1:26" s="44" customFormat="1" ht="13.5" customHeight="1" thickBot="1">
      <c r="A169" s="83" t="s">
        <v>1427</v>
      </c>
      <c r="B169" s="52" t="s">
        <v>1768</v>
      </c>
      <c r="D169" s="23"/>
      <c r="E169" s="23"/>
      <c r="L169" s="1354" t="str">
        <f>IF(AND(O169&gt;0,O171="",O184=""),"Indicate subtotal score(s) in A or B below!","")</f>
        <v/>
      </c>
      <c r="M169" s="82">
        <v>7</v>
      </c>
      <c r="N169" s="34"/>
      <c r="O169" s="1359">
        <f>O171+O184</f>
        <v>0</v>
      </c>
      <c r="P169" s="1359">
        <f>P171+P184</f>
        <v>0</v>
      </c>
      <c r="Q169" s="55" t="s">
        <v>1716</v>
      </c>
      <c r="R169" s="692" t="str">
        <f>IF(AND(O169&gt;0,NOT($M$55="New Supply")), "Ineligible to score in this section, not New Supply!","")</f>
        <v/>
      </c>
      <c r="S169" s="1330"/>
      <c r="T169" s="1330"/>
      <c r="U169" s="1330"/>
    </row>
    <row r="170" spans="1:26" s="21" customFormat="1" ht="2.25" customHeight="1">
      <c r="A170" s="55"/>
      <c r="C170" s="96"/>
      <c r="D170" s="96"/>
      <c r="E170" s="102"/>
      <c r="F170" s="96"/>
      <c r="G170" s="96"/>
      <c r="H170" s="96"/>
      <c r="I170" s="96"/>
      <c r="J170" s="96"/>
      <c r="K170" s="96"/>
      <c r="L170" s="96"/>
      <c r="M170" s="96"/>
      <c r="N170" s="96"/>
      <c r="O170" s="96"/>
      <c r="P170" s="96"/>
      <c r="R170" s="1330"/>
      <c r="S170" s="1330"/>
      <c r="T170" s="1330"/>
      <c r="U170" s="1330"/>
    </row>
    <row r="171" spans="1:26" s="21" customFormat="1" ht="12" customHeight="1">
      <c r="A171" s="74" t="s">
        <v>194</v>
      </c>
      <c r="B171" s="96" t="s">
        <v>1769</v>
      </c>
      <c r="C171" s="96"/>
      <c r="D171" s="96"/>
      <c r="E171" s="96"/>
      <c r="F171" s="96"/>
      <c r="G171" s="96"/>
      <c r="H171" s="96"/>
      <c r="I171" s="96"/>
      <c r="J171" s="96"/>
      <c r="K171" s="96"/>
      <c r="L171" s="13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49">
        <v>5</v>
      </c>
      <c r="N171" s="30" t="s">
        <v>194</v>
      </c>
      <c r="O171" s="1355">
        <f>MIN(M171,O172+O180+O181+O182)</f>
        <v>0</v>
      </c>
      <c r="P171" s="1355">
        <f>P172+P180+P181+P182</f>
        <v>0</v>
      </c>
      <c r="Q171" s="980" t="str">
        <f>IF(OR($O171&lt;=$M171,$O171=""),"","*CHECK!*")</f>
        <v/>
      </c>
      <c r="R171" s="633"/>
      <c r="S171" s="1330"/>
      <c r="T171" s="1330"/>
      <c r="U171" s="1330"/>
    </row>
    <row r="172" spans="1:26" s="21" customFormat="1" ht="12.75" customHeight="1">
      <c r="A172" s="55"/>
      <c r="B172" s="1001" t="s">
        <v>209</v>
      </c>
      <c r="C172" s="15" t="s">
        <v>2568</v>
      </c>
      <c r="D172" s="96"/>
      <c r="E172" s="96"/>
      <c r="F172" s="96"/>
      <c r="G172" s="96"/>
      <c r="H172" s="96"/>
      <c r="I172" s="96"/>
      <c r="J172" s="96"/>
      <c r="K172" s="96"/>
      <c r="L172" s="96"/>
      <c r="M172" s="349">
        <v>2</v>
      </c>
      <c r="N172" s="88" t="s">
        <v>1459</v>
      </c>
      <c r="O172" s="1295"/>
      <c r="P172" s="1341"/>
      <c r="Q172" s="980" t="str">
        <f>IF(OR($O172=$M172,$O172=0,$O172=""),"","*CHECK!*")</f>
        <v/>
      </c>
      <c r="R172" s="633" t="s">
        <v>2517</v>
      </c>
      <c r="S172" s="1330"/>
      <c r="T172" s="1330"/>
      <c r="U172" s="1330"/>
    </row>
    <row r="173" spans="1:26" s="228" customFormat="1" ht="12" customHeight="1">
      <c r="B173" s="88" t="s">
        <v>2218</v>
      </c>
      <c r="C173" s="4142" t="s">
        <v>2569</v>
      </c>
      <c r="D173" s="4142"/>
      <c r="E173" s="4142"/>
      <c r="F173" s="4142"/>
      <c r="G173" s="4142"/>
      <c r="H173" s="4142"/>
      <c r="I173" s="4142"/>
      <c r="J173" s="4142"/>
      <c r="K173" s="4142"/>
      <c r="L173" s="88"/>
      <c r="M173" s="4583" t="s">
        <v>2570</v>
      </c>
      <c r="N173" s="4583"/>
      <c r="O173" s="4583"/>
      <c r="P173" s="4583"/>
      <c r="S173" s="1330"/>
      <c r="T173" s="1330"/>
      <c r="U173" s="1330"/>
      <c r="V173" s="239"/>
      <c r="W173" s="239"/>
      <c r="X173" s="239"/>
      <c r="Y173" s="239"/>
      <c r="Z173" s="239"/>
    </row>
    <row r="174" spans="1:26" s="21" customFormat="1" ht="12.75" customHeight="1">
      <c r="A174" s="216"/>
      <c r="B174" s="30"/>
      <c r="C174" s="4142"/>
      <c r="D174" s="4142"/>
      <c r="E174" s="4142"/>
      <c r="F174" s="4142"/>
      <c r="G174" s="4142"/>
      <c r="H174" s="4142"/>
      <c r="I174" s="4142"/>
      <c r="J174" s="4142"/>
      <c r="K174" s="4142"/>
      <c r="L174" s="88" t="s">
        <v>2218</v>
      </c>
      <c r="M174" s="4575" t="s">
        <v>2571</v>
      </c>
      <c r="N174" s="4576"/>
      <c r="O174" s="4576"/>
      <c r="P174" s="4577"/>
      <c r="S174" s="1330"/>
      <c r="T174" s="1330"/>
      <c r="U174" s="1330"/>
    </row>
    <row r="175" spans="1:26" s="13" customFormat="1" ht="12.75" customHeight="1">
      <c r="B175" s="30" t="s">
        <v>2220</v>
      </c>
      <c r="C175" s="15" t="s">
        <v>2572</v>
      </c>
      <c r="D175" s="15"/>
      <c r="E175" s="15"/>
      <c r="F175" s="15"/>
      <c r="G175" s="15"/>
      <c r="H175" s="15"/>
      <c r="L175" s="30" t="s">
        <v>2220</v>
      </c>
      <c r="M175" s="4394" t="s">
        <v>2571</v>
      </c>
      <c r="N175" s="4395"/>
      <c r="O175" s="4395"/>
      <c r="P175" s="4396"/>
      <c r="S175" s="1330"/>
      <c r="T175" s="1330"/>
      <c r="U175" s="1330"/>
      <c r="V175" s="45"/>
      <c r="W175" s="45"/>
      <c r="X175" s="45"/>
      <c r="Y175" s="45"/>
      <c r="Z175" s="45"/>
    </row>
    <row r="176" spans="1:26" s="13" customFormat="1" ht="12.75" customHeight="1">
      <c r="B176" s="30" t="s">
        <v>2418</v>
      </c>
      <c r="C176" s="15" t="s">
        <v>2573</v>
      </c>
      <c r="D176" s="15"/>
      <c r="E176" s="15"/>
      <c r="F176" s="15"/>
      <c r="G176" s="15"/>
      <c r="H176" s="15"/>
      <c r="L176" s="30" t="s">
        <v>2418</v>
      </c>
      <c r="M176" s="4394" t="s">
        <v>2571</v>
      </c>
      <c r="N176" s="4395"/>
      <c r="O176" s="4395"/>
      <c r="P176" s="4396"/>
      <c r="Q176" s="1065">
        <f>IF(K176="Yes",1,0)</f>
        <v>0</v>
      </c>
      <c r="S176" s="1330"/>
      <c r="T176" s="1330"/>
      <c r="U176" s="1330"/>
      <c r="V176" s="1065" t="e">
        <f>IF(#REF!="Yes",1,0)</f>
        <v>#REF!</v>
      </c>
      <c r="W176" s="45"/>
      <c r="X176" s="45"/>
      <c r="Y176" s="45"/>
      <c r="Z176" s="45"/>
    </row>
    <row r="177" spans="1:26" s="13" customFormat="1" ht="12.75" customHeight="1">
      <c r="A177" s="30"/>
      <c r="B177" s="30" t="s">
        <v>2574</v>
      </c>
      <c r="C177" s="15" t="s">
        <v>2575</v>
      </c>
      <c r="D177" s="15"/>
      <c r="E177" s="15"/>
      <c r="F177" s="15"/>
      <c r="G177" s="15"/>
      <c r="L177" s="30" t="s">
        <v>2574</v>
      </c>
      <c r="M177" s="4533" t="s">
        <v>2571</v>
      </c>
      <c r="N177" s="4534"/>
      <c r="O177" s="4534"/>
      <c r="P177" s="4535"/>
      <c r="Q177" s="1065">
        <f>IF(K177="Yes",1,0)</f>
        <v>0</v>
      </c>
      <c r="S177" s="1330"/>
      <c r="T177" s="1330"/>
      <c r="U177" s="1330"/>
      <c r="V177" s="1065" t="e">
        <f>IF(#REF!="Yes",1,0)</f>
        <v>#REF!</v>
      </c>
      <c r="W177" s="45"/>
      <c r="X177" s="45"/>
      <c r="Y177" s="45"/>
      <c r="Z177" s="45"/>
    </row>
    <row r="178" spans="1:26" s="21" customFormat="1" ht="4.5" customHeight="1">
      <c r="A178" s="216"/>
      <c r="C178" s="75"/>
      <c r="D178" s="75"/>
      <c r="E178" s="75"/>
      <c r="F178" s="75"/>
      <c r="G178" s="75"/>
      <c r="H178" s="75"/>
      <c r="I178" s="75"/>
      <c r="K178" s="747"/>
      <c r="L178" s="747"/>
      <c r="R178" s="1330"/>
      <c r="S178" s="1330"/>
      <c r="T178" s="1330"/>
      <c r="U178" s="1330"/>
    </row>
    <row r="179" spans="1:26" s="21" customFormat="1" ht="9.75" customHeight="1">
      <c r="A179" s="216"/>
      <c r="B179" s="217" t="s">
        <v>217</v>
      </c>
      <c r="C179" s="58" t="s">
        <v>1778</v>
      </c>
      <c r="D179" s="75"/>
      <c r="E179" s="75"/>
      <c r="F179" s="75"/>
      <c r="G179" s="75"/>
      <c r="H179" s="75"/>
      <c r="I179" s="75"/>
      <c r="K179" s="747"/>
      <c r="L179" s="747"/>
      <c r="R179" s="1330"/>
      <c r="S179" s="1330"/>
      <c r="T179" s="1330"/>
      <c r="U179" s="1330"/>
    </row>
    <row r="180" spans="1:26">
      <c r="A180" s="294"/>
      <c r="B180" s="88" t="s">
        <v>2218</v>
      </c>
      <c r="C180" s="4142" t="s">
        <v>2576</v>
      </c>
      <c r="D180" s="4142"/>
      <c r="E180" s="4142"/>
      <c r="F180" s="4142"/>
      <c r="G180" s="4142"/>
      <c r="H180" s="4142"/>
      <c r="I180" s="4142"/>
      <c r="J180" s="4142"/>
      <c r="K180" s="4142"/>
      <c r="L180" s="4142"/>
      <c r="M180" s="1527">
        <v>1</v>
      </c>
      <c r="N180" s="88" t="s">
        <v>2577</v>
      </c>
      <c r="O180" s="1338"/>
      <c r="P180" s="1342"/>
      <c r="Q180" s="980" t="str">
        <f>IF(OR($O180=$M180,$O180=0,$O180=""),"","*CHECK!*")</f>
        <v/>
      </c>
      <c r="R180" s="633" t="s">
        <v>2517</v>
      </c>
    </row>
    <row r="181" spans="1:26" ht="36.75" customHeight="1">
      <c r="A181" s="294"/>
      <c r="B181" s="88" t="s">
        <v>2220</v>
      </c>
      <c r="C181" s="4142" t="s">
        <v>2578</v>
      </c>
      <c r="D181" s="4142"/>
      <c r="E181" s="4142"/>
      <c r="F181" s="4142"/>
      <c r="G181" s="4142"/>
      <c r="H181" s="4142"/>
      <c r="I181" s="4142"/>
      <c r="J181" s="4142"/>
      <c r="K181" s="4142"/>
      <c r="L181" s="4142"/>
      <c r="M181" s="1527">
        <v>1</v>
      </c>
      <c r="N181" s="88" t="s">
        <v>2579</v>
      </c>
      <c r="O181" s="1356"/>
      <c r="P181" s="1357"/>
      <c r="Q181" s="980" t="str">
        <f>IF(OR($O181=$M181,$O181=0,$O181=""),"","*CHECK!*")</f>
        <v/>
      </c>
      <c r="R181" s="633" t="s">
        <v>2517</v>
      </c>
    </row>
    <row r="182" spans="1:26" ht="12" customHeight="1">
      <c r="A182" s="294"/>
      <c r="B182" s="256" t="s">
        <v>2418</v>
      </c>
      <c r="C182" s="27" t="s">
        <v>2580</v>
      </c>
      <c r="D182" s="67"/>
      <c r="E182" s="67"/>
      <c r="F182" s="67"/>
      <c r="G182" s="67"/>
      <c r="H182" s="67"/>
      <c r="I182" s="67"/>
      <c r="J182" s="67"/>
      <c r="K182" s="67"/>
      <c r="L182" s="67"/>
      <c r="M182" s="349">
        <v>1</v>
      </c>
      <c r="N182" s="30" t="s">
        <v>2581</v>
      </c>
      <c r="O182" s="1339"/>
      <c r="P182" s="1343"/>
      <c r="Q182" s="980" t="str">
        <f>IF(OR($O182=$M182,$O182=0,$O182=""),"","*CHECK!*")</f>
        <v/>
      </c>
      <c r="R182" s="633" t="s">
        <v>2517</v>
      </c>
    </row>
    <row r="183" spans="1:26" ht="4.5" customHeight="1">
      <c r="A183" s="294"/>
      <c r="B183" s="273"/>
      <c r="C183" s="75"/>
      <c r="D183" s="75"/>
      <c r="E183" s="75"/>
      <c r="F183" s="75"/>
      <c r="G183" s="75"/>
      <c r="H183" s="75"/>
      <c r="M183" s="974"/>
      <c r="N183"/>
      <c r="O183"/>
      <c r="P183"/>
      <c r="R183" s="79"/>
    </row>
    <row r="184" spans="1:26" ht="12.75" customHeight="1">
      <c r="A184" s="74" t="s">
        <v>206</v>
      </c>
      <c r="B184" s="96" t="s">
        <v>1782</v>
      </c>
      <c r="D184" s="13"/>
      <c r="F184" s="958"/>
      <c r="K184" s="733"/>
      <c r="L184" s="218" t="str">
        <f>IF(OR($O184=$M184,$O184=0,$O184=1,$O184=""),"","* * Check Score! * *")</f>
        <v/>
      </c>
      <c r="M184" s="349">
        <v>2</v>
      </c>
      <c r="N184" s="30" t="s">
        <v>206</v>
      </c>
      <c r="O184" s="350"/>
      <c r="P184" s="526"/>
      <c r="Q184" s="635" t="str">
        <f>IF(OR($O184=$M184,$O184=0,$O184=""),"","*CHECK!*")</f>
        <v/>
      </c>
      <c r="R184" s="633" t="s">
        <v>2517</v>
      </c>
    </row>
    <row r="185" spans="1:26" s="44" customFormat="1" ht="10.5" customHeight="1" thickBot="1">
      <c r="A185" s="45"/>
      <c r="B185" s="749" t="s">
        <v>1739</v>
      </c>
      <c r="C185" s="45"/>
      <c r="D185" s="50"/>
      <c r="E185" s="50"/>
      <c r="F185" s="50"/>
      <c r="G185" s="50"/>
      <c r="H185" s="15"/>
      <c r="I185" s="15"/>
      <c r="J185" s="15"/>
      <c r="K185" s="15"/>
      <c r="M185" s="34"/>
      <c r="N185" s="34"/>
      <c r="O185" s="3"/>
      <c r="P185" s="82"/>
    </row>
    <row r="186" spans="1:26" s="21" customFormat="1" ht="21.75" customHeight="1" thickTop="1" thickBot="1">
      <c r="A186" s="4359"/>
      <c r="B186" s="4360"/>
      <c r="C186" s="4360"/>
      <c r="D186" s="4360"/>
      <c r="E186" s="4360"/>
      <c r="F186" s="4360"/>
      <c r="G186" s="4360"/>
      <c r="H186" s="4360"/>
      <c r="I186" s="4360"/>
      <c r="J186" s="4360"/>
      <c r="K186" s="4360"/>
      <c r="L186" s="4360"/>
      <c r="M186" s="4360"/>
      <c r="N186" s="4360"/>
      <c r="O186" s="4360"/>
      <c r="P186" s="4361"/>
      <c r="Q186" s="259" t="s">
        <v>2152</v>
      </c>
    </row>
    <row r="187" spans="1:26" s="44" customFormat="1" ht="11.65" customHeight="1" thickTop="1">
      <c r="A187" s="45"/>
      <c r="B187" s="47" t="s">
        <v>1399</v>
      </c>
      <c r="C187" s="45"/>
      <c r="D187" s="47"/>
      <c r="E187" s="712"/>
      <c r="F187" s="712"/>
      <c r="G187" s="712"/>
      <c r="H187" s="712"/>
      <c r="I187" s="712"/>
      <c r="J187" s="712"/>
      <c r="K187" s="712"/>
      <c r="L187" s="712"/>
      <c r="M187" s="712"/>
      <c r="N187" s="2855"/>
      <c r="O187" s="532"/>
      <c r="P187" s="82"/>
      <c r="Q187" s="21"/>
    </row>
    <row r="188" spans="1:26" s="21" customFormat="1" ht="11.25" customHeight="1">
      <c r="A188" s="4150"/>
      <c r="B188" s="4151"/>
      <c r="C188" s="4151"/>
      <c r="D188" s="4151"/>
      <c r="E188" s="4151"/>
      <c r="F188" s="4151"/>
      <c r="G188" s="4151"/>
      <c r="H188" s="4151"/>
      <c r="I188" s="4151"/>
      <c r="J188" s="4151"/>
      <c r="K188" s="4151"/>
      <c r="L188" s="4151"/>
      <c r="M188" s="4151"/>
      <c r="N188" s="4151"/>
      <c r="O188" s="4151"/>
      <c r="P188" s="4152"/>
      <c r="Q188" s="258"/>
    </row>
    <row r="189" spans="1:26" s="21" customFormat="1" ht="3" customHeight="1" thickBot="1">
      <c r="A189" s="45"/>
      <c r="C189" s="710"/>
      <c r="D189" s="710"/>
      <c r="E189" s="710"/>
      <c r="F189" s="710"/>
      <c r="G189" s="710"/>
      <c r="H189" s="710"/>
      <c r="I189" s="710"/>
      <c r="J189" s="710"/>
      <c r="K189" s="710"/>
      <c r="L189" s="710"/>
      <c r="M189" s="710"/>
      <c r="N189" s="2851"/>
      <c r="O189" s="33"/>
      <c r="P189" s="82"/>
    </row>
    <row r="190" spans="1:26" s="21" customFormat="1" ht="13.5" customHeight="1" thickBot="1">
      <c r="A190" s="83" t="s">
        <v>1432</v>
      </c>
      <c r="B190" s="52" t="s">
        <v>1783</v>
      </c>
      <c r="C190" s="710"/>
      <c r="D190" s="710"/>
      <c r="E190" s="710"/>
      <c r="F190" s="710"/>
      <c r="G190" s="710"/>
      <c r="H190" s="710"/>
      <c r="I190" s="710"/>
      <c r="J190" s="710"/>
      <c r="K190" s="710"/>
      <c r="L190" s="710"/>
      <c r="M190" s="82">
        <v>3</v>
      </c>
      <c r="N190" s="2851"/>
      <c r="O190" s="33"/>
      <c r="P190" s="706"/>
      <c r="Q190" s="55" t="s">
        <v>1716</v>
      </c>
      <c r="R190" s="633" t="s">
        <v>2582</v>
      </c>
    </row>
    <row r="191" spans="1:26" s="21" customFormat="1" ht="13.5" customHeight="1">
      <c r="A191" s="83"/>
      <c r="B191" s="50" t="s">
        <v>1786</v>
      </c>
      <c r="C191" s="710"/>
      <c r="D191" s="710"/>
      <c r="E191" s="710"/>
      <c r="F191" s="710"/>
      <c r="G191" s="710"/>
      <c r="H191" s="710"/>
      <c r="L191" s="1585" t="str">
        <f>IF(OR(O$233&gt;0,O$205&gt;0),"Applicant is ineligible for points in this section!  Points claimed in Stable Communities or Community Designations.","")</f>
        <v/>
      </c>
      <c r="M191" s="82"/>
      <c r="N191" s="2851"/>
      <c r="O191" s="276"/>
      <c r="P191" s="885"/>
      <c r="Q191" s="55"/>
      <c r="R191" s="1331"/>
      <c r="S191" s="1331"/>
      <c r="T191" s="1331"/>
      <c r="U191" s="1331"/>
    </row>
    <row r="192" spans="1:26" s="21" customFormat="1" ht="13.5" customHeight="1">
      <c r="A192" s="83"/>
      <c r="B192" s="1160" t="s">
        <v>1785</v>
      </c>
      <c r="C192" s="710"/>
      <c r="D192" s="710"/>
      <c r="E192" s="710"/>
      <c r="F192" s="710"/>
      <c r="G192" s="710"/>
      <c r="H192" s="710"/>
      <c r="L192" s="959"/>
      <c r="M192" s="82"/>
      <c r="N192" s="82"/>
      <c r="O192" s="82"/>
      <c r="P192" s="82"/>
      <c r="Q192" s="55"/>
      <c r="R192" s="1331"/>
      <c r="S192" s="1331"/>
      <c r="T192" s="1331"/>
      <c r="U192" s="1331"/>
    </row>
    <row r="193" spans="1:24" ht="11.65" customHeight="1">
      <c r="A193" s="74" t="s">
        <v>227</v>
      </c>
      <c r="B193" s="96" t="s">
        <v>2583</v>
      </c>
      <c r="D193" s="13"/>
      <c r="G193" s="273"/>
      <c r="N193"/>
      <c r="O193" s="714"/>
      <c r="P193" s="714"/>
      <c r="Q193" s="157"/>
    </row>
    <row r="194" spans="1:24" s="1068" customFormat="1" ht="12.75" customHeight="1">
      <c r="B194" s="254" t="s">
        <v>209</v>
      </c>
      <c r="C194" s="4142" t="s">
        <v>2584</v>
      </c>
      <c r="D194" s="4142"/>
      <c r="E194" s="4142"/>
      <c r="F194" s="4142"/>
      <c r="G194" s="4142"/>
      <c r="H194" s="4142"/>
      <c r="I194" s="4142"/>
      <c r="J194" s="4142"/>
      <c r="K194" s="4142"/>
      <c r="L194" s="4142"/>
      <c r="M194" s="707" t="s">
        <v>227</v>
      </c>
      <c r="N194" s="227" t="s">
        <v>209</v>
      </c>
      <c r="O194" s="1493"/>
      <c r="P194" s="1494"/>
      <c r="Q194" s="759"/>
      <c r="V194" s="1304"/>
      <c r="W194" s="1304"/>
    </row>
    <row r="195" spans="1:24" s="13" customFormat="1" ht="12.75" customHeight="1">
      <c r="A195" s="294"/>
      <c r="B195" s="254" t="s">
        <v>217</v>
      </c>
      <c r="C195" s="18" t="s">
        <v>2585</v>
      </c>
      <c r="D195" s="70"/>
      <c r="E195" s="70"/>
      <c r="F195" s="70"/>
      <c r="G195" s="70"/>
      <c r="H195" s="70"/>
      <c r="I195" s="70"/>
      <c r="J195" s="70"/>
      <c r="K195" s="70"/>
      <c r="L195" s="70"/>
      <c r="M195" s="70"/>
      <c r="N195" s="227" t="s">
        <v>217</v>
      </c>
      <c r="O195" s="211"/>
      <c r="P195" s="315"/>
      <c r="Q195" s="637"/>
      <c r="V195" s="754"/>
      <c r="W195" s="754"/>
    </row>
    <row r="196" spans="1:24" s="13" customFormat="1" ht="22.5" customHeight="1">
      <c r="A196" s="294"/>
      <c r="B196" s="254" t="s">
        <v>221</v>
      </c>
      <c r="C196" s="4142" t="s">
        <v>2586</v>
      </c>
      <c r="D196" s="4142"/>
      <c r="E196" s="4142"/>
      <c r="F196" s="4142"/>
      <c r="G196" s="4142"/>
      <c r="H196" s="4142"/>
      <c r="I196" s="4142"/>
      <c r="J196" s="4142"/>
      <c r="K196" s="4142"/>
      <c r="L196" s="4142"/>
      <c r="M196" s="348"/>
      <c r="N196" s="227" t="s">
        <v>221</v>
      </c>
      <c r="O196" s="717"/>
      <c r="P196" s="716"/>
      <c r="Q196" s="637"/>
      <c r="V196" s="754"/>
      <c r="W196" s="754"/>
    </row>
    <row r="197" spans="1:24" ht="11.65" customHeight="1">
      <c r="A197" s="74" t="s">
        <v>229</v>
      </c>
      <c r="B197" s="96" t="s">
        <v>2587</v>
      </c>
      <c r="D197" s="13"/>
      <c r="G197" s="273"/>
      <c r="N197"/>
      <c r="O197" s="714"/>
      <c r="P197" s="714"/>
      <c r="Q197" s="157"/>
    </row>
    <row r="198" spans="1:24" s="1068" customFormat="1" ht="23.25" customHeight="1">
      <c r="B198" s="254" t="s">
        <v>209</v>
      </c>
      <c r="C198" s="4142" t="s">
        <v>2588</v>
      </c>
      <c r="D198" s="4142"/>
      <c r="E198" s="4142"/>
      <c r="F198" s="4142"/>
      <c r="G198" s="4142"/>
      <c r="H198" s="4142"/>
      <c r="I198" s="4142"/>
      <c r="J198" s="4142"/>
      <c r="K198" s="4142"/>
      <c r="L198" s="4142"/>
      <c r="M198" s="707" t="s">
        <v>229</v>
      </c>
      <c r="N198" s="227" t="s">
        <v>209</v>
      </c>
      <c r="O198" s="1493"/>
      <c r="P198" s="1494"/>
      <c r="Q198" s="759"/>
      <c r="V198" s="1304"/>
      <c r="W198" s="1304"/>
    </row>
    <row r="199" spans="1:24" s="13" customFormat="1" ht="23.25" customHeight="1">
      <c r="A199" s="294"/>
      <c r="B199" s="254" t="s">
        <v>217</v>
      </c>
      <c r="C199" s="4142" t="s">
        <v>2589</v>
      </c>
      <c r="D199" s="4142"/>
      <c r="E199" s="4142"/>
      <c r="F199" s="4142"/>
      <c r="G199" s="4142"/>
      <c r="H199" s="4142"/>
      <c r="I199" s="4142"/>
      <c r="J199" s="4142"/>
      <c r="K199" s="4142"/>
      <c r="L199" s="4142"/>
      <c r="M199" s="70"/>
      <c r="N199" s="227" t="s">
        <v>217</v>
      </c>
      <c r="O199" s="717"/>
      <c r="P199" s="716"/>
      <c r="Q199" s="637"/>
      <c r="V199" s="754"/>
      <c r="W199" s="754"/>
    </row>
    <row r="200" spans="1:24" s="21" customFormat="1" ht="12" customHeight="1" thickBot="1">
      <c r="A200" s="45"/>
      <c r="B200" s="749" t="s">
        <v>1739</v>
      </c>
      <c r="C200" s="45"/>
      <c r="D200" s="50"/>
      <c r="E200" s="50"/>
      <c r="F200" s="50"/>
      <c r="G200" s="50"/>
      <c r="H200" s="15"/>
      <c r="I200" s="15"/>
      <c r="M200" s="34"/>
      <c r="N200" s="60"/>
      <c r="O200" s="3"/>
      <c r="P200" s="11"/>
    </row>
    <row r="201" spans="1:24" s="21" customFormat="1" ht="45.6" customHeight="1" thickTop="1" thickBot="1">
      <c r="A201" s="4512"/>
      <c r="B201" s="4513"/>
      <c r="C201" s="4513"/>
      <c r="D201" s="4513"/>
      <c r="E201" s="4513"/>
      <c r="F201" s="4513"/>
      <c r="G201" s="4513"/>
      <c r="H201" s="4513"/>
      <c r="I201" s="4513"/>
      <c r="J201" s="4513"/>
      <c r="K201" s="4513"/>
      <c r="L201" s="4513"/>
      <c r="M201" s="4513"/>
      <c r="N201" s="4513"/>
      <c r="O201" s="4513"/>
      <c r="P201" s="4514"/>
      <c r="Q201" s="259" t="s">
        <v>2152</v>
      </c>
    </row>
    <row r="202" spans="1:24" s="21" customFormat="1" ht="10.5" customHeight="1" thickTop="1">
      <c r="A202" s="45"/>
      <c r="B202" s="39" t="s">
        <v>1399</v>
      </c>
      <c r="C202" s="45"/>
      <c r="D202" s="39"/>
      <c r="E202" s="710"/>
      <c r="F202" s="710"/>
      <c r="G202" s="710"/>
      <c r="H202" s="710"/>
      <c r="I202" s="710"/>
      <c r="J202" s="710"/>
      <c r="K202" s="710"/>
      <c r="L202" s="710"/>
      <c r="M202" s="710"/>
      <c r="N202" s="2851"/>
      <c r="O202" s="33"/>
      <c r="P202" s="82"/>
    </row>
    <row r="203" spans="1:24" s="21" customFormat="1" ht="22.15" customHeight="1">
      <c r="A203" s="4418"/>
      <c r="B203" s="4419"/>
      <c r="C203" s="4419"/>
      <c r="D203" s="4419"/>
      <c r="E203" s="4419"/>
      <c r="F203" s="4419"/>
      <c r="G203" s="4419"/>
      <c r="H203" s="4419"/>
      <c r="I203" s="4419"/>
      <c r="J203" s="4419"/>
      <c r="K203" s="4419"/>
      <c r="L203" s="4419"/>
      <c r="M203" s="4419"/>
      <c r="N203" s="4419"/>
      <c r="O203" s="4419"/>
      <c r="P203" s="4420"/>
      <c r="Q203" s="258"/>
    </row>
    <row r="204" spans="1:24" ht="6.75" customHeight="1" thickBot="1">
      <c r="N204" s="60"/>
      <c r="V204" s="21"/>
      <c r="W204" s="21"/>
      <c r="X204" s="21"/>
    </row>
    <row r="205" spans="1:24" s="44" customFormat="1" ht="13.5" customHeight="1" thickBot="1">
      <c r="A205" s="83" t="s">
        <v>1434</v>
      </c>
      <c r="B205" s="52" t="s">
        <v>1788</v>
      </c>
      <c r="D205" s="23"/>
      <c r="E205" s="23"/>
      <c r="L205" s="294" t="str">
        <f>IF(AND(O205&gt;0,NOT($M$55="New Supply")), "Ineligible to score in this section, not New Supply!","")</f>
        <v/>
      </c>
      <c r="M205" s="82">
        <v>10</v>
      </c>
      <c r="N205" s="34"/>
      <c r="O205" s="693">
        <f>MIN($M$205,O207+O211)</f>
        <v>0</v>
      </c>
      <c r="P205" s="693">
        <f>MIN($M$205,P207+P211)</f>
        <v>0</v>
      </c>
      <c r="Q205" s="55" t="s">
        <v>1716</v>
      </c>
      <c r="R205" s="633"/>
      <c r="S205" s="1332"/>
      <c r="T205" s="1332"/>
      <c r="U205" s="1332"/>
      <c r="V205" s="21"/>
      <c r="W205" s="21"/>
      <c r="X205" s="21"/>
    </row>
    <row r="206" spans="1:24" s="44" customFormat="1" ht="3" customHeight="1">
      <c r="A206" s="83"/>
      <c r="B206" s="52"/>
      <c r="D206" s="23"/>
      <c r="E206" s="23"/>
      <c r="G206" s="102"/>
      <c r="M206" s="347"/>
      <c r="Q206" s="55"/>
      <c r="S206" s="1332"/>
      <c r="T206" s="1332"/>
      <c r="U206" s="1332"/>
      <c r="V206" s="21"/>
      <c r="W206" s="21"/>
      <c r="X206" s="21"/>
    </row>
    <row r="207" spans="1:24" s="44" customFormat="1" ht="12.75" customHeight="1">
      <c r="A207" s="1305" t="s">
        <v>194</v>
      </c>
      <c r="B207" s="96" t="s">
        <v>1789</v>
      </c>
      <c r="D207" s="23"/>
      <c r="E207" s="23"/>
      <c r="K207" s="1066"/>
      <c r="M207" s="349">
        <v>5</v>
      </c>
      <c r="N207" s="30" t="s">
        <v>194</v>
      </c>
      <c r="O207" s="350"/>
      <c r="P207" s="526"/>
      <c r="Q207" s="980" t="str">
        <f>IF(O207&lt;=M207,"","*CHECK!*")</f>
        <v/>
      </c>
      <c r="R207" s="633" t="s">
        <v>2517</v>
      </c>
      <c r="S207" s="1332"/>
      <c r="T207" s="1332"/>
      <c r="U207" s="1332"/>
    </row>
    <row r="208" spans="1:24" ht="12.75" customHeight="1">
      <c r="B208" s="1305"/>
      <c r="C208" s="15" t="s">
        <v>1790</v>
      </c>
      <c r="D208" s="44"/>
      <c r="E208" s="23"/>
      <c r="F208" s="23"/>
      <c r="G208" s="44"/>
      <c r="H208" s="44"/>
      <c r="I208" s="44"/>
      <c r="J208" s="4554" t="s">
        <v>713</v>
      </c>
      <c r="K208" s="4555"/>
      <c r="L208" s="4556"/>
      <c r="M208" s="4557"/>
      <c r="N208" s="34"/>
      <c r="R208" s="55"/>
      <c r="S208" s="44"/>
    </row>
    <row r="209" spans="1:27" ht="12.75" customHeight="1">
      <c r="C209" s="541" t="s">
        <v>2590</v>
      </c>
      <c r="D209" s="27"/>
      <c r="J209" s="4530"/>
      <c r="K209" s="4531"/>
      <c r="L209" s="4531"/>
      <c r="M209" s="4532"/>
      <c r="N209" s="34"/>
      <c r="O209" s="34"/>
      <c r="P209" s="34"/>
      <c r="R209" s="44"/>
      <c r="S209" s="1332"/>
    </row>
    <row r="210" spans="1:27" ht="6" customHeight="1">
      <c r="A210" s="298"/>
      <c r="B210" s="540"/>
      <c r="C210" s="27"/>
      <c r="M210" s="34"/>
      <c r="N210" s="705"/>
      <c r="O210" s="82"/>
      <c r="P210" s="82"/>
      <c r="S210" s="1332"/>
      <c r="T210" s="1332"/>
      <c r="U210" s="1332"/>
    </row>
    <row r="211" spans="1:27" s="13" customFormat="1" ht="12.75" customHeight="1">
      <c r="A211" s="542" t="s">
        <v>206</v>
      </c>
      <c r="B211" s="962" t="s">
        <v>1792</v>
      </c>
      <c r="C211" s="15"/>
      <c r="K211" s="30"/>
      <c r="L211" s="30"/>
      <c r="M211" s="349">
        <v>5</v>
      </c>
      <c r="N211" s="30" t="s">
        <v>206</v>
      </c>
      <c r="O211" s="350"/>
      <c r="P211" s="526"/>
      <c r="Q211" s="980" t="str">
        <f>IF(O211&lt;=M211,"","*CHECK!*")</f>
        <v/>
      </c>
      <c r="R211" s="633" t="s">
        <v>2517</v>
      </c>
      <c r="S211" s="1332"/>
      <c r="T211" s="1332"/>
      <c r="U211" s="1332"/>
    </row>
    <row r="212" spans="1:27">
      <c r="C212" s="1340" t="s">
        <v>1793</v>
      </c>
      <c r="E212" s="4362" t="s">
        <v>1794</v>
      </c>
      <c r="F212" s="4362"/>
      <c r="G212" s="4362"/>
      <c r="H212" s="4362"/>
      <c r="I212" s="971" t="s">
        <v>2591</v>
      </c>
      <c r="J212" s="4362" t="s">
        <v>1794</v>
      </c>
      <c r="K212" s="4362"/>
      <c r="L212" s="4362"/>
      <c r="M212" s="4362"/>
      <c r="N212"/>
      <c r="O212"/>
      <c r="P212"/>
    </row>
    <row r="213" spans="1:27" ht="13.5" customHeight="1">
      <c r="B213" s="298"/>
      <c r="C213" s="15" t="s">
        <v>2592</v>
      </c>
      <c r="E213" s="4363"/>
      <c r="F213" s="4364"/>
      <c r="G213" s="4364"/>
      <c r="H213" s="4365"/>
      <c r="I213" s="1548" t="s">
        <v>2593</v>
      </c>
      <c r="J213" s="4527"/>
      <c r="K213" s="4528"/>
      <c r="L213" s="4528"/>
      <c r="M213" s="4529"/>
      <c r="N213"/>
      <c r="Q213" s="11"/>
      <c r="R213" s="11"/>
      <c r="S213" s="11"/>
      <c r="T213" s="11"/>
      <c r="U213" s="11"/>
      <c r="V213" s="11"/>
      <c r="W213" s="11"/>
      <c r="X213" s="11"/>
      <c r="Y213" s="11"/>
      <c r="Z213" s="11"/>
      <c r="AA213" s="1549"/>
    </row>
    <row r="214" spans="1:27" ht="13.5" customHeight="1">
      <c r="C214" s="15" t="s">
        <v>1796</v>
      </c>
      <c r="E214" s="4475"/>
      <c r="F214" s="4476"/>
      <c r="G214" s="4476"/>
      <c r="H214" s="4477"/>
      <c r="I214" s="1586"/>
      <c r="J214" s="4356"/>
      <c r="K214" s="4357"/>
      <c r="L214" s="4357"/>
      <c r="M214" s="4358"/>
      <c r="N214" s="980" t="str">
        <f>IF(P211&lt;=N211,"","*CHECK!*")</f>
        <v/>
      </c>
      <c r="Q214" s="11"/>
      <c r="R214" s="11"/>
      <c r="S214" s="11"/>
      <c r="T214" s="11"/>
      <c r="U214" s="11"/>
      <c r="V214" s="11"/>
      <c r="W214" s="11"/>
      <c r="X214" s="11"/>
      <c r="Y214" s="11"/>
      <c r="Z214" s="11"/>
      <c r="AA214" s="1549"/>
    </row>
    <row r="215" spans="1:27" ht="13.5" customHeight="1">
      <c r="B215" s="298"/>
      <c r="C215" s="15" t="s">
        <v>1797</v>
      </c>
      <c r="E215" s="4475"/>
      <c r="F215" s="4476"/>
      <c r="G215" s="4476"/>
      <c r="H215" s="4477"/>
      <c r="I215" s="1586"/>
      <c r="J215" s="4356"/>
      <c r="K215" s="4357"/>
      <c r="L215" s="4357"/>
      <c r="M215" s="4358"/>
      <c r="N215"/>
      <c r="Q215" s="11"/>
      <c r="R215" s="11"/>
      <c r="S215" s="11"/>
      <c r="T215" s="11"/>
      <c r="U215" s="11"/>
      <c r="V215" s="11"/>
      <c r="W215" s="11"/>
      <c r="X215" s="11"/>
      <c r="Y215" s="11"/>
      <c r="Z215" s="11"/>
      <c r="AA215" s="1549"/>
    </row>
    <row r="216" spans="1:27" ht="13.5" customHeight="1">
      <c r="B216" s="27"/>
      <c r="C216" s="15" t="s">
        <v>1798</v>
      </c>
      <c r="E216" s="4518"/>
      <c r="F216" s="4519"/>
      <c r="G216" s="4519"/>
      <c r="H216" s="4520"/>
      <c r="I216" s="1587"/>
      <c r="J216" s="4524"/>
      <c r="K216" s="4525"/>
      <c r="L216" s="4525"/>
      <c r="M216" s="4526"/>
      <c r="N216" s="27"/>
      <c r="Q216" s="11"/>
      <c r="R216" s="11"/>
      <c r="S216" s="11"/>
      <c r="T216" s="11"/>
      <c r="U216" s="11"/>
      <c r="V216" s="11"/>
      <c r="W216" s="11"/>
      <c r="X216" s="11"/>
      <c r="Y216" s="11"/>
      <c r="Z216" s="11"/>
      <c r="AA216" s="1549"/>
    </row>
    <row r="217" spans="1:27" ht="6" customHeight="1">
      <c r="B217" s="27"/>
      <c r="C217" s="540"/>
      <c r="D217" s="27"/>
      <c r="N217" s="34"/>
      <c r="O217" s="705"/>
      <c r="P217" s="82"/>
      <c r="Q217" s="82"/>
      <c r="R217" s="82"/>
      <c r="S217" s="82"/>
      <c r="T217" s="82"/>
      <c r="U217" s="82"/>
      <c r="V217" s="82"/>
      <c r="W217" s="82"/>
      <c r="X217" s="82"/>
      <c r="Y217" s="82"/>
      <c r="Z217" s="82"/>
    </row>
    <row r="218" spans="1:27" ht="3" customHeight="1">
      <c r="A218" s="298"/>
      <c r="B218" s="540"/>
      <c r="C218" s="27"/>
      <c r="M218" s="34"/>
      <c r="N218" s="705"/>
      <c r="O218" s="82"/>
      <c r="P218" s="82"/>
      <c r="S218" s="1515"/>
      <c r="T218" s="1515"/>
      <c r="U218" s="1515"/>
      <c r="V218" s="1515"/>
      <c r="W218" s="1515"/>
    </row>
    <row r="219" spans="1:27" s="21" customFormat="1" ht="10.5" customHeight="1" thickBot="1">
      <c r="A219" s="45"/>
      <c r="B219" s="749" t="s">
        <v>1739</v>
      </c>
      <c r="C219" s="45"/>
      <c r="D219" s="50"/>
      <c r="E219" s="50"/>
      <c r="F219" s="50"/>
      <c r="G219" s="50"/>
      <c r="H219" s="15"/>
      <c r="I219" s="15"/>
      <c r="J219" s="15"/>
      <c r="K219" s="15"/>
      <c r="M219" s="34"/>
      <c r="N219" s="60"/>
      <c r="O219" s="3"/>
      <c r="P219" s="11"/>
    </row>
    <row r="220" spans="1:27" s="21" customFormat="1" ht="34.9" customHeight="1" thickTop="1" thickBot="1">
      <c r="A220" s="4359"/>
      <c r="B220" s="4360"/>
      <c r="C220" s="4360"/>
      <c r="D220" s="4360"/>
      <c r="E220" s="4360"/>
      <c r="F220" s="4360"/>
      <c r="G220" s="4360"/>
      <c r="H220" s="4360"/>
      <c r="I220" s="4360"/>
      <c r="J220" s="4360"/>
      <c r="K220" s="4360"/>
      <c r="L220" s="4360"/>
      <c r="M220" s="4360"/>
      <c r="N220" s="4360"/>
      <c r="O220" s="4360"/>
      <c r="P220" s="4361"/>
      <c r="Q220" s="259" t="s">
        <v>2152</v>
      </c>
    </row>
    <row r="221" spans="1:27" ht="2.25" customHeight="1" thickTop="1">
      <c r="A221" s="298"/>
      <c r="B221" s="540"/>
      <c r="C221" s="27"/>
      <c r="M221" s="34"/>
      <c r="N221" s="705"/>
      <c r="O221" s="82"/>
      <c r="P221" s="82"/>
    </row>
    <row r="222" spans="1:27" s="21" customFormat="1" ht="10.5" customHeight="1">
      <c r="A222" s="45"/>
      <c r="B222" s="39" t="s">
        <v>1399</v>
      </c>
      <c r="C222" s="45"/>
      <c r="D222" s="39"/>
      <c r="E222" s="710"/>
      <c r="F222" s="710"/>
      <c r="G222" s="710"/>
      <c r="H222" s="710"/>
      <c r="I222" s="710"/>
      <c r="J222" s="710"/>
      <c r="K222" s="710"/>
      <c r="L222" s="710"/>
      <c r="M222" s="710"/>
      <c r="N222" s="2851"/>
      <c r="O222" s="33"/>
      <c r="P222" s="82"/>
    </row>
    <row r="223" spans="1:27" s="21" customFormat="1" ht="11.25" customHeight="1">
      <c r="A223" s="4418"/>
      <c r="B223" s="4419"/>
      <c r="C223" s="4419"/>
      <c r="D223" s="4419"/>
      <c r="E223" s="4419"/>
      <c r="F223" s="4419"/>
      <c r="G223" s="4419"/>
      <c r="H223" s="4419"/>
      <c r="I223" s="4419"/>
      <c r="J223" s="4419"/>
      <c r="K223" s="4419"/>
      <c r="L223" s="4419"/>
      <c r="M223" s="4419"/>
      <c r="N223" s="4419"/>
      <c r="O223" s="4419"/>
      <c r="P223" s="4420"/>
      <c r="Q223" s="258"/>
    </row>
    <row r="224" spans="1:27" s="21" customFormat="1" ht="5.25" customHeight="1" thickBot="1">
      <c r="A224" s="45"/>
      <c r="D224" s="15"/>
      <c r="E224" s="15"/>
      <c r="F224" s="82"/>
      <c r="G224" s="82"/>
      <c r="H224" s="82"/>
      <c r="I224" s="82"/>
      <c r="J224" s="18"/>
      <c r="K224" s="18"/>
      <c r="L224" s="18"/>
      <c r="M224" s="714"/>
      <c r="N224" s="82"/>
      <c r="O224" s="11"/>
      <c r="P224" s="3"/>
    </row>
    <row r="225" spans="1:24" ht="13.5" customHeight="1" thickBot="1">
      <c r="A225" s="83" t="s">
        <v>1436</v>
      </c>
      <c r="B225" s="84" t="s">
        <v>1799</v>
      </c>
      <c r="C225" s="27"/>
      <c r="G225" s="1325" t="s">
        <v>2594</v>
      </c>
      <c r="H225" s="1257" t="str">
        <f>IF(OR($M$34="9% Credit Competitive Round only", $M$34="9% Credit &amp; HOME"),"9%",IF(OR($M$34="4% Credit/TE Bond", $M$34="4% Credit/TE Bond &amp; HOME", $M$34="4% Credit/TE Bond &amp; HOME NOFA", $M$34="4% Credit &amp; NHTF", $M$34="4% Credit &amp; NHTF &amp; HOME"),"4%",""))</f>
        <v>4%</v>
      </c>
      <c r="J225" s="1325" t="s">
        <v>796</v>
      </c>
      <c r="K225" s="4549" t="str">
        <f>M55</f>
        <v>&lt;&lt; Select Activity Type &gt;&gt;</v>
      </c>
      <c r="L225" s="4550"/>
      <c r="M225" s="82">
        <v>1</v>
      </c>
      <c r="N225" s="705"/>
      <c r="O225" s="693">
        <f>IF(O227+O228&gt;$M$225,"Choose",MIN($M$225,SUM(O227:O228)))</f>
        <v>0</v>
      </c>
      <c r="P225" s="693">
        <f>IF(P227+P228&gt;$M$225,"Choose",MIN($M$225,SUM(P227:P228)))</f>
        <v>0</v>
      </c>
      <c r="Q225" s="55" t="s">
        <v>1716</v>
      </c>
      <c r="R225" s="692" t="str">
        <f>IF(AND(O225&gt;0,NOT($M$55="New Supply")), "Ineligible to score in this section, not New Supply!","")</f>
        <v/>
      </c>
    </row>
    <row r="226" spans="1:24" s="21" customFormat="1" ht="12" customHeight="1">
      <c r="A226" s="45"/>
      <c r="B226" s="1327" t="s">
        <v>2595</v>
      </c>
      <c r="D226" s="15"/>
      <c r="E226" s="15"/>
      <c r="F226" s="82"/>
      <c r="G226" s="714" t="s">
        <v>1800</v>
      </c>
      <c r="H226" s="960">
        <f>IF('Part V-Revenues &amp; Expenses'!$P$67=0,0,'Part V-Revenues &amp; Expenses'!$P$64/'Part V-Revenues &amp; Expenses'!$P$67)</f>
        <v>0.40703517587939697</v>
      </c>
      <c r="J226" s="273" t="s">
        <v>2596</v>
      </c>
      <c r="K226" s="4522" t="str">
        <f>'Part V-Revenues &amp; Expenses'!$O$53</f>
        <v>40% of Units at 60% of AMI</v>
      </c>
      <c r="L226" s="4523"/>
      <c r="M226" s="714"/>
      <c r="N226" s="82"/>
      <c r="O226" s="11"/>
      <c r="P226" s="3"/>
    </row>
    <row r="227" spans="1:24" ht="12" customHeight="1">
      <c r="A227" s="542" t="s">
        <v>194</v>
      </c>
      <c r="B227" s="41" t="s">
        <v>1801</v>
      </c>
      <c r="C227" s="27"/>
      <c r="E227" s="153" t="s">
        <v>2597</v>
      </c>
      <c r="M227" s="349">
        <v>1</v>
      </c>
      <c r="N227" s="30" t="s">
        <v>194</v>
      </c>
      <c r="O227" s="1069"/>
      <c r="P227" s="1070"/>
      <c r="Q227" s="635" t="str">
        <f>IF(OR($O227=$M227,$O227=0,$O227=""),"","*CHECK!*")</f>
        <v/>
      </c>
      <c r="R227" s="633" t="s">
        <v>2517</v>
      </c>
    </row>
    <row r="228" spans="1:24" ht="12" customHeight="1">
      <c r="A228" s="542" t="s">
        <v>206</v>
      </c>
      <c r="B228" s="41" t="s">
        <v>1730</v>
      </c>
      <c r="C228" s="27"/>
      <c r="E228" s="153" t="s">
        <v>2598</v>
      </c>
      <c r="M228" s="705">
        <v>1</v>
      </c>
      <c r="N228" s="30" t="s">
        <v>206</v>
      </c>
      <c r="O228" s="305"/>
      <c r="P228" s="313"/>
      <c r="Q228" s="635" t="str">
        <f>IF(OR($O228=$M228,$O228=0,$O228=""),"","*CHECK!*")</f>
        <v/>
      </c>
      <c r="R228" s="633" t="s">
        <v>2517</v>
      </c>
    </row>
    <row r="229" spans="1:24" ht="2.25" customHeight="1">
      <c r="A229" s="298"/>
      <c r="B229" s="540"/>
      <c r="C229" s="27"/>
      <c r="M229" s="34"/>
      <c r="N229" s="705"/>
      <c r="O229" s="82"/>
      <c r="P229" s="82"/>
    </row>
    <row r="230" spans="1:24" s="21" customFormat="1" ht="11.25" customHeight="1">
      <c r="A230" s="45"/>
      <c r="B230" s="39" t="s">
        <v>1399</v>
      </c>
      <c r="C230" s="45"/>
      <c r="D230" s="39"/>
      <c r="E230" s="710"/>
      <c r="F230" s="710"/>
      <c r="G230" s="710"/>
      <c r="H230" s="710"/>
      <c r="I230" s="710"/>
      <c r="J230" s="710"/>
      <c r="K230" s="710"/>
      <c r="L230" s="710"/>
      <c r="M230" s="710"/>
      <c r="N230" s="2851"/>
      <c r="O230" s="33"/>
      <c r="P230" s="82"/>
    </row>
    <row r="231" spans="1:24" s="21" customFormat="1" ht="11.25" customHeight="1">
      <c r="A231" s="4418"/>
      <c r="B231" s="4419"/>
      <c r="C231" s="4419"/>
      <c r="D231" s="4419"/>
      <c r="E231" s="4419"/>
      <c r="F231" s="4419"/>
      <c r="G231" s="4419"/>
      <c r="H231" s="4419"/>
      <c r="I231" s="4419"/>
      <c r="J231" s="4419"/>
      <c r="K231" s="4419"/>
      <c r="L231" s="4419"/>
      <c r="M231" s="4419"/>
      <c r="N231" s="4419"/>
      <c r="O231" s="4419"/>
      <c r="P231" s="4420"/>
      <c r="Q231" s="258"/>
    </row>
    <row r="232" spans="1:24" s="21" customFormat="1" ht="5.25" customHeight="1" thickBot="1">
      <c r="A232" s="45"/>
      <c r="D232" s="15"/>
      <c r="E232" s="15"/>
      <c r="F232" s="82"/>
      <c r="G232" s="82"/>
      <c r="H232" s="82"/>
      <c r="I232" s="82"/>
      <c r="J232" s="18"/>
      <c r="K232" s="18"/>
      <c r="L232" s="18"/>
      <c r="M232" s="714"/>
      <c r="N232" s="82"/>
      <c r="O232" s="11"/>
      <c r="P232" s="3"/>
    </row>
    <row r="233" spans="1:24" s="44" customFormat="1" ht="13.5" customHeight="1" thickBot="1">
      <c r="A233" s="83" t="s">
        <v>1443</v>
      </c>
      <c r="B233" s="52" t="s">
        <v>1802</v>
      </c>
      <c r="D233" s="23"/>
      <c r="E233" s="23"/>
      <c r="G233" s="1327"/>
      <c r="H233" s="102"/>
      <c r="I233" s="102"/>
      <c r="J233" s="102"/>
      <c r="K233" s="102"/>
      <c r="L233" s="294" t="str">
        <f>IF(AND(O233&gt;0,NOT($M$55="New Supply")), "Ineligible to score in this section, not New Supply!","")</f>
        <v/>
      </c>
      <c r="M233" s="82">
        <v>10</v>
      </c>
      <c r="N233" s="34"/>
      <c r="O233" s="693">
        <f>IF(OR(O169&gt;0,O191&gt;0,O205&gt;0),0,IF(OR(O235="Yes",O236="Yes"),$M$233,0))</f>
        <v>0</v>
      </c>
      <c r="P233" s="693">
        <f>IF(OR(P169&gt;0,P191&gt;0,P205&gt;0),0,IF(OR(P235="Yes",P236="Yes"),$M$233,0))</f>
        <v>0</v>
      </c>
      <c r="Q233" s="55" t="s">
        <v>1716</v>
      </c>
      <c r="R233" s="1332"/>
      <c r="S233" s="1332"/>
      <c r="T233" s="1332"/>
      <c r="U233" s="1332"/>
      <c r="V233" s="1332"/>
    </row>
    <row r="234" spans="1:24" s="44" customFormat="1" ht="3" customHeight="1">
      <c r="A234" s="83"/>
      <c r="B234" s="52"/>
      <c r="D234" s="23"/>
      <c r="E234" s="23"/>
      <c r="G234" s="102"/>
      <c r="M234" s="347"/>
      <c r="Q234" s="55"/>
      <c r="R234" s="1332"/>
      <c r="S234" s="1332"/>
      <c r="T234" s="1332"/>
      <c r="U234" s="1332"/>
      <c r="V234" s="1332"/>
      <c r="W234" s="21"/>
      <c r="X234" s="21"/>
    </row>
    <row r="235" spans="1:24" ht="11.25" customHeight="1">
      <c r="A235" s="542" t="s">
        <v>194</v>
      </c>
      <c r="B235" s="708" t="s">
        <v>1803</v>
      </c>
      <c r="D235" s="275"/>
      <c r="E235" s="275"/>
      <c r="F235" s="275"/>
      <c r="G235" s="275"/>
      <c r="H235" s="275"/>
      <c r="L235" s="275"/>
      <c r="M235" s="4516" t="str">
        <f>IF(AND(O235="Yes",O236="Yes"),"Only one category can be selected!","")</f>
        <v/>
      </c>
      <c r="N235" s="30" t="s">
        <v>194</v>
      </c>
      <c r="O235" s="1033"/>
      <c r="P235" s="1034"/>
      <c r="Q235" s="640"/>
      <c r="R235" s="1332"/>
      <c r="S235" s="1332"/>
      <c r="T235" s="1332"/>
      <c r="U235" s="1332"/>
      <c r="V235" s="1332"/>
    </row>
    <row r="236" spans="1:24" ht="11.25" customHeight="1">
      <c r="A236" s="542" t="s">
        <v>206</v>
      </c>
      <c r="B236" s="708" t="s">
        <v>1804</v>
      </c>
      <c r="D236" s="275"/>
      <c r="L236" s="275"/>
      <c r="M236" s="4516"/>
      <c r="N236" s="30" t="s">
        <v>206</v>
      </c>
      <c r="O236" s="124"/>
      <c r="P236" s="316"/>
      <c r="Q236" s="640"/>
      <c r="R236" s="1332"/>
      <c r="S236" s="1332"/>
      <c r="T236" s="1332"/>
      <c r="U236" s="1332"/>
      <c r="V236" s="1332"/>
    </row>
    <row r="237" spans="1:24" s="21" customFormat="1" ht="10.5" customHeight="1" thickBot="1">
      <c r="A237" s="45"/>
      <c r="B237" s="749" t="s">
        <v>1739</v>
      </c>
      <c r="C237" s="45"/>
      <c r="D237" s="50"/>
      <c r="E237" s="50"/>
      <c r="F237" s="50"/>
      <c r="G237" s="50"/>
      <c r="H237" s="15"/>
      <c r="I237" s="15"/>
      <c r="J237" s="15"/>
      <c r="K237" s="15"/>
      <c r="M237" s="34"/>
      <c r="N237" s="60"/>
      <c r="O237" s="3"/>
      <c r="P237" s="11"/>
      <c r="R237" s="1332"/>
      <c r="S237" s="1332"/>
      <c r="T237" s="1332"/>
      <c r="U237" s="1332"/>
      <c r="V237" s="1332"/>
    </row>
    <row r="238" spans="1:24" s="21" customFormat="1" ht="34.9" customHeight="1" thickTop="1" thickBot="1">
      <c r="A238" s="4359"/>
      <c r="B238" s="4360"/>
      <c r="C238" s="4360"/>
      <c r="D238" s="4360"/>
      <c r="E238" s="4360"/>
      <c r="F238" s="4360"/>
      <c r="G238" s="4360"/>
      <c r="H238" s="4360"/>
      <c r="I238" s="4360"/>
      <c r="J238" s="4360"/>
      <c r="K238" s="4360"/>
      <c r="L238" s="4360"/>
      <c r="M238" s="4360"/>
      <c r="N238" s="4360"/>
      <c r="O238" s="4360"/>
      <c r="P238" s="4361"/>
      <c r="Q238" s="259" t="s">
        <v>2152</v>
      </c>
    </row>
    <row r="239" spans="1:24" s="21" customFormat="1" ht="10.5" customHeight="1" thickTop="1">
      <c r="A239" s="45"/>
      <c r="B239" s="39" t="s">
        <v>1399</v>
      </c>
      <c r="C239" s="45"/>
      <c r="D239" s="39"/>
      <c r="E239" s="710"/>
      <c r="F239" s="710"/>
      <c r="G239" s="710"/>
      <c r="H239" s="710"/>
      <c r="I239" s="710"/>
      <c r="J239" s="710"/>
      <c r="K239" s="710"/>
      <c r="L239" s="710"/>
      <c r="M239" s="710"/>
      <c r="N239" s="2851"/>
      <c r="O239" s="33"/>
      <c r="P239" s="82"/>
    </row>
    <row r="240" spans="1:24" s="21" customFormat="1" ht="11.25" customHeight="1">
      <c r="A240" s="4418"/>
      <c r="B240" s="4419"/>
      <c r="C240" s="4419"/>
      <c r="D240" s="4419"/>
      <c r="E240" s="4419"/>
      <c r="F240" s="4419"/>
      <c r="G240" s="4419"/>
      <c r="H240" s="4419"/>
      <c r="I240" s="4419"/>
      <c r="J240" s="4419"/>
      <c r="K240" s="4419"/>
      <c r="L240" s="4419"/>
      <c r="M240" s="4419"/>
      <c r="N240" s="4419"/>
      <c r="O240" s="4419"/>
      <c r="P240" s="4420"/>
      <c r="Q240" s="258"/>
    </row>
    <row r="241" spans="1:27" s="21" customFormat="1" ht="5.25" customHeight="1" thickBot="1">
      <c r="A241" s="45"/>
      <c r="D241" s="15"/>
      <c r="E241" s="15"/>
      <c r="F241" s="82"/>
      <c r="G241" s="82"/>
      <c r="H241" s="82"/>
      <c r="I241" s="82"/>
      <c r="J241" s="18"/>
      <c r="K241" s="18"/>
      <c r="L241" s="18"/>
      <c r="M241" s="714"/>
      <c r="N241" s="82"/>
      <c r="O241" s="11"/>
      <c r="P241" s="3"/>
    </row>
    <row r="242" spans="1:27" s="21" customFormat="1" ht="13.5" customHeight="1" thickBot="1">
      <c r="A242" s="83" t="s">
        <v>1449</v>
      </c>
      <c r="B242" s="52" t="s">
        <v>1805</v>
      </c>
      <c r="D242" s="19"/>
      <c r="E242" s="1616" t="str">
        <f>IF(AND(O242&gt;0,NOT($M$55="New Supply")), "Ineligible to score in this section, not New Supply!","")</f>
        <v/>
      </c>
      <c r="F242" s="19"/>
      <c r="G242" s="19"/>
      <c r="H242" s="19"/>
      <c r="I242" s="19"/>
      <c r="J242" s="19"/>
      <c r="K242" s="19"/>
      <c r="L242" s="1580" t="str">
        <f>IF(AND(O242&gt;0, NOT(O243="Yes")), "These points are only available to Phased Developments!", "")</f>
        <v/>
      </c>
      <c r="M242" s="82">
        <v>3</v>
      </c>
      <c r="N242" s="34"/>
      <c r="O242" s="1362"/>
      <c r="P242" s="706"/>
      <c r="Q242" s="55" t="s">
        <v>1716</v>
      </c>
      <c r="R242" s="633" t="s">
        <v>2517</v>
      </c>
      <c r="S242" s="666"/>
      <c r="T242" s="666"/>
      <c r="U242" s="666"/>
      <c r="V242" s="666"/>
      <c r="W242" s="686"/>
      <c r="X242" s="686"/>
    </row>
    <row r="243" spans="1:27" s="49" customFormat="1" ht="11.25">
      <c r="A243" s="254"/>
      <c r="B243" s="75" t="s">
        <v>1806</v>
      </c>
      <c r="C243" s="75"/>
      <c r="D243" s="75"/>
      <c r="E243" s="75"/>
      <c r="F243" s="75"/>
      <c r="G243" s="75"/>
      <c r="H243" s="75"/>
      <c r="I243" s="75"/>
      <c r="J243" s="75"/>
      <c r="K243" s="75"/>
      <c r="L243" s="75"/>
      <c r="M243" s="75"/>
      <c r="N243" s="88"/>
      <c r="O243" s="725"/>
      <c r="P243" s="726"/>
      <c r="Q243" s="1344"/>
      <c r="R243" s="348"/>
      <c r="S243" s="348"/>
      <c r="T243" s="348"/>
      <c r="U243" s="348"/>
      <c r="V243" s="348"/>
      <c r="W243" s="348"/>
      <c r="X243" s="348"/>
      <c r="Y243" s="348"/>
      <c r="Z243" s="348"/>
      <c r="AA243" s="348"/>
    </row>
    <row r="244" spans="1:27" s="17" customFormat="1" ht="11.25" customHeight="1">
      <c r="A244" s="217"/>
      <c r="B244" s="254" t="s">
        <v>209</v>
      </c>
      <c r="C244" s="15" t="s">
        <v>1809</v>
      </c>
      <c r="D244" s="15"/>
      <c r="E244" s="18" t="s">
        <v>2599</v>
      </c>
      <c r="F244" s="15"/>
      <c r="G244" s="2856"/>
      <c r="H244" s="30" t="s">
        <v>52</v>
      </c>
      <c r="I244" s="4387"/>
      <c r="J244" s="4387"/>
      <c r="K244" s="15"/>
      <c r="L244" s="1361" t="s">
        <v>2600</v>
      </c>
      <c r="M244" s="4388"/>
      <c r="N244" s="4388"/>
      <c r="O244" s="15"/>
      <c r="P244" s="15"/>
      <c r="Q244" s="15"/>
      <c r="R244" s="15"/>
      <c r="S244" s="15"/>
      <c r="T244" s="15"/>
      <c r="U244" s="15"/>
      <c r="V244" s="15"/>
      <c r="W244" s="15"/>
      <c r="X244" s="15"/>
      <c r="Y244" s="15"/>
      <c r="Z244" s="15"/>
      <c r="AA244" s="15"/>
    </row>
    <row r="245" spans="1:27" s="17" customFormat="1" ht="11.25" customHeight="1">
      <c r="A245" s="217"/>
      <c r="B245" s="254" t="s">
        <v>217</v>
      </c>
      <c r="C245" s="15" t="s">
        <v>1810</v>
      </c>
      <c r="D245" s="15"/>
      <c r="E245" s="18" t="s">
        <v>2599</v>
      </c>
      <c r="F245" s="15"/>
      <c r="G245" s="1345"/>
      <c r="H245" s="30" t="s">
        <v>52</v>
      </c>
      <c r="I245" s="4517"/>
      <c r="J245" s="4517"/>
      <c r="K245" s="15"/>
      <c r="L245" s="1361" t="s">
        <v>2600</v>
      </c>
      <c r="M245" s="4521"/>
      <c r="N245" s="4521"/>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14"/>
      <c r="N246" s="82"/>
      <c r="O246" s="11"/>
      <c r="P246" s="3"/>
    </row>
    <row r="247" spans="1:27" s="21" customFormat="1" ht="10.5" customHeight="1" thickBot="1">
      <c r="A247" s="45"/>
      <c r="B247" s="749" t="s">
        <v>1739</v>
      </c>
      <c r="C247" s="45"/>
      <c r="D247" s="50"/>
      <c r="E247" s="50"/>
      <c r="F247" s="50"/>
      <c r="G247" s="50"/>
      <c r="H247" s="15"/>
      <c r="I247" s="15"/>
      <c r="J247" s="15"/>
      <c r="K247" s="15"/>
      <c r="M247" s="34"/>
      <c r="N247" s="60"/>
      <c r="O247" s="3"/>
      <c r="P247" s="11"/>
    </row>
    <row r="248" spans="1:27" s="21" customFormat="1" ht="21.75" customHeight="1" thickTop="1" thickBot="1">
      <c r="A248" s="4359"/>
      <c r="B248" s="4360"/>
      <c r="C248" s="4360"/>
      <c r="D248" s="4360"/>
      <c r="E248" s="4360"/>
      <c r="F248" s="4360"/>
      <c r="G248" s="4360"/>
      <c r="H248" s="4360"/>
      <c r="I248" s="4360"/>
      <c r="J248" s="4360"/>
      <c r="K248" s="4360"/>
      <c r="L248" s="4360"/>
      <c r="M248" s="4360"/>
      <c r="N248" s="4360"/>
      <c r="O248" s="4360"/>
      <c r="P248" s="4361"/>
      <c r="Q248" s="259" t="s">
        <v>2152</v>
      </c>
    </row>
    <row r="249" spans="1:27" s="21" customFormat="1" ht="10.5" customHeight="1" thickTop="1">
      <c r="B249" s="39" t="s">
        <v>1399</v>
      </c>
      <c r="C249" s="811"/>
      <c r="D249" s="39"/>
      <c r="E249" s="48"/>
      <c r="F249" s="710"/>
      <c r="G249" s="710"/>
      <c r="H249" s="710"/>
      <c r="I249" s="710"/>
      <c r="J249" s="710"/>
      <c r="K249" s="710"/>
      <c r="L249" s="710"/>
      <c r="M249" s="710"/>
      <c r="N249" s="2851"/>
      <c r="O249" s="33"/>
      <c r="P249" s="82"/>
    </row>
    <row r="250" spans="1:27" s="21" customFormat="1" ht="11.25" customHeight="1">
      <c r="A250" s="4150"/>
      <c r="B250" s="4151"/>
      <c r="C250" s="4151"/>
      <c r="D250" s="4151"/>
      <c r="E250" s="4151"/>
      <c r="F250" s="4151"/>
      <c r="G250" s="4151"/>
      <c r="H250" s="4151"/>
      <c r="I250" s="4151"/>
      <c r="J250" s="4151"/>
      <c r="K250" s="4151"/>
      <c r="L250" s="4151"/>
      <c r="M250" s="4151"/>
      <c r="N250" s="4151"/>
      <c r="O250" s="4151"/>
      <c r="P250" s="4152"/>
      <c r="Q250" s="258"/>
    </row>
    <row r="251" spans="1:27" s="21" customFormat="1" ht="5.25" customHeight="1" thickBot="1">
      <c r="A251" s="45"/>
      <c r="D251" s="15"/>
      <c r="E251" s="15"/>
      <c r="F251" s="82"/>
      <c r="G251" s="82"/>
      <c r="H251" s="82"/>
      <c r="I251" s="82"/>
      <c r="J251" s="18"/>
      <c r="K251" s="18"/>
      <c r="L251" s="18"/>
      <c r="M251" s="714"/>
      <c r="N251" s="82"/>
      <c r="O251" s="11"/>
      <c r="P251" s="3"/>
    </row>
    <row r="252" spans="1:27" s="21" customFormat="1" ht="13.5" customHeight="1" thickBot="1">
      <c r="A252" s="83" t="s">
        <v>1465</v>
      </c>
      <c r="B252" s="52" t="s">
        <v>1811</v>
      </c>
      <c r="D252" s="19"/>
      <c r="E252" s="27" t="s">
        <v>2601</v>
      </c>
      <c r="G252" s="29"/>
      <c r="L252" s="294" t="str">
        <f>IF(AND(O252&gt;0,NOT($M$55="New Supply")), "Ineligible to score in this section, not New Supply!","")</f>
        <v/>
      </c>
      <c r="M252" s="82">
        <v>5</v>
      </c>
      <c r="N252" s="34"/>
      <c r="O252" s="693">
        <f>MIN($M252,MAX(O253,O254,O255))</f>
        <v>0</v>
      </c>
      <c r="P252" s="693">
        <f>MIN($M252,MAX(P253,P254,P255))</f>
        <v>0</v>
      </c>
      <c r="Q252" s="55" t="s">
        <v>1716</v>
      </c>
      <c r="R252" s="633" t="s">
        <v>2517</v>
      </c>
      <c r="S252" s="1346"/>
      <c r="T252" s="1346"/>
      <c r="U252" s="1346"/>
      <c r="V252" s="1346"/>
      <c r="W252" s="686"/>
      <c r="X252" s="686"/>
    </row>
    <row r="253" spans="1:27" s="13" customFormat="1" ht="11.25" customHeight="1">
      <c r="A253" s="74" t="s">
        <v>194</v>
      </c>
      <c r="B253" s="96" t="s">
        <v>2602</v>
      </c>
      <c r="M253" s="349">
        <v>5</v>
      </c>
      <c r="N253" s="30" t="s">
        <v>194</v>
      </c>
      <c r="O253" s="1347"/>
      <c r="P253" s="722"/>
      <c r="Q253" s="635" t="str">
        <f>IF(OR($O253=$M253,$O253=$M253-1,$O253=0,$O253=""),"","*CHECK!*")</f>
        <v/>
      </c>
      <c r="R253" s="633" t="s">
        <v>2517</v>
      </c>
      <c r="S253" s="1346"/>
      <c r="T253" s="1346"/>
      <c r="U253" s="1346"/>
      <c r="V253" s="1346"/>
    </row>
    <row r="254" spans="1:27" s="13" customFormat="1" ht="11.25" customHeight="1">
      <c r="A254" s="74" t="s">
        <v>206</v>
      </c>
      <c r="B254" s="96" t="s">
        <v>2603</v>
      </c>
      <c r="M254" s="349">
        <v>3</v>
      </c>
      <c r="N254" s="30" t="s">
        <v>206</v>
      </c>
      <c r="O254" s="304"/>
      <c r="P254" s="312"/>
      <c r="Q254" s="635" t="str">
        <f>IF(OR($O254=$M254,$O254=$M254-1,$O254=0,$O254=""),"","*CHECK!*")</f>
        <v/>
      </c>
      <c r="R254" s="633" t="s">
        <v>2517</v>
      </c>
    </row>
    <row r="255" spans="1:27">
      <c r="A255" s="74" t="s">
        <v>227</v>
      </c>
      <c r="B255" s="96" t="s">
        <v>2604</v>
      </c>
      <c r="E255" s="18" t="s">
        <v>1815</v>
      </c>
      <c r="I255" s="1067"/>
      <c r="L255" s="1309"/>
      <c r="M255" s="349">
        <v>3</v>
      </c>
      <c r="N255" s="30" t="s">
        <v>227</v>
      </c>
      <c r="O255" s="305"/>
      <c r="P255" s="313"/>
      <c r="Q255" s="635" t="str">
        <f>IF(OR($O255=$M255,$O255=$M255-1,$O255=0,$O255=""),"","*CHECK!*")</f>
        <v/>
      </c>
      <c r="R255" s="633" t="s">
        <v>2517</v>
      </c>
    </row>
    <row r="256" spans="1:27" s="21" customFormat="1" ht="10.5" customHeight="1" thickBot="1">
      <c r="A256" s="45"/>
      <c r="B256" s="749" t="s">
        <v>1739</v>
      </c>
      <c r="C256" s="45"/>
      <c r="D256" s="50"/>
      <c r="E256" s="50"/>
      <c r="F256" s="50"/>
      <c r="G256" s="50"/>
      <c r="H256" s="15"/>
      <c r="I256" s="15"/>
      <c r="J256" s="15"/>
      <c r="K256" s="15"/>
      <c r="M256" s="34"/>
      <c r="N256" s="60"/>
      <c r="O256" s="3"/>
      <c r="P256" s="11"/>
    </row>
    <row r="257" spans="1:21" s="21" customFormat="1" ht="21.75" customHeight="1" thickTop="1" thickBot="1">
      <c r="A257" s="4359"/>
      <c r="B257" s="4360"/>
      <c r="C257" s="4360"/>
      <c r="D257" s="4360"/>
      <c r="E257" s="4360"/>
      <c r="F257" s="4360"/>
      <c r="G257" s="4360"/>
      <c r="H257" s="4360"/>
      <c r="I257" s="4360"/>
      <c r="J257" s="4360"/>
      <c r="K257" s="4360"/>
      <c r="L257" s="4360"/>
      <c r="M257" s="4360"/>
      <c r="N257" s="4360"/>
      <c r="O257" s="4360"/>
      <c r="P257" s="4361"/>
      <c r="Q257" s="259" t="s">
        <v>2152</v>
      </c>
    </row>
    <row r="258" spans="1:21" s="21" customFormat="1" ht="10.5" customHeight="1" thickTop="1">
      <c r="B258" s="39" t="s">
        <v>1399</v>
      </c>
      <c r="C258" s="811"/>
      <c r="D258" s="39"/>
      <c r="E258" s="48"/>
      <c r="F258" s="710"/>
      <c r="G258" s="710"/>
      <c r="H258" s="710"/>
      <c r="I258" s="710"/>
      <c r="J258" s="710"/>
      <c r="K258" s="710"/>
      <c r="L258" s="710"/>
      <c r="M258" s="710"/>
      <c r="N258" s="2851"/>
      <c r="O258" s="33"/>
      <c r="P258" s="82"/>
    </row>
    <row r="259" spans="1:21" s="21" customFormat="1" ht="11.25" customHeight="1">
      <c r="A259" s="4150"/>
      <c r="B259" s="4151"/>
      <c r="C259" s="4151"/>
      <c r="D259" s="4151"/>
      <c r="E259" s="4151"/>
      <c r="F259" s="4151"/>
      <c r="G259" s="4151"/>
      <c r="H259" s="4151"/>
      <c r="I259" s="4151"/>
      <c r="J259" s="4151"/>
      <c r="K259" s="4151"/>
      <c r="L259" s="4151"/>
      <c r="M259" s="4151"/>
      <c r="N259" s="4151"/>
      <c r="O259" s="4151"/>
      <c r="P259" s="4152"/>
      <c r="Q259" s="258"/>
    </row>
    <row r="260" spans="1:21" ht="6" customHeight="1" thickBot="1">
      <c r="N260" s="60"/>
      <c r="T260" s="672"/>
      <c r="U260" s="672"/>
    </row>
    <row r="261" spans="1:21" s="21" customFormat="1" ht="13.5" customHeight="1" thickBot="1">
      <c r="A261" s="84" t="s">
        <v>1470</v>
      </c>
      <c r="B261" s="52" t="s">
        <v>1816</v>
      </c>
      <c r="D261" s="19"/>
      <c r="E261" s="19"/>
      <c r="F261" s="19"/>
      <c r="H261" s="18"/>
      <c r="J261" s="714"/>
      <c r="K261" s="50"/>
      <c r="L261" s="30" t="s">
        <v>2605</v>
      </c>
      <c r="M261" s="82">
        <v>4</v>
      </c>
      <c r="N261" s="34"/>
      <c r="O261" s="693">
        <f>IF(AND(O262&gt;0,O266&gt;0),"AorB?",MIN($M261,SUM(O262,O266,O268)))</f>
        <v>0</v>
      </c>
      <c r="P261" s="693">
        <f>IF(AND(P262&gt;0,P266&gt;0),"AorB?",MIN($M261,SUM(P262,P266,P268)))</f>
        <v>0</v>
      </c>
      <c r="Q261" s="55" t="s">
        <v>1716</v>
      </c>
      <c r="T261" s="672"/>
      <c r="U261" s="672"/>
    </row>
    <row r="262" spans="1:21" s="44" customFormat="1" ht="11.25" customHeight="1">
      <c r="A262" s="74" t="s">
        <v>194</v>
      </c>
      <c r="B262" s="96" t="s">
        <v>1817</v>
      </c>
      <c r="D262" s="29"/>
      <c r="E262" s="29"/>
      <c r="F262" s="22"/>
      <c r="G262"/>
      <c r="L262" s="218"/>
      <c r="M262" s="349">
        <v>3</v>
      </c>
      <c r="N262" s="30" t="s">
        <v>194</v>
      </c>
      <c r="O262" s="961">
        <f>IF(OR(AND(O263="Yes",O264="Yes",O265="Yes"),AND(O263="Yes",O265="Yes"),AND(O264="Yes",O265="Yes"),AND(O263="Yes",O264="Yes")),"choose",IF(O263="Yes",$M$263,IF(O264="Yes",$M$264, IF(O265="Yes",$M$265,0))))</f>
        <v>0</v>
      </c>
      <c r="P262" s="961">
        <f>IF(OR(AND(P263="Yes",P264="Yes",P265="Yes"),AND(P263="Yes",P265="Yes"),AND(P264="Yes",P265="Yes"),AND(P263="Yes",P264="Yes")),"choose",IF(P263="Yes",$M$263,IF(P264="Yes",$M$264, IF(P265="Yes",$M$265,0))))</f>
        <v>0</v>
      </c>
      <c r="Q262" s="635"/>
      <c r="R262" s="692"/>
      <c r="T262" s="672"/>
      <c r="U262" s="672"/>
    </row>
    <row r="263" spans="1:21" s="44" customFormat="1" ht="11.25" customHeight="1">
      <c r="A263" s="74"/>
      <c r="B263" s="217" t="s">
        <v>209</v>
      </c>
      <c r="C263" s="18" t="s">
        <v>1818</v>
      </c>
      <c r="D263" s="29"/>
      <c r="E263" s="29"/>
      <c r="F263" s="22"/>
      <c r="G263"/>
      <c r="L263" s="218"/>
      <c r="M263" s="349">
        <v>3</v>
      </c>
      <c r="N263" s="105" t="s">
        <v>209</v>
      </c>
      <c r="O263" s="1033"/>
      <c r="P263" s="1034"/>
      <c r="Q263" s="635"/>
      <c r="R263" s="692"/>
      <c r="T263" s="672"/>
      <c r="U263" s="672"/>
    </row>
    <row r="264" spans="1:21" s="44" customFormat="1" ht="11.25" customHeight="1">
      <c r="A264" s="74"/>
      <c r="B264" s="254" t="s">
        <v>217</v>
      </c>
      <c r="C264" s="18" t="s">
        <v>1819</v>
      </c>
      <c r="D264" s="29"/>
      <c r="E264" s="29"/>
      <c r="F264" s="22"/>
      <c r="G264"/>
      <c r="L264" s="218"/>
      <c r="M264" s="349">
        <v>2</v>
      </c>
      <c r="N264" s="105" t="s">
        <v>217</v>
      </c>
      <c r="O264" s="211"/>
      <c r="P264" s="315"/>
      <c r="Q264" s="635"/>
      <c r="R264" s="692"/>
      <c r="T264" s="672"/>
      <c r="U264" s="672"/>
    </row>
    <row r="265" spans="1:21" s="44" customFormat="1" ht="10.5" customHeight="1">
      <c r="A265" s="74"/>
      <c r="B265" s="254" t="s">
        <v>221</v>
      </c>
      <c r="C265" s="18" t="s">
        <v>1820</v>
      </c>
      <c r="D265" s="29"/>
      <c r="E265" s="29"/>
      <c r="F265" s="22"/>
      <c r="G265"/>
      <c r="K265" s="30"/>
      <c r="M265" s="349">
        <v>1</v>
      </c>
      <c r="N265" s="105" t="s">
        <v>221</v>
      </c>
      <c r="O265" s="124"/>
      <c r="P265" s="316"/>
      <c r="R265" s="153"/>
      <c r="T265" s="672"/>
      <c r="U265" s="672"/>
    </row>
    <row r="266" spans="1:21" s="21" customFormat="1" ht="11.25" customHeight="1">
      <c r="A266" s="74" t="s">
        <v>206</v>
      </c>
      <c r="B266" s="96" t="s">
        <v>1821</v>
      </c>
      <c r="D266" s="15"/>
      <c r="K266" s="15"/>
      <c r="L266" s="218" t="str">
        <f>IF(OR($O266=$M266,$O266=0,$O266=""),"","* * Check Score! * *")</f>
        <v/>
      </c>
      <c r="M266" s="349">
        <v>1</v>
      </c>
      <c r="N266" s="30" t="s">
        <v>206</v>
      </c>
      <c r="O266" s="724">
        <f>IF(O267="Yes",$M$266,0)</f>
        <v>0</v>
      </c>
      <c r="P266" s="724">
        <f>IF(P267="Yes",$M$266,0)</f>
        <v>0</v>
      </c>
      <c r="Q266" s="635" t="str">
        <f>IF(OR($O266=$M266,$O266=0,$O266=""),"","*CHECK!*")</f>
        <v/>
      </c>
      <c r="R266" s="692"/>
      <c r="T266" s="672"/>
      <c r="U266" s="672"/>
    </row>
    <row r="267" spans="1:21" s="21" customFormat="1" ht="12" customHeight="1">
      <c r="A267" s="84"/>
      <c r="B267" s="4159" t="s">
        <v>2606</v>
      </c>
      <c r="C267" s="4159"/>
      <c r="D267" s="4159"/>
      <c r="E267" s="4159"/>
      <c r="F267" s="4159"/>
      <c r="G267" s="4159"/>
      <c r="H267" s="4159"/>
      <c r="I267" s="4159"/>
      <c r="J267" s="4159"/>
      <c r="K267" s="4159"/>
      <c r="L267" s="4159"/>
      <c r="M267" s="34"/>
      <c r="N267" s="30"/>
      <c r="O267" s="750"/>
      <c r="P267" s="751"/>
      <c r="Q267" s="153"/>
      <c r="R267" s="218"/>
      <c r="T267" s="672"/>
      <c r="U267" s="672"/>
    </row>
    <row r="268" spans="1:21" s="21" customFormat="1" ht="11.25" customHeight="1">
      <c r="A268" s="74" t="s">
        <v>227</v>
      </c>
      <c r="B268" s="96" t="s">
        <v>1823</v>
      </c>
      <c r="D268" s="15"/>
      <c r="H268" s="102"/>
      <c r="K268" s="15"/>
      <c r="L268" s="218"/>
      <c r="M268" s="349">
        <v>1</v>
      </c>
      <c r="N268" s="30" t="s">
        <v>227</v>
      </c>
      <c r="O268" s="724">
        <f>IF(O262=0,0,IF(O269="Yes",$M$268,0))</f>
        <v>0</v>
      </c>
      <c r="P268" s="724">
        <f>IF(P262=0,0,IF(P269="Yes",$M$268,0))</f>
        <v>0</v>
      </c>
      <c r="Q268" s="635" t="str">
        <f>IF(OR($O268=$M268,$O268=0,$O268=""),"","*CHECK!*")</f>
        <v/>
      </c>
      <c r="R268" s="692"/>
      <c r="T268" s="672"/>
      <c r="U268" s="672"/>
    </row>
    <row r="269" spans="1:21" s="21" customFormat="1" ht="33.75" customHeight="1">
      <c r="B269" s="4142" t="s">
        <v>2607</v>
      </c>
      <c r="C269" s="4142"/>
      <c r="D269" s="4142"/>
      <c r="E269" s="4142"/>
      <c r="F269" s="4142"/>
      <c r="G269" s="4142"/>
      <c r="H269" s="4142"/>
      <c r="I269" s="4142"/>
      <c r="J269" s="4142"/>
      <c r="K269" s="4142"/>
      <c r="L269" s="4142"/>
      <c r="M269" s="34"/>
      <c r="N269" s="30"/>
      <c r="O269" s="717"/>
      <c r="P269" s="716"/>
      <c r="Q269" s="153"/>
      <c r="R269" s="218"/>
      <c r="T269" s="672"/>
      <c r="U269" s="672"/>
    </row>
    <row r="270" spans="1:21" s="21" customFormat="1" ht="22.5" customHeight="1">
      <c r="B270" s="4142" t="s">
        <v>2608</v>
      </c>
      <c r="C270" s="4142"/>
      <c r="D270" s="4142"/>
      <c r="E270" s="4142"/>
      <c r="F270" s="4142"/>
      <c r="G270" s="4142"/>
      <c r="H270" s="4142"/>
      <c r="I270" s="4142"/>
      <c r="J270" s="4142"/>
      <c r="K270" s="4142"/>
      <c r="L270" s="4142"/>
      <c r="M270" s="34"/>
      <c r="N270" s="34"/>
      <c r="O270" s="34"/>
      <c r="P270" s="34"/>
      <c r="Q270" s="153"/>
      <c r="R270" s="218"/>
      <c r="T270" s="672"/>
      <c r="U270" s="672"/>
    </row>
    <row r="271" spans="1:21" s="21" customFormat="1" ht="10.5" customHeight="1">
      <c r="A271" s="45"/>
      <c r="B271" s="39" t="s">
        <v>1399</v>
      </c>
      <c r="C271" s="811"/>
      <c r="D271" s="39"/>
      <c r="E271" s="48"/>
      <c r="F271" s="710"/>
      <c r="G271" s="710"/>
      <c r="H271" s="710"/>
      <c r="I271" s="710"/>
      <c r="J271" s="710"/>
      <c r="K271" s="710"/>
      <c r="L271" s="710"/>
      <c r="M271" s="710"/>
      <c r="N271" s="2851"/>
      <c r="O271" s="33"/>
      <c r="P271" s="82"/>
    </row>
    <row r="272" spans="1:21" s="21" customFormat="1" ht="11.25" customHeight="1">
      <c r="A272" s="4150"/>
      <c r="B272" s="4151"/>
      <c r="C272" s="4151"/>
      <c r="D272" s="4151"/>
      <c r="E272" s="4151"/>
      <c r="F272" s="4151"/>
      <c r="G272" s="4151"/>
      <c r="H272" s="4151"/>
      <c r="I272" s="4151"/>
      <c r="J272" s="4151"/>
      <c r="K272" s="4151"/>
      <c r="L272" s="4151"/>
      <c r="M272" s="4151"/>
      <c r="N272" s="4151"/>
      <c r="O272" s="4151"/>
      <c r="P272" s="4152"/>
      <c r="Q272" s="258"/>
    </row>
    <row r="273" spans="1:24" s="21" customFormat="1" ht="5.25" customHeight="1" thickBot="1">
      <c r="A273" s="45"/>
      <c r="D273" s="15"/>
      <c r="E273" s="15"/>
      <c r="F273" s="82"/>
      <c r="G273" s="82"/>
      <c r="H273" s="82"/>
      <c r="I273" s="82"/>
      <c r="J273" s="18"/>
      <c r="K273" s="18"/>
      <c r="L273" s="18"/>
      <c r="M273" s="714"/>
      <c r="N273" s="82"/>
      <c r="O273" s="11"/>
      <c r="P273" s="11"/>
    </row>
    <row r="274" spans="1:24" s="44" customFormat="1" ht="13.5" customHeight="1" thickBot="1">
      <c r="A274" s="83" t="s">
        <v>1472</v>
      </c>
      <c r="B274" s="52" t="s">
        <v>1825</v>
      </c>
      <c r="D274" s="23"/>
      <c r="E274" s="23"/>
      <c r="G274" s="1327"/>
      <c r="H274" s="102"/>
      <c r="I274" s="1325" t="s">
        <v>1709</v>
      </c>
      <c r="J274" s="1607" t="str">
        <f>M60</f>
        <v>&lt;&lt; Select Pool &gt;&gt;</v>
      </c>
      <c r="K274" s="102"/>
      <c r="L274" s="294" t="str">
        <f>IF(NOT(J274="Atlanta Metro"),"Atlanta Metro Pool not selected!",IF(AND(O276="Yes",O277="Yes"),"Choose A or B!",""))</f>
        <v>Atlanta Metro Pool not selected!</v>
      </c>
      <c r="M274" s="82">
        <v>2</v>
      </c>
      <c r="N274" s="34"/>
      <c r="O274" s="693">
        <f>IF(AND($J$274="Atlanta Metro",O276="Yes"),$M$276,IF(AND($J$274="Atlanta Metro",O277="Yes"),$M$277,0))</f>
        <v>0</v>
      </c>
      <c r="P274" s="693">
        <f>IF(AND($J$274="Atlanta Metro",P276="Yes"),$M$276,IF(AND($J$274="Atlanta Metro",P277="Yes"),$M$277,0))</f>
        <v>0</v>
      </c>
      <c r="Q274" s="55" t="s">
        <v>1716</v>
      </c>
      <c r="R274" s="1332"/>
      <c r="S274" s="1332"/>
      <c r="T274" s="1332"/>
      <c r="U274" s="1332"/>
      <c r="V274" s="1332"/>
    </row>
    <row r="275" spans="1:24" s="44" customFormat="1" ht="3" customHeight="1">
      <c r="A275" s="83"/>
      <c r="B275" s="52"/>
      <c r="D275" s="23"/>
      <c r="E275" s="23"/>
      <c r="G275" s="102"/>
      <c r="M275" s="347"/>
      <c r="Q275" s="55"/>
      <c r="R275" s="1332"/>
      <c r="S275" s="1332"/>
      <c r="T275" s="1332"/>
      <c r="U275" s="1332"/>
      <c r="V275" s="1332"/>
      <c r="W275" s="21"/>
      <c r="X275" s="21"/>
    </row>
    <row r="276" spans="1:24" ht="11.25" customHeight="1">
      <c r="A276" s="542" t="s">
        <v>194</v>
      </c>
      <c r="B276" s="708" t="s">
        <v>2609</v>
      </c>
      <c r="D276" s="275"/>
      <c r="E276" s="275"/>
      <c r="F276" s="275"/>
      <c r="G276" s="275"/>
      <c r="H276" s="275"/>
      <c r="L276" s="275"/>
      <c r="M276" s="705">
        <v>1</v>
      </c>
      <c r="N276" s="30" t="s">
        <v>194</v>
      </c>
      <c r="O276" s="1033"/>
      <c r="P276" s="1034"/>
      <c r="Q276" s="640">
        <f>IF(L276="Yes",1,0)</f>
        <v>0</v>
      </c>
      <c r="R276" s="1332"/>
      <c r="S276" s="1332"/>
      <c r="T276" s="1332"/>
      <c r="U276" s="1332"/>
      <c r="V276" s="1332"/>
    </row>
    <row r="277" spans="1:24" ht="11.25" customHeight="1">
      <c r="A277" s="542" t="s">
        <v>206</v>
      </c>
      <c r="B277" s="708" t="s">
        <v>2610</v>
      </c>
      <c r="D277" s="275"/>
      <c r="L277" s="275"/>
      <c r="M277" s="705">
        <v>2</v>
      </c>
      <c r="N277" s="30" t="s">
        <v>206</v>
      </c>
      <c r="O277" s="124"/>
      <c r="P277" s="316"/>
      <c r="Q277" s="640">
        <f>IF(L277="Yes",1,0)</f>
        <v>0</v>
      </c>
      <c r="R277" s="1332"/>
      <c r="S277" s="1332"/>
      <c r="T277" s="1332"/>
      <c r="U277" s="1332"/>
      <c r="V277" s="1332"/>
    </row>
    <row r="278" spans="1:24" ht="11.25" customHeight="1">
      <c r="B278" s="157" t="s">
        <v>2611</v>
      </c>
      <c r="D278" s="275"/>
      <c r="L278" s="275"/>
      <c r="M278" s="705"/>
      <c r="N278" s="705"/>
      <c r="O278" s="705"/>
      <c r="P278" s="705"/>
      <c r="Q278" s="640"/>
      <c r="R278" s="1332"/>
      <c r="S278" s="1332"/>
      <c r="T278" s="1332"/>
      <c r="U278" s="1332"/>
      <c r="V278" s="1332"/>
    </row>
    <row r="279" spans="1:24" ht="38.25" customHeight="1">
      <c r="B279" s="4153"/>
      <c r="C279" s="4154"/>
      <c r="D279" s="4154"/>
      <c r="E279" s="4154"/>
      <c r="F279" s="4154"/>
      <c r="G279" s="4154"/>
      <c r="H279" s="4154"/>
      <c r="I279" s="4154"/>
      <c r="J279" s="4154"/>
      <c r="K279" s="4154"/>
      <c r="L279" s="4154"/>
      <c r="M279" s="4154"/>
      <c r="N279" s="4154"/>
      <c r="O279" s="4154"/>
      <c r="P279" s="4155"/>
      <c r="Q279" s="640"/>
      <c r="R279" s="1332"/>
      <c r="S279" s="1332"/>
      <c r="T279" s="1332"/>
      <c r="U279" s="1332"/>
      <c r="V279" s="1332"/>
    </row>
    <row r="280" spans="1:24" s="21" customFormat="1" ht="10.5" customHeight="1" thickBot="1">
      <c r="A280" s="45"/>
      <c r="B280" s="749" t="s">
        <v>1739</v>
      </c>
      <c r="C280" s="45"/>
      <c r="D280" s="50"/>
      <c r="E280" s="50"/>
      <c r="F280" s="50"/>
      <c r="G280" s="50"/>
      <c r="H280" s="15"/>
      <c r="I280" s="15"/>
      <c r="J280" s="15"/>
      <c r="K280" s="15"/>
      <c r="M280" s="34"/>
      <c r="N280" s="60"/>
      <c r="O280" s="3"/>
      <c r="P280" s="11"/>
      <c r="R280" s="1332"/>
      <c r="S280" s="1332"/>
      <c r="T280" s="1332"/>
      <c r="U280" s="1332"/>
      <c r="V280" s="1332"/>
    </row>
    <row r="281" spans="1:24" s="21" customFormat="1" ht="34.9" customHeight="1" thickTop="1" thickBot="1">
      <c r="A281" s="4359"/>
      <c r="B281" s="4360"/>
      <c r="C281" s="4360"/>
      <c r="D281" s="4360"/>
      <c r="E281" s="4360"/>
      <c r="F281" s="4360"/>
      <c r="G281" s="4360"/>
      <c r="H281" s="4360"/>
      <c r="I281" s="4360"/>
      <c r="J281" s="4360"/>
      <c r="K281" s="4360"/>
      <c r="L281" s="4360"/>
      <c r="M281" s="4360"/>
      <c r="N281" s="4360"/>
      <c r="O281" s="4360"/>
      <c r="P281" s="4361"/>
      <c r="Q281" s="259" t="s">
        <v>2152</v>
      </c>
    </row>
    <row r="282" spans="1:24" s="21" customFormat="1" ht="10.5" customHeight="1" thickTop="1">
      <c r="A282" s="45"/>
      <c r="B282" s="39" t="s">
        <v>1399</v>
      </c>
      <c r="C282" s="45"/>
      <c r="D282" s="39"/>
      <c r="E282" s="710"/>
      <c r="F282" s="710"/>
      <c r="G282" s="710"/>
      <c r="H282" s="710"/>
      <c r="I282" s="710"/>
      <c r="J282" s="710"/>
      <c r="K282" s="710"/>
      <c r="L282" s="710"/>
      <c r="M282" s="710"/>
      <c r="N282" s="2851"/>
      <c r="O282" s="33"/>
      <c r="P282" s="82"/>
    </row>
    <row r="283" spans="1:24" s="21" customFormat="1" ht="11.25" customHeight="1">
      <c r="A283" s="4418"/>
      <c r="B283" s="4419"/>
      <c r="C283" s="4419"/>
      <c r="D283" s="4419"/>
      <c r="E283" s="4419"/>
      <c r="F283" s="4419"/>
      <c r="G283" s="4419"/>
      <c r="H283" s="4419"/>
      <c r="I283" s="4419"/>
      <c r="J283" s="4419"/>
      <c r="K283" s="4419"/>
      <c r="L283" s="4419"/>
      <c r="M283" s="4419"/>
      <c r="N283" s="4419"/>
      <c r="O283" s="4419"/>
      <c r="P283" s="4420"/>
      <c r="Q283" s="258"/>
    </row>
    <row r="284" spans="1:24" s="21" customFormat="1" ht="5.25" customHeight="1" thickBot="1">
      <c r="A284" s="45"/>
      <c r="D284" s="15"/>
      <c r="E284" s="15"/>
      <c r="F284" s="82"/>
      <c r="G284" s="82"/>
      <c r="H284" s="82"/>
      <c r="I284" s="82"/>
      <c r="J284" s="18"/>
      <c r="K284" s="18"/>
      <c r="L284" s="18"/>
      <c r="M284" s="714"/>
      <c r="N284" s="82"/>
      <c r="O284" s="11"/>
      <c r="P284" s="3"/>
    </row>
    <row r="285" spans="1:24" s="44" customFormat="1" ht="13.5" customHeight="1" thickBot="1">
      <c r="A285" s="83" t="s">
        <v>1481</v>
      </c>
      <c r="B285" s="52" t="s">
        <v>1828</v>
      </c>
      <c r="D285" s="23"/>
      <c r="E285" s="23"/>
      <c r="G285" s="1327"/>
      <c r="H285" s="102"/>
      <c r="I285" s="102" t="s">
        <v>2612</v>
      </c>
      <c r="J285" s="102"/>
      <c r="K285" s="102"/>
      <c r="L285" s="1602" t="str">
        <f>IF(AND(O295&gt;0,O298&gt;0), "Choose only one option!","")</f>
        <v/>
      </c>
      <c r="M285" s="82">
        <v>2</v>
      </c>
      <c r="N285" s="34"/>
      <c r="O285" s="693">
        <f>IF(O295=$M$295,$M$295,IF(O298=$M$298,$M$298,0))</f>
        <v>0</v>
      </c>
      <c r="P285" s="693">
        <f>IF(P295=$M$295,$M$295,IF(P298=$M$298,$M$298,0))</f>
        <v>0</v>
      </c>
      <c r="Q285" s="55" t="s">
        <v>1716</v>
      </c>
      <c r="R285" s="1332"/>
      <c r="S285" s="1332"/>
      <c r="T285" s="1332"/>
      <c r="U285" s="1332"/>
      <c r="V285" s="1332"/>
    </row>
    <row r="286" spans="1:24" s="44" customFormat="1" ht="11.25" customHeight="1">
      <c r="A286" s="83"/>
      <c r="B286" s="15" t="s">
        <v>2613</v>
      </c>
      <c r="D286" s="23"/>
      <c r="E286" s="23"/>
      <c r="G286" s="102"/>
      <c r="J286" s="1061"/>
      <c r="M286" s="347"/>
      <c r="Q286" s="55"/>
      <c r="R286" s="1332"/>
      <c r="S286" s="1332"/>
      <c r="T286" s="1332"/>
      <c r="U286" s="1332"/>
      <c r="V286" s="1332"/>
      <c r="W286" s="21"/>
      <c r="X286" s="21"/>
    </row>
    <row r="287" spans="1:24" s="44" customFormat="1" ht="11.25" customHeight="1">
      <c r="A287" s="83"/>
      <c r="C287" s="15" t="s">
        <v>1832</v>
      </c>
      <c r="G287" s="102"/>
      <c r="I287" s="4563"/>
      <c r="J287" s="4564"/>
      <c r="K287" s="4565"/>
      <c r="L287" s="4566"/>
      <c r="M287" s="347"/>
      <c r="O287" s="1596"/>
      <c r="P287" s="1597"/>
      <c r="Q287" s="55"/>
      <c r="R287" s="1332"/>
      <c r="S287" s="1332"/>
      <c r="T287" s="1332"/>
      <c r="U287" s="1332"/>
      <c r="V287" s="1332"/>
      <c r="W287" s="21"/>
      <c r="X287" s="21"/>
    </row>
    <row r="288" spans="1:24" s="44" customFormat="1" ht="11.25" customHeight="1">
      <c r="A288" s="83"/>
      <c r="C288" s="15" t="s">
        <v>1833</v>
      </c>
      <c r="G288" s="102"/>
      <c r="I288" s="4567"/>
      <c r="J288" s="4568"/>
      <c r="M288" s="347"/>
      <c r="O288" s="1596"/>
      <c r="P288" s="1597"/>
      <c r="Q288" s="55"/>
      <c r="R288" s="1332"/>
      <c r="S288" s="1332"/>
      <c r="T288" s="1332"/>
      <c r="U288" s="1332"/>
      <c r="V288" s="1332"/>
      <c r="W288" s="21"/>
      <c r="X288" s="21"/>
    </row>
    <row r="289" spans="1:24" s="44" customFormat="1" ht="11.25" customHeight="1">
      <c r="A289" s="83"/>
      <c r="C289" s="15" t="s">
        <v>1834</v>
      </c>
      <c r="G289" s="102"/>
      <c r="I289" s="4569" t="s">
        <v>1835</v>
      </c>
      <c r="J289" s="4570"/>
      <c r="K289" s="4571"/>
      <c r="L289" s="4572"/>
      <c r="M289" s="347"/>
      <c r="O289" s="4573" t="s">
        <v>2531</v>
      </c>
      <c r="P289" s="4573" t="s">
        <v>1831</v>
      </c>
      <c r="Q289" s="55"/>
      <c r="R289" s="1332"/>
      <c r="S289" s="1332"/>
      <c r="T289" s="1332"/>
      <c r="U289" s="1332"/>
      <c r="V289" s="1332"/>
      <c r="W289" s="21"/>
      <c r="X289" s="21"/>
    </row>
    <row r="290" spans="1:24" s="21" customFormat="1" ht="11.25" customHeight="1">
      <c r="A290" s="83"/>
      <c r="B290" s="15" t="s">
        <v>2614</v>
      </c>
      <c r="D290" s="19"/>
      <c r="H290" s="96"/>
      <c r="M290" s="82"/>
      <c r="N290" s="30"/>
      <c r="O290" s="4574"/>
      <c r="P290" s="4574"/>
      <c r="Q290" s="55"/>
      <c r="R290" s="702"/>
      <c r="S290" s="702"/>
      <c r="T290" s="702"/>
      <c r="U290" s="702"/>
    </row>
    <row r="291" spans="1:24" s="21" customFormat="1" ht="11.25" customHeight="1">
      <c r="A291" s="1595"/>
      <c r="B291" s="88" t="s">
        <v>2218</v>
      </c>
      <c r="C291" s="15" t="s">
        <v>2615</v>
      </c>
      <c r="D291" s="703"/>
      <c r="E291" s="44"/>
      <c r="F291" s="44"/>
      <c r="G291" s="44"/>
      <c r="H291" s="23"/>
      <c r="N291" s="88" t="s">
        <v>2218</v>
      </c>
      <c r="O291" s="1033"/>
      <c r="P291" s="1034"/>
      <c r="Q291" s="55"/>
      <c r="R291" s="702"/>
      <c r="S291" s="702"/>
      <c r="T291" s="702"/>
      <c r="U291" s="702"/>
    </row>
    <row r="292" spans="1:24" s="21" customFormat="1" ht="11.25" customHeight="1">
      <c r="A292" s="1595"/>
      <c r="B292" s="30" t="s">
        <v>2220</v>
      </c>
      <c r="C292" s="27" t="s">
        <v>2616</v>
      </c>
      <c r="D292" s="703"/>
      <c r="E292" s="44"/>
      <c r="F292" s="44"/>
      <c r="G292" s="44"/>
      <c r="H292" s="23"/>
      <c r="M292" s="44"/>
      <c r="N292" s="30" t="s">
        <v>2220</v>
      </c>
      <c r="O292" s="211"/>
      <c r="P292" s="315"/>
      <c r="Q292" s="55"/>
      <c r="R292" s="702"/>
      <c r="S292" s="702"/>
      <c r="T292" s="702"/>
      <c r="U292" s="702"/>
    </row>
    <row r="293" spans="1:24" s="21" customFormat="1" ht="11.25" customHeight="1">
      <c r="A293" s="1595"/>
      <c r="B293" s="30" t="s">
        <v>2418</v>
      </c>
      <c r="C293" s="15" t="s">
        <v>2617</v>
      </c>
      <c r="D293" s="703"/>
      <c r="E293" s="44"/>
      <c r="F293" s="44"/>
      <c r="G293" s="44"/>
      <c r="H293" s="23"/>
      <c r="I293" s="25"/>
      <c r="J293" s="50"/>
      <c r="K293" s="50"/>
      <c r="L293" s="44"/>
      <c r="M293" s="44"/>
      <c r="N293" s="30" t="s">
        <v>2418</v>
      </c>
      <c r="O293" s="124"/>
      <c r="P293" s="316"/>
      <c r="Q293" s="55"/>
      <c r="R293" s="702"/>
      <c r="S293" s="702"/>
      <c r="T293" s="702"/>
      <c r="U293" s="702"/>
    </row>
    <row r="294" spans="1:24" s="21" customFormat="1" ht="3" customHeight="1" thickBot="1">
      <c r="A294" s="45"/>
      <c r="D294" s="15"/>
      <c r="E294" s="15"/>
      <c r="F294" s="82"/>
      <c r="G294" s="82"/>
      <c r="H294" s="82"/>
      <c r="I294" s="82"/>
      <c r="J294" s="18"/>
      <c r="K294" s="18"/>
      <c r="L294" s="18"/>
      <c r="M294" s="714"/>
      <c r="N294" s="82"/>
      <c r="O294" s="11"/>
      <c r="P294" s="3"/>
    </row>
    <row r="295" spans="1:24" ht="11.25" customHeight="1" thickBot="1">
      <c r="A295" s="542" t="s">
        <v>194</v>
      </c>
      <c r="B295" s="708" t="s">
        <v>1837</v>
      </c>
      <c r="D295" s="275"/>
      <c r="E295" s="275"/>
      <c r="G295" s="275" t="s">
        <v>1838</v>
      </c>
      <c r="H295" s="275"/>
      <c r="L295" s="275"/>
      <c r="M295" s="705">
        <v>2</v>
      </c>
      <c r="N295" s="30" t="s">
        <v>194</v>
      </c>
      <c r="O295" s="720"/>
      <c r="P295" s="706"/>
      <c r="Q295" s="1520" t="str">
        <f>IF(OR(O295=0,O295="",O295=$M295),"","Check!")</f>
        <v/>
      </c>
      <c r="R295" s="692" t="s">
        <v>2582</v>
      </c>
      <c r="S295" s="1332"/>
      <c r="T295" s="1332"/>
      <c r="U295" s="1332"/>
      <c r="V295" s="1332"/>
    </row>
    <row r="296" spans="1:24" s="238" customFormat="1" ht="21.75" customHeight="1">
      <c r="A296" s="1312"/>
      <c r="B296" s="254" t="s">
        <v>209</v>
      </c>
      <c r="C296" s="4142" t="s">
        <v>1839</v>
      </c>
      <c r="D296" s="4142"/>
      <c r="E296" s="4142"/>
      <c r="F296" s="4142"/>
      <c r="G296" s="4142"/>
      <c r="H296" s="4142"/>
      <c r="I296" s="4142"/>
      <c r="J296" s="4142"/>
      <c r="K296" s="4142"/>
      <c r="L296" s="4142"/>
      <c r="M296" s="4142"/>
      <c r="N296" s="105" t="s">
        <v>209</v>
      </c>
      <c r="O296" s="1033"/>
      <c r="P296" s="1034"/>
      <c r="Q296" s="237"/>
      <c r="R296" s="1519"/>
      <c r="S296" s="1519"/>
      <c r="T296" s="1519"/>
      <c r="U296" s="1519"/>
    </row>
    <row r="297" spans="1:24" s="238" customFormat="1" ht="21.75" customHeight="1" thickBot="1">
      <c r="A297" s="1312"/>
      <c r="B297" s="254" t="s">
        <v>217</v>
      </c>
      <c r="C297" s="4142" t="s">
        <v>2618</v>
      </c>
      <c r="D297" s="4142"/>
      <c r="E297" s="4142"/>
      <c r="F297" s="4142"/>
      <c r="G297" s="4142"/>
      <c r="H297" s="4142"/>
      <c r="I297" s="4142"/>
      <c r="J297" s="4142"/>
      <c r="K297" s="4142"/>
      <c r="L297" s="4142"/>
      <c r="M297" s="4142"/>
      <c r="N297" s="105" t="s">
        <v>217</v>
      </c>
      <c r="O297" s="717"/>
      <c r="P297" s="716"/>
      <c r="Q297" s="237"/>
      <c r="R297" s="1519"/>
      <c r="S297" s="1519"/>
      <c r="T297" s="1519"/>
      <c r="U297" s="1519"/>
    </row>
    <row r="298" spans="1:24" ht="11.25" customHeight="1" thickBot="1">
      <c r="A298" s="542" t="s">
        <v>206</v>
      </c>
      <c r="B298" s="708" t="s">
        <v>1841</v>
      </c>
      <c r="D298" s="275"/>
      <c r="G298" s="27" t="s">
        <v>2619</v>
      </c>
      <c r="L298" s="275"/>
      <c r="M298" s="705">
        <v>2</v>
      </c>
      <c r="N298" s="30" t="s">
        <v>206</v>
      </c>
      <c r="O298" s="720"/>
      <c r="P298" s="706"/>
      <c r="Q298" s="1520" t="str">
        <f>IF(OR(O298=0,O298="",O298=$M298),"","Check!")</f>
        <v/>
      </c>
      <c r="R298" s="692" t="s">
        <v>2582</v>
      </c>
      <c r="S298" s="1332"/>
      <c r="T298" s="1332"/>
      <c r="U298" s="1332"/>
      <c r="V298" s="1332"/>
    </row>
    <row r="299" spans="1:24" s="238" customFormat="1" ht="10.5" customHeight="1">
      <c r="A299" s="1312"/>
      <c r="B299" s="254" t="s">
        <v>209</v>
      </c>
      <c r="C299" s="4142" t="s">
        <v>2620</v>
      </c>
      <c r="D299" s="4142"/>
      <c r="E299" s="4142"/>
      <c r="F299" s="4142"/>
      <c r="G299" s="4142"/>
      <c r="H299" s="4142"/>
      <c r="I299" s="4142"/>
      <c r="J299" s="4142"/>
      <c r="K299" s="4142"/>
      <c r="L299" s="4142"/>
      <c r="M299" s="4142"/>
      <c r="N299" s="105" t="s">
        <v>209</v>
      </c>
      <c r="O299" s="1033"/>
      <c r="P299" s="1034"/>
      <c r="Q299" s="237"/>
      <c r="R299" s="1519"/>
      <c r="S299" s="1519"/>
      <c r="T299" s="1519"/>
      <c r="U299" s="1519"/>
    </row>
    <row r="300" spans="1:24" s="238" customFormat="1" ht="10.5" customHeight="1">
      <c r="A300" s="1312"/>
      <c r="B300" s="254" t="s">
        <v>217</v>
      </c>
      <c r="C300" s="4142" t="s">
        <v>2621</v>
      </c>
      <c r="D300" s="4142"/>
      <c r="E300" s="4142"/>
      <c r="F300" s="4142"/>
      <c r="G300" s="4142"/>
      <c r="H300" s="4142"/>
      <c r="I300" s="4142"/>
      <c r="J300" s="4142"/>
      <c r="K300" s="4142"/>
      <c r="L300" s="4142"/>
      <c r="M300" s="4142"/>
      <c r="N300" s="105" t="s">
        <v>217</v>
      </c>
      <c r="O300" s="717"/>
      <c r="P300" s="716"/>
      <c r="Q300" s="237"/>
      <c r="R300" s="1519"/>
      <c r="S300" s="1519"/>
      <c r="T300" s="1519"/>
      <c r="U300" s="1519"/>
    </row>
    <row r="301" spans="1:24" s="238" customFormat="1" ht="10.5" customHeight="1">
      <c r="A301" s="1312"/>
      <c r="B301" s="254" t="s">
        <v>221</v>
      </c>
      <c r="C301" s="541" t="s">
        <v>2622</v>
      </c>
      <c r="D301" s="710"/>
      <c r="E301" s="710"/>
      <c r="F301" s="710"/>
      <c r="G301" s="710"/>
      <c r="H301" s="710"/>
      <c r="I301" s="710"/>
      <c r="J301" s="710"/>
      <c r="K301" s="710"/>
      <c r="L301" s="710"/>
      <c r="M301" s="710"/>
      <c r="N301" s="105" t="s">
        <v>221</v>
      </c>
      <c r="O301" s="710"/>
      <c r="P301" s="710"/>
      <c r="Q301" s="237"/>
      <c r="R301" s="1519"/>
      <c r="S301" s="1519"/>
      <c r="T301" s="1519"/>
      <c r="U301" s="1519"/>
    </row>
    <row r="302" spans="1:24" s="21" customFormat="1" ht="11.25" customHeight="1">
      <c r="A302" s="83"/>
      <c r="B302" s="88" t="s">
        <v>2218</v>
      </c>
      <c r="C302" s="15" t="s">
        <v>2623</v>
      </c>
      <c r="D302" s="703"/>
      <c r="E302" s="44"/>
      <c r="F302" s="44"/>
      <c r="G302" s="44"/>
      <c r="H302" s="23"/>
      <c r="I302" s="25"/>
      <c r="M302" s="82"/>
      <c r="N302" s="88" t="s">
        <v>2218</v>
      </c>
      <c r="O302" s="1033"/>
      <c r="P302" s="1034"/>
      <c r="Q302" s="55"/>
      <c r="R302" s="702"/>
      <c r="S302" s="702"/>
      <c r="T302" s="702"/>
      <c r="U302" s="702"/>
    </row>
    <row r="303" spans="1:24" s="21" customFormat="1" ht="11.25" customHeight="1">
      <c r="A303" s="83"/>
      <c r="B303" s="30" t="s">
        <v>2220</v>
      </c>
      <c r="C303" s="15" t="s">
        <v>2624</v>
      </c>
      <c r="D303" s="703"/>
      <c r="E303" s="44"/>
      <c r="F303" s="44"/>
      <c r="G303" s="44"/>
      <c r="H303" s="23"/>
      <c r="I303" s="25"/>
      <c r="J303" s="50"/>
      <c r="K303" s="50"/>
      <c r="L303" s="44"/>
      <c r="M303" s="44"/>
      <c r="N303" s="30" t="s">
        <v>2220</v>
      </c>
      <c r="O303" s="211"/>
      <c r="P303" s="315"/>
      <c r="Q303" s="55"/>
      <c r="R303" s="702"/>
      <c r="S303" s="702"/>
      <c r="T303" s="702"/>
      <c r="U303" s="702"/>
    </row>
    <row r="304" spans="1:24" s="238" customFormat="1" ht="21.75" customHeight="1">
      <c r="A304" s="1312"/>
      <c r="B304" s="254" t="s">
        <v>261</v>
      </c>
      <c r="C304" s="4142" t="s">
        <v>2625</v>
      </c>
      <c r="D304" s="4142"/>
      <c r="E304" s="4142"/>
      <c r="F304" s="4142"/>
      <c r="G304" s="4142"/>
      <c r="H304" s="4142"/>
      <c r="I304" s="4142"/>
      <c r="J304" s="4142"/>
      <c r="K304" s="4142"/>
      <c r="L304" s="4142"/>
      <c r="M304" s="4142"/>
      <c r="N304" s="105" t="s">
        <v>261</v>
      </c>
      <c r="O304" s="717"/>
      <c r="P304" s="716"/>
      <c r="Q304" s="237"/>
      <c r="R304" s="1519"/>
      <c r="S304" s="1519"/>
      <c r="T304" s="1519"/>
      <c r="U304" s="1519"/>
    </row>
    <row r="305" spans="1:22" s="21" customFormat="1" ht="10.5" customHeight="1" thickBot="1">
      <c r="A305" s="45"/>
      <c r="B305" s="749" t="s">
        <v>1739</v>
      </c>
      <c r="C305" s="45"/>
      <c r="D305" s="50"/>
      <c r="E305" s="50"/>
      <c r="F305" s="50"/>
      <c r="G305" s="50"/>
      <c r="H305" s="15"/>
      <c r="I305" s="15"/>
      <c r="J305" s="15"/>
      <c r="K305" s="15"/>
      <c r="M305" s="34"/>
      <c r="N305" s="60"/>
      <c r="O305" s="3"/>
      <c r="P305" s="11"/>
      <c r="R305" s="1332"/>
      <c r="S305" s="1332"/>
      <c r="T305" s="1332"/>
      <c r="U305" s="1332"/>
      <c r="V305" s="1332"/>
    </row>
    <row r="306" spans="1:22" s="21" customFormat="1" ht="34.9" customHeight="1" thickTop="1" thickBot="1">
      <c r="A306" s="4359"/>
      <c r="B306" s="4360"/>
      <c r="C306" s="4360"/>
      <c r="D306" s="4360"/>
      <c r="E306" s="4360"/>
      <c r="F306" s="4360"/>
      <c r="G306" s="4360"/>
      <c r="H306" s="4360"/>
      <c r="I306" s="4360"/>
      <c r="J306" s="4360"/>
      <c r="K306" s="4360"/>
      <c r="L306" s="4360"/>
      <c r="M306" s="4360"/>
      <c r="N306" s="4360"/>
      <c r="O306" s="4360"/>
      <c r="P306" s="4361"/>
      <c r="Q306" s="259" t="s">
        <v>2152</v>
      </c>
    </row>
    <row r="307" spans="1:22" s="21" customFormat="1" ht="10.5" customHeight="1" thickTop="1">
      <c r="A307" s="45"/>
      <c r="B307" s="39" t="s">
        <v>1399</v>
      </c>
      <c r="C307" s="45"/>
      <c r="D307" s="39"/>
      <c r="E307" s="710"/>
      <c r="F307" s="710"/>
      <c r="G307" s="710"/>
      <c r="H307" s="710"/>
      <c r="I307" s="710"/>
      <c r="J307" s="710"/>
      <c r="K307" s="710"/>
      <c r="L307" s="710"/>
      <c r="M307" s="710"/>
      <c r="N307" s="2851"/>
      <c r="O307" s="33"/>
      <c r="P307" s="82"/>
    </row>
    <row r="308" spans="1:22" s="21" customFormat="1" ht="11.25" customHeight="1">
      <c r="A308" s="4418"/>
      <c r="B308" s="4419"/>
      <c r="C308" s="4419"/>
      <c r="D308" s="4419"/>
      <c r="E308" s="4419"/>
      <c r="F308" s="4419"/>
      <c r="G308" s="4419"/>
      <c r="H308" s="4419"/>
      <c r="I308" s="4419"/>
      <c r="J308" s="4419"/>
      <c r="K308" s="4419"/>
      <c r="L308" s="4419"/>
      <c r="M308" s="4419"/>
      <c r="N308" s="4419"/>
      <c r="O308" s="4419"/>
      <c r="P308" s="4420"/>
      <c r="Q308" s="258"/>
    </row>
    <row r="309" spans="1:22" s="21" customFormat="1" ht="2.25" customHeight="1" thickBot="1">
      <c r="A309" s="45"/>
      <c r="D309" s="15"/>
      <c r="E309" s="15"/>
      <c r="F309" s="82"/>
      <c r="G309" s="82"/>
      <c r="H309" s="82"/>
      <c r="I309" s="82"/>
      <c r="J309" s="18"/>
      <c r="K309" s="18"/>
      <c r="L309" s="18"/>
      <c r="M309" s="714"/>
      <c r="N309" s="82"/>
      <c r="O309" s="11"/>
      <c r="P309" s="3"/>
    </row>
    <row r="310" spans="1:22" s="44" customFormat="1" ht="13.5" customHeight="1" thickBot="1">
      <c r="A310" s="83" t="s">
        <v>1491</v>
      </c>
      <c r="B310" s="52" t="s">
        <v>1844</v>
      </c>
      <c r="D310" s="23"/>
      <c r="E310" s="23"/>
      <c r="G310" s="1327"/>
      <c r="H310" s="102"/>
      <c r="I310" s="102"/>
      <c r="J310" s="102"/>
      <c r="K310" s="102"/>
      <c r="L310" s="102"/>
      <c r="M310" s="82">
        <v>2</v>
      </c>
      <c r="N310" s="34"/>
      <c r="O310" s="693">
        <f>IF(OR(O311=$M311,O312=$M312),$M$310,0)</f>
        <v>0</v>
      </c>
      <c r="P310" s="693">
        <f>IF(OR(P311=$M311,P312=$M312),$M$310,0)</f>
        <v>0</v>
      </c>
      <c r="Q310" s="55" t="s">
        <v>1716</v>
      </c>
      <c r="R310" s="1332"/>
      <c r="S310" s="1332"/>
      <c r="T310" s="1332"/>
      <c r="U310" s="1332"/>
      <c r="V310" s="1332"/>
    </row>
    <row r="311" spans="1:22" ht="11.25" customHeight="1">
      <c r="A311" s="542" t="s">
        <v>194</v>
      </c>
      <c r="B311" s="708" t="s">
        <v>1845</v>
      </c>
      <c r="D311" s="275"/>
      <c r="E311" s="275" t="s">
        <v>1846</v>
      </c>
      <c r="F311" s="275"/>
      <c r="G311" s="275"/>
      <c r="H311" s="275"/>
      <c r="I311" s="4384"/>
      <c r="J311" s="4385"/>
      <c r="K311" s="4385"/>
      <c r="L311" s="4386"/>
      <c r="M311" s="705">
        <v>2</v>
      </c>
      <c r="N311" s="30" t="s">
        <v>194</v>
      </c>
      <c r="O311" s="1069"/>
      <c r="P311" s="1070"/>
      <c r="Q311" s="1520" t="str">
        <f>IF(OR(O311=0,O311="",O311=$M311),"","Check!")</f>
        <v/>
      </c>
      <c r="R311" s="692" t="s">
        <v>2582</v>
      </c>
      <c r="S311" s="1332"/>
      <c r="T311" s="1332"/>
      <c r="U311" s="1332"/>
      <c r="V311" s="1332"/>
    </row>
    <row r="312" spans="1:22" ht="11.25" customHeight="1">
      <c r="A312" s="542" t="s">
        <v>206</v>
      </c>
      <c r="B312" s="708" t="s">
        <v>1847</v>
      </c>
      <c r="D312" s="275"/>
      <c r="L312" s="275"/>
      <c r="M312" s="705">
        <v>2</v>
      </c>
      <c r="N312" s="30" t="s">
        <v>206</v>
      </c>
      <c r="O312" s="305"/>
      <c r="P312" s="313"/>
      <c r="Q312" s="1520" t="str">
        <f>IF(OR(O312=0,O312="",O312=$M312),"","Check!")</f>
        <v/>
      </c>
      <c r="R312" s="692" t="s">
        <v>2582</v>
      </c>
      <c r="S312" s="1332"/>
      <c r="T312" s="1332"/>
      <c r="U312" s="1332"/>
      <c r="V312" s="1332"/>
    </row>
    <row r="313" spans="1:22" s="21" customFormat="1" ht="10.5" customHeight="1" thickBot="1">
      <c r="A313" s="45"/>
      <c r="B313" s="749" t="s">
        <v>1739</v>
      </c>
      <c r="C313" s="45"/>
      <c r="D313" s="50"/>
      <c r="E313" s="50"/>
      <c r="F313" s="50"/>
      <c r="G313" s="50"/>
      <c r="H313" s="15"/>
      <c r="I313" s="15"/>
      <c r="J313" s="15"/>
      <c r="K313" s="15"/>
      <c r="M313" s="34"/>
      <c r="N313" s="60"/>
      <c r="O313" s="3"/>
      <c r="P313" s="11"/>
      <c r="R313" s="1332"/>
      <c r="S313" s="1332"/>
      <c r="T313" s="1332"/>
      <c r="U313" s="1332"/>
      <c r="V313" s="1332"/>
    </row>
    <row r="314" spans="1:22" s="21" customFormat="1" ht="34.9" customHeight="1" thickTop="1" thickBot="1">
      <c r="A314" s="4359"/>
      <c r="B314" s="4360"/>
      <c r="C314" s="4360"/>
      <c r="D314" s="4360"/>
      <c r="E314" s="4360"/>
      <c r="F314" s="4360"/>
      <c r="G314" s="4360"/>
      <c r="H314" s="4360"/>
      <c r="I314" s="4360"/>
      <c r="J314" s="4360"/>
      <c r="K314" s="4360"/>
      <c r="L314" s="4360"/>
      <c r="M314" s="4360"/>
      <c r="N314" s="4360"/>
      <c r="O314" s="4360"/>
      <c r="P314" s="4361"/>
      <c r="Q314" s="259" t="s">
        <v>2152</v>
      </c>
    </row>
    <row r="315" spans="1:22" s="21" customFormat="1" ht="10.5" customHeight="1" thickTop="1">
      <c r="A315" s="45"/>
      <c r="B315" s="39" t="s">
        <v>1399</v>
      </c>
      <c r="C315" s="45"/>
      <c r="D315" s="39"/>
      <c r="E315" s="710"/>
      <c r="F315" s="710"/>
      <c r="G315" s="710"/>
      <c r="H315" s="710"/>
      <c r="I315" s="710"/>
      <c r="J315" s="710"/>
      <c r="K315" s="710"/>
      <c r="L315" s="710"/>
      <c r="M315" s="710"/>
      <c r="N315" s="2851"/>
      <c r="O315" s="33"/>
      <c r="P315" s="82"/>
    </row>
    <row r="316" spans="1:22" s="21" customFormat="1" ht="11.25" customHeight="1">
      <c r="A316" s="4418"/>
      <c r="B316" s="4419"/>
      <c r="C316" s="4419"/>
      <c r="D316" s="4419"/>
      <c r="E316" s="4419"/>
      <c r="F316" s="4419"/>
      <c r="G316" s="4419"/>
      <c r="H316" s="4419"/>
      <c r="I316" s="4419"/>
      <c r="J316" s="4419"/>
      <c r="K316" s="4419"/>
      <c r="L316" s="4419"/>
      <c r="M316" s="4419"/>
      <c r="N316" s="4419"/>
      <c r="O316" s="4419"/>
      <c r="P316" s="4420"/>
      <c r="Q316" s="258"/>
    </row>
    <row r="317" spans="1:22" s="21" customFormat="1" ht="2.25" customHeight="1" thickBot="1">
      <c r="A317" s="45"/>
      <c r="D317" s="15"/>
      <c r="E317" s="15"/>
      <c r="F317" s="82"/>
      <c r="G317" s="82"/>
      <c r="H317" s="82"/>
      <c r="I317" s="82"/>
      <c r="J317" s="18"/>
      <c r="K317" s="18"/>
      <c r="L317" s="18"/>
      <c r="M317" s="714"/>
      <c r="N317" s="82"/>
      <c r="O317" s="11"/>
      <c r="P317" s="3"/>
    </row>
    <row r="318" spans="1:22" s="21" customFormat="1" ht="12" customHeight="1" thickBot="1">
      <c r="A318" s="1128" t="s">
        <v>1500</v>
      </c>
      <c r="B318" s="52" t="s">
        <v>1848</v>
      </c>
      <c r="C318" s="41"/>
      <c r="D318" s="27"/>
      <c r="E318" s="15"/>
      <c r="G318" s="27"/>
      <c r="I318" s="1325" t="s">
        <v>2594</v>
      </c>
      <c r="J318" s="1257" t="str">
        <f>IF(OR($M$34="9% Credit Competitive Round only", $M$34="9% Credit &amp; HOME"),"9%",IF(OR($M$34="4% Credit/TE Bond", $M$34="4% Credit/TE Bond &amp; HOME", $M$34="4% Credit/TE Bond &amp; HOME NOFA", $M$34="4% Credit &amp; NHTF", $M$34="4% Credit &amp; NHTF &amp; HOME"),"4%",""))</f>
        <v>4%</v>
      </c>
      <c r="K318" s="44"/>
      <c r="L318" s="44"/>
      <c r="M318" s="82">
        <v>2</v>
      </c>
      <c r="N318" s="34"/>
      <c r="O318" s="34"/>
      <c r="P318" s="719">
        <f>P320+P326</f>
        <v>0</v>
      </c>
      <c r="Q318" s="55" t="s">
        <v>1716</v>
      </c>
    </row>
    <row r="319" spans="1:22" s="21" customFormat="1" ht="13.5" customHeight="1">
      <c r="A319" s="83"/>
      <c r="B319" s="15" t="s">
        <v>2626</v>
      </c>
      <c r="C319" s="710"/>
      <c r="D319" s="710"/>
      <c r="E319" s="710"/>
      <c r="F319" s="710"/>
      <c r="G319" s="710"/>
      <c r="H319" s="710"/>
      <c r="I319" s="710"/>
      <c r="J319" s="710"/>
      <c r="K319" s="710"/>
      <c r="L319" s="959"/>
      <c r="M319" s="82"/>
      <c r="N319" s="2851"/>
      <c r="O319" s="276"/>
      <c r="P319" s="885"/>
      <c r="Q319" s="55"/>
      <c r="T319" s="672"/>
      <c r="U319" s="672"/>
    </row>
    <row r="320" spans="1:22" s="21" customFormat="1" ht="12" customHeight="1">
      <c r="A320" s="542" t="s">
        <v>194</v>
      </c>
      <c r="B320" s="96" t="s">
        <v>1849</v>
      </c>
      <c r="C320" s="41"/>
      <c r="D320" s="27"/>
      <c r="E320" s="15"/>
      <c r="G320" s="1167"/>
      <c r="I320" s="18" t="s">
        <v>2627</v>
      </c>
      <c r="K320" s="1310">
        <f>'Part VIII Scoring Criteria OLD'!P42</f>
        <v>0</v>
      </c>
      <c r="M320" s="349">
        <v>2</v>
      </c>
      <c r="N320" s="30" t="s">
        <v>194</v>
      </c>
      <c r="P320" s="2857"/>
      <c r="Q320" s="55"/>
      <c r="R320" s="692" t="s">
        <v>2582</v>
      </c>
    </row>
    <row r="321" spans="1:19" s="44" customFormat="1" ht="10.5" customHeight="1">
      <c r="A321" s="542"/>
      <c r="B321" s="217" t="s">
        <v>209</v>
      </c>
      <c r="C321" s="15" t="s">
        <v>2628</v>
      </c>
      <c r="D321" s="13"/>
      <c r="N321" s="252" t="s">
        <v>2629</v>
      </c>
      <c r="O321" s="1033"/>
      <c r="P321" s="1034"/>
      <c r="R321" s="218"/>
    </row>
    <row r="322" spans="1:19" s="44" customFormat="1" ht="10.5" customHeight="1">
      <c r="A322" s="542"/>
      <c r="B322" s="217"/>
      <c r="C322" s="15" t="s">
        <v>2630</v>
      </c>
      <c r="D322" s="13"/>
      <c r="N322" s="252" t="s">
        <v>2631</v>
      </c>
      <c r="O322" s="211"/>
      <c r="P322" s="315"/>
      <c r="R322" s="218"/>
    </row>
    <row r="323" spans="1:19" s="44" customFormat="1" ht="10.5" customHeight="1">
      <c r="A323" s="542"/>
      <c r="B323" s="217" t="s">
        <v>217</v>
      </c>
      <c r="C323" s="15" t="s">
        <v>2632</v>
      </c>
      <c r="D323" s="13"/>
      <c r="N323" s="252" t="s">
        <v>217</v>
      </c>
      <c r="O323" s="211"/>
      <c r="P323" s="315"/>
      <c r="R323" s="218"/>
    </row>
    <row r="324" spans="1:19" s="44" customFormat="1" ht="10.5" customHeight="1">
      <c r="A324" s="542"/>
      <c r="B324" s="217" t="s">
        <v>221</v>
      </c>
      <c r="C324" s="15" t="s">
        <v>2633</v>
      </c>
      <c r="D324" s="13"/>
      <c r="N324" s="252" t="s">
        <v>221</v>
      </c>
      <c r="O324" s="211"/>
      <c r="P324" s="315"/>
      <c r="R324" s="218"/>
    </row>
    <row r="325" spans="1:19" s="44" customFormat="1" ht="10.5" customHeight="1">
      <c r="A325" s="747"/>
      <c r="B325" s="217" t="s">
        <v>261</v>
      </c>
      <c r="C325" s="15" t="s">
        <v>2634</v>
      </c>
      <c r="D325" s="13"/>
      <c r="N325" s="252" t="s">
        <v>261</v>
      </c>
      <c r="O325" s="124"/>
      <c r="P325" s="315"/>
      <c r="R325" s="218"/>
    </row>
    <row r="326" spans="1:19" s="21" customFormat="1" ht="12" customHeight="1">
      <c r="A326" s="542" t="s">
        <v>206</v>
      </c>
      <c r="B326" s="96" t="s">
        <v>1851</v>
      </c>
      <c r="C326" s="41"/>
      <c r="D326" s="27"/>
      <c r="E326" s="15"/>
      <c r="G326" s="1167"/>
      <c r="I326" s="283"/>
      <c r="L326" s="1051"/>
      <c r="M326" s="349">
        <v>2</v>
      </c>
      <c r="N326" s="30" t="s">
        <v>206</v>
      </c>
      <c r="P326" s="2857"/>
      <c r="Q326" s="55"/>
      <c r="R326" s="692" t="s">
        <v>2582</v>
      </c>
    </row>
    <row r="327" spans="1:19" s="44" customFormat="1" ht="10.5" customHeight="1">
      <c r="A327" s="84"/>
      <c r="B327" s="217" t="s">
        <v>209</v>
      </c>
      <c r="C327" s="15" t="s">
        <v>2628</v>
      </c>
      <c r="D327" s="15"/>
      <c r="E327" s="15"/>
      <c r="M327" s="82"/>
      <c r="N327" s="252" t="s">
        <v>2629</v>
      </c>
      <c r="O327" s="1033"/>
      <c r="P327" s="1034"/>
      <c r="Q327" s="55"/>
    </row>
    <row r="328" spans="1:19" s="44" customFormat="1" ht="10.5" customHeight="1">
      <c r="A328" s="74"/>
      <c r="B328" s="217"/>
      <c r="C328" s="15" t="s">
        <v>2635</v>
      </c>
      <c r="D328" s="13"/>
      <c r="N328" s="252" t="s">
        <v>2631</v>
      </c>
      <c r="O328" s="211"/>
      <c r="P328" s="315"/>
      <c r="R328" s="218"/>
    </row>
    <row r="329" spans="1:19" s="44" customFormat="1" ht="10.5" customHeight="1">
      <c r="A329" s="74"/>
      <c r="B329" s="217" t="s">
        <v>217</v>
      </c>
      <c r="C329" s="15" t="s">
        <v>2636</v>
      </c>
      <c r="D329" s="13"/>
      <c r="N329" s="252" t="s">
        <v>217</v>
      </c>
      <c r="O329" s="211"/>
      <c r="P329" s="315"/>
      <c r="R329" s="218"/>
    </row>
    <row r="330" spans="1:19" s="44" customFormat="1" ht="10.5" customHeight="1">
      <c r="B330" s="217" t="s">
        <v>221</v>
      </c>
      <c r="C330" s="15" t="s">
        <v>2634</v>
      </c>
      <c r="D330" s="13"/>
      <c r="N330" s="252" t="s">
        <v>221</v>
      </c>
      <c r="O330" s="124"/>
      <c r="P330" s="316"/>
      <c r="R330" s="218"/>
    </row>
    <row r="331" spans="1:19" s="21" customFormat="1" ht="10.5" customHeight="1">
      <c r="B331" s="39" t="s">
        <v>1399</v>
      </c>
      <c r="C331" s="811"/>
      <c r="D331" s="39"/>
      <c r="E331" s="48"/>
      <c r="F331" s="710"/>
      <c r="G331" s="710"/>
      <c r="H331" s="710"/>
      <c r="I331" s="710"/>
      <c r="J331" s="710"/>
      <c r="K331" s="710"/>
      <c r="L331" s="710"/>
      <c r="M331" s="710"/>
      <c r="N331" s="2851"/>
      <c r="O331" s="33"/>
      <c r="P331" s="82"/>
    </row>
    <row r="332" spans="1:19" s="21" customFormat="1" ht="11.25" customHeight="1">
      <c r="A332" s="4150"/>
      <c r="B332" s="4151"/>
      <c r="C332" s="4151"/>
      <c r="D332" s="4151"/>
      <c r="E332" s="4151"/>
      <c r="F332" s="4151"/>
      <c r="G332" s="4151"/>
      <c r="H332" s="4151"/>
      <c r="I332" s="4151"/>
      <c r="J332" s="4151"/>
      <c r="K332" s="4151"/>
      <c r="L332" s="4151"/>
      <c r="M332" s="4151"/>
      <c r="N332" s="4151"/>
      <c r="O332" s="4151"/>
      <c r="P332" s="4152"/>
      <c r="Q332" s="258"/>
    </row>
    <row r="333" spans="1:19" ht="2.25" customHeight="1" thickBot="1">
      <c r="N333" s="60"/>
    </row>
    <row r="334" spans="1:19" s="21" customFormat="1" ht="13.5" customHeight="1" thickBot="1">
      <c r="A334" s="84" t="s">
        <v>1508</v>
      </c>
      <c r="B334" s="52" t="s">
        <v>1852</v>
      </c>
      <c r="D334" s="41"/>
      <c r="E334" s="41"/>
      <c r="G334" s="15"/>
      <c r="M334" s="82">
        <v>2</v>
      </c>
      <c r="N334" s="231"/>
      <c r="O334" s="720"/>
      <c r="P334" s="706"/>
      <c r="Q334" s="55" t="s">
        <v>1716</v>
      </c>
      <c r="R334" s="1348" t="s">
        <v>2517</v>
      </c>
      <c r="S334" s="1348"/>
    </row>
    <row r="335" spans="1:19" s="21" customFormat="1" ht="11.25" customHeight="1">
      <c r="A335" s="74"/>
      <c r="B335" s="58" t="s">
        <v>1853</v>
      </c>
      <c r="D335" s="41"/>
      <c r="E335" s="41"/>
      <c r="G335" s="15"/>
      <c r="I335" s="3491" t="s">
        <v>1854</v>
      </c>
      <c r="J335" s="3492"/>
      <c r="K335" s="3492"/>
      <c r="L335" s="3493"/>
      <c r="M335" s="34"/>
      <c r="N335" s="714"/>
      <c r="O335" s="1051"/>
      <c r="P335" s="1051"/>
      <c r="Q335" s="635"/>
      <c r="R335" s="1348"/>
      <c r="S335" s="1348"/>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49" t="s">
        <v>1739</v>
      </c>
      <c r="C337" s="45"/>
      <c r="D337" s="50"/>
      <c r="E337" s="50"/>
      <c r="F337" s="50"/>
      <c r="G337" s="50"/>
      <c r="H337" s="15"/>
      <c r="I337" s="15"/>
      <c r="J337" s="15"/>
      <c r="K337" s="15"/>
      <c r="M337" s="34"/>
      <c r="N337" s="34"/>
      <c r="O337" s="3"/>
      <c r="P337" s="82"/>
    </row>
    <row r="338" spans="1:20" s="21" customFormat="1" ht="10.9" customHeight="1" thickTop="1" thickBot="1">
      <c r="A338" s="4359"/>
      <c r="B338" s="4360"/>
      <c r="C338" s="4360"/>
      <c r="D338" s="4360"/>
      <c r="E338" s="4360"/>
      <c r="F338" s="4360"/>
      <c r="G338" s="4360"/>
      <c r="H338" s="4360"/>
      <c r="I338" s="4360"/>
      <c r="J338" s="4360"/>
      <c r="K338" s="4360"/>
      <c r="L338" s="4360"/>
      <c r="M338" s="4360"/>
      <c r="N338" s="4360"/>
      <c r="O338" s="4360"/>
      <c r="P338" s="4361"/>
      <c r="Q338" s="259" t="s">
        <v>2152</v>
      </c>
    </row>
    <row r="339" spans="1:20" s="44" customFormat="1" ht="10.5" customHeight="1" thickTop="1">
      <c r="A339" s="45"/>
      <c r="B339" s="47" t="s">
        <v>1399</v>
      </c>
      <c r="C339" s="45"/>
      <c r="D339" s="47"/>
      <c r="E339" s="712"/>
      <c r="F339" s="712"/>
      <c r="G339" s="712"/>
      <c r="H339" s="712"/>
      <c r="I339" s="712"/>
      <c r="J339" s="712"/>
      <c r="K339" s="712"/>
      <c r="L339" s="712"/>
      <c r="M339" s="712"/>
      <c r="N339" s="2855"/>
      <c r="O339" s="532"/>
      <c r="P339" s="82"/>
      <c r="Q339" s="21"/>
    </row>
    <row r="340" spans="1:20" s="21" customFormat="1" ht="11.25" customHeight="1">
      <c r="A340" s="4150"/>
      <c r="B340" s="4151"/>
      <c r="C340" s="4151"/>
      <c r="D340" s="4151"/>
      <c r="E340" s="4151"/>
      <c r="F340" s="4151"/>
      <c r="G340" s="4151"/>
      <c r="H340" s="4151"/>
      <c r="I340" s="4151"/>
      <c r="J340" s="4151"/>
      <c r="K340" s="4151"/>
      <c r="L340" s="4151"/>
      <c r="M340" s="4151"/>
      <c r="N340" s="4151"/>
      <c r="O340" s="4151"/>
      <c r="P340" s="4152"/>
      <c r="Q340" s="258"/>
    </row>
    <row r="341" spans="1:20" ht="3" customHeight="1" thickBot="1">
      <c r="N341" s="60"/>
    </row>
    <row r="342" spans="1:20" s="21" customFormat="1" ht="13.5" customHeight="1" thickBot="1">
      <c r="A342" s="83" t="s">
        <v>1515</v>
      </c>
      <c r="B342" s="52" t="s">
        <v>1855</v>
      </c>
      <c r="D342" s="41"/>
      <c r="E342" s="41"/>
      <c r="F342" s="15"/>
      <c r="G342" s="15"/>
      <c r="H342" s="15"/>
      <c r="J342" s="1637" t="s">
        <v>1949</v>
      </c>
      <c r="K342" s="1572" t="str">
        <f>IF(OR($M$34="9% Credit Competitive Round only", $M$34="9% Credit &amp; HOME"),"9%",IF(OR($M$34="4% Credit/TE Bond", $M$34="4% Credit/TE Bond &amp; HOME", $M$34="4% Credit/TE Bond &amp; HOME NOFA", $M$34="4% Credit &amp; NHTF", $M$34="4% Credit &amp; NHTF &amp; HOME"),"4%",""))</f>
        <v>4%</v>
      </c>
      <c r="M342" s="3">
        <v>4</v>
      </c>
      <c r="N342" s="34"/>
      <c r="O342" s="721">
        <f>O349+O369</f>
        <v>0</v>
      </c>
      <c r="P342" s="721">
        <f>P349+P369</f>
        <v>0</v>
      </c>
      <c r="Q342" s="55" t="s">
        <v>1716</v>
      </c>
    </row>
    <row r="343" spans="1:20" s="21" customFormat="1" ht="10.5" customHeight="1">
      <c r="A343" s="45"/>
      <c r="B343" s="58" t="s">
        <v>2637</v>
      </c>
      <c r="E343" s="41"/>
      <c r="F343" s="15"/>
      <c r="G343" s="15"/>
      <c r="H343" s="15"/>
      <c r="I343" s="15"/>
      <c r="K343" s="714"/>
      <c r="L343" s="28"/>
      <c r="O343" s="714" t="s">
        <v>254</v>
      </c>
      <c r="P343" s="714" t="s">
        <v>254</v>
      </c>
    </row>
    <row r="344" spans="1:20" s="49" customFormat="1" ht="12.75" customHeight="1">
      <c r="A344" s="27"/>
      <c r="B344" s="30" t="s">
        <v>2218</v>
      </c>
      <c r="C344" s="15" t="s">
        <v>2638</v>
      </c>
      <c r="D344" s="27"/>
      <c r="E344" s="41"/>
      <c r="F344" s="15"/>
      <c r="G344" s="15"/>
      <c r="H344" s="15"/>
      <c r="I344" s="15"/>
      <c r="J344" s="21"/>
      <c r="K344" s="714"/>
      <c r="L344" s="4515" t="str">
        <f>IF(OR(O344="No",O344="",O345="No",O345="",O346="No",O346="",O347="No",O347=""),"Unmet criterion results in no points!","")</f>
        <v>Unmet criterion results in no points!</v>
      </c>
      <c r="M344" s="4515"/>
      <c r="N344" s="30" t="s">
        <v>2218</v>
      </c>
      <c r="O344" s="1033"/>
      <c r="P344" s="1034"/>
      <c r="Q344" s="27"/>
      <c r="R344" s="4511" t="str">
        <f>IF(OR(P344="No",P344="",P345="No",P345="",P346="No",P346="",P347="No",P347=""),"Unmet criterion results in no points!","")</f>
        <v>Unmet criterion results in no points!</v>
      </c>
      <c r="S344" s="4511" t="e">
        <f>IF(OR(V344="No",V344="",V345="No",V345="",V346="No",V346="",V347="No",V347="",#REF!="No",#REF!="",#REF!="No",#REF!=""),"Unmet criterion results in no points!","")</f>
        <v>#REF!</v>
      </c>
      <c r="T344" s="27"/>
    </row>
    <row r="345" spans="1:20" s="49" customFormat="1" ht="12.75" customHeight="1">
      <c r="A345" s="27"/>
      <c r="B345" s="30" t="s">
        <v>2220</v>
      </c>
      <c r="C345" s="15" t="s">
        <v>2639</v>
      </c>
      <c r="D345" s="27"/>
      <c r="E345" s="27"/>
      <c r="F345" s="27"/>
      <c r="G345" s="27"/>
      <c r="H345" s="27"/>
      <c r="I345" s="27"/>
      <c r="J345" s="27"/>
      <c r="K345" s="27"/>
      <c r="L345" s="4515"/>
      <c r="M345" s="4515"/>
      <c r="N345" s="30" t="s">
        <v>2220</v>
      </c>
      <c r="O345" s="211"/>
      <c r="P345" s="315"/>
      <c r="Q345" s="27"/>
      <c r="R345" s="4511"/>
      <c r="S345" s="4511"/>
      <c r="T345" s="27"/>
    </row>
    <row r="346" spans="1:20" s="49" customFormat="1" ht="12.75" customHeight="1">
      <c r="A346" s="27"/>
      <c r="B346" s="30" t="s">
        <v>2418</v>
      </c>
      <c r="C346" s="15" t="s">
        <v>2640</v>
      </c>
      <c r="D346" s="27"/>
      <c r="E346" s="27"/>
      <c r="F346" s="27"/>
      <c r="G346" s="27"/>
      <c r="H346" s="27"/>
      <c r="I346" s="27"/>
      <c r="J346" s="27"/>
      <c r="K346" s="27"/>
      <c r="L346" s="4515"/>
      <c r="M346" s="4515"/>
      <c r="N346" s="30" t="s">
        <v>2418</v>
      </c>
      <c r="O346" s="211"/>
      <c r="P346" s="315"/>
      <c r="Q346" s="27"/>
      <c r="R346" s="4511"/>
      <c r="S346" s="4511"/>
      <c r="T346" s="27"/>
    </row>
    <row r="347" spans="1:20" s="49" customFormat="1" ht="33.75" customHeight="1">
      <c r="A347" s="27"/>
      <c r="B347" s="88" t="s">
        <v>2574</v>
      </c>
      <c r="C347" s="4142" t="s">
        <v>2641</v>
      </c>
      <c r="D347" s="4142"/>
      <c r="E347" s="4142"/>
      <c r="F347" s="4142"/>
      <c r="G347" s="4142"/>
      <c r="H347" s="4142"/>
      <c r="I347" s="4142"/>
      <c r="J347" s="4142"/>
      <c r="K347" s="4142"/>
      <c r="L347" s="4142"/>
      <c r="M347" s="4142"/>
      <c r="N347" s="88" t="s">
        <v>2574</v>
      </c>
      <c r="O347" s="717"/>
      <c r="P347" s="716"/>
      <c r="Q347" s="27"/>
      <c r="R347" s="27"/>
      <c r="S347" s="27"/>
      <c r="T347" s="27"/>
    </row>
    <row r="348" spans="1:20" ht="3" customHeight="1" thickBot="1">
      <c r="C348" s="4142"/>
      <c r="D348" s="4142"/>
      <c r="E348" s="4142"/>
      <c r="F348" s="4142"/>
      <c r="G348" s="4142"/>
      <c r="H348" s="4142"/>
      <c r="I348" s="4142"/>
      <c r="J348" s="4142"/>
      <c r="K348" s="4142"/>
      <c r="L348" s="4142"/>
      <c r="M348" s="4142"/>
      <c r="N348" s="60"/>
    </row>
    <row r="349" spans="1:20" ht="12.75" customHeight="1" thickBot="1">
      <c r="A349" s="638" t="s">
        <v>194</v>
      </c>
      <c r="B349" s="96" t="s">
        <v>1856</v>
      </c>
      <c r="L349" s="218" t="str">
        <f>IF(O349&lt;=M349,"","* * Check Score! * *")</f>
        <v/>
      </c>
      <c r="M349" s="349">
        <v>3</v>
      </c>
      <c r="N349" s="30" t="s">
        <v>194</v>
      </c>
      <c r="O349" s="1328"/>
      <c r="P349" s="1329"/>
      <c r="Q349" s="635" t="str">
        <f>IF(O349&lt;=M349,"","*CHECK!*")</f>
        <v/>
      </c>
      <c r="R349" s="291" t="s">
        <v>2517</v>
      </c>
      <c r="S349" s="291"/>
      <c r="T349" s="1151"/>
    </row>
    <row r="350" spans="1:20" ht="12.75" customHeight="1">
      <c r="A350" s="638"/>
      <c r="B350" s="541" t="s">
        <v>2642</v>
      </c>
      <c r="C350" s="75"/>
      <c r="D350" s="75"/>
      <c r="E350" s="75"/>
      <c r="F350" s="75"/>
      <c r="G350" s="75"/>
      <c r="H350" s="75"/>
      <c r="I350" s="75"/>
      <c r="N350"/>
      <c r="O350" s="1127"/>
      <c r="P350" s="1126"/>
      <c r="R350" s="291"/>
      <c r="S350" s="291"/>
      <c r="T350" s="1151"/>
    </row>
    <row r="351" spans="1:20" ht="12.75" customHeight="1">
      <c r="A351" s="638"/>
      <c r="B351" s="1614" t="s">
        <v>2643</v>
      </c>
      <c r="C351" s="75"/>
      <c r="D351" s="75"/>
      <c r="E351" s="75"/>
      <c r="F351" s="75"/>
      <c r="G351" s="75"/>
      <c r="H351" s="75"/>
      <c r="I351" s="75"/>
      <c r="J351" s="4460" t="s">
        <v>1858</v>
      </c>
      <c r="K351" s="4460"/>
      <c r="M351" s="4460" t="s">
        <v>1858</v>
      </c>
      <c r="N351" s="4460"/>
      <c r="O351" s="4460"/>
      <c r="P351" s="4460"/>
      <c r="R351" s="1516"/>
      <c r="S351" s="1516"/>
      <c r="T351" s="1151"/>
    </row>
    <row r="352" spans="1:20" s="21" customFormat="1" ht="12.75" customHeight="1">
      <c r="A352" s="106"/>
      <c r="B352" s="105" t="s">
        <v>2644</v>
      </c>
      <c r="C352" s="15" t="s">
        <v>1859</v>
      </c>
      <c r="I352" s="30" t="s">
        <v>2218</v>
      </c>
      <c r="J352" s="4450"/>
      <c r="K352" s="4451"/>
      <c r="L352" s="30" t="s">
        <v>2218</v>
      </c>
      <c r="M352" s="4551"/>
      <c r="N352" s="4552"/>
      <c r="O352" s="4552"/>
      <c r="P352" s="4553"/>
      <c r="R352" s="218"/>
    </row>
    <row r="353" spans="1:18" ht="12.75" customHeight="1">
      <c r="A353" s="107"/>
      <c r="B353" s="88" t="s">
        <v>2220</v>
      </c>
      <c r="C353" s="15" t="s">
        <v>1860</v>
      </c>
      <c r="I353" s="88" t="s">
        <v>2220</v>
      </c>
      <c r="J353" s="4455"/>
      <c r="K353" s="4456"/>
      <c r="L353" s="88" t="s">
        <v>2220</v>
      </c>
      <c r="M353" s="4457"/>
      <c r="N353" s="4458"/>
      <c r="O353" s="4458"/>
      <c r="P353" s="4459"/>
      <c r="R353" s="218"/>
    </row>
    <row r="354" spans="1:18" ht="12.75" customHeight="1">
      <c r="B354" s="30" t="s">
        <v>2418</v>
      </c>
      <c r="C354" s="15" t="s">
        <v>1861</v>
      </c>
      <c r="I354" s="30" t="s">
        <v>2418</v>
      </c>
      <c r="J354" s="4455"/>
      <c r="K354" s="4456"/>
      <c r="L354" s="30" t="s">
        <v>2418</v>
      </c>
      <c r="M354" s="4457"/>
      <c r="N354" s="4458"/>
      <c r="O354" s="4458"/>
      <c r="P354" s="4459"/>
      <c r="R354" s="218"/>
    </row>
    <row r="355" spans="1:18" ht="12.75" customHeight="1">
      <c r="A355" s="107"/>
      <c r="B355" s="30" t="s">
        <v>2574</v>
      </c>
      <c r="C355" s="15" t="s">
        <v>1862</v>
      </c>
      <c r="I355" s="30" t="s">
        <v>2574</v>
      </c>
      <c r="J355" s="4455"/>
      <c r="K355" s="4456"/>
      <c r="L355" s="30" t="s">
        <v>2574</v>
      </c>
      <c r="M355" s="4457"/>
      <c r="N355" s="4458"/>
      <c r="O355" s="4458"/>
      <c r="P355" s="4459"/>
      <c r="R355" s="218"/>
    </row>
    <row r="356" spans="1:18" s="21" customFormat="1" ht="12.75" customHeight="1">
      <c r="A356" s="106"/>
      <c r="B356" s="88" t="s">
        <v>2431</v>
      </c>
      <c r="C356" s="15" t="s">
        <v>1863</v>
      </c>
      <c r="I356" s="88" t="s">
        <v>2431</v>
      </c>
      <c r="J356" s="4455"/>
      <c r="K356" s="4456"/>
      <c r="L356" s="88" t="s">
        <v>2431</v>
      </c>
      <c r="M356" s="4457"/>
      <c r="N356" s="4458"/>
      <c r="O356" s="4458"/>
      <c r="P356" s="4459"/>
      <c r="R356" s="218"/>
    </row>
    <row r="357" spans="1:18" ht="12.75" customHeight="1">
      <c r="B357" s="30" t="s">
        <v>2434</v>
      </c>
      <c r="C357" s="15" t="s">
        <v>1864</v>
      </c>
      <c r="I357" s="30" t="s">
        <v>2434</v>
      </c>
      <c r="J357" s="4455"/>
      <c r="K357" s="4456"/>
      <c r="L357" s="30" t="s">
        <v>2434</v>
      </c>
      <c r="M357" s="4457"/>
      <c r="N357" s="4458"/>
      <c r="O357" s="4458"/>
      <c r="P357" s="4459"/>
      <c r="R357" s="218"/>
    </row>
    <row r="358" spans="1:18" ht="12.75" customHeight="1">
      <c r="B358" s="30" t="s">
        <v>2645</v>
      </c>
      <c r="C358" s="15" t="s">
        <v>1865</v>
      </c>
      <c r="I358" s="30" t="s">
        <v>2645</v>
      </c>
      <c r="J358" s="4455"/>
      <c r="K358" s="4456"/>
      <c r="L358" s="30" t="s">
        <v>2645</v>
      </c>
      <c r="M358" s="1306"/>
      <c r="N358" s="1307"/>
      <c r="O358" s="1307"/>
      <c r="P358" s="1308"/>
      <c r="R358" s="218"/>
    </row>
    <row r="359" spans="1:18" ht="12.75" customHeight="1">
      <c r="A359" s="107"/>
      <c r="B359" s="30" t="s">
        <v>2646</v>
      </c>
      <c r="C359" s="15" t="s">
        <v>1866</v>
      </c>
      <c r="I359" s="30" t="s">
        <v>2646</v>
      </c>
      <c r="J359" s="4455"/>
      <c r="K359" s="4456"/>
      <c r="L359" s="30" t="s">
        <v>2646</v>
      </c>
      <c r="M359" s="4457"/>
      <c r="N359" s="4458"/>
      <c r="O359" s="4458"/>
      <c r="P359" s="4459"/>
      <c r="R359" s="218"/>
    </row>
    <row r="360" spans="1:18" ht="12.75" customHeight="1">
      <c r="B360" s="30" t="s">
        <v>2438</v>
      </c>
      <c r="C360" s="15" t="s">
        <v>2647</v>
      </c>
      <c r="I360" s="30" t="s">
        <v>2438</v>
      </c>
      <c r="J360" s="4455"/>
      <c r="K360" s="4456"/>
      <c r="L360" s="30" t="s">
        <v>2438</v>
      </c>
      <c r="M360" s="4457"/>
      <c r="N360" s="4458"/>
      <c r="O360" s="4458"/>
      <c r="P360" s="4459"/>
      <c r="R360" s="218"/>
    </row>
    <row r="361" spans="1:18" ht="12.75" customHeight="1">
      <c r="B361" s="30" t="s">
        <v>2648</v>
      </c>
      <c r="C361" s="15" t="s">
        <v>2649</v>
      </c>
      <c r="I361" s="30" t="s">
        <v>2648</v>
      </c>
      <c r="J361" s="4455"/>
      <c r="K361" s="4456"/>
      <c r="L361" s="30" t="s">
        <v>2648</v>
      </c>
      <c r="M361" s="4457"/>
      <c r="N361" s="4458"/>
      <c r="O361" s="4458"/>
      <c r="P361" s="4459"/>
      <c r="R361" s="218"/>
    </row>
    <row r="362" spans="1:18" ht="12.75" customHeight="1" thickBot="1">
      <c r="B362" s="30" t="s">
        <v>2650</v>
      </c>
      <c r="C362" s="15" t="s">
        <v>2651</v>
      </c>
      <c r="I362" s="30" t="s">
        <v>2650</v>
      </c>
      <c r="J362" s="4455"/>
      <c r="K362" s="4456"/>
      <c r="L362" s="30" t="s">
        <v>2650</v>
      </c>
      <c r="M362" s="4542"/>
      <c r="N362" s="4543"/>
      <c r="O362" s="4543"/>
      <c r="P362" s="4544"/>
      <c r="R362" s="218"/>
    </row>
    <row r="363" spans="1:18" ht="12.75" customHeight="1" thickBot="1">
      <c r="B363" s="735" t="s">
        <v>2652</v>
      </c>
      <c r="H363" s="58" t="s">
        <v>1872</v>
      </c>
      <c r="J363" s="4446">
        <f>SUM(J352:K362)</f>
        <v>0</v>
      </c>
      <c r="K363" s="4447"/>
      <c r="M363" s="4446">
        <f>SUM($M352:$M362)</f>
        <v>0</v>
      </c>
      <c r="N363" s="4449"/>
      <c r="O363" s="4449"/>
      <c r="P363" s="4447"/>
      <c r="R363" s="218"/>
    </row>
    <row r="364" spans="1:18" ht="6" customHeight="1">
      <c r="M364" s="291"/>
      <c r="N364" s="291"/>
      <c r="O364" s="79"/>
      <c r="P364" s="291"/>
    </row>
    <row r="365" spans="1:18" s="21" customFormat="1" ht="12" customHeight="1">
      <c r="A365" s="45"/>
      <c r="B365" s="962" t="s">
        <v>217</v>
      </c>
      <c r="C365" s="298" t="s">
        <v>1874</v>
      </c>
      <c r="D365" s="148"/>
      <c r="E365" s="148"/>
      <c r="F365" s="18" t="s">
        <v>1875</v>
      </c>
      <c r="H365"/>
      <c r="I365"/>
      <c r="J365" s="4561">
        <f>'Part V-Revenues &amp; Expenses'!$P$67</f>
        <v>199</v>
      </c>
      <c r="K365" s="4562"/>
      <c r="L365" s="322"/>
      <c r="M365" s="291"/>
      <c r="N365" s="291"/>
      <c r="O365" s="704"/>
      <c r="P365" s="291"/>
    </row>
    <row r="366" spans="1:18" ht="13.5" customHeight="1">
      <c r="C366" s="148"/>
      <c r="D366" s="148"/>
      <c r="E366" s="148"/>
      <c r="F366" s="253" t="s">
        <v>1877</v>
      </c>
      <c r="J366" s="4559">
        <f>IF(J365=0,0,J363/J365)</f>
        <v>0</v>
      </c>
      <c r="K366" s="4560"/>
      <c r="M366" s="4452">
        <f>IF($J365=0,0,$M363/$J365)</f>
        <v>0</v>
      </c>
      <c r="N366" s="4453"/>
      <c r="O366" s="4453"/>
      <c r="P366" s="4454"/>
    </row>
    <row r="367" spans="1:18" s="21" customFormat="1" ht="12.75" customHeight="1">
      <c r="C367" s="148"/>
      <c r="D367" s="148"/>
      <c r="E367" s="148"/>
      <c r="F367" s="27" t="s">
        <v>1881</v>
      </c>
      <c r="I367"/>
      <c r="J367" s="4536">
        <f>IF(L344="", IF($J366&gt;=30000, 3,IF($J366&gt;=20000, 2,IF($J366&gt;=10000,1,0))),0)</f>
        <v>0</v>
      </c>
      <c r="K367" s="4537"/>
      <c r="L367" s="296"/>
      <c r="M367" s="4536">
        <f>IF(R344="", IF($M366&gt;=30000, 3,IF($M366&gt;=20000, 2,IF($M366&gt;=10000,1,0))),0)</f>
        <v>0</v>
      </c>
      <c r="N367" s="4558"/>
      <c r="O367" s="4558"/>
      <c r="P367" s="4537"/>
    </row>
    <row r="368" spans="1:18" ht="9" customHeight="1" thickBot="1">
      <c r="N368" s="60"/>
    </row>
    <row r="369" spans="1:22" s="44" customFormat="1" ht="12.75" customHeight="1" thickBot="1">
      <c r="A369" s="542" t="s">
        <v>206</v>
      </c>
      <c r="B369" s="108" t="s">
        <v>1882</v>
      </c>
      <c r="D369" s="15"/>
      <c r="E369" s="15"/>
      <c r="F369" s="82"/>
      <c r="H369" s="15"/>
      <c r="I369" s="82"/>
      <c r="J369" s="18"/>
      <c r="K369" s="18"/>
      <c r="L369" s="218" t="str">
        <f>IF(OR($O369=$M369,$O369=0,$O369=""),"","* * Check Score! * *")</f>
        <v/>
      </c>
      <c r="M369" s="349">
        <v>1</v>
      </c>
      <c r="N369" s="30" t="s">
        <v>206</v>
      </c>
      <c r="O369" s="720"/>
      <c r="P369" s="706"/>
      <c r="Q369" s="633" t="s">
        <v>2517</v>
      </c>
      <c r="V369" s="672"/>
    </row>
    <row r="370" spans="1:22" s="21" customFormat="1" ht="22.5" customHeight="1">
      <c r="A370" s="74"/>
      <c r="B370" s="254" t="s">
        <v>209</v>
      </c>
      <c r="C370" s="4142" t="s">
        <v>2653</v>
      </c>
      <c r="D370" s="4142"/>
      <c r="E370" s="4142"/>
      <c r="F370" s="4142"/>
      <c r="G370" s="4142"/>
      <c r="H370" s="4142"/>
      <c r="I370" s="4142"/>
      <c r="J370" s="4142"/>
      <c r="K370" s="4142"/>
      <c r="L370" s="4142"/>
      <c r="M370" s="4142"/>
      <c r="N370" s="277" t="s">
        <v>209</v>
      </c>
      <c r="O370" s="665"/>
      <c r="P370" s="1296"/>
      <c r="V370" s="672"/>
    </row>
    <row r="371" spans="1:22" s="21" customFormat="1" ht="12.75" customHeight="1">
      <c r="A371" s="74"/>
      <c r="B371" s="217" t="s">
        <v>217</v>
      </c>
      <c r="C371" s="15" t="s">
        <v>2654</v>
      </c>
      <c r="D371" s="15"/>
      <c r="E371" s="15"/>
      <c r="F371" s="15"/>
      <c r="G371" s="15"/>
      <c r="H371" s="15"/>
      <c r="I371" s="15"/>
      <c r="J371" s="15"/>
      <c r="K371" s="15"/>
      <c r="M371" s="15"/>
      <c r="N371" s="252" t="s">
        <v>217</v>
      </c>
      <c r="O371" s="211"/>
      <c r="P371" s="315"/>
      <c r="V371" s="672"/>
    </row>
    <row r="372" spans="1:22" ht="12.75" customHeight="1">
      <c r="B372" s="217" t="s">
        <v>221</v>
      </c>
      <c r="C372" s="27" t="s">
        <v>2655</v>
      </c>
      <c r="N372" s="252" t="s">
        <v>221</v>
      </c>
      <c r="O372" s="124"/>
      <c r="P372" s="316"/>
    </row>
    <row r="373" spans="1:22" ht="12" customHeight="1" thickBot="1">
      <c r="B373" s="749" t="s">
        <v>1739</v>
      </c>
      <c r="N373" s="60"/>
    </row>
    <row r="374" spans="1:22" s="21" customFormat="1" ht="21.75" customHeight="1" thickTop="1" thickBot="1">
      <c r="A374" s="4359"/>
      <c r="B374" s="4360"/>
      <c r="C374" s="4360"/>
      <c r="D374" s="4360"/>
      <c r="E374" s="4360"/>
      <c r="F374" s="4360"/>
      <c r="G374" s="4360"/>
      <c r="H374" s="4360"/>
      <c r="I374" s="4360"/>
      <c r="J374" s="4360"/>
      <c r="K374" s="4360"/>
      <c r="L374" s="4360"/>
      <c r="M374" s="4360"/>
      <c r="N374" s="4360"/>
      <c r="O374" s="4360"/>
      <c r="P374" s="4361"/>
      <c r="Q374" s="259" t="s">
        <v>2152</v>
      </c>
    </row>
    <row r="375" spans="1:22" s="44" customFormat="1" ht="11.25" customHeight="1" thickTop="1">
      <c r="A375" s="45"/>
      <c r="B375" s="293" t="s">
        <v>1399</v>
      </c>
      <c r="C375" s="811"/>
      <c r="D375" s="47"/>
      <c r="E375" s="109"/>
      <c r="F375" s="712"/>
      <c r="G375" s="712"/>
      <c r="H375" s="712"/>
      <c r="I375" s="712"/>
      <c r="J375" s="712"/>
      <c r="K375" s="712"/>
      <c r="L375" s="712"/>
      <c r="M375" s="712"/>
      <c r="N375" s="2855"/>
      <c r="O375" s="532"/>
      <c r="P375" s="82"/>
      <c r="Q375" s="21"/>
    </row>
    <row r="376" spans="1:22" s="21" customFormat="1" ht="11.25" customHeight="1">
      <c r="A376" s="4150"/>
      <c r="B376" s="4151"/>
      <c r="C376" s="4151"/>
      <c r="D376" s="4151"/>
      <c r="E376" s="4151"/>
      <c r="F376" s="4151"/>
      <c r="G376" s="4151"/>
      <c r="H376" s="4151"/>
      <c r="I376" s="4151"/>
      <c r="J376" s="4151"/>
      <c r="K376" s="4151"/>
      <c r="L376" s="4151"/>
      <c r="M376" s="4151"/>
      <c r="N376" s="4151"/>
      <c r="O376" s="4151"/>
      <c r="P376" s="4152"/>
      <c r="Q376" s="258"/>
    </row>
    <row r="377" spans="1:22" s="21" customFormat="1" ht="3" customHeight="1" thickBot="1">
      <c r="A377" s="45"/>
      <c r="B377" s="45"/>
      <c r="C377" s="710"/>
      <c r="D377" s="710"/>
      <c r="E377" s="710"/>
      <c r="F377" s="710"/>
      <c r="G377" s="710"/>
      <c r="H377" s="710"/>
      <c r="I377" s="710"/>
      <c r="J377" s="710"/>
      <c r="K377" s="710"/>
      <c r="L377" s="710"/>
      <c r="M377" s="710"/>
      <c r="N377" s="2851"/>
      <c r="O377" s="33"/>
      <c r="P377" s="82"/>
    </row>
    <row r="378" spans="1:22" s="21" customFormat="1" ht="13.5" customHeight="1" thickBot="1">
      <c r="A378" s="83" t="s">
        <v>1529</v>
      </c>
      <c r="B378" s="52" t="s">
        <v>1886</v>
      </c>
      <c r="D378" s="18"/>
      <c r="G378" s="29" t="s">
        <v>2656</v>
      </c>
      <c r="I378" s="1258" t="s">
        <v>2594</v>
      </c>
      <c r="J378" s="1257" t="str">
        <f>IF(OR($M$34="9% Credit Competitive Round only", $M$34="9% Credit &amp; HOME"),"9%",IF(OR($M$34="4% Credit/TE Bond", $M$34="4% Credit/TE Bond &amp; HOME", $M$34="4% Credit/TE Bond &amp; HOME NOFA", $M$34="4% Credit &amp; NHTF", $M$34="4% Credit &amp; NHTF &amp; HOME"),"4%",""))</f>
        <v>4%</v>
      </c>
      <c r="K378" s="1258" t="s">
        <v>796</v>
      </c>
      <c r="L378" s="1257" t="str">
        <f>M55</f>
        <v>&lt;&lt; Select Activity Type &gt;&gt;</v>
      </c>
      <c r="M378" s="82">
        <v>2</v>
      </c>
      <c r="N378" s="30"/>
      <c r="O378" s="693">
        <f>MIN($M378,O382+O389)</f>
        <v>0</v>
      </c>
      <c r="P378" s="719">
        <f>MIN($M378,P382+P389)</f>
        <v>0</v>
      </c>
      <c r="Q378" s="55" t="s">
        <v>1716</v>
      </c>
      <c r="R378" s="1617" t="str">
        <f>IF(AND(O378&gt;0,NOT($M$55="New Supply")), "Ineligible to score in this section, not New Supply!","")</f>
        <v/>
      </c>
    </row>
    <row r="379" spans="1:22" s="238" customFormat="1" ht="1.5" customHeight="1">
      <c r="B379" s="254"/>
      <c r="F379" s="251"/>
      <c r="G379" s="542"/>
      <c r="M379" s="2858"/>
      <c r="N379" s="2858"/>
      <c r="O379" s="2858"/>
      <c r="P379" s="2858"/>
      <c r="Q379" s="102"/>
    </row>
    <row r="380" spans="1:22" s="238" customFormat="1" ht="12.75" customHeight="1">
      <c r="A380" s="84"/>
      <c r="B380" s="541" t="s">
        <v>1887</v>
      </c>
      <c r="D380" s="3491" t="s">
        <v>1888</v>
      </c>
      <c r="E380" s="3492"/>
      <c r="F380" s="3492"/>
      <c r="G380" s="3492"/>
      <c r="H380" s="3492"/>
      <c r="I380" s="3493"/>
      <c r="J380" s="75" t="s">
        <v>2657</v>
      </c>
      <c r="L380" s="308">
        <f>'Part II-Sources of Funds'!$I$53</f>
        <v>0</v>
      </c>
      <c r="M380" s="2858"/>
      <c r="N380" s="2858"/>
      <c r="O380" s="2858"/>
      <c r="P380" s="2858"/>
      <c r="Q380" s="102"/>
    </row>
    <row r="381" spans="1:22" s="238" customFormat="1" ht="1.5" customHeight="1">
      <c r="B381" s="254"/>
      <c r="M381" s="2858"/>
      <c r="N381" s="2858"/>
      <c r="O381" s="2858"/>
      <c r="P381" s="2858"/>
      <c r="Q381" s="102"/>
    </row>
    <row r="382" spans="1:22" s="238" customFormat="1" ht="12.75" customHeight="1">
      <c r="A382" s="760" t="s">
        <v>194</v>
      </c>
      <c r="B382" s="40" t="s">
        <v>1889</v>
      </c>
      <c r="C382" s="75"/>
      <c r="D382" s="75"/>
      <c r="E382" s="75"/>
      <c r="F382" s="75"/>
      <c r="G382" s="75"/>
      <c r="H382" s="75"/>
      <c r="I382" s="75"/>
      <c r="M382" s="1527">
        <v>2</v>
      </c>
      <c r="N382" s="88" t="s">
        <v>194</v>
      </c>
      <c r="O382" s="350"/>
      <c r="P382" s="884"/>
      <c r="Q382" s="635" t="str">
        <f>IF(OR($O382=$M382,$O382=0,$O382=""),"","*CHECK!*")</f>
        <v/>
      </c>
      <c r="R382" s="633" t="s">
        <v>2517</v>
      </c>
    </row>
    <row r="383" spans="1:22" s="238" customFormat="1" ht="12" customHeight="1">
      <c r="A383" s="237"/>
      <c r="B383" s="4159" t="s">
        <v>2658</v>
      </c>
      <c r="C383" s="4159"/>
      <c r="D383" s="4159"/>
      <c r="E383" s="4159"/>
      <c r="F383" s="4159"/>
      <c r="G383" s="4159"/>
      <c r="H383" s="4159"/>
      <c r="I383" s="4159"/>
      <c r="J383" s="4159"/>
      <c r="K383" s="4159"/>
      <c r="L383" s="4159"/>
      <c r="M383" s="4541" t="s">
        <v>2659</v>
      </c>
      <c r="N383" s="4541"/>
      <c r="Q383" s="102"/>
    </row>
    <row r="384" spans="1:22" s="238" customFormat="1" ht="12" customHeight="1">
      <c r="B384" s="4159"/>
      <c r="C384" s="4159"/>
      <c r="D384" s="4159"/>
      <c r="E384" s="4159"/>
      <c r="F384" s="4159"/>
      <c r="G384" s="4159"/>
      <c r="H384" s="4159"/>
      <c r="I384" s="4159"/>
      <c r="J384" s="4159"/>
      <c r="K384" s="4159"/>
      <c r="L384" s="4159"/>
      <c r="M384" s="4541"/>
      <c r="N384" s="4541"/>
      <c r="O384" s="4547">
        <f>'Part V-Revenues &amp; Expenses'!$P$123</f>
        <v>0</v>
      </c>
      <c r="P384" s="4548"/>
      <c r="Q384" s="102"/>
    </row>
    <row r="385" spans="1:19" s="238" customFormat="1" ht="12" customHeight="1">
      <c r="B385" s="4159"/>
      <c r="C385" s="4159"/>
      <c r="D385" s="4159"/>
      <c r="E385" s="4159"/>
      <c r="F385" s="4159"/>
      <c r="G385" s="4159"/>
      <c r="H385" s="4159"/>
      <c r="I385" s="4159"/>
      <c r="J385" s="4159"/>
      <c r="K385" s="4159"/>
      <c r="L385" s="4159"/>
      <c r="M385" s="157" t="s">
        <v>2660</v>
      </c>
      <c r="N385" s="2858"/>
      <c r="O385" s="4545">
        <f>'Part V-Revenues &amp; Expenses'!$P$67</f>
        <v>199</v>
      </c>
      <c r="P385" s="4546"/>
      <c r="Q385" s="102"/>
    </row>
    <row r="386" spans="1:19" s="238" customFormat="1" ht="12" customHeight="1">
      <c r="B386" s="4538"/>
      <c r="C386" s="4538"/>
      <c r="D386" s="4538"/>
      <c r="E386" s="4538"/>
      <c r="F386" s="4538"/>
      <c r="G386" s="4538"/>
      <c r="H386" s="4538"/>
      <c r="I386" s="4538"/>
      <c r="J386" s="4538"/>
      <c r="K386" s="4538"/>
      <c r="L386" s="4538"/>
      <c r="M386" s="963" t="s">
        <v>2661</v>
      </c>
      <c r="N386" s="2858"/>
      <c r="O386" s="4539">
        <f>IF(O385=0,0,O384/O385)</f>
        <v>0</v>
      </c>
      <c r="P386" s="4540"/>
      <c r="Q386" s="102"/>
    </row>
    <row r="387" spans="1:19" s="21" customFormat="1" ht="105.75" customHeight="1">
      <c r="A387" s="309"/>
      <c r="B387" s="4185" t="s">
        <v>1890</v>
      </c>
      <c r="C387" s="4186"/>
      <c r="D387" s="4186"/>
      <c r="E387" s="4186"/>
      <c r="F387" s="4186"/>
      <c r="G387" s="4186"/>
      <c r="H387" s="4186"/>
      <c r="I387" s="4186"/>
      <c r="J387" s="4186"/>
      <c r="K387" s="4186"/>
      <c r="L387" s="4186"/>
      <c r="M387" s="4186"/>
      <c r="N387" s="4186"/>
      <c r="O387" s="4186"/>
      <c r="P387" s="4187"/>
      <c r="Q387" s="258" t="s">
        <v>2152</v>
      </c>
      <c r="R387" s="259"/>
      <c r="S387" s="259"/>
    </row>
    <row r="388" spans="1:19" s="238" customFormat="1" ht="1.5" customHeight="1">
      <c r="A388" s="347"/>
      <c r="B388" s="254"/>
      <c r="F388" s="251"/>
      <c r="G388" s="542"/>
      <c r="M388" s="2858"/>
      <c r="N388" s="2858"/>
      <c r="O388" s="2858"/>
      <c r="P388" s="2858"/>
      <c r="Q388" s="102"/>
    </row>
    <row r="389" spans="1:19" s="238" customFormat="1" ht="12" customHeight="1">
      <c r="A389" s="310" t="s">
        <v>2662</v>
      </c>
      <c r="B389" s="67" t="s">
        <v>1891</v>
      </c>
      <c r="C389" s="75"/>
      <c r="H389" s="75"/>
      <c r="M389" s="2858">
        <v>2</v>
      </c>
      <c r="N389" s="88" t="s">
        <v>206</v>
      </c>
      <c r="O389" s="350"/>
      <c r="P389" s="884"/>
      <c r="Q389" s="635" t="str">
        <f>IF(OR($O389=$M389,$O389=0,$O389=""),"","*CHECK!*")</f>
        <v/>
      </c>
      <c r="R389" s="633" t="s">
        <v>2517</v>
      </c>
    </row>
    <row r="390" spans="1:19" s="238" customFormat="1" ht="11.25" customHeight="1">
      <c r="A390" s="310"/>
      <c r="B390" s="75" t="s">
        <v>2663</v>
      </c>
      <c r="C390" s="75"/>
      <c r="D390" s="75"/>
      <c r="E390" s="75"/>
      <c r="F390" s="75"/>
      <c r="G390" s="75"/>
      <c r="H390" s="75"/>
      <c r="I390" s="75"/>
      <c r="J390" s="75"/>
      <c r="K390" s="75"/>
      <c r="L390" s="75"/>
      <c r="Q390" s="102"/>
    </row>
    <row r="391" spans="1:19" s="238" customFormat="1" ht="11.25" customHeight="1">
      <c r="A391" s="310"/>
      <c r="E391" s="1521"/>
      <c r="G391" s="1002" t="s">
        <v>2664</v>
      </c>
      <c r="H391" s="1523">
        <f>'Part V-Revenues &amp; Expenses'!$P$125</f>
        <v>0</v>
      </c>
      <c r="I391" s="759" t="s">
        <v>2660</v>
      </c>
      <c r="J391" s="308">
        <f>'Part V-Revenues &amp; Expenses'!$P$67</f>
        <v>199</v>
      </c>
      <c r="K391" s="1525" t="s">
        <v>2661</v>
      </c>
      <c r="L391" s="1524">
        <f>IF(J391=0,0,H391/J391)</f>
        <v>0</v>
      </c>
      <c r="N391" s="1522"/>
      <c r="Q391" s="102"/>
    </row>
    <row r="392" spans="1:19" s="21" customFormat="1" ht="11.25" customHeight="1" thickBot="1">
      <c r="A392" s="45"/>
      <c r="B392" s="749" t="s">
        <v>1739</v>
      </c>
      <c r="C392" s="45"/>
      <c r="D392" s="50"/>
      <c r="E392" s="50"/>
      <c r="F392" s="50"/>
      <c r="G392" s="50"/>
      <c r="H392" s="15"/>
      <c r="I392" s="15"/>
      <c r="J392" s="15"/>
      <c r="K392" s="15"/>
      <c r="M392" s="34"/>
      <c r="N392" s="60"/>
      <c r="O392" s="3"/>
      <c r="P392" s="11"/>
    </row>
    <row r="393" spans="1:19" s="21" customFormat="1" ht="73.5" customHeight="1" thickTop="1" thickBot="1">
      <c r="A393" s="4359"/>
      <c r="B393" s="4360"/>
      <c r="C393" s="4360"/>
      <c r="D393" s="4360"/>
      <c r="E393" s="4360"/>
      <c r="F393" s="4360"/>
      <c r="G393" s="4360"/>
      <c r="H393" s="4360"/>
      <c r="I393" s="4360"/>
      <c r="J393" s="4360"/>
      <c r="K393" s="4360"/>
      <c r="L393" s="4360"/>
      <c r="M393" s="4360"/>
      <c r="N393" s="4360"/>
      <c r="O393" s="4360"/>
      <c r="P393" s="4361"/>
      <c r="Q393" s="259" t="s">
        <v>2152</v>
      </c>
      <c r="R393" s="259"/>
    </row>
    <row r="394" spans="1:19" s="21" customFormat="1" ht="10.5" customHeight="1" thickTop="1">
      <c r="B394" s="39" t="s">
        <v>1399</v>
      </c>
      <c r="C394" s="811"/>
      <c r="D394" s="39"/>
      <c r="E394" s="48"/>
      <c r="F394" s="710"/>
      <c r="G394" s="710"/>
      <c r="H394" s="710"/>
      <c r="I394" s="710"/>
      <c r="J394" s="710"/>
      <c r="K394" s="710"/>
      <c r="L394" s="710"/>
      <c r="M394" s="710"/>
      <c r="N394" s="2851"/>
      <c r="O394" s="33"/>
      <c r="P394" s="82"/>
    </row>
    <row r="395" spans="1:19" s="21" customFormat="1" ht="22.15" customHeight="1">
      <c r="A395" s="4150"/>
      <c r="B395" s="4151"/>
      <c r="C395" s="4151"/>
      <c r="D395" s="4151"/>
      <c r="E395" s="4151"/>
      <c r="F395" s="4151"/>
      <c r="G395" s="4151"/>
      <c r="H395" s="4151"/>
      <c r="I395" s="4151"/>
      <c r="J395" s="4151"/>
      <c r="K395" s="4151"/>
      <c r="L395" s="4151"/>
      <c r="M395" s="4151"/>
      <c r="N395" s="4151"/>
      <c r="O395" s="4151"/>
      <c r="P395" s="4152"/>
      <c r="Q395" s="258"/>
    </row>
    <row r="396" spans="1:19" s="21" customFormat="1" ht="6" customHeight="1" thickBot="1">
      <c r="A396" s="45"/>
      <c r="B396" s="45"/>
      <c r="C396" s="710"/>
      <c r="D396" s="710"/>
      <c r="E396" s="710"/>
      <c r="F396" s="710"/>
      <c r="G396" s="710"/>
      <c r="H396" s="710"/>
      <c r="I396" s="710"/>
      <c r="J396" s="710"/>
      <c r="K396" s="710"/>
      <c r="L396" s="710"/>
      <c r="M396" s="710"/>
      <c r="N396" s="2851"/>
      <c r="O396" s="33"/>
      <c r="P396" s="82"/>
    </row>
    <row r="397" spans="1:19" s="44" customFormat="1" ht="14.25" customHeight="1" thickBot="1">
      <c r="A397" s="84" t="s">
        <v>1536</v>
      </c>
      <c r="B397" s="52" t="s">
        <v>1892</v>
      </c>
      <c r="D397" s="23"/>
      <c r="E397" s="23"/>
      <c r="F397" s="15"/>
      <c r="G397" s="15"/>
      <c r="I397" s="15"/>
      <c r="J397" s="15"/>
      <c r="K397" s="15"/>
      <c r="L397" s="218" t="str">
        <f>IF(OR($O397=$M397,$O397&lt;=0,$O397=""),"","* * Check Score! * *")</f>
        <v/>
      </c>
      <c r="M397" s="82">
        <v>10</v>
      </c>
      <c r="N397" s="34"/>
      <c r="O397" s="693">
        <f>MIN($M$397,O399-O400+O401)</f>
        <v>10</v>
      </c>
      <c r="P397" s="693">
        <f>MIN($M$397,P399-P400+P401)</f>
        <v>10</v>
      </c>
      <c r="Q397" s="55" t="s">
        <v>1716</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1893</v>
      </c>
      <c r="D399" s="23"/>
      <c r="E399" s="23"/>
      <c r="F399" s="15"/>
      <c r="G399" s="15"/>
      <c r="I399" s="15"/>
      <c r="J399" s="15"/>
      <c r="K399" s="15"/>
      <c r="L399" s="218"/>
      <c r="M399" s="82"/>
      <c r="N399" s="34"/>
      <c r="O399" s="1550">
        <v>10</v>
      </c>
      <c r="P399" s="1550">
        <v>10</v>
      </c>
      <c r="Q399" s="55"/>
    </row>
    <row r="400" spans="1:19" s="44" customFormat="1" ht="12.75" customHeight="1">
      <c r="A400" s="84"/>
      <c r="B400" s="40" t="s">
        <v>1724</v>
      </c>
      <c r="D400" s="23"/>
      <c r="E400" s="23"/>
      <c r="F400" s="15"/>
      <c r="G400" s="15"/>
      <c r="I400" s="15"/>
      <c r="J400" s="15"/>
      <c r="K400" s="15"/>
      <c r="L400" s="218"/>
      <c r="M400" s="82"/>
      <c r="N400" s="34"/>
      <c r="O400" s="723"/>
      <c r="P400" s="722"/>
      <c r="Q400" s="55"/>
    </row>
    <row r="401" spans="1:21" s="44" customFormat="1" ht="12.75" customHeight="1">
      <c r="A401" s="84"/>
      <c r="B401" s="40" t="s">
        <v>2665</v>
      </c>
      <c r="D401" s="23"/>
      <c r="E401" s="23"/>
      <c r="F401" s="15"/>
      <c r="G401" s="15"/>
      <c r="I401" s="15"/>
      <c r="J401" s="15"/>
      <c r="K401" s="15"/>
      <c r="L401" s="218"/>
      <c r="M401" s="82"/>
      <c r="N401" s="34"/>
      <c r="O401" s="548"/>
      <c r="P401" s="313"/>
      <c r="Q401" s="55"/>
    </row>
    <row r="402" spans="1:21" s="44" customFormat="1" ht="12.75" customHeight="1">
      <c r="A402" s="25"/>
      <c r="B402" s="25" t="s">
        <v>1399</v>
      </c>
      <c r="C402" s="45"/>
      <c r="D402" s="25"/>
      <c r="E402" s="712"/>
      <c r="F402" s="712"/>
      <c r="G402" s="712"/>
      <c r="H402" s="712"/>
      <c r="I402" s="712"/>
      <c r="J402" s="712"/>
      <c r="K402" s="712"/>
      <c r="L402" s="712"/>
      <c r="M402" s="712"/>
      <c r="N402" s="2855"/>
      <c r="O402" s="532"/>
      <c r="P402" s="82"/>
    </row>
    <row r="403" spans="1:21" s="21" customFormat="1" ht="12.75" customHeight="1">
      <c r="A403" s="4150"/>
      <c r="B403" s="4151"/>
      <c r="C403" s="4151"/>
      <c r="D403" s="4151"/>
      <c r="E403" s="4151"/>
      <c r="F403" s="4151"/>
      <c r="G403" s="4151"/>
      <c r="H403" s="4151"/>
      <c r="I403" s="4151"/>
      <c r="J403" s="4151"/>
      <c r="K403" s="4151"/>
      <c r="L403" s="4151"/>
      <c r="M403" s="4151"/>
      <c r="N403" s="4151"/>
      <c r="O403" s="4151"/>
      <c r="P403" s="4152"/>
      <c r="Q403" s="259" t="s">
        <v>2152</v>
      </c>
      <c r="R403" s="259"/>
    </row>
    <row r="404" spans="1:21" s="21" customFormat="1" ht="6" customHeight="1" thickBot="1">
      <c r="A404" s="84"/>
      <c r="B404" s="45"/>
      <c r="C404" s="710"/>
      <c r="D404" s="710"/>
      <c r="E404" s="710"/>
      <c r="F404" s="710"/>
      <c r="G404" s="710"/>
      <c r="H404" s="710"/>
      <c r="I404" s="710"/>
      <c r="J404" s="710"/>
      <c r="K404" s="710"/>
      <c r="L404" s="710"/>
      <c r="M404" s="710"/>
      <c r="N404" s="2851"/>
      <c r="O404" s="33"/>
      <c r="P404" s="82"/>
    </row>
    <row r="405" spans="1:21" s="21" customFormat="1" ht="13.5" customHeight="1" thickBot="1">
      <c r="A405" s="84" t="s">
        <v>1543</v>
      </c>
      <c r="B405" s="52" t="s">
        <v>1896</v>
      </c>
      <c r="C405" s="710"/>
      <c r="D405" s="710"/>
      <c r="E405" s="710"/>
      <c r="F405" s="710"/>
      <c r="G405" s="29"/>
      <c r="H405" s="710"/>
      <c r="K405" s="710"/>
      <c r="L405" s="710"/>
      <c r="M405" s="82">
        <v>3</v>
      </c>
      <c r="N405" s="2851"/>
      <c r="O405" s="693">
        <f>IF(OR((O407+O408+O409+O410)&gt;3,(O407+O408+O409)&gt;1,O410&gt;$M$410),"Check",IF((O407+O408+O409+O410)&lt;=$M$405,(O407+O408+O409+O410),""))</f>
        <v>2</v>
      </c>
      <c r="P405" s="693">
        <f>IF(OR((P407+P408+P409+P410)&gt;3,(P407+P408+P409)&gt;1,P410&gt;$M$410),"Check",IF((P407+P408+P409+P410)&lt;=$M$405,(P407+P408+P409+P410),""))</f>
        <v>2</v>
      </c>
      <c r="Q405" s="55" t="s">
        <v>1716</v>
      </c>
      <c r="R405" s="633"/>
    </row>
    <row r="406" spans="1:21" s="21" customFormat="1" ht="9" customHeight="1">
      <c r="A406" s="84"/>
      <c r="B406" s="15" t="s">
        <v>2666</v>
      </c>
      <c r="C406" s="710"/>
      <c r="D406" s="710"/>
      <c r="E406" s="710"/>
      <c r="F406" s="710"/>
      <c r="G406" s="710"/>
      <c r="H406" s="710"/>
      <c r="I406" s="710"/>
      <c r="J406" s="710"/>
      <c r="K406" s="710"/>
      <c r="L406" s="710"/>
      <c r="M406" s="710"/>
      <c r="N406" s="2851"/>
      <c r="O406" s="33"/>
      <c r="P406" s="82"/>
    </row>
    <row r="407" spans="1:21" s="21" customFormat="1" ht="12" customHeight="1">
      <c r="A407" s="542" t="s">
        <v>194</v>
      </c>
      <c r="B407" s="96" t="s">
        <v>1897</v>
      </c>
      <c r="C407" s="13"/>
      <c r="D407" s="44"/>
      <c r="E407" s="40"/>
      <c r="F407" s="15"/>
      <c r="G407" s="15"/>
      <c r="H407" s="15"/>
      <c r="I407" s="44"/>
      <c r="J407" s="44"/>
      <c r="K407" s="714"/>
      <c r="L407" s="1641"/>
      <c r="M407" s="349">
        <v>1</v>
      </c>
      <c r="N407" s="1360" t="s">
        <v>194</v>
      </c>
      <c r="O407" s="1069"/>
      <c r="P407" s="1070"/>
      <c r="Q407" s="635" t="str">
        <f>IF(OR($O407=$M407,$O407=0,$O407=""),"","*CHECK!*")</f>
        <v/>
      </c>
      <c r="R407" s="633" t="s">
        <v>2582</v>
      </c>
    </row>
    <row r="408" spans="1:21" s="75" customFormat="1" ht="12" customHeight="1">
      <c r="A408" s="542" t="s">
        <v>206</v>
      </c>
      <c r="B408" s="96" t="s">
        <v>1898</v>
      </c>
      <c r="C408" s="70"/>
      <c r="D408" s="70"/>
      <c r="E408" s="70"/>
      <c r="F408" s="70"/>
      <c r="G408" s="15"/>
      <c r="H408" s="70"/>
      <c r="I408" s="70"/>
      <c r="J408" s="70"/>
      <c r="K408" s="70"/>
      <c r="L408" s="70"/>
      <c r="M408" s="349">
        <v>1</v>
      </c>
      <c r="N408" s="1360" t="s">
        <v>206</v>
      </c>
      <c r="O408" s="304"/>
      <c r="P408" s="312"/>
      <c r="Q408" s="635" t="str">
        <f>IF(OR($O408=$M408,$O408=0,$O408=""),"","*CHECK!*")</f>
        <v/>
      </c>
      <c r="R408" s="633" t="s">
        <v>2582</v>
      </c>
    </row>
    <row r="409" spans="1:21" ht="12" customHeight="1">
      <c r="A409" s="542" t="s">
        <v>227</v>
      </c>
      <c r="B409" s="96" t="s">
        <v>1899</v>
      </c>
      <c r="C409" s="13"/>
      <c r="D409" s="13"/>
      <c r="E409" s="13"/>
      <c r="F409" s="13"/>
      <c r="G409" s="13"/>
      <c r="H409" s="13"/>
      <c r="I409" s="13"/>
      <c r="J409" s="13"/>
      <c r="K409" s="13"/>
      <c r="L409" s="13"/>
      <c r="M409" s="349">
        <v>1</v>
      </c>
      <c r="N409" s="1360" t="s">
        <v>227</v>
      </c>
      <c r="O409" s="1552"/>
      <c r="P409" s="1553"/>
      <c r="Q409" s="635" t="str">
        <f>IF(OR($O409=$M409,$O409=0,$O409=""),"","*CHECK!*")</f>
        <v/>
      </c>
      <c r="R409" s="633" t="s">
        <v>2582</v>
      </c>
      <c r="S409" s="21"/>
      <c r="T409" s="21"/>
      <c r="U409" s="21"/>
    </row>
    <row r="410" spans="1:21" s="45" customFormat="1" ht="12" customHeight="1">
      <c r="A410" s="542" t="s">
        <v>229</v>
      </c>
      <c r="B410" s="96" t="s">
        <v>1900</v>
      </c>
      <c r="H410" s="15"/>
      <c r="M410" s="349">
        <v>2</v>
      </c>
      <c r="N410" s="1360" t="s">
        <v>229</v>
      </c>
      <c r="O410" s="724">
        <f>O411-O412</f>
        <v>2</v>
      </c>
      <c r="P410" s="724">
        <f>P411-P412</f>
        <v>2</v>
      </c>
      <c r="Q410" s="635" t="str">
        <f>IF(OR($O410=$M410,$O410=0,$O410=""),"","*CHECK!*")</f>
        <v/>
      </c>
    </row>
    <row r="411" spans="1:21" s="44" customFormat="1" ht="12" customHeight="1">
      <c r="A411" s="84"/>
      <c r="C411" s="40" t="s">
        <v>1893</v>
      </c>
      <c r="D411" s="23"/>
      <c r="E411" s="23"/>
      <c r="I411" s="15"/>
      <c r="J411" s="15"/>
      <c r="K411" s="15"/>
      <c r="L411" s="218"/>
      <c r="M411" s="82"/>
      <c r="N411" s="34"/>
      <c r="O411" s="2953">
        <v>2</v>
      </c>
      <c r="P411" s="2953">
        <v>2</v>
      </c>
      <c r="Q411" s="55"/>
    </row>
    <row r="412" spans="1:21" s="44" customFormat="1" ht="12" customHeight="1">
      <c r="A412" s="84"/>
      <c r="C412" s="40" t="s">
        <v>1724</v>
      </c>
      <c r="D412" s="23"/>
      <c r="E412" s="23"/>
      <c r="F412" s="15"/>
      <c r="G412" s="15"/>
      <c r="I412" s="15"/>
      <c r="J412" s="15"/>
      <c r="K412" s="15"/>
      <c r="L412" s="218"/>
      <c r="M412" s="82"/>
      <c r="N412" s="34"/>
      <c r="O412" s="1551"/>
      <c r="P412" s="526"/>
      <c r="Q412" s="55"/>
      <c r="R412" s="633" t="s">
        <v>2582</v>
      </c>
    </row>
    <row r="413" spans="1:21" s="21" customFormat="1" ht="10.5" customHeight="1" thickBot="1">
      <c r="A413" s="45"/>
      <c r="B413" s="749" t="s">
        <v>1739</v>
      </c>
      <c r="C413" s="45"/>
      <c r="D413" s="50"/>
      <c r="E413" s="50"/>
      <c r="F413" s="50"/>
      <c r="G413" s="50"/>
      <c r="H413" s="15"/>
      <c r="I413" s="15"/>
      <c r="J413" s="15"/>
      <c r="K413" s="15"/>
      <c r="M413" s="34"/>
      <c r="N413" s="60"/>
      <c r="O413" s="3"/>
      <c r="P413" s="11"/>
    </row>
    <row r="414" spans="1:21" s="21" customFormat="1" ht="45.75" customHeight="1" thickTop="1" thickBot="1">
      <c r="A414" s="4359"/>
      <c r="B414" s="4360"/>
      <c r="C414" s="4360"/>
      <c r="D414" s="4360"/>
      <c r="E414" s="4360"/>
      <c r="F414" s="4360"/>
      <c r="G414" s="4360"/>
      <c r="H414" s="4360"/>
      <c r="I414" s="4360"/>
      <c r="J414" s="4360"/>
      <c r="K414" s="4360"/>
      <c r="L414" s="4360"/>
      <c r="M414" s="4360"/>
      <c r="N414" s="4360"/>
      <c r="O414" s="4360"/>
      <c r="P414" s="4361"/>
      <c r="Q414" s="259" t="s">
        <v>2152</v>
      </c>
      <c r="R414" s="259"/>
    </row>
    <row r="415" spans="1:21" s="21" customFormat="1" ht="10.5" customHeight="1" thickTop="1">
      <c r="B415" s="39" t="s">
        <v>1399</v>
      </c>
      <c r="C415" s="811"/>
      <c r="D415" s="39"/>
      <c r="E415" s="48"/>
      <c r="F415" s="710"/>
      <c r="G415" s="710"/>
      <c r="H415" s="710"/>
      <c r="I415" s="710"/>
      <c r="J415" s="710"/>
      <c r="K415" s="710"/>
      <c r="L415" s="710"/>
      <c r="M415" s="710"/>
      <c r="N415" s="2851"/>
      <c r="O415" s="33"/>
      <c r="P415" s="82"/>
    </row>
    <row r="416" spans="1:21" s="21" customFormat="1" ht="9.75" customHeight="1">
      <c r="A416" s="4150"/>
      <c r="B416" s="4151"/>
      <c r="C416" s="4151"/>
      <c r="D416" s="4151"/>
      <c r="E416" s="4151"/>
      <c r="F416" s="4151"/>
      <c r="G416" s="4151"/>
      <c r="H416" s="4151"/>
      <c r="I416" s="4151"/>
      <c r="J416" s="4151"/>
      <c r="K416" s="4151"/>
      <c r="L416" s="4151"/>
      <c r="M416" s="4151"/>
      <c r="N416" s="4151"/>
      <c r="O416" s="4151"/>
      <c r="P416" s="4152"/>
      <c r="Q416" s="258"/>
    </row>
    <row r="417" spans="1:18" s="21" customFormat="1" ht="2.25" customHeight="1" thickBot="1">
      <c r="A417" s="84"/>
      <c r="B417" s="45"/>
      <c r="C417" s="710"/>
      <c r="D417" s="710"/>
      <c r="E417" s="710"/>
      <c r="F417" s="710"/>
      <c r="G417" s="710"/>
      <c r="H417" s="710"/>
      <c r="I417" s="710"/>
      <c r="J417" s="710"/>
      <c r="K417" s="710"/>
      <c r="L417" s="710"/>
      <c r="M417" s="710"/>
      <c r="N417" s="2851"/>
      <c r="O417" s="33"/>
      <c r="P417" s="82"/>
    </row>
    <row r="418" spans="1:18" s="44" customFormat="1" ht="11.25" customHeight="1" thickBot="1">
      <c r="A418" s="84" t="s">
        <v>1556</v>
      </c>
      <c r="B418" s="52" t="s">
        <v>1901</v>
      </c>
      <c r="D418" s="23"/>
      <c r="E418" s="23"/>
      <c r="F418" s="15"/>
      <c r="L418" s="635"/>
      <c r="M418" s="82">
        <v>6</v>
      </c>
      <c r="N418" s="34"/>
      <c r="O418" s="720"/>
      <c r="P418" s="706"/>
      <c r="Q418" s="55" t="s">
        <v>1716</v>
      </c>
      <c r="R418" s="633" t="s">
        <v>2582</v>
      </c>
    </row>
    <row r="419" spans="1:18" s="21" customFormat="1" ht="10.5" customHeight="1" thickBot="1">
      <c r="A419" s="45"/>
      <c r="B419" s="749" t="s">
        <v>1739</v>
      </c>
      <c r="C419" s="45"/>
      <c r="D419" s="50"/>
      <c r="E419" s="50"/>
      <c r="F419" s="50"/>
      <c r="G419" s="50"/>
      <c r="H419" s="15"/>
      <c r="I419" s="15"/>
      <c r="J419" s="15"/>
      <c r="K419" s="15"/>
      <c r="M419" s="34"/>
      <c r="N419" s="60"/>
      <c r="O419" s="3"/>
      <c r="P419" s="11"/>
    </row>
    <row r="420" spans="1:18" s="21" customFormat="1" ht="45.75" customHeight="1" thickTop="1" thickBot="1">
      <c r="A420" s="4359"/>
      <c r="B420" s="4360"/>
      <c r="C420" s="4360"/>
      <c r="D420" s="4360"/>
      <c r="E420" s="4360"/>
      <c r="F420" s="4360"/>
      <c r="G420" s="4360"/>
      <c r="H420" s="4360"/>
      <c r="I420" s="4360"/>
      <c r="J420" s="4360"/>
      <c r="K420" s="4360"/>
      <c r="L420" s="4360"/>
      <c r="M420" s="4360"/>
      <c r="N420" s="4360"/>
      <c r="O420" s="4360"/>
      <c r="P420" s="4361"/>
      <c r="Q420" s="259" t="s">
        <v>2152</v>
      </c>
      <c r="R420" s="259"/>
    </row>
    <row r="421" spans="1:18" s="44" customFormat="1" ht="10.5" customHeight="1" thickTop="1">
      <c r="A421" s="25"/>
      <c r="B421" s="25" t="s">
        <v>1399</v>
      </c>
      <c r="C421" s="45"/>
      <c r="D421" s="25"/>
      <c r="E421" s="712"/>
      <c r="F421" s="712"/>
      <c r="G421" s="712"/>
      <c r="H421" s="712"/>
      <c r="I421" s="712"/>
      <c r="J421" s="712"/>
      <c r="K421" s="712"/>
      <c r="L421" s="712"/>
      <c r="M421" s="712"/>
      <c r="N421" s="2855"/>
      <c r="O421" s="532"/>
      <c r="P421" s="82"/>
    </row>
    <row r="422" spans="1:18" s="21" customFormat="1" ht="10.9" customHeight="1">
      <c r="A422" s="4150"/>
      <c r="B422" s="4151"/>
      <c r="C422" s="4151"/>
      <c r="D422" s="4151"/>
      <c r="E422" s="4151"/>
      <c r="F422" s="4151"/>
      <c r="G422" s="4151"/>
      <c r="H422" s="4151"/>
      <c r="I422" s="4151"/>
      <c r="J422" s="4151"/>
      <c r="K422" s="4151"/>
      <c r="L422" s="4151"/>
      <c r="M422" s="4151"/>
      <c r="N422" s="4151"/>
      <c r="O422" s="4151"/>
      <c r="P422" s="4152"/>
      <c r="Q422" s="259"/>
      <c r="R422" s="259"/>
    </row>
    <row r="423" spans="1:18" s="21" customFormat="1" ht="2.25" customHeight="1" thickBot="1">
      <c r="A423" s="84"/>
      <c r="B423" s="45"/>
      <c r="C423" s="710"/>
      <c r="D423" s="710"/>
      <c r="E423" s="710"/>
      <c r="F423" s="710"/>
      <c r="G423" s="710"/>
      <c r="H423" s="710"/>
      <c r="I423" s="710"/>
      <c r="J423" s="710"/>
      <c r="K423" s="710"/>
      <c r="L423" s="710"/>
      <c r="M423" s="710"/>
      <c r="N423" s="2851"/>
      <c r="O423" s="33"/>
      <c r="P423" s="82"/>
    </row>
    <row r="424" spans="1:18" s="44" customFormat="1" ht="11.25" customHeight="1" thickBot="1">
      <c r="A424" s="84" t="s">
        <v>1902</v>
      </c>
      <c r="B424" s="52" t="s">
        <v>2667</v>
      </c>
      <c r="D424" s="23"/>
      <c r="E424" s="23"/>
      <c r="F424" s="367"/>
      <c r="G424" s="15"/>
      <c r="L424" s="635" t="str">
        <f>IF(OR($O424=$M424,$O424=0,$O424=""),"","*CHECK!*")</f>
        <v/>
      </c>
      <c r="M424" s="82">
        <v>6</v>
      </c>
      <c r="N424" s="34"/>
      <c r="O424" s="34"/>
      <c r="P424" s="706"/>
      <c r="Q424" s="55" t="s">
        <v>1716</v>
      </c>
      <c r="R424" s="633" t="s">
        <v>2582</v>
      </c>
    </row>
    <row r="425" spans="1:18" s="44" customFormat="1" ht="10.5" customHeight="1">
      <c r="A425" s="25"/>
      <c r="B425" s="25" t="s">
        <v>1399</v>
      </c>
      <c r="C425" s="45"/>
      <c r="D425" s="25"/>
      <c r="E425" s="712"/>
      <c r="F425" s="712"/>
      <c r="G425" s="712"/>
      <c r="H425" s="712"/>
      <c r="I425" s="712"/>
      <c r="J425" s="712"/>
      <c r="K425" s="712"/>
      <c r="L425" s="712"/>
      <c r="M425" s="712"/>
      <c r="N425" s="2855"/>
      <c r="O425" s="532"/>
      <c r="P425" s="82"/>
    </row>
    <row r="426" spans="1:18" s="21" customFormat="1" ht="10.9" customHeight="1">
      <c r="A426" s="4150"/>
      <c r="B426" s="4151"/>
      <c r="C426" s="4151"/>
      <c r="D426" s="4151"/>
      <c r="E426" s="4151"/>
      <c r="F426" s="4151"/>
      <c r="G426" s="4151"/>
      <c r="H426" s="4151"/>
      <c r="I426" s="4151"/>
      <c r="J426" s="4151"/>
      <c r="K426" s="4151"/>
      <c r="L426" s="4151"/>
      <c r="M426" s="4151"/>
      <c r="N426" s="4151"/>
      <c r="O426" s="4151"/>
      <c r="P426" s="4152"/>
      <c r="Q426" s="259"/>
      <c r="R426" s="259"/>
    </row>
    <row r="427" spans="1:18" s="21" customFormat="1" ht="2.25" customHeight="1" thickBot="1">
      <c r="A427" s="84"/>
      <c r="B427" s="45"/>
      <c r="C427" s="710"/>
      <c r="D427" s="710"/>
      <c r="E427" s="710"/>
      <c r="F427" s="710"/>
      <c r="G427" s="710"/>
      <c r="H427" s="710"/>
      <c r="I427" s="710"/>
      <c r="J427" s="710"/>
      <c r="K427" s="710"/>
      <c r="L427" s="710"/>
      <c r="M427" s="710"/>
      <c r="N427" s="2851"/>
      <c r="O427" s="33"/>
      <c r="P427" s="82"/>
    </row>
    <row r="428" spans="1:18" s="44" customFormat="1" ht="11.25" customHeight="1" thickBot="1">
      <c r="A428" s="84" t="s">
        <v>1701</v>
      </c>
      <c r="B428" s="52" t="s">
        <v>1905</v>
      </c>
      <c r="D428" s="23"/>
      <c r="L428" s="635"/>
      <c r="M428" s="82">
        <v>4</v>
      </c>
      <c r="N428" s="34"/>
      <c r="O428" s="720"/>
      <c r="P428" s="706"/>
      <c r="Q428" s="55" t="s">
        <v>1716</v>
      </c>
      <c r="R428" s="633" t="s">
        <v>2582</v>
      </c>
    </row>
    <row r="429" spans="1:18" s="21" customFormat="1" ht="10.5" customHeight="1" thickBot="1">
      <c r="A429" s="45"/>
      <c r="B429" s="749" t="s">
        <v>1739</v>
      </c>
      <c r="C429" s="45"/>
      <c r="D429" s="50"/>
      <c r="E429" s="50"/>
      <c r="F429" s="50"/>
      <c r="G429" s="50"/>
      <c r="H429" s="15"/>
      <c r="I429" s="15"/>
      <c r="J429" s="15"/>
      <c r="K429" s="15"/>
      <c r="M429" s="34"/>
      <c r="N429" s="60"/>
      <c r="O429" s="3"/>
      <c r="P429" s="11"/>
    </row>
    <row r="430" spans="1:18" s="21" customFormat="1" ht="45.75" customHeight="1" thickTop="1" thickBot="1">
      <c r="A430" s="4359"/>
      <c r="B430" s="4360"/>
      <c r="C430" s="4360"/>
      <c r="D430" s="4360"/>
      <c r="E430" s="4360"/>
      <c r="F430" s="4360"/>
      <c r="G430" s="4360"/>
      <c r="H430" s="4360"/>
      <c r="I430" s="4360"/>
      <c r="J430" s="4360"/>
      <c r="K430" s="4360"/>
      <c r="L430" s="4360"/>
      <c r="M430" s="4360"/>
      <c r="N430" s="4360"/>
      <c r="O430" s="4360"/>
      <c r="P430" s="4361"/>
      <c r="Q430" s="259" t="s">
        <v>2152</v>
      </c>
      <c r="R430" s="259"/>
    </row>
    <row r="431" spans="1:18" s="44" customFormat="1" ht="10.5" customHeight="1" thickTop="1">
      <c r="A431" s="25"/>
      <c r="B431" s="25" t="s">
        <v>1399</v>
      </c>
      <c r="C431" s="45"/>
      <c r="D431" s="25"/>
      <c r="E431" s="712"/>
      <c r="F431" s="712"/>
      <c r="G431" s="712"/>
      <c r="H431" s="712"/>
      <c r="I431" s="712"/>
      <c r="J431" s="712"/>
      <c r="K431" s="712"/>
      <c r="L431" s="712"/>
      <c r="M431" s="712"/>
      <c r="N431" s="2855"/>
      <c r="O431" s="532"/>
      <c r="P431" s="82"/>
    </row>
    <row r="432" spans="1:18" s="21" customFormat="1" ht="10.9" customHeight="1">
      <c r="A432" s="4150"/>
      <c r="B432" s="4151"/>
      <c r="C432" s="4151"/>
      <c r="D432" s="4151"/>
      <c r="E432" s="4151"/>
      <c r="F432" s="4151"/>
      <c r="G432" s="4151"/>
      <c r="H432" s="4151"/>
      <c r="I432" s="4151"/>
      <c r="J432" s="4151"/>
      <c r="K432" s="4151"/>
      <c r="L432" s="4151"/>
      <c r="M432" s="4151"/>
      <c r="N432" s="4151"/>
      <c r="O432" s="4151"/>
      <c r="P432" s="4152"/>
      <c r="Q432" s="259"/>
      <c r="R432" s="259"/>
    </row>
    <row r="433" spans="1:27" s="21" customFormat="1" ht="2.25" customHeight="1" thickBot="1">
      <c r="A433" s="84"/>
      <c r="B433" s="45"/>
      <c r="C433" s="710"/>
      <c r="D433" s="710"/>
      <c r="E433" s="710"/>
      <c r="F433" s="710"/>
      <c r="G433" s="710"/>
      <c r="H433" s="710"/>
      <c r="I433" s="710"/>
      <c r="J433" s="710"/>
      <c r="K433" s="710"/>
      <c r="L433" s="710"/>
      <c r="M433" s="710"/>
      <c r="N433" s="2851"/>
      <c r="O433" s="33"/>
      <c r="P433" s="82"/>
    </row>
    <row r="434" spans="1:27" s="44" customFormat="1" ht="11.25" customHeight="1" thickBot="1">
      <c r="A434" s="84" t="s">
        <v>1703</v>
      </c>
      <c r="B434" s="52" t="s">
        <v>1906</v>
      </c>
      <c r="D434" s="23"/>
      <c r="G434" s="29" t="s">
        <v>2656</v>
      </c>
      <c r="L434" s="635" t="str">
        <f>IF(OR($O434&lt;=$M434,$O434=0,$O434=""),"","*CHECK!*")</f>
        <v/>
      </c>
      <c r="M434" s="82">
        <v>6</v>
      </c>
      <c r="N434" s="34"/>
      <c r="O434" s="693">
        <f>IF(SUM(O435:O436)&gt;$M$434,"Check",SUM(O435:O436))</f>
        <v>0</v>
      </c>
      <c r="P434" s="693">
        <f>IF(SUM(P435:P436)&gt;$M$434,"Check",SUM(P435:P436))</f>
        <v>0</v>
      </c>
      <c r="Q434" s="55" t="s">
        <v>1716</v>
      </c>
      <c r="R434" s="633" t="s">
        <v>2582</v>
      </c>
    </row>
    <row r="435" spans="1:27" s="21" customFormat="1" ht="12" customHeight="1">
      <c r="A435" s="542" t="s">
        <v>194</v>
      </c>
      <c r="B435" s="96" t="s">
        <v>1907</v>
      </c>
      <c r="C435"/>
      <c r="E435" s="41"/>
      <c r="F435" s="15"/>
      <c r="G435" s="15"/>
      <c r="H435" s="15"/>
      <c r="K435" s="714"/>
      <c r="L435" s="28"/>
      <c r="M435" s="349">
        <v>6</v>
      </c>
      <c r="N435" s="1360" t="s">
        <v>194</v>
      </c>
      <c r="O435" s="1528"/>
      <c r="P435" s="1529"/>
      <c r="Q435" s="635" t="str">
        <f>IF(OR($O435&lt;=$M435,$O435=0,$O435=""),"","*CHECK!*")</f>
        <v/>
      </c>
      <c r="R435" s="633" t="s">
        <v>2582</v>
      </c>
    </row>
    <row r="436" spans="1:27" s="75" customFormat="1" ht="12" customHeight="1">
      <c r="A436" s="1526" t="s">
        <v>206</v>
      </c>
      <c r="B436" s="718" t="s">
        <v>1908</v>
      </c>
      <c r="C436" s="348"/>
      <c r="D436" s="348"/>
      <c r="E436" s="348"/>
      <c r="F436" s="348"/>
      <c r="H436" s="348"/>
      <c r="I436" s="348"/>
      <c r="J436" s="70"/>
      <c r="K436" s="70"/>
      <c r="L436" s="70"/>
      <c r="M436" s="349">
        <v>4</v>
      </c>
      <c r="N436" s="1360" t="s">
        <v>206</v>
      </c>
      <c r="O436" s="305"/>
      <c r="P436" s="313"/>
      <c r="Q436" s="635" t="str">
        <f>IF(OR($O436&lt;=$M436,$O436=0,$O436=""),"","*CHECK!*")</f>
        <v/>
      </c>
      <c r="R436" s="633" t="s">
        <v>2582</v>
      </c>
    </row>
    <row r="437" spans="1:27" s="21" customFormat="1" ht="10.5" customHeight="1" thickBot="1">
      <c r="A437" s="45"/>
      <c r="B437" s="749" t="s">
        <v>1739</v>
      </c>
      <c r="C437" s="45"/>
      <c r="D437" s="50"/>
      <c r="E437" s="50"/>
      <c r="F437" s="50"/>
      <c r="G437" s="50"/>
      <c r="H437" s="15"/>
      <c r="I437" s="15"/>
      <c r="J437" s="15"/>
      <c r="K437" s="15"/>
      <c r="M437" s="34"/>
      <c r="N437" s="60"/>
      <c r="O437" s="3"/>
      <c r="P437" s="11"/>
    </row>
    <row r="438" spans="1:27" s="21" customFormat="1" ht="45.75" customHeight="1" thickTop="1" thickBot="1">
      <c r="A438" s="4359"/>
      <c r="B438" s="4360"/>
      <c r="C438" s="4360"/>
      <c r="D438" s="4360"/>
      <c r="E438" s="4360"/>
      <c r="F438" s="4360"/>
      <c r="G438" s="4360"/>
      <c r="H438" s="4360"/>
      <c r="I438" s="4360"/>
      <c r="J438" s="4360"/>
      <c r="K438" s="4360"/>
      <c r="L438" s="4360"/>
      <c r="M438" s="4360"/>
      <c r="N438" s="4360"/>
      <c r="O438" s="4360"/>
      <c r="P438" s="4361"/>
      <c r="Q438" s="259" t="s">
        <v>2152</v>
      </c>
      <c r="R438" s="259"/>
    </row>
    <row r="439" spans="1:27" s="44" customFormat="1" ht="10.5" customHeight="1" thickTop="1">
      <c r="A439" s="25"/>
      <c r="B439" s="25" t="s">
        <v>1399</v>
      </c>
      <c r="C439" s="45"/>
      <c r="D439" s="25"/>
      <c r="E439" s="712"/>
      <c r="F439" s="712"/>
      <c r="G439" s="712"/>
      <c r="H439" s="712"/>
      <c r="I439" s="712"/>
      <c r="J439" s="712"/>
      <c r="K439" s="712"/>
      <c r="L439" s="712"/>
      <c r="M439" s="712"/>
      <c r="N439" s="2855"/>
      <c r="O439" s="532"/>
      <c r="P439" s="82"/>
    </row>
    <row r="440" spans="1:27" s="21" customFormat="1" ht="10.5" customHeight="1">
      <c r="A440" s="4150"/>
      <c r="B440" s="4151"/>
      <c r="C440" s="4151"/>
      <c r="D440" s="4151"/>
      <c r="E440" s="4151"/>
      <c r="F440" s="4151"/>
      <c r="G440" s="4151"/>
      <c r="H440" s="4151"/>
      <c r="I440" s="4151"/>
      <c r="J440" s="4151"/>
      <c r="K440" s="4151"/>
      <c r="L440" s="4151"/>
      <c r="M440" s="4151"/>
      <c r="N440" s="4151"/>
      <c r="O440" s="4151"/>
      <c r="P440" s="4152"/>
      <c r="Q440" s="259"/>
      <c r="R440" s="259"/>
    </row>
    <row r="441" spans="1:27" ht="13.5" customHeight="1" thickBot="1">
      <c r="N441" s="60"/>
      <c r="Q441" s="4640" t="s">
        <v>2668</v>
      </c>
      <c r="R441" s="4640"/>
      <c r="S441" s="4640"/>
      <c r="T441" s="4640"/>
      <c r="U441" s="4640"/>
      <c r="V441" s="4640"/>
      <c r="W441" s="4640"/>
      <c r="X441" s="4640"/>
      <c r="Y441" s="4640"/>
      <c r="Z441" s="4640"/>
      <c r="AA441" s="4640"/>
    </row>
    <row r="442" spans="1:27" s="20" customFormat="1" ht="12.75" customHeight="1" thickTop="1" thickBot="1">
      <c r="A442" s="85" t="s">
        <v>1922</v>
      </c>
      <c r="B442" s="31"/>
      <c r="C442" s="45"/>
      <c r="D442" s="79"/>
      <c r="E442" s="79"/>
      <c r="F442" s="21"/>
      <c r="G442" s="45"/>
      <c r="H442" s="45"/>
      <c r="I442" s="22"/>
      <c r="J442" s="22"/>
      <c r="K442" s="22"/>
      <c r="L442" s="44"/>
      <c r="M442" s="1337">
        <f>IF(AND(P37="9%",M55="New Supply"),G63,IF(AND(P37="4%",M55="New Supply"),H63,IF(AND(P37="9%",M55="Rehabilitation"),J63,IF(AND(P37="4%",M55="Rehabilitation"),I63,K63))))</f>
        <v>63</v>
      </c>
      <c r="N442" s="2859"/>
      <c r="O442" s="1320">
        <f>O64+O89+O103+O113+O152+O169+O205+O225+O233+O242+O252+O261+O274+O285+O310+O334+O342+O378+O397+O405+O418+O428+O434</f>
        <v>22</v>
      </c>
      <c r="P442" s="1320">
        <f>-P10+P64+P89+P103+P113+P152+P169+P190+P205+P225+P233+P242+P252+P261+P274+P285+P310+P318+P334+P342+P378+P397+P405+P418+P424+P428+P434</f>
        <v>22</v>
      </c>
      <c r="Q442" s="4640"/>
      <c r="R442" s="4640"/>
      <c r="S442" s="4640"/>
      <c r="T442" s="4640"/>
      <c r="U442" s="4640"/>
      <c r="V442" s="4640"/>
      <c r="W442" s="4640"/>
      <c r="X442" s="4640"/>
      <c r="Y442" s="4640"/>
      <c r="Z442" s="4640"/>
      <c r="AA442" s="4640"/>
    </row>
    <row r="443" spans="1:27" s="21" customFormat="1" ht="15.75" thickTop="1">
      <c r="A443" s="45"/>
      <c r="C443" s="710"/>
      <c r="D443" s="710"/>
      <c r="E443" s="710"/>
      <c r="F443" s="710"/>
      <c r="G443" s="710"/>
      <c r="H443" s="710"/>
      <c r="I443" s="710"/>
      <c r="J443" s="710"/>
      <c r="K443" s="710"/>
      <c r="L443" s="710"/>
      <c r="M443" s="710"/>
      <c r="N443" s="710"/>
      <c r="O443" s="710"/>
      <c r="P443" s="710"/>
      <c r="Q443" s="4640"/>
      <c r="R443" s="4640"/>
      <c r="S443" s="4640"/>
      <c r="T443" s="4640"/>
      <c r="U443" s="4640"/>
      <c r="V443" s="4640"/>
      <c r="W443" s="4640"/>
      <c r="X443" s="4640"/>
      <c r="Y443" s="4640"/>
      <c r="Z443" s="4640"/>
      <c r="AA443" s="4640"/>
    </row>
    <row r="444" spans="1:27" s="79" customFormat="1" ht="6.75" customHeight="1">
      <c r="A444" s="21"/>
      <c r="B444" s="31"/>
      <c r="C444" s="21"/>
      <c r="F444" s="18"/>
      <c r="G444" s="18"/>
      <c r="H444" s="32"/>
      <c r="I444" s="32"/>
      <c r="L444" s="21"/>
      <c r="N444" s="82"/>
      <c r="O444" s="82"/>
      <c r="P444" s="3"/>
      <c r="Q444" s="4640"/>
      <c r="R444" s="4640"/>
      <c r="S444" s="4640"/>
      <c r="T444" s="4640"/>
      <c r="U444" s="4640"/>
      <c r="V444" s="4640"/>
      <c r="W444" s="4640"/>
      <c r="X444" s="4640"/>
      <c r="Y444" s="4640"/>
      <c r="Z444" s="4640"/>
      <c r="AA444" s="4640"/>
    </row>
    <row r="445" spans="1:27" s="21" customFormat="1" ht="22.5" customHeight="1">
      <c r="A445" s="4448" t="s">
        <v>2669</v>
      </c>
      <c r="B445" s="4448"/>
      <c r="C445" s="4448"/>
      <c r="D445" s="4448"/>
      <c r="E445" s="4448"/>
      <c r="F445" s="4448"/>
      <c r="G445" s="4448"/>
      <c r="H445" s="4448"/>
      <c r="I445" s="4448"/>
      <c r="J445" s="4448"/>
      <c r="K445" s="4448"/>
      <c r="L445" s="4448"/>
      <c r="M445" s="4448"/>
      <c r="N445" s="4448"/>
      <c r="O445" s="4448"/>
      <c r="P445" s="4448"/>
      <c r="Q445" s="4640"/>
      <c r="R445" s="4640"/>
      <c r="S445" s="4640"/>
      <c r="T445" s="4640"/>
      <c r="U445" s="4640"/>
      <c r="V445" s="4640"/>
      <c r="W445" s="4640"/>
      <c r="X445" s="4640"/>
      <c r="Y445" s="4640"/>
      <c r="Z445" s="4640"/>
      <c r="AA445" s="4640"/>
    </row>
    <row r="446" spans="1:27" s="21" customFormat="1" ht="409.15" customHeight="1">
      <c r="A446" s="4153"/>
      <c r="B446" s="4154"/>
      <c r="C446" s="4154"/>
      <c r="D446" s="4154"/>
      <c r="E446" s="4154"/>
      <c r="F446" s="4154"/>
      <c r="G446" s="4154"/>
      <c r="H446" s="4154"/>
      <c r="I446" s="4154"/>
      <c r="J446" s="4154"/>
      <c r="K446" s="4154"/>
      <c r="L446" s="4154"/>
      <c r="M446" s="4154"/>
      <c r="N446" s="4154"/>
      <c r="O446" s="4154"/>
      <c r="P446" s="4155"/>
      <c r="Q446" s="1635"/>
      <c r="R446" s="1635"/>
      <c r="S446" s="1635"/>
      <c r="T446" s="1635"/>
      <c r="U446" s="1635"/>
      <c r="V446" s="1635"/>
      <c r="W446" s="1635"/>
      <c r="X446" s="1635"/>
      <c r="Y446" s="1635"/>
    </row>
    <row r="447" spans="1:27" s="79" customFormat="1">
      <c r="C447" s="42" t="s">
        <v>1637</v>
      </c>
      <c r="D447" s="42"/>
      <c r="E447" s="42"/>
      <c r="F447" s="42"/>
      <c r="G447" s="42"/>
      <c r="H447" s="42"/>
      <c r="I447" s="42"/>
      <c r="J447" s="283" t="s">
        <v>1564</v>
      </c>
      <c r="K447" s="42"/>
      <c r="L447" s="42"/>
      <c r="M447" s="42"/>
      <c r="N447" s="705"/>
      <c r="O447" s="2053"/>
      <c r="P447" s="2053"/>
      <c r="Q447" s="148"/>
      <c r="R447" s="148"/>
      <c r="S447" s="148"/>
      <c r="T447" s="1635"/>
      <c r="U447" s="1635"/>
      <c r="V447" s="1635"/>
      <c r="W447" s="1635"/>
      <c r="X447" s="1635"/>
      <c r="Y447" s="1635"/>
    </row>
    <row r="448" spans="1:27" s="79" customFormat="1">
      <c r="C448" s="42" t="s">
        <v>1924</v>
      </c>
      <c r="D448" s="42"/>
      <c r="E448" s="42"/>
      <c r="F448" s="42"/>
      <c r="G448" s="42"/>
      <c r="H448" s="42"/>
      <c r="I448" s="42"/>
      <c r="J448" s="283" t="s">
        <v>1587</v>
      </c>
      <c r="K448" s="42"/>
      <c r="L448" s="42"/>
      <c r="M448" s="42"/>
      <c r="N448" s="705"/>
      <c r="O448" s="2053"/>
      <c r="P448" s="2053"/>
      <c r="Q448" s="42"/>
    </row>
    <row r="449" spans="3:17" s="79" customFormat="1">
      <c r="C449" s="42" t="s">
        <v>1925</v>
      </c>
      <c r="D449" s="42"/>
      <c r="E449" s="42"/>
      <c r="F449" s="42"/>
      <c r="G449" s="42"/>
      <c r="H449" s="42"/>
      <c r="I449" s="42"/>
      <c r="J449" s="283" t="s">
        <v>1926</v>
      </c>
      <c r="K449" s="42"/>
      <c r="L449" s="42"/>
      <c r="M449" s="42"/>
      <c r="N449" s="705"/>
      <c r="O449" s="2053"/>
      <c r="P449" s="2053"/>
      <c r="Q449" s="42"/>
    </row>
    <row r="450" spans="3:17" s="79" customFormat="1">
      <c r="C450" s="42" t="s">
        <v>1927</v>
      </c>
      <c r="D450" s="42"/>
      <c r="E450" s="42"/>
      <c r="F450" s="42"/>
      <c r="G450" s="42"/>
      <c r="H450" s="42"/>
      <c r="I450" s="42"/>
      <c r="J450" s="283" t="s">
        <v>1928</v>
      </c>
      <c r="K450" s="42"/>
      <c r="L450" s="42"/>
      <c r="M450" s="42"/>
      <c r="N450" s="705"/>
      <c r="O450" s="2053"/>
      <c r="P450" s="2053"/>
      <c r="Q450" s="42"/>
    </row>
    <row r="451" spans="3:17" s="79" customFormat="1">
      <c r="C451" s="42"/>
      <c r="D451" s="42"/>
      <c r="E451" s="42"/>
      <c r="F451" s="42"/>
      <c r="G451" s="42"/>
      <c r="H451" s="42"/>
      <c r="I451" s="42"/>
      <c r="J451" s="283" t="s">
        <v>1638</v>
      </c>
      <c r="K451" s="42"/>
      <c r="L451" s="42"/>
      <c r="M451" s="42"/>
      <c r="N451" s="705"/>
      <c r="O451" s="2053"/>
      <c r="P451" s="2053"/>
      <c r="Q451" s="42"/>
    </row>
    <row r="452" spans="3:17" s="79" customFormat="1">
      <c r="C452" s="42" t="s">
        <v>712</v>
      </c>
      <c r="D452" s="42"/>
      <c r="E452" s="42"/>
      <c r="F452" s="42"/>
      <c r="G452" s="42"/>
      <c r="H452" s="42"/>
      <c r="I452" s="42"/>
      <c r="J452" s="283" t="s">
        <v>1929</v>
      </c>
      <c r="K452" s="42"/>
      <c r="L452" s="42"/>
      <c r="M452" s="42"/>
      <c r="N452" s="705"/>
      <c r="O452" s="2053"/>
      <c r="P452" s="2053"/>
      <c r="Q452" s="42"/>
    </row>
    <row r="453" spans="3:17" s="79" customFormat="1">
      <c r="C453" s="1133" t="s">
        <v>1560</v>
      </c>
      <c r="D453" s="42"/>
      <c r="E453" s="42"/>
      <c r="F453" s="42"/>
      <c r="G453" s="42"/>
      <c r="H453" s="42"/>
      <c r="I453" s="42"/>
      <c r="J453" s="283" t="s">
        <v>1930</v>
      </c>
      <c r="K453" s="42"/>
      <c r="L453" s="42"/>
      <c r="M453" s="42"/>
      <c r="N453" s="705"/>
      <c r="O453" s="2053"/>
      <c r="P453" s="2053"/>
      <c r="Q453" s="42"/>
    </row>
    <row r="454" spans="3:17" s="79" customFormat="1">
      <c r="C454" s="1133" t="s">
        <v>1563</v>
      </c>
      <c r="D454" s="42"/>
      <c r="E454" s="42"/>
      <c r="F454" s="42"/>
      <c r="G454" s="42"/>
      <c r="H454" s="42"/>
      <c r="I454" s="42"/>
      <c r="J454" s="283" t="s">
        <v>1573</v>
      </c>
      <c r="K454" s="42"/>
      <c r="L454" s="42"/>
      <c r="M454" s="42"/>
      <c r="N454" s="705"/>
      <c r="O454" s="2053"/>
      <c r="P454" s="2053"/>
      <c r="Q454" s="42"/>
    </row>
    <row r="455" spans="3:17" s="79" customFormat="1">
      <c r="C455" s="1133" t="s">
        <v>1566</v>
      </c>
      <c r="D455" s="42"/>
      <c r="E455" s="42"/>
      <c r="F455" s="42"/>
      <c r="G455" s="42"/>
      <c r="H455" s="42"/>
      <c r="I455" s="42"/>
      <c r="J455" s="283" t="s">
        <v>1558</v>
      </c>
      <c r="K455" s="42"/>
      <c r="L455" s="42"/>
      <c r="M455" s="42"/>
      <c r="N455" s="705"/>
      <c r="O455" s="2053"/>
      <c r="P455" s="2053"/>
      <c r="Q455" s="42"/>
    </row>
    <row r="456" spans="3:17" s="79" customFormat="1">
      <c r="C456" s="1133" t="s">
        <v>1569</v>
      </c>
      <c r="D456" s="42"/>
      <c r="E456" s="42"/>
      <c r="F456" s="42"/>
      <c r="G456" s="42"/>
      <c r="H456" s="42"/>
      <c r="I456" s="42"/>
      <c r="J456" s="283" t="s">
        <v>1570</v>
      </c>
      <c r="K456" s="42"/>
      <c r="L456" s="42"/>
      <c r="M456" s="42"/>
      <c r="N456" s="705"/>
      <c r="O456" s="2053"/>
      <c r="P456" s="2053"/>
      <c r="Q456" s="42"/>
    </row>
    <row r="457" spans="3:17" s="79" customFormat="1">
      <c r="C457" s="1133" t="s">
        <v>1572</v>
      </c>
      <c r="D457" s="42"/>
      <c r="E457" s="42"/>
      <c r="F457" s="42"/>
      <c r="G457" s="42"/>
      <c r="H457" s="42"/>
      <c r="I457" s="42"/>
      <c r="J457" s="283" t="s">
        <v>1937</v>
      </c>
      <c r="K457" s="42"/>
      <c r="L457" s="42"/>
      <c r="M457" s="42"/>
      <c r="N457" s="705"/>
      <c r="O457" s="2053"/>
      <c r="P457" s="2053"/>
      <c r="Q457" s="42"/>
    </row>
    <row r="458" spans="3:17" s="79" customFormat="1">
      <c r="C458" s="1133" t="s">
        <v>1575</v>
      </c>
      <c r="D458" s="42"/>
      <c r="E458" s="42"/>
      <c r="F458" s="42"/>
      <c r="G458" s="42"/>
      <c r="H458" s="42"/>
      <c r="I458" s="42"/>
      <c r="J458" s="283" t="s">
        <v>1585</v>
      </c>
      <c r="K458" s="42"/>
      <c r="L458" s="42"/>
      <c r="M458" s="42"/>
      <c r="N458" s="705"/>
      <c r="O458" s="2053"/>
      <c r="P458" s="2053"/>
      <c r="Q458" s="42"/>
    </row>
    <row r="459" spans="3:17" s="79" customFormat="1">
      <c r="C459" s="1133" t="s">
        <v>1578</v>
      </c>
      <c r="D459" s="42"/>
      <c r="E459" s="42"/>
      <c r="F459" s="42"/>
      <c r="G459" s="42"/>
      <c r="H459" s="42"/>
      <c r="I459" s="42"/>
      <c r="J459" s="283" t="s">
        <v>1945</v>
      </c>
      <c r="K459" s="42"/>
      <c r="L459" s="42"/>
      <c r="M459" s="42"/>
      <c r="N459" s="705"/>
      <c r="O459" s="2053"/>
      <c r="P459" s="2053"/>
      <c r="Q459" s="42"/>
    </row>
    <row r="460" spans="3:17" s="79" customFormat="1">
      <c r="C460" s="1133" t="s">
        <v>1581</v>
      </c>
      <c r="D460" s="42"/>
      <c r="E460" s="42"/>
      <c r="F460" s="42"/>
      <c r="G460" s="42"/>
      <c r="H460" s="42"/>
      <c r="I460" s="42"/>
      <c r="J460" s="283" t="s">
        <v>1947</v>
      </c>
      <c r="K460" s="42"/>
      <c r="L460" s="42"/>
      <c r="M460" s="42"/>
      <c r="N460" s="705"/>
      <c r="O460" s="2053"/>
      <c r="P460" s="2053"/>
      <c r="Q460" s="42"/>
    </row>
    <row r="461" spans="3:17" s="79" customFormat="1">
      <c r="C461" s="1133" t="s">
        <v>1584</v>
      </c>
      <c r="D461" s="42"/>
      <c r="E461" s="42"/>
      <c r="F461" s="42"/>
      <c r="G461" s="42"/>
      <c r="H461" s="42"/>
      <c r="I461" s="42"/>
      <c r="J461" s="42"/>
      <c r="K461" s="42"/>
      <c r="L461" s="42"/>
      <c r="M461" s="42"/>
      <c r="N461" s="705"/>
      <c r="O461" s="2053"/>
      <c r="P461" s="2053"/>
      <c r="Q461" s="42"/>
    </row>
    <row r="462" spans="3:17" s="79" customFormat="1">
      <c r="C462" s="1133" t="s">
        <v>1586</v>
      </c>
      <c r="D462" s="42"/>
      <c r="E462" s="42"/>
      <c r="F462" s="42"/>
      <c r="G462" s="42"/>
      <c r="H462" s="42"/>
      <c r="I462" s="42"/>
      <c r="J462" s="2054" t="s">
        <v>1950</v>
      </c>
      <c r="K462" s="42"/>
      <c r="L462" s="42"/>
      <c r="M462" s="42"/>
      <c r="N462" s="705"/>
      <c r="O462" s="2054" t="s">
        <v>1951</v>
      </c>
      <c r="P462" s="2053"/>
      <c r="Q462" s="42"/>
    </row>
    <row r="463" spans="3:17" s="79" customFormat="1">
      <c r="C463" s="1133" t="s">
        <v>1588</v>
      </c>
      <c r="D463" s="42"/>
      <c r="E463" s="42"/>
      <c r="F463" s="42"/>
      <c r="G463" s="42"/>
      <c r="H463" s="42"/>
      <c r="I463" s="42"/>
      <c r="J463" s="283" t="s">
        <v>1952</v>
      </c>
      <c r="K463" s="42"/>
      <c r="L463" s="42"/>
      <c r="M463" s="42"/>
      <c r="N463" s="705"/>
      <c r="O463" s="2053"/>
      <c r="P463" s="2053"/>
      <c r="Q463" s="42"/>
    </row>
    <row r="464" spans="3:17" s="79" customFormat="1">
      <c r="C464" s="1133" t="s">
        <v>1590</v>
      </c>
      <c r="D464" s="42"/>
      <c r="E464" s="42"/>
      <c r="F464" s="42"/>
      <c r="G464" s="42"/>
      <c r="H464" s="42"/>
      <c r="I464" s="42"/>
      <c r="J464" s="42" t="s">
        <v>1954</v>
      </c>
      <c r="K464" s="42"/>
      <c r="L464" s="42"/>
      <c r="M464" s="42"/>
      <c r="N464" s="705"/>
      <c r="O464" s="2053">
        <v>2</v>
      </c>
      <c r="P464" s="2053"/>
      <c r="Q464" s="42"/>
    </row>
    <row r="465" spans="1:17" s="79" customFormat="1">
      <c r="C465" s="42"/>
      <c r="D465" s="42"/>
      <c r="E465" s="42"/>
      <c r="F465" s="42"/>
      <c r="G465" s="42"/>
      <c r="H465" s="42"/>
      <c r="I465" s="42"/>
      <c r="J465" s="42" t="s">
        <v>1955</v>
      </c>
      <c r="K465" s="42"/>
      <c r="L465" s="42"/>
      <c r="M465" s="42"/>
      <c r="N465" s="705"/>
      <c r="O465" s="2053">
        <v>2</v>
      </c>
      <c r="P465" s="2053"/>
      <c r="Q465" s="42"/>
    </row>
    <row r="466" spans="1:17" s="79" customFormat="1">
      <c r="C466" s="42"/>
      <c r="D466" s="42"/>
      <c r="E466" s="42"/>
      <c r="F466" s="42"/>
      <c r="G466" s="4445" t="s">
        <v>1957</v>
      </c>
      <c r="H466" s="4445"/>
      <c r="I466" s="4445"/>
      <c r="J466" s="42" t="s">
        <v>1958</v>
      </c>
      <c r="K466" s="42"/>
      <c r="L466" s="42"/>
      <c r="M466" s="42"/>
      <c r="N466" s="705"/>
      <c r="O466" s="2053">
        <v>2</v>
      </c>
      <c r="P466" s="2053"/>
      <c r="Q466" s="42"/>
    </row>
    <row r="467" spans="1:17" s="79" customFormat="1">
      <c r="C467" s="42"/>
      <c r="D467" s="42"/>
      <c r="E467" s="42"/>
      <c r="F467" s="42"/>
      <c r="G467" s="1527" t="s">
        <v>1960</v>
      </c>
      <c r="H467" s="42" t="s">
        <v>1961</v>
      </c>
      <c r="I467" s="1527" t="s">
        <v>1962</v>
      </c>
      <c r="J467" s="42" t="s">
        <v>1963</v>
      </c>
      <c r="K467" s="42"/>
      <c r="L467" s="1527"/>
      <c r="M467" s="42"/>
      <c r="N467" s="705"/>
      <c r="O467" s="2053">
        <v>2</v>
      </c>
      <c r="P467" s="2053"/>
      <c r="Q467" s="42"/>
    </row>
    <row r="468" spans="1:17" s="79" customFormat="1">
      <c r="C468" s="378"/>
      <c r="D468" s="42"/>
      <c r="E468" s="42"/>
      <c r="F468" s="42"/>
      <c r="G468" s="1227" t="s">
        <v>1966</v>
      </c>
      <c r="H468" s="42"/>
      <c r="I468" s="1227"/>
      <c r="J468" s="42" t="s">
        <v>1967</v>
      </c>
      <c r="K468" s="42"/>
      <c r="L468" s="1227"/>
      <c r="M468" s="42"/>
      <c r="N468" s="705"/>
      <c r="O468" s="2053">
        <v>2</v>
      </c>
      <c r="P468" s="2053"/>
      <c r="Q468" s="42"/>
    </row>
    <row r="469" spans="1:17" s="79" customFormat="1">
      <c r="C469" s="378"/>
      <c r="D469" s="42"/>
      <c r="E469" s="42"/>
      <c r="F469" s="42"/>
      <c r="G469" s="1227" t="s">
        <v>1970</v>
      </c>
      <c r="H469" s="705" t="s">
        <v>1971</v>
      </c>
      <c r="I469" s="1527" t="s">
        <v>1082</v>
      </c>
      <c r="J469" s="42" t="s">
        <v>1972</v>
      </c>
      <c r="K469" s="42"/>
      <c r="L469" s="378"/>
      <c r="M469" s="42"/>
      <c r="N469" s="705"/>
      <c r="O469" s="2053">
        <v>1</v>
      </c>
      <c r="P469" s="2053"/>
      <c r="Q469" s="42"/>
    </row>
    <row r="470" spans="1:17" s="79" customFormat="1">
      <c r="C470" s="378"/>
      <c r="D470" s="42"/>
      <c r="E470" s="42"/>
      <c r="F470" s="42"/>
      <c r="G470" s="1227" t="s">
        <v>1975</v>
      </c>
      <c r="H470" s="705">
        <v>2020</v>
      </c>
      <c r="I470" s="705" t="s">
        <v>1976</v>
      </c>
      <c r="J470" s="42" t="s">
        <v>1977</v>
      </c>
      <c r="K470" s="42"/>
      <c r="L470" s="378"/>
      <c r="M470" s="42"/>
      <c r="N470" s="705"/>
      <c r="O470" s="2053">
        <v>1</v>
      </c>
      <c r="P470" s="2053"/>
      <c r="Q470" s="42"/>
    </row>
    <row r="471" spans="1:17" s="79" customFormat="1">
      <c r="C471" s="378"/>
      <c r="D471" s="42"/>
      <c r="E471" s="42"/>
      <c r="F471" s="42"/>
      <c r="G471" s="1227" t="s">
        <v>1979</v>
      </c>
      <c r="H471" s="705" t="s">
        <v>1683</v>
      </c>
      <c r="I471" s="1527" t="s">
        <v>1082</v>
      </c>
      <c r="J471" s="42" t="s">
        <v>1980</v>
      </c>
      <c r="K471" s="42"/>
      <c r="L471" s="378"/>
      <c r="M471" s="42"/>
      <c r="N471" s="705"/>
      <c r="O471" s="2053">
        <v>1</v>
      </c>
      <c r="P471" s="2053"/>
      <c r="Q471" s="42"/>
    </row>
    <row r="472" spans="1:17" s="79" customFormat="1">
      <c r="C472" s="378"/>
      <c r="D472" s="42"/>
      <c r="E472" s="42"/>
      <c r="F472" s="42"/>
      <c r="G472" s="1227" t="s">
        <v>1983</v>
      </c>
      <c r="H472" s="705">
        <v>2020</v>
      </c>
      <c r="I472" s="705" t="s">
        <v>1976</v>
      </c>
      <c r="J472" s="42" t="s">
        <v>1984</v>
      </c>
      <c r="K472" s="42"/>
      <c r="L472" s="378"/>
      <c r="M472" s="42"/>
      <c r="N472" s="705"/>
      <c r="O472" s="2053">
        <v>1</v>
      </c>
      <c r="P472" s="2053"/>
      <c r="Q472" s="42"/>
    </row>
    <row r="473" spans="1:17" s="79" customFormat="1">
      <c r="C473" s="378"/>
      <c r="D473" s="42"/>
      <c r="E473" s="42"/>
      <c r="F473" s="42"/>
      <c r="G473" s="1227" t="s">
        <v>1986</v>
      </c>
      <c r="H473" s="705">
        <v>2019</v>
      </c>
      <c r="I473" s="705" t="s">
        <v>1976</v>
      </c>
      <c r="J473" s="42" t="s">
        <v>1987</v>
      </c>
      <c r="K473" s="42"/>
      <c r="L473" s="378"/>
      <c r="M473" s="42"/>
      <c r="N473" s="705"/>
      <c r="O473" s="2053">
        <v>1</v>
      </c>
      <c r="P473" s="2053"/>
      <c r="Q473" s="42"/>
    </row>
    <row r="474" spans="1:17" s="79" customFormat="1">
      <c r="C474" s="378"/>
      <c r="D474" s="42"/>
      <c r="E474" s="42"/>
      <c r="F474" s="42"/>
      <c r="G474" s="1227" t="s">
        <v>1990</v>
      </c>
      <c r="H474" s="705" t="s">
        <v>1683</v>
      </c>
      <c r="I474" s="1527" t="s">
        <v>1082</v>
      </c>
      <c r="J474" s="42" t="s">
        <v>1991</v>
      </c>
      <c r="K474" s="42"/>
      <c r="L474" s="378"/>
      <c r="M474" s="42"/>
      <c r="N474" s="705"/>
      <c r="O474" s="2053">
        <v>1</v>
      </c>
      <c r="P474" s="2053"/>
      <c r="Q474" s="42"/>
    </row>
    <row r="475" spans="1:17" s="79" customFormat="1">
      <c r="C475" s="378"/>
      <c r="D475" s="42"/>
      <c r="E475" s="42"/>
      <c r="F475" s="42"/>
      <c r="G475" s="1227" t="s">
        <v>1993</v>
      </c>
      <c r="H475" s="705">
        <v>2020</v>
      </c>
      <c r="I475" s="705" t="s">
        <v>1976</v>
      </c>
      <c r="J475" s="42" t="s">
        <v>1994</v>
      </c>
      <c r="K475" s="42"/>
      <c r="L475" s="378"/>
      <c r="M475" s="42"/>
      <c r="N475" s="705"/>
      <c r="O475" s="2053">
        <v>1</v>
      </c>
      <c r="P475" s="2053"/>
      <c r="Q475" s="42"/>
    </row>
    <row r="476" spans="1:17" s="79" customFormat="1">
      <c r="C476" s="378"/>
      <c r="D476" s="42"/>
      <c r="E476" s="42"/>
      <c r="F476" s="42"/>
      <c r="G476" s="1227" t="s">
        <v>1996</v>
      </c>
      <c r="H476" s="705" t="s">
        <v>1971</v>
      </c>
      <c r="I476" s="1527" t="s">
        <v>1082</v>
      </c>
      <c r="J476" s="42" t="s">
        <v>1997</v>
      </c>
      <c r="K476" s="42"/>
      <c r="L476" s="378"/>
      <c r="M476" s="42"/>
      <c r="N476" s="705"/>
      <c r="O476" s="2053">
        <v>1</v>
      </c>
      <c r="P476" s="2053"/>
      <c r="Q476" s="42"/>
    </row>
    <row r="477" spans="1:17" s="79" customFormat="1">
      <c r="C477" s="42"/>
      <c r="D477" s="42"/>
      <c r="E477" s="42"/>
      <c r="F477" s="42"/>
      <c r="G477" s="1227" t="s">
        <v>1998</v>
      </c>
      <c r="H477" s="705" t="s">
        <v>1971</v>
      </c>
      <c r="I477" s="1527" t="s">
        <v>1082</v>
      </c>
      <c r="J477" s="42" t="s">
        <v>1999</v>
      </c>
      <c r="K477" s="42"/>
      <c r="L477" s="378"/>
      <c r="M477" s="42"/>
      <c r="N477" s="705"/>
      <c r="O477" s="2053">
        <v>1</v>
      </c>
      <c r="P477" s="2053"/>
      <c r="Q477" s="42"/>
    </row>
    <row r="478" spans="1:17" s="79" customFormat="1">
      <c r="C478" s="42"/>
      <c r="D478" s="42"/>
      <c r="E478" s="42"/>
      <c r="F478" s="42"/>
      <c r="G478" s="1227" t="s">
        <v>2000</v>
      </c>
      <c r="H478" s="705">
        <v>2019</v>
      </c>
      <c r="I478" s="705" t="s">
        <v>1976</v>
      </c>
      <c r="J478" s="42" t="s">
        <v>2001</v>
      </c>
      <c r="K478" s="42"/>
      <c r="L478" s="378"/>
      <c r="M478" s="42"/>
      <c r="N478" s="705"/>
      <c r="O478" s="2053">
        <v>1</v>
      </c>
      <c r="P478" s="2053"/>
      <c r="Q478" s="42"/>
    </row>
    <row r="479" spans="1:17" s="79" customFormat="1">
      <c r="A479" s="27" t="s">
        <v>2002</v>
      </c>
      <c r="C479" s="42"/>
      <c r="D479" s="42"/>
      <c r="E479" s="42"/>
      <c r="F479" s="42"/>
      <c r="G479" s="1227" t="s">
        <v>2003</v>
      </c>
      <c r="H479" s="705" t="s">
        <v>1971</v>
      </c>
      <c r="I479" s="1527" t="s">
        <v>1082</v>
      </c>
      <c r="J479" s="42" t="s">
        <v>2004</v>
      </c>
      <c r="K479" s="42"/>
      <c r="L479" s="378"/>
      <c r="M479" s="42"/>
      <c r="N479" s="705"/>
      <c r="O479" s="2053">
        <v>1</v>
      </c>
      <c r="P479" s="2053"/>
      <c r="Q479" s="42"/>
    </row>
    <row r="480" spans="1:17" s="79" customFormat="1">
      <c r="A480" s="27" t="s">
        <v>2006</v>
      </c>
      <c r="C480" s="42"/>
      <c r="D480" s="42"/>
      <c r="E480" s="42"/>
      <c r="F480" s="42"/>
      <c r="G480" s="1227" t="s">
        <v>2007</v>
      </c>
      <c r="H480" s="705">
        <v>2019</v>
      </c>
      <c r="I480" s="705" t="s">
        <v>1976</v>
      </c>
      <c r="J480" s="42" t="s">
        <v>2008</v>
      </c>
      <c r="K480" s="42"/>
      <c r="L480" s="378"/>
      <c r="M480" s="42"/>
      <c r="N480" s="705"/>
      <c r="O480" s="2053">
        <v>1</v>
      </c>
      <c r="P480" s="2053"/>
      <c r="Q480" s="42"/>
    </row>
    <row r="481" spans="1:17" s="79" customFormat="1">
      <c r="A481" s="75" t="s">
        <v>2010</v>
      </c>
      <c r="C481" s="42"/>
      <c r="D481" s="378"/>
      <c r="E481" s="378">
        <v>3</v>
      </c>
      <c r="F481" s="42"/>
      <c r="G481" s="1227" t="s">
        <v>2011</v>
      </c>
      <c r="H481" s="705">
        <v>2019</v>
      </c>
      <c r="I481" s="705" t="s">
        <v>1976</v>
      </c>
      <c r="J481" s="42"/>
      <c r="K481" s="42"/>
      <c r="L481" s="378"/>
      <c r="M481" s="42"/>
      <c r="N481" s="705"/>
      <c r="O481" s="2053"/>
      <c r="P481" s="2053"/>
      <c r="Q481" s="42"/>
    </row>
    <row r="482" spans="1:17" s="79" customFormat="1">
      <c r="A482" s="75" t="s">
        <v>2012</v>
      </c>
      <c r="C482" s="42"/>
      <c r="D482" s="378"/>
      <c r="E482" s="378">
        <v>2</v>
      </c>
      <c r="F482" s="42"/>
      <c r="G482" s="1227" t="s">
        <v>143</v>
      </c>
      <c r="H482" s="705">
        <v>2019</v>
      </c>
      <c r="I482" s="705" t="s">
        <v>1976</v>
      </c>
      <c r="J482" s="42"/>
      <c r="K482" s="42"/>
      <c r="L482" s="378"/>
      <c r="M482" s="42"/>
      <c r="N482" s="705"/>
      <c r="O482" s="2053"/>
      <c r="P482" s="2053"/>
      <c r="Q482" s="42"/>
    </row>
    <row r="483" spans="1:17" s="79" customFormat="1">
      <c r="A483" s="75" t="s">
        <v>2014</v>
      </c>
      <c r="C483" s="42"/>
      <c r="D483" s="378"/>
      <c r="E483" s="378">
        <v>10</v>
      </c>
      <c r="F483" s="42"/>
      <c r="G483" s="1227" t="s">
        <v>2015</v>
      </c>
      <c r="H483" s="705">
        <v>2019</v>
      </c>
      <c r="I483" s="705" t="s">
        <v>1976</v>
      </c>
      <c r="J483" s="298" t="s">
        <v>1648</v>
      </c>
      <c r="K483" s="42"/>
      <c r="L483" s="378"/>
      <c r="M483" s="42"/>
      <c r="N483" s="705"/>
      <c r="O483" s="2053"/>
      <c r="P483" s="2053"/>
      <c r="Q483" s="42"/>
    </row>
    <row r="484" spans="1:17" s="79" customFormat="1">
      <c r="A484" s="75" t="s">
        <v>2016</v>
      </c>
      <c r="C484" s="42"/>
      <c r="D484" s="378"/>
      <c r="E484" s="378"/>
      <c r="F484" s="42"/>
      <c r="G484" s="1227" t="s">
        <v>2017</v>
      </c>
      <c r="H484" s="705">
        <v>2019</v>
      </c>
      <c r="I484" s="705" t="s">
        <v>1976</v>
      </c>
      <c r="J484" s="42" t="s">
        <v>1477</v>
      </c>
      <c r="K484" s="42"/>
      <c r="L484" s="378"/>
      <c r="M484" s="42"/>
      <c r="N484" s="705"/>
      <c r="O484" s="2053"/>
      <c r="P484" s="2053"/>
      <c r="Q484" s="42"/>
    </row>
    <row r="485" spans="1:17" s="79" customFormat="1">
      <c r="C485" s="378"/>
      <c r="D485" s="42"/>
      <c r="E485" s="42"/>
      <c r="F485" s="42"/>
      <c r="G485" s="1227" t="s">
        <v>2018</v>
      </c>
      <c r="H485" s="705">
        <v>2020</v>
      </c>
      <c r="I485" s="705" t="s">
        <v>1976</v>
      </c>
      <c r="J485" s="42" t="s">
        <v>1649</v>
      </c>
      <c r="K485" s="42"/>
      <c r="L485" s="378"/>
      <c r="M485" s="42"/>
      <c r="N485" s="705"/>
      <c r="O485" s="2053"/>
      <c r="P485" s="2053"/>
      <c r="Q485" s="42"/>
    </row>
    <row r="486" spans="1:17" s="79" customFormat="1">
      <c r="C486" s="378"/>
      <c r="D486" s="42"/>
      <c r="E486" s="42"/>
      <c r="F486" s="42"/>
      <c r="G486" s="1227" t="s">
        <v>2020</v>
      </c>
      <c r="H486" s="705">
        <v>2020</v>
      </c>
      <c r="I486" s="705" t="s">
        <v>1976</v>
      </c>
      <c r="J486" s="42" t="s">
        <v>1650</v>
      </c>
      <c r="K486" s="42"/>
      <c r="L486" s="378"/>
      <c r="M486" s="42"/>
      <c r="N486" s="705"/>
      <c r="O486" s="2053"/>
      <c r="P486" s="2053"/>
      <c r="Q486" s="42"/>
    </row>
    <row r="487" spans="1:17" s="79" customFormat="1">
      <c r="C487" s="378"/>
      <c r="D487" s="42"/>
      <c r="E487" s="42"/>
      <c r="F487" s="42"/>
      <c r="G487" s="1227" t="s">
        <v>2021</v>
      </c>
      <c r="H487" s="705" t="s">
        <v>1971</v>
      </c>
      <c r="I487" s="1527" t="s">
        <v>1082</v>
      </c>
      <c r="J487" s="42" t="s">
        <v>1651</v>
      </c>
      <c r="K487" s="42"/>
      <c r="L487" s="378"/>
      <c r="M487" s="42"/>
      <c r="N487" s="705"/>
      <c r="O487" s="2053"/>
      <c r="P487" s="2053"/>
      <c r="Q487" s="42"/>
    </row>
    <row r="488" spans="1:17" s="79" customFormat="1">
      <c r="C488" s="378"/>
      <c r="D488" s="42"/>
      <c r="E488" s="42"/>
      <c r="F488" s="42"/>
      <c r="G488" s="1227" t="s">
        <v>2023</v>
      </c>
      <c r="H488" s="705">
        <v>2019</v>
      </c>
      <c r="I488" s="705" t="s">
        <v>1976</v>
      </c>
      <c r="J488" s="42" t="s">
        <v>1653</v>
      </c>
      <c r="K488" s="42"/>
      <c r="L488" s="378"/>
      <c r="M488" s="42"/>
      <c r="N488" s="705"/>
      <c r="O488" s="2053"/>
      <c r="P488" s="2053"/>
      <c r="Q488" s="42"/>
    </row>
    <row r="489" spans="1:17" s="79" customFormat="1">
      <c r="C489" s="42"/>
      <c r="D489" s="42"/>
      <c r="E489" s="42"/>
      <c r="F489" s="42"/>
      <c r="G489" s="1227" t="s">
        <v>2024</v>
      </c>
      <c r="H489" s="705">
        <v>2019</v>
      </c>
      <c r="I489" s="705" t="s">
        <v>1976</v>
      </c>
      <c r="J489" s="42" t="s">
        <v>1654</v>
      </c>
      <c r="K489" s="42"/>
      <c r="L489" s="378"/>
      <c r="M489" s="42"/>
      <c r="N489" s="705"/>
      <c r="O489" s="2053"/>
      <c r="P489" s="2053"/>
      <c r="Q489" s="42"/>
    </row>
    <row r="490" spans="1:17" s="79" customFormat="1">
      <c r="C490" s="42"/>
      <c r="D490" s="42"/>
      <c r="E490" s="42"/>
      <c r="F490" s="42"/>
      <c r="G490" s="1227" t="s">
        <v>2025</v>
      </c>
      <c r="H490" s="705">
        <v>2019</v>
      </c>
      <c r="I490" s="705" t="s">
        <v>1976</v>
      </c>
      <c r="J490" s="42" t="s">
        <v>1655</v>
      </c>
      <c r="K490" s="42"/>
      <c r="L490" s="42"/>
      <c r="M490" s="42"/>
      <c r="N490" s="705"/>
      <c r="O490" s="2053"/>
      <c r="P490" s="2053"/>
      <c r="Q490" s="42"/>
    </row>
    <row r="491" spans="1:17" s="79" customFormat="1">
      <c r="C491" s="42"/>
      <c r="D491" s="42"/>
      <c r="E491" s="42"/>
      <c r="F491" s="42"/>
      <c r="G491" s="1227" t="s">
        <v>2026</v>
      </c>
      <c r="H491" s="705" t="s">
        <v>1971</v>
      </c>
      <c r="I491" s="1527" t="s">
        <v>1082</v>
      </c>
      <c r="J491" s="42" t="s">
        <v>1656</v>
      </c>
      <c r="K491" s="42"/>
      <c r="L491" s="378"/>
      <c r="M491" s="42"/>
      <c r="N491" s="705"/>
      <c r="O491" s="2053"/>
      <c r="P491" s="2053"/>
      <c r="Q491" s="42"/>
    </row>
    <row r="492" spans="1:17" s="79" customFormat="1">
      <c r="C492" s="42"/>
      <c r="D492" s="42"/>
      <c r="E492" s="42"/>
      <c r="F492" s="42"/>
      <c r="G492" s="1227" t="s">
        <v>2027</v>
      </c>
      <c r="H492" s="705">
        <v>2020</v>
      </c>
      <c r="I492" s="705" t="s">
        <v>1976</v>
      </c>
      <c r="J492" s="42" t="s">
        <v>1657</v>
      </c>
      <c r="K492" s="42"/>
      <c r="L492" s="378"/>
      <c r="M492" s="42"/>
      <c r="N492" s="705"/>
      <c r="O492" s="2053"/>
      <c r="P492" s="2053"/>
      <c r="Q492" s="42"/>
    </row>
    <row r="493" spans="1:17" s="79" customFormat="1">
      <c r="C493" s="42"/>
      <c r="D493" s="42"/>
      <c r="E493" s="42"/>
      <c r="F493" s="42"/>
      <c r="G493" s="1227" t="s">
        <v>2028</v>
      </c>
      <c r="H493" s="705">
        <v>2020</v>
      </c>
      <c r="I493" s="705" t="s">
        <v>1976</v>
      </c>
      <c r="J493" s="42" t="s">
        <v>2029</v>
      </c>
      <c r="K493" s="42"/>
      <c r="L493" s="42"/>
      <c r="M493" s="42"/>
      <c r="N493" s="705"/>
      <c r="O493" s="2053"/>
      <c r="P493" s="2053"/>
      <c r="Q493" s="42"/>
    </row>
    <row r="494" spans="1:17" s="79" customFormat="1">
      <c r="C494" s="42"/>
      <c r="D494" s="551"/>
      <c r="E494" s="42"/>
      <c r="F494" s="42"/>
      <c r="G494" s="1227" t="s">
        <v>2030</v>
      </c>
      <c r="H494" s="705" t="s">
        <v>1971</v>
      </c>
      <c r="I494" s="1527" t="s">
        <v>1082</v>
      </c>
      <c r="J494" s="42" t="s">
        <v>1658</v>
      </c>
      <c r="K494" s="42"/>
      <c r="L494" s="378"/>
      <c r="M494" s="42"/>
      <c r="N494" s="705"/>
      <c r="O494" s="2053"/>
      <c r="P494" s="2053"/>
      <c r="Q494" s="42"/>
    </row>
    <row r="495" spans="1:17" s="79" customFormat="1">
      <c r="C495" s="42"/>
      <c r="D495" s="551"/>
      <c r="E495" s="42"/>
      <c r="F495" s="42"/>
      <c r="G495" s="1227" t="s">
        <v>2031</v>
      </c>
      <c r="H495" s="705" t="s">
        <v>1971</v>
      </c>
      <c r="I495" s="1527" t="s">
        <v>1082</v>
      </c>
      <c r="J495" s="42" t="s">
        <v>1659</v>
      </c>
      <c r="K495" s="42"/>
      <c r="L495" s="378"/>
      <c r="M495" s="42"/>
      <c r="N495" s="705"/>
      <c r="O495" s="2053"/>
      <c r="P495" s="2053"/>
      <c r="Q495" s="42"/>
    </row>
    <row r="496" spans="1:17" s="79" customFormat="1">
      <c r="C496" s="42"/>
      <c r="D496" s="42"/>
      <c r="E496" s="42"/>
      <c r="F496" s="42"/>
      <c r="G496" s="1227" t="s">
        <v>2032</v>
      </c>
      <c r="H496" s="705">
        <v>2020</v>
      </c>
      <c r="I496" s="705" t="s">
        <v>1976</v>
      </c>
      <c r="J496" s="42" t="s">
        <v>1660</v>
      </c>
      <c r="K496" s="42"/>
      <c r="L496" s="378"/>
      <c r="M496" s="42"/>
      <c r="N496" s="705"/>
      <c r="O496" s="2053"/>
      <c r="P496" s="2053"/>
      <c r="Q496" s="42"/>
    </row>
    <row r="497" spans="3:17" s="79" customFormat="1">
      <c r="C497" s="42"/>
      <c r="D497" s="42"/>
      <c r="E497" s="42"/>
      <c r="F497" s="42"/>
      <c r="G497" s="1227" t="s">
        <v>2033</v>
      </c>
      <c r="H497" s="705">
        <v>2019</v>
      </c>
      <c r="I497" s="705" t="s">
        <v>1976</v>
      </c>
      <c r="J497" s="42" t="s">
        <v>1661</v>
      </c>
      <c r="K497" s="42"/>
      <c r="L497" s="42"/>
      <c r="M497" s="42"/>
      <c r="N497" s="705"/>
      <c r="O497" s="2053"/>
      <c r="P497" s="2053"/>
      <c r="Q497" s="42"/>
    </row>
    <row r="498" spans="3:17" s="79" customFormat="1">
      <c r="C498" s="42"/>
      <c r="D498" s="42"/>
      <c r="E498" s="42"/>
      <c r="F498" s="42"/>
      <c r="G498" s="1227" t="s">
        <v>2034</v>
      </c>
      <c r="H498" s="705">
        <v>2019</v>
      </c>
      <c r="I498" s="705" t="s">
        <v>1976</v>
      </c>
      <c r="J498" s="42" t="s">
        <v>1662</v>
      </c>
      <c r="K498" s="42"/>
      <c r="L498" s="378"/>
      <c r="M498" s="42"/>
      <c r="N498" s="705"/>
      <c r="O498" s="2053"/>
      <c r="P498" s="2053"/>
      <c r="Q498" s="42"/>
    </row>
    <row r="499" spans="3:17" s="79" customFormat="1">
      <c r="C499" s="42"/>
      <c r="D499" s="42"/>
      <c r="E499" s="42"/>
      <c r="F499" s="42"/>
      <c r="G499" s="1227" t="s">
        <v>2035</v>
      </c>
      <c r="H499" s="705">
        <v>2020</v>
      </c>
      <c r="I499" s="705" t="s">
        <v>1976</v>
      </c>
      <c r="J499" s="42" t="s">
        <v>2036</v>
      </c>
      <c r="K499" s="42"/>
      <c r="L499" s="378"/>
      <c r="M499" s="42"/>
      <c r="N499" s="705"/>
      <c r="O499" s="2053"/>
      <c r="P499" s="2053"/>
      <c r="Q499" s="42"/>
    </row>
    <row r="500" spans="3:17" s="79" customFormat="1">
      <c r="C500" s="551"/>
      <c r="D500" s="42"/>
      <c r="E500" s="42"/>
      <c r="F500" s="42"/>
      <c r="G500" s="1227" t="s">
        <v>2037</v>
      </c>
      <c r="H500" s="705">
        <v>2020</v>
      </c>
      <c r="I500" s="705" t="s">
        <v>1976</v>
      </c>
      <c r="J500" s="42" t="s">
        <v>2038</v>
      </c>
      <c r="K500" s="42"/>
      <c r="L500" s="378"/>
      <c r="M500" s="42"/>
      <c r="N500" s="705"/>
      <c r="O500" s="2053"/>
      <c r="P500" s="2053"/>
      <c r="Q500" s="42"/>
    </row>
    <row r="501" spans="3:17" s="79" customFormat="1">
      <c r="C501" s="551"/>
      <c r="D501" s="42"/>
      <c r="E501" s="42"/>
      <c r="F501" s="42"/>
      <c r="G501" s="1227" t="s">
        <v>2039</v>
      </c>
      <c r="H501" s="705" t="s">
        <v>1971</v>
      </c>
      <c r="I501" s="1527" t="s">
        <v>1082</v>
      </c>
      <c r="J501" s="42"/>
      <c r="K501" s="42"/>
      <c r="L501" s="378"/>
      <c r="M501" s="42"/>
      <c r="N501" s="705"/>
      <c r="O501" s="2053"/>
      <c r="P501" s="2053"/>
      <c r="Q501" s="42"/>
    </row>
    <row r="502" spans="3:17" s="79" customFormat="1">
      <c r="C502" s="551"/>
      <c r="D502" s="42"/>
      <c r="E502" s="42"/>
      <c r="F502" s="42"/>
      <c r="G502" s="1227" t="s">
        <v>2040</v>
      </c>
      <c r="H502" s="705" t="s">
        <v>1971</v>
      </c>
      <c r="I502" s="1527" t="s">
        <v>1082</v>
      </c>
      <c r="J502" s="42"/>
      <c r="K502" s="42"/>
      <c r="L502" s="378"/>
      <c r="M502" s="42"/>
      <c r="N502" s="705"/>
      <c r="O502" s="2053"/>
      <c r="P502" s="2053"/>
      <c r="Q502" s="42"/>
    </row>
    <row r="503" spans="3:17" s="79" customFormat="1">
      <c r="C503" s="551"/>
      <c r="D503" s="42"/>
      <c r="E503" s="42"/>
      <c r="F503" s="42"/>
      <c r="G503" s="1227" t="s">
        <v>2041</v>
      </c>
      <c r="H503" s="705" t="s">
        <v>1971</v>
      </c>
      <c r="I503" s="1527" t="s">
        <v>1082</v>
      </c>
      <c r="J503" s="42"/>
      <c r="K503" s="42"/>
      <c r="L503" s="378"/>
      <c r="M503" s="42"/>
      <c r="N503" s="705"/>
      <c r="O503" s="2053"/>
      <c r="P503" s="2053"/>
      <c r="Q503" s="42"/>
    </row>
    <row r="504" spans="3:17" s="79" customFormat="1">
      <c r="C504" s="551"/>
      <c r="D504" s="42"/>
      <c r="E504" s="42"/>
      <c r="F504" s="42"/>
      <c r="G504" s="1227" t="s">
        <v>2042</v>
      </c>
      <c r="H504" s="705" t="s">
        <v>1971</v>
      </c>
      <c r="I504" s="1527" t="s">
        <v>1082</v>
      </c>
      <c r="J504" s="42"/>
      <c r="K504" s="42"/>
      <c r="L504" s="378"/>
      <c r="M504" s="42"/>
      <c r="N504" s="705"/>
      <c r="O504" s="2053"/>
      <c r="P504" s="2053"/>
      <c r="Q504" s="42"/>
    </row>
    <row r="505" spans="3:17" s="79" customFormat="1">
      <c r="C505" s="551"/>
      <c r="D505" s="42"/>
      <c r="E505" s="42"/>
      <c r="F505" s="42"/>
      <c r="G505" s="1227" t="s">
        <v>2043</v>
      </c>
      <c r="H505" s="705">
        <v>2020</v>
      </c>
      <c r="I505" s="705" t="s">
        <v>1976</v>
      </c>
      <c r="J505" s="42"/>
      <c r="K505" s="42"/>
      <c r="L505" s="378"/>
      <c r="M505" s="42"/>
      <c r="N505" s="705"/>
      <c r="O505" s="2053"/>
      <c r="P505" s="2053"/>
      <c r="Q505" s="42"/>
    </row>
    <row r="506" spans="3:17" s="79" customFormat="1">
      <c r="C506" s="551"/>
      <c r="D506" s="42"/>
      <c r="E506" s="42"/>
      <c r="F506" s="42"/>
      <c r="G506" s="1227" t="s">
        <v>2044</v>
      </c>
      <c r="H506" s="705">
        <v>2020</v>
      </c>
      <c r="I506" s="705" t="s">
        <v>1976</v>
      </c>
      <c r="J506" s="42"/>
      <c r="K506" s="42"/>
      <c r="L506" s="42"/>
      <c r="M506" s="42"/>
      <c r="N506" s="705"/>
      <c r="O506" s="2053"/>
      <c r="P506" s="2053"/>
      <c r="Q506" s="42"/>
    </row>
    <row r="507" spans="3:17" s="79" customFormat="1">
      <c r="C507" s="42"/>
      <c r="D507" s="42"/>
      <c r="E507" s="42"/>
      <c r="F507" s="42"/>
      <c r="G507" s="1227" t="s">
        <v>2045</v>
      </c>
      <c r="H507" s="705">
        <v>2019</v>
      </c>
      <c r="I507" s="705" t="s">
        <v>1976</v>
      </c>
      <c r="J507" s="42"/>
      <c r="K507" s="42"/>
      <c r="L507" s="42"/>
      <c r="M507" s="42"/>
      <c r="N507" s="705"/>
      <c r="O507" s="2053"/>
      <c r="P507" s="2053"/>
      <c r="Q507" s="42"/>
    </row>
    <row r="508" spans="3:17" s="79" customFormat="1">
      <c r="C508" s="42"/>
      <c r="D508" s="42"/>
      <c r="E508" s="42"/>
      <c r="F508" s="42"/>
      <c r="G508" s="1227" t="s">
        <v>2046</v>
      </c>
      <c r="H508" s="42"/>
      <c r="I508" s="42"/>
      <c r="J508" s="42"/>
      <c r="K508" s="42"/>
      <c r="L508" s="42"/>
      <c r="M508" s="42"/>
      <c r="N508" s="705"/>
      <c r="O508" s="2053"/>
      <c r="P508" s="2053"/>
      <c r="Q508" s="42"/>
    </row>
    <row r="509" spans="3:17" s="79" customFormat="1">
      <c r="C509" s="42"/>
      <c r="D509" s="42"/>
      <c r="E509" s="42"/>
      <c r="F509" s="42"/>
      <c r="G509" s="1227" t="s">
        <v>2047</v>
      </c>
      <c r="H509" s="705">
        <v>2019</v>
      </c>
      <c r="I509" s="705" t="s">
        <v>1976</v>
      </c>
      <c r="J509" s="42"/>
      <c r="K509" s="42"/>
      <c r="L509" s="42"/>
      <c r="M509" s="42"/>
      <c r="N509" s="705"/>
      <c r="O509" s="2053"/>
      <c r="P509" s="2053"/>
      <c r="Q509" s="42"/>
    </row>
    <row r="510" spans="3:17" s="79" customFormat="1">
      <c r="C510" s="42"/>
      <c r="D510" s="42"/>
      <c r="E510" s="42"/>
      <c r="F510" s="42"/>
      <c r="G510" s="1227" t="s">
        <v>2048</v>
      </c>
      <c r="H510" s="705">
        <v>2020</v>
      </c>
      <c r="I510" s="705" t="s">
        <v>1976</v>
      </c>
      <c r="J510" s="42"/>
      <c r="K510" s="42"/>
      <c r="L510" s="42"/>
      <c r="M510" s="42"/>
      <c r="N510" s="705"/>
      <c r="O510" s="2053"/>
      <c r="P510" s="2053"/>
      <c r="Q510" s="42"/>
    </row>
    <row r="511" spans="3:17" s="79" customFormat="1">
      <c r="C511" s="42"/>
      <c r="D511" s="42"/>
      <c r="E511" s="42"/>
      <c r="F511" s="42"/>
      <c r="G511" s="1227" t="s">
        <v>2049</v>
      </c>
      <c r="H511" s="705">
        <v>2020</v>
      </c>
      <c r="I511" s="705" t="s">
        <v>1976</v>
      </c>
      <c r="J511" s="42"/>
      <c r="K511" s="42"/>
      <c r="L511" s="42"/>
      <c r="M511" s="42"/>
      <c r="N511" s="705"/>
      <c r="O511" s="2053"/>
      <c r="P511" s="2053"/>
      <c r="Q511" s="42"/>
    </row>
    <row r="512" spans="3:17" s="79" customFormat="1">
      <c r="C512" s="42"/>
      <c r="D512" s="42"/>
      <c r="E512" s="42"/>
      <c r="F512" s="42"/>
      <c r="G512" s="1227" t="s">
        <v>2050</v>
      </c>
      <c r="H512" s="705">
        <v>2020</v>
      </c>
      <c r="I512" s="705" t="s">
        <v>1976</v>
      </c>
      <c r="J512" s="42"/>
      <c r="K512" s="42"/>
      <c r="L512" s="42"/>
      <c r="M512" s="42"/>
      <c r="N512" s="705"/>
      <c r="O512" s="2053"/>
      <c r="P512" s="2053"/>
      <c r="Q512" s="42"/>
    </row>
    <row r="513" spans="3:17" s="79" customFormat="1">
      <c r="C513" s="42"/>
      <c r="D513" s="42"/>
      <c r="E513" s="42"/>
      <c r="F513" s="42"/>
      <c r="G513" s="1227" t="s">
        <v>2051</v>
      </c>
      <c r="H513" s="705">
        <v>2019</v>
      </c>
      <c r="I513" s="705" t="s">
        <v>1976</v>
      </c>
      <c r="J513" s="42"/>
      <c r="K513" s="42"/>
      <c r="L513" s="42"/>
      <c r="M513" s="42"/>
      <c r="N513" s="705"/>
      <c r="O513" s="2053"/>
      <c r="P513" s="2053"/>
      <c r="Q513" s="42"/>
    </row>
    <row r="514" spans="3:17" s="79" customFormat="1">
      <c r="C514" s="42"/>
      <c r="D514" s="42"/>
      <c r="E514" s="42"/>
      <c r="F514" s="42"/>
      <c r="G514" s="1227" t="s">
        <v>2052</v>
      </c>
      <c r="H514" s="705">
        <v>2020</v>
      </c>
      <c r="I514" s="705" t="s">
        <v>1976</v>
      </c>
      <c r="J514" s="42"/>
      <c r="K514" s="42"/>
      <c r="L514" s="42"/>
      <c r="M514" s="42"/>
      <c r="N514" s="705"/>
      <c r="O514" s="2053"/>
      <c r="P514" s="2053"/>
      <c r="Q514" s="42"/>
    </row>
    <row r="515" spans="3:17" s="79" customFormat="1">
      <c r="C515" s="42"/>
      <c r="D515" s="42"/>
      <c r="E515" s="42"/>
      <c r="F515" s="42"/>
      <c r="G515" s="1227" t="s">
        <v>2053</v>
      </c>
      <c r="H515" s="705">
        <v>2020</v>
      </c>
      <c r="I515" s="705" t="s">
        <v>1976</v>
      </c>
      <c r="J515" s="42"/>
      <c r="K515" s="42"/>
      <c r="L515" s="42"/>
      <c r="M515" s="42"/>
      <c r="N515" s="705"/>
      <c r="O515" s="2053"/>
      <c r="P515" s="2053"/>
      <c r="Q515" s="42"/>
    </row>
    <row r="516" spans="3:17" s="79" customFormat="1">
      <c r="C516" s="42"/>
      <c r="D516" s="42"/>
      <c r="E516" s="42"/>
      <c r="F516" s="42"/>
      <c r="G516" s="1227" t="s">
        <v>2054</v>
      </c>
      <c r="H516" s="705" t="s">
        <v>1971</v>
      </c>
      <c r="I516" s="1527" t="s">
        <v>1082</v>
      </c>
      <c r="J516" s="42"/>
      <c r="K516" s="42"/>
      <c r="L516" s="42"/>
      <c r="M516" s="42"/>
      <c r="N516" s="705"/>
      <c r="O516" s="2053"/>
      <c r="P516" s="2053"/>
      <c r="Q516" s="42"/>
    </row>
    <row r="517" spans="3:17" s="79" customFormat="1" ht="30" customHeight="1">
      <c r="C517" s="42"/>
      <c r="D517" s="42"/>
      <c r="E517" s="42"/>
      <c r="F517" s="42"/>
      <c r="G517" s="1227"/>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382" customWidth="1"/>
    <col min="4" max="4" width="15.42578125" style="382" customWidth="1"/>
    <col min="5" max="5" width="4.7109375" style="382" customWidth="1"/>
    <col min="6" max="9" width="12.7109375" style="382" customWidth="1"/>
    <col min="10" max="10" width="5.28515625" style="382" customWidth="1"/>
    <col min="11" max="16384" width="9.28515625" style="382"/>
  </cols>
  <sheetData>
    <row r="1" spans="1:16" ht="15.75">
      <c r="A1" s="4650" t="s">
        <v>2670</v>
      </c>
      <c r="B1" s="4650"/>
      <c r="C1" s="4650"/>
      <c r="D1" s="4650"/>
      <c r="E1" s="4650"/>
      <c r="F1" s="4650"/>
      <c r="G1" s="4650"/>
      <c r="H1" s="4650"/>
      <c r="I1" s="4650"/>
      <c r="J1" s="4650"/>
    </row>
    <row r="2" spans="1:16" ht="15.75">
      <c r="A2" s="4650" t="str">
        <f>'Sensitivity Analysis'!C8</f>
        <v>Ashley Collegetown Phase I</v>
      </c>
      <c r="B2" s="4650"/>
      <c r="C2" s="4650"/>
      <c r="D2" s="4650"/>
      <c r="E2" s="4650"/>
      <c r="F2" s="4650"/>
      <c r="G2" s="4650"/>
      <c r="H2" s="4650"/>
      <c r="I2" s="4650"/>
      <c r="J2" s="4650"/>
    </row>
    <row r="3" spans="1:16" ht="15.75">
      <c r="A3" s="4650" t="str">
        <f>'Subsidy Layering Memo'!F14</f>
        <v>Atlanta, Fulton</v>
      </c>
      <c r="B3" s="4650"/>
      <c r="C3" s="4650"/>
      <c r="D3" s="4650"/>
      <c r="E3" s="4650"/>
      <c r="F3" s="4650"/>
      <c r="G3" s="4650"/>
      <c r="H3" s="4650"/>
      <c r="I3" s="4650"/>
      <c r="J3" s="4650"/>
    </row>
    <row r="4" spans="1:16" ht="15.75">
      <c r="A4" s="4651" t="s">
        <v>2671</v>
      </c>
      <c r="B4" s="4650"/>
      <c r="C4" s="4650"/>
      <c r="D4" s="4650"/>
      <c r="E4" s="4650"/>
      <c r="F4" s="4650"/>
      <c r="G4" s="4650"/>
      <c r="H4" s="4650"/>
      <c r="I4" s="4650"/>
      <c r="J4" s="4650"/>
    </row>
    <row r="5" spans="1:16" ht="5.25" customHeight="1"/>
    <row r="6" spans="1:16" ht="5.25" customHeight="1"/>
    <row r="7" spans="1:16" ht="15.75">
      <c r="A7" s="4652" t="s">
        <v>2672</v>
      </c>
      <c r="B7" s="4652"/>
      <c r="C7" s="4653"/>
      <c r="M7" s="4654"/>
      <c r="N7" s="4654"/>
      <c r="O7" s="4654"/>
      <c r="P7" s="4654"/>
    </row>
    <row r="8" spans="1:16" ht="57" customHeight="1">
      <c r="A8" s="4655" t="s">
        <v>2673</v>
      </c>
      <c r="B8" s="4655"/>
      <c r="C8" s="4655"/>
      <c r="D8" s="4655"/>
      <c r="E8" s="4655"/>
      <c r="F8" s="4655"/>
      <c r="G8" s="4655"/>
      <c r="H8" s="4655"/>
      <c r="I8" s="4655"/>
      <c r="J8" s="4655"/>
      <c r="K8" s="383"/>
    </row>
    <row r="9" spans="1:16" ht="45.75" customHeight="1">
      <c r="A9" s="465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199 units set aside for &lt;&lt; Select PROPOSED Tenancy &gt;&gt;.</v>
      </c>
      <c r="B9" s="4655"/>
      <c r="C9" s="4655"/>
      <c r="D9" s="4655"/>
      <c r="E9" s="4655"/>
      <c r="F9" s="4655"/>
      <c r="G9" s="4655"/>
      <c r="H9" s="4655"/>
      <c r="I9" s="4655"/>
      <c r="J9" s="4655"/>
      <c r="K9" s="383"/>
    </row>
    <row r="10" spans="1:16" ht="15.75">
      <c r="A10" s="384" t="s">
        <v>2674</v>
      </c>
    </row>
    <row r="11" spans="1:16" ht="16.5" customHeight="1">
      <c r="A11" s="4655" t="str">
        <f>'Subsidy Layering Memo'!A50</f>
        <v xml:space="preserve">Ownership entity:  (NAME) LP, a Georgia Limited Partnership, will be the ownership entity for the proposed project. </v>
      </c>
      <c r="B11" s="4657"/>
      <c r="C11" s="4657"/>
      <c r="D11" s="4657"/>
      <c r="E11" s="4657"/>
      <c r="F11" s="4657"/>
      <c r="G11" s="4657"/>
      <c r="H11" s="4657"/>
      <c r="I11" s="4657"/>
      <c r="J11" s="4655"/>
    </row>
    <row r="12" spans="1:16" ht="63.75" customHeight="1">
      <c r="A12" s="465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55"/>
      <c r="C12" s="4655"/>
      <c r="D12" s="4655"/>
      <c r="E12" s="4655"/>
      <c r="F12" s="4655"/>
      <c r="G12" s="4655"/>
      <c r="H12" s="4655"/>
      <c r="I12" s="4655"/>
      <c r="J12" s="4655"/>
    </row>
    <row r="13" spans="1:16" ht="48.75" customHeight="1">
      <c r="A13" s="465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55"/>
      <c r="C13" s="4655"/>
      <c r="D13" s="4655"/>
      <c r="E13" s="4655"/>
      <c r="F13" s="4655"/>
      <c r="G13" s="4655"/>
      <c r="H13" s="4655"/>
      <c r="I13" s="4655"/>
      <c r="J13" s="4655"/>
    </row>
    <row r="14" spans="1:16" ht="15.75">
      <c r="A14" s="384" t="s">
        <v>2675</v>
      </c>
      <c r="B14" s="385"/>
    </row>
    <row r="15" spans="1:16">
      <c r="A15" s="382" t="s">
        <v>2676</v>
      </c>
      <c r="D15" s="830" t="s">
        <v>2677</v>
      </c>
    </row>
    <row r="16" spans="1:16">
      <c r="A16" s="382" t="s">
        <v>2678</v>
      </c>
      <c r="D16" s="1013">
        <f>'Sensitivity Analysis'!C25</f>
        <v>14100000</v>
      </c>
    </row>
    <row r="17" spans="1:11">
      <c r="A17" s="386" t="s">
        <v>2679</v>
      </c>
      <c r="D17" s="1014">
        <f>'Sensitivity Analysis'!C13</f>
        <v>199</v>
      </c>
    </row>
    <row r="18" spans="1:11" ht="14.25" customHeight="1"/>
    <row r="19" spans="1:11" ht="15.75">
      <c r="A19" s="384" t="s">
        <v>2680</v>
      </c>
      <c r="B19" s="385"/>
      <c r="C19" s="385"/>
    </row>
    <row r="20" spans="1:11" ht="48.75" customHeight="1">
      <c r="A20" s="465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58"/>
      <c r="C20" s="4658"/>
      <c r="D20" s="4658"/>
      <c r="E20" s="4658"/>
      <c r="F20" s="4658"/>
      <c r="G20" s="4658"/>
      <c r="H20" s="4658"/>
      <c r="I20" s="4658"/>
      <c r="J20" s="4658"/>
    </row>
    <row r="21" spans="1:11" ht="72.75" customHeight="1">
      <c r="A21" s="4655" t="str">
        <f ca="1">'Subsidy Layering Memo'!A67</f>
        <v xml:space="preserve"> will make a capital contribution totaling 7794890.23302 via the syndication of the 2021 Federal LIHTC allocation of 896054 per annum. will make a capital contribution totaling 4659480.8 via the syndication of the 2021 State LIHTC allocation of 896054 per annum.</v>
      </c>
      <c r="B21" s="4655"/>
      <c r="C21" s="4655"/>
      <c r="D21" s="4655"/>
      <c r="E21" s="4655"/>
      <c r="F21" s="4655"/>
      <c r="G21" s="4655"/>
      <c r="H21" s="4655"/>
      <c r="I21" s="4655"/>
      <c r="J21" s="4655"/>
    </row>
    <row r="22" spans="1:11" ht="43.5" customHeight="1">
      <c r="A22" s="4659" t="str">
        <f>'Subsidy Layering Memo'!A68</f>
        <v xml:space="preserve">The total equity price per credit will be 1.39 (0.87 Federal tax credit and 0.52 State tax credit) for a (X%) ownership interest of the Federal Credits and a (X%) ownership interest of the State Credits. </v>
      </c>
      <c r="B22" s="4659"/>
      <c r="C22" s="4659"/>
      <c r="D22" s="4659"/>
      <c r="E22" s="4659"/>
      <c r="F22" s="4659"/>
      <c r="G22" s="4659"/>
      <c r="H22" s="4659"/>
      <c r="I22" s="4659"/>
      <c r="J22" s="4659"/>
    </row>
    <row r="23" spans="1:11" ht="15.75">
      <c r="A23" s="384" t="s">
        <v>2681</v>
      </c>
      <c r="B23" s="385"/>
      <c r="C23" s="385"/>
      <c r="D23" s="385"/>
      <c r="E23" s="385"/>
      <c r="F23" s="385"/>
    </row>
    <row r="24" spans="1:11" ht="102.75" customHeight="1">
      <c r="A24" s="46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55"/>
      <c r="C24" s="4655"/>
      <c r="D24" s="4655"/>
      <c r="E24" s="4655"/>
      <c r="F24" s="4655"/>
      <c r="G24" s="4655"/>
      <c r="H24" s="4655"/>
      <c r="I24" s="4655"/>
      <c r="J24" s="4655"/>
    </row>
    <row r="25" spans="1:11" ht="15" customHeight="1">
      <c r="A25" s="4656"/>
      <c r="B25" s="4656"/>
      <c r="C25" s="4656"/>
      <c r="D25" s="4656"/>
      <c r="E25" s="4656"/>
      <c r="F25" s="4656"/>
      <c r="G25" s="4656"/>
      <c r="H25" s="4656"/>
      <c r="I25" s="4656"/>
      <c r="J25" s="4656"/>
      <c r="K25" s="382" t="s">
        <v>2682</v>
      </c>
    </row>
    <row r="26" spans="1:11" ht="15" customHeight="1">
      <c r="B26" s="829"/>
      <c r="C26" s="829"/>
      <c r="D26" s="829"/>
      <c r="E26" s="829"/>
      <c r="F26" s="829"/>
      <c r="G26" s="829"/>
      <c r="H26" s="829"/>
      <c r="I26" s="829" t="s">
        <v>2682</v>
      </c>
      <c r="J26" s="829"/>
    </row>
    <row r="27" spans="1:11" ht="15.75">
      <c r="A27" s="385" t="s">
        <v>2683</v>
      </c>
    </row>
    <row r="29" spans="1:11" ht="15.75" thickBot="1">
      <c r="A29" s="387"/>
      <c r="B29" s="387"/>
      <c r="C29" s="387"/>
      <c r="D29" s="387"/>
      <c r="F29" s="387"/>
      <c r="G29" s="387"/>
      <c r="H29" s="387"/>
      <c r="I29" s="387"/>
    </row>
    <row r="30" spans="1:11">
      <c r="A30" s="382" t="s">
        <v>2684</v>
      </c>
      <c r="D30" s="382" t="s">
        <v>2088</v>
      </c>
      <c r="F30" s="382" t="s">
        <v>2685</v>
      </c>
      <c r="I30" s="382" t="s">
        <v>2088</v>
      </c>
      <c r="J30" s="382" t="s">
        <v>2682</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Q41" sqref="Q41:S41"/>
    </sheetView>
  </sheetViews>
  <sheetFormatPr defaultColWidth="9.28515625" defaultRowHeight="12.75"/>
  <cols>
    <col min="1" max="1" width="3.28515625" style="100" customWidth="1"/>
    <col min="2" max="2" width="2.28515625" style="167" customWidth="1"/>
    <col min="3" max="11" width="8.7109375" style="100" customWidth="1"/>
    <col min="12" max="12" width="4" style="100" customWidth="1"/>
    <col min="13" max="13" width="8.7109375" style="100" customWidth="1"/>
    <col min="14" max="14" width="9.28515625" style="100" customWidth="1"/>
    <col min="15" max="16" width="8.7109375" style="100" customWidth="1"/>
    <col min="17" max="17" width="9.28515625" style="100"/>
    <col min="18" max="18" width="10.28515625" style="100" bestFit="1" customWidth="1"/>
    <col min="19" max="19" width="9.28515625" style="100"/>
    <col min="20" max="20" width="10.28515625" style="100" bestFit="1" customWidth="1"/>
    <col min="21" max="25" width="9.28515625" style="100"/>
    <col min="26" max="26" width="9.28515625" style="1380"/>
    <col min="27" max="16384" width="9.28515625" style="100"/>
  </cols>
  <sheetData>
    <row r="1" spans="1:26" s="1400" customFormat="1" ht="9" hidden="1" customHeight="1">
      <c r="A1" s="1399"/>
      <c r="B1" s="1399" t="s">
        <v>3</v>
      </c>
      <c r="C1" s="1399"/>
      <c r="D1" s="1399"/>
      <c r="E1" s="1399"/>
      <c r="F1" s="1399" t="s">
        <v>4</v>
      </c>
      <c r="G1" s="1399" t="s">
        <v>5</v>
      </c>
      <c r="H1" s="1399" t="s">
        <v>6</v>
      </c>
      <c r="I1" s="1399" t="s">
        <v>7</v>
      </c>
      <c r="J1" s="1399" t="s">
        <v>8</v>
      </c>
      <c r="K1" s="1399" t="s">
        <v>9</v>
      </c>
      <c r="L1" s="1399"/>
      <c r="M1" s="1399"/>
      <c r="N1" s="1399" t="s">
        <v>10</v>
      </c>
      <c r="O1" s="1399" t="s">
        <v>11</v>
      </c>
      <c r="P1" s="1399" t="s">
        <v>12</v>
      </c>
      <c r="Z1" s="1401">
        <v>1</v>
      </c>
    </row>
    <row r="2" spans="1:26" s="99" customFormat="1" ht="14.1" customHeight="1">
      <c r="A2" s="2985" t="str">
        <f>CONCATENATE("PART ONE - PROJECT INFORMATION"," - ",$O$7," ",$F$25,", ",'Part I-Project Identification'!F26,", ",'Part I-Project Identification'!J26," County")</f>
        <v>PART ONE - PROJECT INFORMATION - 2023-5 Ashley Collegetown Phase I, Atlanta, Fulton County</v>
      </c>
      <c r="B2" s="2986"/>
      <c r="C2" s="2986"/>
      <c r="D2" s="2986"/>
      <c r="E2" s="2986"/>
      <c r="F2" s="2986"/>
      <c r="G2" s="2986"/>
      <c r="H2" s="2986"/>
      <c r="I2" s="2986"/>
      <c r="J2" s="2986"/>
      <c r="K2" s="2986"/>
      <c r="L2" s="2986"/>
      <c r="M2" s="2986"/>
      <c r="N2" s="2986"/>
      <c r="O2" s="2986"/>
      <c r="P2" s="2987"/>
      <c r="Z2" s="1401">
        <v>2</v>
      </c>
    </row>
    <row r="3" spans="1:26" s="99" customFormat="1" ht="6" customHeight="1">
      <c r="A3" s="278"/>
      <c r="B3" s="278"/>
      <c r="C3" s="278"/>
      <c r="D3" s="278"/>
      <c r="E3" s="278"/>
      <c r="F3" s="278"/>
      <c r="G3" s="278"/>
      <c r="H3" s="278"/>
      <c r="I3" s="278"/>
      <c r="J3" s="278"/>
      <c r="K3" s="278"/>
      <c r="L3" s="278"/>
      <c r="M3" s="278"/>
      <c r="N3" s="278"/>
      <c r="O3" s="278"/>
      <c r="P3" s="278"/>
      <c r="Z3" s="1401">
        <v>3</v>
      </c>
    </row>
    <row r="4" spans="1:26" s="99" customFormat="1" ht="87.75" customHeight="1">
      <c r="A4" s="2999" t="s">
        <v>13</v>
      </c>
      <c r="B4" s="2999"/>
      <c r="C4" s="2999"/>
      <c r="D4" s="2999"/>
      <c r="E4" s="2999"/>
      <c r="F4" s="2999"/>
      <c r="G4" s="2999"/>
      <c r="H4" s="2999"/>
      <c r="I4" s="2999"/>
      <c r="J4" s="2999"/>
      <c r="K4" s="2999"/>
      <c r="L4" s="2999"/>
      <c r="M4" s="2999"/>
      <c r="N4" s="2999"/>
      <c r="O4" s="2999"/>
      <c r="P4" s="2999"/>
      <c r="Z4" s="1401">
        <v>4</v>
      </c>
    </row>
    <row r="5" spans="1:26" s="99" customFormat="1" ht="9.75" customHeight="1">
      <c r="A5" s="278"/>
      <c r="B5" s="278"/>
      <c r="C5" s="278"/>
      <c r="D5" s="278"/>
      <c r="E5" s="278"/>
      <c r="F5" s="278"/>
      <c r="G5" s="278"/>
      <c r="H5" s="278"/>
      <c r="I5" s="278"/>
      <c r="J5" s="278"/>
      <c r="K5" s="278"/>
      <c r="L5" s="278"/>
      <c r="M5" s="278"/>
      <c r="N5" s="278"/>
      <c r="O5" s="278"/>
      <c r="P5" s="278"/>
      <c r="Z5" s="1401">
        <v>5</v>
      </c>
    </row>
    <row r="6" spans="1:26" s="99" customFormat="1" ht="12" customHeight="1" thickBot="1">
      <c r="A6" s="3000" t="s">
        <v>14</v>
      </c>
      <c r="B6" s="3000"/>
      <c r="C6" s="3000"/>
      <c r="D6" s="3000"/>
      <c r="F6" s="2881"/>
      <c r="G6" s="142" t="s">
        <v>15</v>
      </c>
      <c r="L6" s="278"/>
      <c r="P6" s="1476" t="s">
        <v>16</v>
      </c>
      <c r="Z6" s="1401">
        <v>6</v>
      </c>
    </row>
    <row r="7" spans="1:26" s="99" customFormat="1" ht="12" customHeight="1" thickBot="1">
      <c r="A7" s="3000"/>
      <c r="B7" s="3000"/>
      <c r="C7" s="3000"/>
      <c r="D7" s="3000"/>
      <c r="E7" s="810"/>
      <c r="F7" s="2882"/>
      <c r="G7" s="142" t="s">
        <v>17</v>
      </c>
      <c r="H7" s="162"/>
      <c r="I7" s="162"/>
      <c r="J7" s="162"/>
      <c r="O7" s="2988" t="s">
        <v>18</v>
      </c>
      <c r="P7" s="2989"/>
      <c r="Q7" s="3002" t="s">
        <v>19</v>
      </c>
      <c r="R7" s="3002"/>
      <c r="S7" s="3003"/>
      <c r="Z7" s="1401">
        <v>7</v>
      </c>
    </row>
    <row r="8" spans="1:26" s="99" customFormat="1" ht="12" customHeight="1">
      <c r="A8" s="3000"/>
      <c r="B8" s="3000"/>
      <c r="C8" s="3000"/>
      <c r="D8" s="3000"/>
      <c r="E8" s="810"/>
      <c r="F8" s="306"/>
      <c r="G8" s="102" t="s">
        <v>20</v>
      </c>
      <c r="H8" s="162"/>
      <c r="I8" s="162"/>
      <c r="J8" s="162"/>
      <c r="Q8" s="3004"/>
      <c r="R8" s="3005"/>
      <c r="S8" s="3006"/>
      <c r="Z8" s="1401">
        <v>8</v>
      </c>
    </row>
    <row r="9" spans="1:26" s="99" customFormat="1" ht="6" customHeight="1">
      <c r="A9" s="278"/>
      <c r="E9" s="162"/>
      <c r="H9" s="162"/>
      <c r="I9" s="162"/>
      <c r="M9" s="162"/>
      <c r="Q9" s="3004"/>
      <c r="R9" s="3005"/>
      <c r="S9" s="3006"/>
      <c r="Z9" s="1401">
        <v>9</v>
      </c>
    </row>
    <row r="10" spans="1:26" s="99" customFormat="1" ht="13.35" customHeight="1">
      <c r="A10" s="158" t="s">
        <v>21</v>
      </c>
      <c r="B10" s="158" t="s">
        <v>22</v>
      </c>
      <c r="D10" s="100"/>
      <c r="E10" s="159"/>
      <c r="F10" s="160" t="s">
        <v>23</v>
      </c>
      <c r="I10" s="2990">
        <f ca="1">'Part III-A-Uses of Funds'!$J$191</f>
        <v>896054</v>
      </c>
      <c r="J10" s="2991"/>
      <c r="L10" s="99" t="s">
        <v>24</v>
      </c>
      <c r="O10" s="2992">
        <f>'Part II-Sources of Funds'!$I$6</f>
        <v>0</v>
      </c>
      <c r="P10" s="2993"/>
      <c r="Q10" s="3004"/>
      <c r="R10" s="3005"/>
      <c r="S10" s="3006"/>
      <c r="Z10" s="1401">
        <v>10</v>
      </c>
    </row>
    <row r="11" spans="1:26" s="99" customFormat="1" ht="6" customHeight="1">
      <c r="A11" s="158"/>
      <c r="B11" s="158"/>
      <c r="D11" s="100"/>
      <c r="E11" s="159"/>
      <c r="F11" s="159"/>
      <c r="I11" s="140"/>
      <c r="N11" s="161"/>
      <c r="Q11" s="3004"/>
      <c r="R11" s="3005"/>
      <c r="S11" s="3006"/>
      <c r="Z11" s="1401">
        <v>11</v>
      </c>
    </row>
    <row r="12" spans="1:26" s="99" customFormat="1" ht="13.5">
      <c r="A12" s="140" t="s">
        <v>25</v>
      </c>
      <c r="B12" s="158" t="s">
        <v>26</v>
      </c>
      <c r="F12" s="2994" t="s">
        <v>27</v>
      </c>
      <c r="G12" s="2995"/>
      <c r="H12" s="2996"/>
      <c r="I12" s="1477" t="s">
        <v>28</v>
      </c>
      <c r="J12" s="291" t="s">
        <v>29</v>
      </c>
      <c r="K12" s="158"/>
      <c r="L12" s="162"/>
      <c r="O12" s="2997" t="s">
        <v>30</v>
      </c>
      <c r="P12" s="2998"/>
      <c r="Q12" s="3004"/>
      <c r="R12" s="3005"/>
      <c r="S12" s="3006"/>
      <c r="Z12" s="1401">
        <v>12</v>
      </c>
    </row>
    <row r="13" spans="1:26" s="99" customFormat="1">
      <c r="A13" s="278"/>
      <c r="B13" s="100"/>
      <c r="C13" s="100"/>
      <c r="D13" s="100"/>
      <c r="E13" s="100"/>
      <c r="H13" s="162"/>
      <c r="J13" s="292"/>
      <c r="K13" s="140"/>
      <c r="M13" s="162"/>
      <c r="Q13" s="3004"/>
      <c r="R13" s="3005"/>
      <c r="S13" s="3006"/>
      <c r="Z13" s="1401">
        <v>13</v>
      </c>
    </row>
    <row r="14" spans="1:26" s="99" customFormat="1">
      <c r="A14" s="140" t="s">
        <v>31</v>
      </c>
      <c r="B14" s="158" t="s">
        <v>32</v>
      </c>
      <c r="D14" s="160"/>
      <c r="E14" s="159"/>
      <c r="G14" s="159"/>
      <c r="H14" s="159"/>
      <c r="I14" s="594" t="s">
        <v>33</v>
      </c>
      <c r="L14" s="161"/>
      <c r="Q14" s="3004"/>
      <c r="R14" s="3005"/>
      <c r="S14" s="3006"/>
      <c r="Z14" s="1401">
        <v>14</v>
      </c>
    </row>
    <row r="15" spans="1:26" s="99" customFormat="1">
      <c r="B15" s="99" t="s">
        <v>34</v>
      </c>
      <c r="F15" s="2970" t="s">
        <v>35</v>
      </c>
      <c r="G15" s="2971"/>
      <c r="H15" s="2972"/>
      <c r="I15" s="2089" t="s">
        <v>36</v>
      </c>
      <c r="J15" s="2973" t="s">
        <v>37</v>
      </c>
      <c r="K15" s="2974"/>
      <c r="L15" s="2975"/>
      <c r="M15" s="1577" t="s">
        <v>38</v>
      </c>
      <c r="N15" s="2970" t="s">
        <v>39</v>
      </c>
      <c r="O15" s="2971"/>
      <c r="P15" s="2972"/>
      <c r="Q15" s="3004"/>
      <c r="R15" s="3005"/>
      <c r="S15" s="3006"/>
      <c r="Z15" s="1401">
        <v>15</v>
      </c>
    </row>
    <row r="16" spans="1:26" s="99" customFormat="1" ht="12.75" customHeight="1">
      <c r="B16" s="160" t="s">
        <v>40</v>
      </c>
      <c r="F16" s="2967">
        <v>4042241860</v>
      </c>
      <c r="G16" s="2968"/>
      <c r="H16" s="2969"/>
      <c r="I16" s="2090" t="s">
        <v>41</v>
      </c>
      <c r="J16" s="652"/>
      <c r="M16" s="160" t="s">
        <v>42</v>
      </c>
      <c r="N16" s="2967">
        <v>4042241893</v>
      </c>
      <c r="O16" s="2968"/>
      <c r="P16" s="2969"/>
      <c r="Q16" s="3004"/>
      <c r="R16" s="3005"/>
      <c r="S16" s="3006"/>
      <c r="V16" s="594"/>
      <c r="W16" s="594"/>
      <c r="X16" s="594"/>
      <c r="Z16" s="1401">
        <v>18</v>
      </c>
    </row>
    <row r="17" spans="1:26" s="99" customFormat="1">
      <c r="B17" s="160" t="s">
        <v>43</v>
      </c>
      <c r="F17" s="2976" t="s">
        <v>44</v>
      </c>
      <c r="G17" s="2977"/>
      <c r="H17" s="2977"/>
      <c r="I17" s="2974"/>
      <c r="J17" s="2977"/>
      <c r="K17" s="2974"/>
      <c r="L17" s="2975"/>
      <c r="M17" s="160" t="s">
        <v>45</v>
      </c>
      <c r="N17" s="2978">
        <v>6783582839</v>
      </c>
      <c r="O17" s="2979"/>
      <c r="P17" s="2980"/>
      <c r="Q17" s="3004"/>
      <c r="R17" s="3005"/>
      <c r="S17" s="3006"/>
      <c r="U17" s="594"/>
      <c r="V17" s="594"/>
      <c r="W17" s="594"/>
      <c r="X17" s="594"/>
      <c r="Z17" s="1401">
        <v>19</v>
      </c>
    </row>
    <row r="18" spans="1:26" s="99" customFormat="1">
      <c r="A18" s="278"/>
      <c r="B18" s="158" t="s">
        <v>46</v>
      </c>
      <c r="C18" s="100"/>
      <c r="H18" s="162"/>
      <c r="J18" s="100"/>
      <c r="P18" s="162"/>
      <c r="Q18" s="3004"/>
      <c r="R18" s="3005"/>
      <c r="S18" s="3006"/>
      <c r="Z18" s="1401">
        <v>20</v>
      </c>
    </row>
    <row r="19" spans="1:26" s="99" customFormat="1">
      <c r="B19" s="99" t="s">
        <v>34</v>
      </c>
      <c r="F19" s="2970" t="s">
        <v>35</v>
      </c>
      <c r="G19" s="2971"/>
      <c r="H19" s="2972"/>
      <c r="I19" s="2089" t="s">
        <v>36</v>
      </c>
      <c r="J19" s="2973" t="s">
        <v>47</v>
      </c>
      <c r="K19" s="2974"/>
      <c r="L19" s="2975"/>
      <c r="M19" s="1577" t="s">
        <v>38</v>
      </c>
      <c r="N19" s="2970" t="s">
        <v>48</v>
      </c>
      <c r="O19" s="2971"/>
      <c r="P19" s="2972"/>
      <c r="Q19" s="3004"/>
      <c r="R19" s="3005"/>
      <c r="S19" s="3006"/>
      <c r="Z19" s="1401">
        <v>21</v>
      </c>
    </row>
    <row r="20" spans="1:26" s="99" customFormat="1">
      <c r="B20" s="160" t="s">
        <v>40</v>
      </c>
      <c r="F20" s="2967">
        <v>4042241860</v>
      </c>
      <c r="G20" s="2968"/>
      <c r="H20" s="2969"/>
      <c r="I20" s="2090" t="s">
        <v>41</v>
      </c>
      <c r="J20" s="652"/>
      <c r="M20" s="160" t="s">
        <v>42</v>
      </c>
      <c r="N20" s="2967">
        <v>4042241881</v>
      </c>
      <c r="O20" s="2968"/>
      <c r="P20" s="2969"/>
      <c r="Q20" s="3004"/>
      <c r="R20" s="3005"/>
      <c r="S20" s="3006"/>
      <c r="U20" s="148"/>
      <c r="V20" s="148"/>
      <c r="W20" s="148"/>
      <c r="X20" s="148"/>
      <c r="Z20" s="1401">
        <v>24</v>
      </c>
    </row>
    <row r="21" spans="1:26" s="99" customFormat="1">
      <c r="B21" s="160" t="s">
        <v>43</v>
      </c>
      <c r="F21" s="2976" t="s">
        <v>49</v>
      </c>
      <c r="G21" s="2977"/>
      <c r="H21" s="2977"/>
      <c r="I21" s="2974"/>
      <c r="J21" s="2977"/>
      <c r="K21" s="2974"/>
      <c r="L21" s="2975"/>
      <c r="M21" s="160" t="s">
        <v>45</v>
      </c>
      <c r="N21" s="2978">
        <v>4042297237</v>
      </c>
      <c r="O21" s="2979"/>
      <c r="P21" s="2980"/>
      <c r="Q21" s="3004"/>
      <c r="R21" s="3005"/>
      <c r="S21" s="3006"/>
      <c r="Z21" s="1401">
        <v>25</v>
      </c>
    </row>
    <row r="22" spans="1:26" s="99" customFormat="1">
      <c r="I22" s="100"/>
      <c r="J22" s="100"/>
      <c r="K22" s="100"/>
      <c r="L22" s="100"/>
      <c r="M22" s="100"/>
      <c r="N22" s="100"/>
      <c r="O22" s="100"/>
      <c r="P22" s="100"/>
      <c r="Q22" s="3004"/>
      <c r="R22" s="3005"/>
      <c r="S22" s="3006"/>
      <c r="Z22" s="1401">
        <v>26</v>
      </c>
    </row>
    <row r="23" spans="1:26" s="99" customFormat="1">
      <c r="A23" s="140" t="s">
        <v>50</v>
      </c>
      <c r="B23" s="158" t="s">
        <v>51</v>
      </c>
      <c r="D23" s="100"/>
      <c r="E23" s="159"/>
      <c r="F23" s="159"/>
      <c r="G23" s="160"/>
      <c r="H23" s="159"/>
      <c r="I23" s="159"/>
      <c r="J23" s="159"/>
      <c r="Q23" s="3004"/>
      <c r="R23" s="3005"/>
      <c r="S23" s="3006"/>
      <c r="Z23" s="1401">
        <v>27</v>
      </c>
    </row>
    <row r="24" spans="1:26" s="99" customFormat="1" ht="1.5" customHeight="1">
      <c r="A24" s="140"/>
      <c r="B24" s="158"/>
      <c r="D24" s="100"/>
      <c r="E24" s="159"/>
      <c r="F24" s="159"/>
      <c r="G24" s="160"/>
      <c r="H24" s="159"/>
      <c r="I24" s="159"/>
      <c r="J24" s="159"/>
      <c r="L24" s="161"/>
      <c r="M24" s="161"/>
      <c r="Q24" s="3004"/>
      <c r="R24" s="3005"/>
      <c r="S24" s="3006"/>
      <c r="Z24" s="1401">
        <v>28</v>
      </c>
    </row>
    <row r="25" spans="1:26" s="99" customFormat="1" ht="13.35" customHeight="1">
      <c r="A25" s="158"/>
      <c r="B25" s="99" t="s">
        <v>52</v>
      </c>
      <c r="D25" s="158"/>
      <c r="F25" s="2973" t="s">
        <v>7050</v>
      </c>
      <c r="G25" s="2981"/>
      <c r="H25" s="2981"/>
      <c r="I25" s="2974"/>
      <c r="J25" s="2981"/>
      <c r="K25" s="2982"/>
      <c r="M25" s="160" t="s">
        <v>53</v>
      </c>
      <c r="P25" s="1578" t="s">
        <v>1402</v>
      </c>
      <c r="Q25" s="3004"/>
      <c r="R25" s="3005"/>
      <c r="S25" s="3006"/>
      <c r="Z25" s="1401">
        <v>29</v>
      </c>
    </row>
    <row r="26" spans="1:26" s="99" customFormat="1">
      <c r="A26" s="278"/>
      <c r="B26" s="99" t="s">
        <v>54</v>
      </c>
      <c r="F26" s="3012" t="s">
        <v>55</v>
      </c>
      <c r="G26" s="3025"/>
      <c r="H26" s="3026"/>
      <c r="I26" s="170" t="s">
        <v>56</v>
      </c>
      <c r="J26" s="2983" t="str">
        <f>IF(F26="","",VLOOKUP(F26,'DCA Underwriting Assumptions'!$T$141:$U$770,2,FALSE))</f>
        <v>Fulton</v>
      </c>
      <c r="K26" s="2984"/>
      <c r="M26" s="160" t="s">
        <v>57</v>
      </c>
      <c r="P26" s="1628" t="s">
        <v>63</v>
      </c>
      <c r="Q26" s="3004"/>
      <c r="R26" s="3005"/>
      <c r="S26" s="3006"/>
      <c r="U26" s="278"/>
      <c r="Z26" s="1401">
        <v>30</v>
      </c>
    </row>
    <row r="27" spans="1:26" s="99" customFormat="1" ht="13.5">
      <c r="A27" s="278"/>
      <c r="B27" s="99" t="s">
        <v>58</v>
      </c>
      <c r="C27" s="165"/>
      <c r="D27" s="166"/>
      <c r="E27" s="166"/>
      <c r="F27" s="3012" t="s">
        <v>59</v>
      </c>
      <c r="G27" s="3013"/>
      <c r="H27" s="3014"/>
      <c r="I27" s="162"/>
      <c r="J27" s="290" t="s">
        <v>60</v>
      </c>
      <c r="K27" s="162"/>
      <c r="M27" s="160" t="s">
        <v>61</v>
      </c>
      <c r="O27" s="2965">
        <v>6.82</v>
      </c>
      <c r="P27" s="2966"/>
      <c r="Q27" s="3004"/>
      <c r="R27" s="3005"/>
      <c r="S27" s="3006"/>
      <c r="Z27" s="1401">
        <v>31</v>
      </c>
    </row>
    <row r="28" spans="1:26" s="99" customFormat="1">
      <c r="A28" s="278"/>
      <c r="B28" s="99" t="s">
        <v>62</v>
      </c>
      <c r="F28" s="1020" t="s">
        <v>63</v>
      </c>
      <c r="G28" s="651"/>
      <c r="I28" s="1627"/>
      <c r="J28" s="162" t="s">
        <v>64</v>
      </c>
      <c r="K28" s="2883" t="str">
        <f>IF(F28="Yes","Rural","Urban")</f>
        <v>Urban</v>
      </c>
      <c r="M28" s="160" t="s">
        <v>65</v>
      </c>
      <c r="N28" s="2884" t="str">
        <f>VLOOKUP($J$26,'DCA Underwriting Assumptions'!$G$141:$J$300,4)</f>
        <v>MSA</v>
      </c>
      <c r="O28" s="2983" t="str">
        <f>IF($F$26="","",VLOOKUP($J$26,'DCA Underwriting Assumptions'!$G$141:$L$300,3,FALSE))</f>
        <v>Atlanta-Sandy Springs-Marietta</v>
      </c>
      <c r="P28" s="2984"/>
      <c r="Q28" s="3004"/>
      <c r="R28" s="3005"/>
      <c r="S28" s="3006"/>
      <c r="Z28" s="1401">
        <v>32</v>
      </c>
    </row>
    <row r="29" spans="1:26" s="99" customFormat="1">
      <c r="A29" s="278"/>
      <c r="B29" s="278"/>
      <c r="C29" s="165"/>
      <c r="D29" s="166"/>
      <c r="E29" s="166"/>
      <c r="F29" s="162"/>
      <c r="G29" s="162"/>
      <c r="H29" s="162"/>
      <c r="I29" s="162"/>
      <c r="J29" s="166"/>
      <c r="K29" s="162"/>
      <c r="L29" s="162"/>
      <c r="P29" s="162"/>
      <c r="Q29" s="3004"/>
      <c r="R29" s="3005"/>
      <c r="S29" s="3006"/>
      <c r="Z29" s="1401">
        <v>33</v>
      </c>
    </row>
    <row r="30" spans="1:26" s="99" customFormat="1">
      <c r="A30" s="140" t="s">
        <v>66</v>
      </c>
      <c r="B30" s="140" t="s">
        <v>67</v>
      </c>
      <c r="D30" s="167"/>
      <c r="E30" s="167"/>
      <c r="F30" s="167"/>
      <c r="G30" s="162"/>
      <c r="H30" s="162"/>
      <c r="I30" s="162"/>
      <c r="J30" s="166"/>
      <c r="K30" s="162"/>
      <c r="L30" s="162"/>
      <c r="P30" s="1612"/>
      <c r="Q30" s="3004"/>
      <c r="R30" s="3005"/>
      <c r="S30" s="3006"/>
      <c r="Z30" s="1401">
        <v>34</v>
      </c>
    </row>
    <row r="31" spans="1:26" s="99" customFormat="1" ht="2.25" customHeight="1">
      <c r="A31" s="278"/>
      <c r="B31" s="278"/>
      <c r="M31" s="160"/>
      <c r="N31" s="982"/>
      <c r="O31" s="982"/>
      <c r="P31" s="1261"/>
      <c r="Q31" s="3004"/>
      <c r="R31" s="3005"/>
      <c r="S31" s="3006"/>
      <c r="Z31" s="1401">
        <v>35</v>
      </c>
    </row>
    <row r="32" spans="1:26" s="99" customFormat="1">
      <c r="A32" s="278"/>
      <c r="B32" s="140" t="s">
        <v>68</v>
      </c>
      <c r="D32" s="649"/>
      <c r="E32" s="649"/>
      <c r="F32" s="649"/>
      <c r="G32" s="649"/>
      <c r="H32" s="162"/>
      <c r="J32" s="100"/>
      <c r="K32" s="166"/>
      <c r="P32" s="162"/>
      <c r="Q32" s="3004"/>
      <c r="R32" s="3005"/>
      <c r="S32" s="3006"/>
      <c r="Z32" s="1401">
        <v>36</v>
      </c>
    </row>
    <row r="33" spans="1:26" s="99" customFormat="1" ht="1.5" customHeight="1">
      <c r="A33" s="278"/>
      <c r="B33" s="278"/>
      <c r="C33" s="140"/>
      <c r="D33" s="649"/>
      <c r="E33" s="649"/>
      <c r="F33" s="649"/>
      <c r="G33" s="649"/>
      <c r="H33" s="162"/>
      <c r="J33" s="100"/>
      <c r="K33" s="166"/>
      <c r="P33" s="162"/>
      <c r="Q33" s="3004"/>
      <c r="R33" s="3005"/>
      <c r="S33" s="3006"/>
      <c r="Z33" s="1401">
        <v>37</v>
      </c>
    </row>
    <row r="34" spans="1:26" s="99" customFormat="1" ht="13.5" hidden="1" customHeight="1">
      <c r="A34" s="278"/>
      <c r="B34" s="278"/>
      <c r="C34" s="99" t="s">
        <v>69</v>
      </c>
      <c r="D34" s="171"/>
      <c r="I34" s="1007"/>
      <c r="K34" s="158"/>
      <c r="L34" s="99" t="s">
        <v>70</v>
      </c>
      <c r="P34" s="1571"/>
      <c r="Q34" s="3004"/>
      <c r="R34" s="3005"/>
      <c r="S34" s="3006"/>
      <c r="Z34" s="1401">
        <v>38</v>
      </c>
    </row>
    <row r="35" spans="1:26" s="99" customFormat="1" ht="12.75" hidden="1" customHeight="1">
      <c r="A35" s="278"/>
      <c r="B35" s="158"/>
      <c r="C35" s="99" t="s">
        <v>71</v>
      </c>
      <c r="I35" s="1565"/>
      <c r="J35" s="170" t="s">
        <v>72</v>
      </c>
      <c r="O35" s="3010"/>
      <c r="P35" s="3011"/>
      <c r="Q35" s="3004"/>
      <c r="R35" s="3005"/>
      <c r="S35" s="3006"/>
      <c r="Z35" s="1401">
        <v>39</v>
      </c>
    </row>
    <row r="36" spans="1:26" s="99" customFormat="1" ht="12.75" customHeight="1">
      <c r="A36" s="278"/>
      <c r="B36" s="158"/>
      <c r="C36" s="99" t="s">
        <v>73</v>
      </c>
      <c r="I36" s="1007" t="s">
        <v>63</v>
      </c>
      <c r="J36" s="170" t="s">
        <v>72</v>
      </c>
      <c r="O36" s="3021"/>
      <c r="P36" s="3022"/>
      <c r="Q36" s="3004"/>
      <c r="R36" s="3005"/>
      <c r="S36" s="3006"/>
      <c r="Z36" s="1401">
        <v>40</v>
      </c>
    </row>
    <row r="37" spans="1:26" s="99" customFormat="1" ht="12.6" customHeight="1">
      <c r="A37" s="278"/>
      <c r="B37" s="278"/>
      <c r="C37" s="99" t="s">
        <v>74</v>
      </c>
      <c r="I37" s="688" t="s">
        <v>63</v>
      </c>
      <c r="J37" s="170" t="s">
        <v>72</v>
      </c>
      <c r="O37" s="3023"/>
      <c r="P37" s="3024"/>
      <c r="Q37" s="3007"/>
      <c r="R37" s="3008"/>
      <c r="S37" s="3009"/>
      <c r="Z37" s="1401">
        <v>41</v>
      </c>
    </row>
    <row r="38" spans="1:26" s="99" customFormat="1" ht="3" customHeight="1">
      <c r="A38" s="278"/>
      <c r="B38" s="278"/>
      <c r="P38" s="100"/>
      <c r="Z38" s="1401">
        <v>42</v>
      </c>
    </row>
    <row r="39" spans="1:26" s="99" customFormat="1" ht="8.25" customHeight="1">
      <c r="B39" s="158"/>
      <c r="L39" s="100"/>
      <c r="M39" s="100"/>
      <c r="N39" s="100"/>
      <c r="O39" s="100"/>
      <c r="P39" s="161"/>
      <c r="Z39" s="1401">
        <v>43</v>
      </c>
    </row>
    <row r="40" spans="1:26" ht="12" customHeight="1">
      <c r="A40" s="140" t="s">
        <v>75</v>
      </c>
      <c r="C40" s="167" t="s">
        <v>76</v>
      </c>
      <c r="M40" s="140" t="s">
        <v>77</v>
      </c>
      <c r="N40" s="167" t="s">
        <v>78</v>
      </c>
      <c r="Z40" s="1401">
        <v>44</v>
      </c>
    </row>
    <row r="41" spans="1:26" ht="409.5" customHeight="1">
      <c r="A41" s="3015"/>
      <c r="B41" s="3016"/>
      <c r="C41" s="3016"/>
      <c r="D41" s="3016"/>
      <c r="E41" s="3016"/>
      <c r="F41" s="3016"/>
      <c r="G41" s="3016"/>
      <c r="H41" s="3016"/>
      <c r="I41" s="3016"/>
      <c r="J41" s="3016"/>
      <c r="K41" s="3016"/>
      <c r="L41" s="3017"/>
      <c r="M41" s="3018"/>
      <c r="N41" s="3019"/>
      <c r="O41" s="3019"/>
      <c r="P41" s="3020"/>
      <c r="Q41" s="3001"/>
      <c r="R41" s="2964"/>
      <c r="S41" s="2964"/>
      <c r="T41" s="270"/>
      <c r="U41" s="270"/>
      <c r="Z41" s="1401">
        <v>218</v>
      </c>
    </row>
    <row r="42" spans="1:26" ht="12" customHeight="1">
      <c r="Q42" s="270"/>
      <c r="R42" s="270"/>
      <c r="S42" s="270"/>
      <c r="T42" s="270"/>
      <c r="U42" s="270"/>
      <c r="Z42" s="1402"/>
    </row>
    <row r="43" spans="1:26">
      <c r="Z43" s="1402"/>
    </row>
    <row r="45" spans="1:26">
      <c r="P45" s="683"/>
      <c r="Q45" s="683"/>
      <c r="R45" s="683"/>
    </row>
    <row r="46" spans="1:26">
      <c r="P46" s="683"/>
      <c r="Q46" s="683"/>
      <c r="R46" s="683"/>
    </row>
    <row r="47" spans="1:26">
      <c r="P47" s="683"/>
      <c r="Q47" s="683"/>
      <c r="R47" s="683"/>
    </row>
    <row r="48" spans="1:26">
      <c r="P48" s="683"/>
      <c r="Q48" s="683"/>
      <c r="R48" s="683"/>
    </row>
    <row r="49" spans="1:44" s="281" customFormat="1" ht="12" customHeight="1">
      <c r="A49" s="100"/>
      <c r="B49" s="167"/>
      <c r="C49" s="100"/>
      <c r="D49" s="100"/>
      <c r="E49" s="100"/>
      <c r="F49" s="100"/>
      <c r="G49" s="100"/>
      <c r="H49" s="100"/>
      <c r="I49" s="100"/>
      <c r="J49" s="100"/>
      <c r="K49" s="100"/>
      <c r="L49" s="100"/>
      <c r="M49" s="100"/>
      <c r="N49" s="100"/>
      <c r="O49" s="100"/>
      <c r="P49" s="683"/>
      <c r="Q49" s="683"/>
      <c r="R49" s="683"/>
      <c r="X49" s="100"/>
      <c r="Y49" s="100"/>
      <c r="Z49" s="1380"/>
      <c r="AA49" s="100"/>
      <c r="AB49" s="100"/>
      <c r="AC49" s="100"/>
      <c r="AD49" s="100"/>
      <c r="AE49" s="100"/>
      <c r="AF49" s="100"/>
      <c r="AG49" s="100"/>
      <c r="AH49" s="100"/>
      <c r="AI49" s="100"/>
      <c r="AJ49" s="100"/>
      <c r="AK49" s="100"/>
      <c r="AL49" s="100"/>
      <c r="AM49" s="100"/>
      <c r="AN49" s="100"/>
      <c r="AO49" s="100"/>
      <c r="AP49" s="100"/>
      <c r="AQ49" s="100"/>
      <c r="AR49" s="100"/>
    </row>
    <row r="50" spans="1:44" s="281" customFormat="1" ht="23.1" customHeight="1">
      <c r="A50" s="100"/>
      <c r="B50" s="100"/>
      <c r="C50" s="100"/>
      <c r="D50" s="100"/>
      <c r="E50" s="100"/>
      <c r="F50" s="100"/>
      <c r="G50" s="100"/>
      <c r="H50" s="100"/>
      <c r="I50" s="100"/>
      <c r="J50" s="100"/>
      <c r="K50" s="100"/>
      <c r="L50" s="100"/>
      <c r="M50" s="100"/>
      <c r="N50" s="100"/>
      <c r="O50" s="100"/>
      <c r="P50" s="684"/>
      <c r="Q50" s="683"/>
      <c r="R50" s="683"/>
      <c r="T50" s="300"/>
      <c r="U50" s="299"/>
      <c r="X50" s="100"/>
      <c r="Y50" s="100"/>
      <c r="Z50" s="1380"/>
      <c r="AA50" s="100"/>
      <c r="AB50" s="100"/>
      <c r="AC50" s="100"/>
      <c r="AD50" s="100"/>
      <c r="AE50" s="100"/>
      <c r="AF50" s="100"/>
      <c r="AG50" s="100"/>
      <c r="AH50" s="100"/>
      <c r="AI50" s="100"/>
      <c r="AJ50" s="100"/>
      <c r="AK50" s="100"/>
      <c r="AL50" s="100"/>
      <c r="AM50" s="100"/>
      <c r="AN50" s="100"/>
      <c r="AO50" s="100"/>
      <c r="AP50" s="100"/>
      <c r="AQ50" s="100"/>
      <c r="AR50" s="100"/>
    </row>
    <row r="51" spans="1:44" s="281" customFormat="1" ht="12" customHeight="1">
      <c r="A51" s="100"/>
      <c r="B51" s="100"/>
      <c r="C51" s="100"/>
      <c r="D51" s="100"/>
      <c r="E51" s="100"/>
      <c r="F51" s="100"/>
      <c r="G51" s="100"/>
      <c r="H51" s="100"/>
      <c r="I51" s="100"/>
      <c r="J51" s="100"/>
      <c r="K51" s="100"/>
      <c r="L51" s="100"/>
      <c r="M51" s="100"/>
      <c r="N51" s="100"/>
      <c r="O51" s="100"/>
      <c r="P51" s="684"/>
      <c r="Q51" s="683"/>
      <c r="R51" s="683"/>
      <c r="T51" s="282"/>
      <c r="U51" s="282"/>
      <c r="X51" s="100"/>
      <c r="Y51" s="100"/>
      <c r="Z51" s="1380"/>
      <c r="AA51" s="100"/>
      <c r="AB51" s="100"/>
      <c r="AC51" s="100"/>
      <c r="AD51" s="100"/>
      <c r="AE51" s="100"/>
      <c r="AF51" s="100"/>
      <c r="AG51" s="100"/>
      <c r="AH51" s="100"/>
      <c r="AI51" s="100"/>
      <c r="AJ51" s="100"/>
      <c r="AK51" s="100"/>
      <c r="AL51" s="100"/>
      <c r="AM51" s="100"/>
      <c r="AN51" s="100"/>
      <c r="AO51" s="100"/>
      <c r="AP51" s="100"/>
      <c r="AQ51" s="100"/>
      <c r="AR51" s="100"/>
    </row>
    <row r="52" spans="1:44" s="281" customFormat="1" ht="12" customHeight="1">
      <c r="A52" s="100"/>
      <c r="B52" s="100"/>
      <c r="C52" s="100"/>
      <c r="D52" s="100"/>
      <c r="E52" s="100"/>
      <c r="F52" s="100"/>
      <c r="G52" s="100"/>
      <c r="H52" s="100"/>
      <c r="I52" s="100"/>
      <c r="J52" s="100"/>
      <c r="K52" s="100"/>
      <c r="L52" s="100"/>
      <c r="M52" s="100"/>
      <c r="N52" s="100"/>
      <c r="O52" s="100"/>
      <c r="P52" s="684"/>
      <c r="Q52" s="683"/>
      <c r="R52" s="683"/>
      <c r="T52" s="282"/>
      <c r="U52" s="282"/>
      <c r="X52" s="100"/>
      <c r="Y52" s="100"/>
      <c r="Z52" s="1380"/>
      <c r="AA52" s="100"/>
      <c r="AB52" s="100"/>
      <c r="AC52" s="100"/>
      <c r="AD52" s="100"/>
      <c r="AE52" s="100"/>
      <c r="AF52" s="100"/>
      <c r="AG52" s="100"/>
      <c r="AH52" s="100"/>
      <c r="AI52" s="100"/>
      <c r="AJ52" s="100"/>
      <c r="AK52" s="100"/>
      <c r="AL52" s="100"/>
      <c r="AM52" s="100"/>
      <c r="AN52" s="100"/>
      <c r="AO52" s="100"/>
      <c r="AP52" s="100"/>
      <c r="AQ52" s="100"/>
      <c r="AR52" s="100"/>
    </row>
    <row r="53" spans="1:44" s="683" customFormat="1" ht="12" customHeight="1">
      <c r="P53" s="684"/>
      <c r="T53" s="687"/>
      <c r="U53" s="687"/>
      <c r="Z53" s="1380"/>
    </row>
    <row r="54" spans="1:44" s="281" customFormat="1" ht="12" customHeight="1">
      <c r="A54" s="100"/>
      <c r="B54" s="100"/>
      <c r="C54" s="100"/>
      <c r="D54" s="100"/>
      <c r="E54" s="100"/>
      <c r="F54" s="100"/>
      <c r="G54" s="100"/>
      <c r="H54" s="100"/>
      <c r="I54" s="100"/>
      <c r="J54" s="100"/>
      <c r="K54" s="100"/>
      <c r="L54" s="100"/>
      <c r="M54" s="100"/>
      <c r="N54" s="100"/>
      <c r="O54" s="100"/>
      <c r="P54" s="684"/>
      <c r="Q54" s="683"/>
      <c r="R54" s="683"/>
      <c r="T54" s="282"/>
      <c r="U54" s="282"/>
      <c r="X54" s="100"/>
      <c r="Y54" s="100"/>
      <c r="Z54" s="1380"/>
      <c r="AA54" s="100"/>
      <c r="AB54" s="100"/>
      <c r="AC54" s="100"/>
      <c r="AD54" s="100"/>
      <c r="AE54" s="100"/>
      <c r="AF54" s="100"/>
      <c r="AG54" s="100"/>
      <c r="AH54" s="100"/>
      <c r="AI54" s="100"/>
      <c r="AJ54" s="100"/>
      <c r="AK54" s="100"/>
      <c r="AL54" s="100"/>
      <c r="AM54" s="100"/>
      <c r="AN54" s="100"/>
      <c r="AO54" s="100"/>
      <c r="AP54" s="100"/>
      <c r="AQ54" s="100"/>
      <c r="AR54" s="100"/>
    </row>
    <row r="55" spans="1:44" s="281" customFormat="1" ht="12" customHeight="1">
      <c r="A55" s="100"/>
      <c r="B55" s="100"/>
      <c r="C55" s="100"/>
      <c r="D55" s="100"/>
      <c r="E55" s="100"/>
      <c r="F55" s="100"/>
      <c r="G55" s="100"/>
      <c r="H55" s="100"/>
      <c r="I55" s="100"/>
      <c r="J55" s="100"/>
      <c r="K55" s="100"/>
      <c r="L55" s="100"/>
      <c r="M55" s="100"/>
      <c r="N55" s="100"/>
      <c r="O55" s="100"/>
      <c r="P55" s="684"/>
      <c r="Q55" s="683"/>
      <c r="R55" s="683"/>
      <c r="T55" s="282"/>
      <c r="U55" s="282"/>
      <c r="X55" s="100"/>
      <c r="Y55" s="100"/>
      <c r="Z55" s="1380"/>
      <c r="AA55" s="100"/>
      <c r="AB55" s="100"/>
      <c r="AC55" s="100"/>
      <c r="AD55" s="100"/>
      <c r="AE55" s="100"/>
      <c r="AF55" s="100"/>
      <c r="AG55" s="100"/>
      <c r="AH55" s="100"/>
      <c r="AI55" s="100"/>
      <c r="AJ55" s="100"/>
      <c r="AK55" s="100"/>
      <c r="AL55" s="100"/>
      <c r="AM55" s="100"/>
      <c r="AN55" s="100"/>
      <c r="AO55" s="100"/>
      <c r="AP55" s="100"/>
      <c r="AQ55" s="100"/>
      <c r="AR55" s="100"/>
    </row>
    <row r="56" spans="1:44" s="281" customFormat="1" ht="12" customHeight="1">
      <c r="A56" s="100"/>
      <c r="B56" s="100"/>
      <c r="C56" s="100"/>
      <c r="D56" s="100"/>
      <c r="E56" s="100"/>
      <c r="F56" s="100"/>
      <c r="G56" s="100"/>
      <c r="H56" s="100"/>
      <c r="I56" s="100"/>
      <c r="J56" s="100"/>
      <c r="K56" s="100"/>
      <c r="L56" s="100"/>
      <c r="M56" s="100"/>
      <c r="N56" s="100"/>
      <c r="O56" s="100"/>
      <c r="P56" s="684"/>
      <c r="Q56" s="683"/>
      <c r="R56" s="683"/>
      <c r="T56" s="282"/>
      <c r="U56" s="282"/>
      <c r="X56" s="100"/>
      <c r="Y56" s="100"/>
      <c r="Z56" s="1380"/>
      <c r="AA56" s="100"/>
      <c r="AB56" s="100"/>
      <c r="AC56" s="100"/>
      <c r="AD56" s="100"/>
      <c r="AE56" s="100"/>
      <c r="AF56" s="100"/>
      <c r="AG56" s="100"/>
      <c r="AH56" s="100"/>
      <c r="AI56" s="100"/>
      <c r="AJ56" s="100"/>
      <c r="AK56" s="100"/>
      <c r="AL56" s="100"/>
      <c r="AM56" s="100"/>
      <c r="AN56" s="100"/>
      <c r="AO56" s="100"/>
      <c r="AP56" s="100"/>
      <c r="AQ56" s="100"/>
      <c r="AR56" s="100"/>
    </row>
    <row r="57" spans="1:44" s="281" customFormat="1" ht="12" customHeight="1">
      <c r="A57" s="100"/>
      <c r="B57" s="100"/>
      <c r="C57" s="100"/>
      <c r="D57" s="100"/>
      <c r="E57" s="100"/>
      <c r="F57" s="100"/>
      <c r="G57" s="100"/>
      <c r="H57" s="100"/>
      <c r="I57" s="100"/>
      <c r="J57" s="100"/>
      <c r="K57" s="100"/>
      <c r="L57" s="100"/>
      <c r="M57" s="100"/>
      <c r="N57" s="100"/>
      <c r="O57" s="100"/>
      <c r="P57" s="684"/>
      <c r="Q57" s="683"/>
      <c r="R57" s="683"/>
      <c r="T57" s="282"/>
      <c r="U57" s="282"/>
      <c r="X57" s="100"/>
      <c r="Y57" s="100"/>
      <c r="Z57" s="1380"/>
      <c r="AA57" s="100"/>
      <c r="AB57" s="100"/>
      <c r="AC57" s="100"/>
      <c r="AD57" s="100"/>
      <c r="AE57" s="100"/>
      <c r="AF57" s="100"/>
      <c r="AG57" s="100"/>
      <c r="AH57" s="100"/>
      <c r="AI57" s="100"/>
      <c r="AJ57" s="100"/>
      <c r="AK57" s="100"/>
      <c r="AL57" s="100"/>
      <c r="AM57" s="100"/>
      <c r="AN57" s="100"/>
      <c r="AO57" s="100"/>
      <c r="AP57" s="100"/>
      <c r="AQ57" s="100"/>
      <c r="AR57" s="100"/>
    </row>
    <row r="58" spans="1:44" s="281" customFormat="1" ht="12" customHeight="1">
      <c r="A58" s="100"/>
      <c r="B58" s="100"/>
      <c r="C58" s="100"/>
      <c r="D58" s="100"/>
      <c r="E58" s="100"/>
      <c r="F58" s="100"/>
      <c r="G58" s="100"/>
      <c r="H58" s="100"/>
      <c r="I58" s="100"/>
      <c r="J58" s="100"/>
      <c r="K58" s="100"/>
      <c r="L58" s="100"/>
      <c r="M58" s="100"/>
      <c r="N58" s="100"/>
      <c r="O58" s="100"/>
      <c r="P58" s="684"/>
      <c r="Q58" s="685"/>
      <c r="R58" s="683"/>
      <c r="X58" s="100"/>
      <c r="Y58" s="100"/>
      <c r="Z58" s="1380"/>
      <c r="AA58" s="100"/>
      <c r="AB58" s="100"/>
      <c r="AC58" s="100"/>
      <c r="AD58" s="100"/>
      <c r="AE58" s="100"/>
      <c r="AF58" s="100"/>
      <c r="AG58" s="100"/>
      <c r="AH58" s="100"/>
      <c r="AI58" s="100"/>
      <c r="AJ58" s="100"/>
      <c r="AK58" s="100"/>
      <c r="AL58" s="100"/>
      <c r="AM58" s="100"/>
      <c r="AN58" s="100"/>
      <c r="AO58" s="100"/>
      <c r="AP58" s="100"/>
      <c r="AQ58" s="100"/>
      <c r="AR58" s="100"/>
    </row>
    <row r="59" spans="1:44" s="281" customFormat="1" ht="12" customHeight="1">
      <c r="A59" s="100"/>
      <c r="B59" s="100"/>
      <c r="C59" s="100"/>
      <c r="D59" s="100"/>
      <c r="E59" s="100"/>
      <c r="F59" s="100"/>
      <c r="G59" s="100"/>
      <c r="H59" s="100"/>
      <c r="I59" s="100"/>
      <c r="J59" s="100"/>
      <c r="K59" s="100"/>
      <c r="L59" s="100"/>
      <c r="M59" s="100"/>
      <c r="N59" s="100"/>
      <c r="O59" s="100"/>
      <c r="P59" s="684"/>
      <c r="Q59" s="685"/>
      <c r="R59" s="683"/>
      <c r="X59" s="100"/>
      <c r="Y59" s="100"/>
      <c r="Z59" s="1380"/>
      <c r="AA59" s="100"/>
      <c r="AB59" s="100"/>
      <c r="AC59" s="100"/>
      <c r="AD59" s="100"/>
      <c r="AE59" s="100"/>
      <c r="AF59" s="100"/>
      <c r="AG59" s="100"/>
      <c r="AH59" s="100"/>
      <c r="AI59" s="100"/>
      <c r="AJ59" s="100"/>
      <c r="AK59" s="100"/>
      <c r="AL59" s="100"/>
      <c r="AM59" s="100"/>
      <c r="AN59" s="100"/>
      <c r="AO59" s="100"/>
      <c r="AP59" s="100"/>
      <c r="AQ59" s="100"/>
      <c r="AR59" s="100"/>
    </row>
    <row r="60" spans="1:44" s="281" customFormat="1" ht="12" customHeight="1">
      <c r="A60" s="100"/>
      <c r="B60" s="100"/>
      <c r="C60" s="100"/>
      <c r="D60" s="100"/>
      <c r="E60" s="100"/>
      <c r="F60" s="100"/>
      <c r="G60" s="100"/>
      <c r="H60" s="100"/>
      <c r="I60" s="100"/>
      <c r="J60" s="100"/>
      <c r="K60" s="100"/>
      <c r="L60" s="100"/>
      <c r="M60" s="100"/>
      <c r="N60" s="100"/>
      <c r="O60" s="100"/>
      <c r="P60" s="684"/>
      <c r="Q60" s="685"/>
      <c r="R60" s="683"/>
      <c r="X60" s="100"/>
      <c r="Y60" s="100"/>
      <c r="Z60" s="1380"/>
      <c r="AA60" s="100"/>
      <c r="AB60" s="100"/>
      <c r="AC60" s="100"/>
      <c r="AD60" s="100"/>
      <c r="AE60" s="100"/>
      <c r="AF60" s="100"/>
      <c r="AG60" s="100"/>
      <c r="AH60" s="100"/>
      <c r="AI60" s="100"/>
      <c r="AJ60" s="100"/>
      <c r="AK60" s="100"/>
      <c r="AL60" s="100"/>
      <c r="AM60" s="100"/>
      <c r="AN60" s="100"/>
      <c r="AO60" s="100"/>
      <c r="AP60" s="100"/>
      <c r="AQ60" s="100"/>
      <c r="AR60" s="100"/>
    </row>
    <row r="61" spans="1:44" s="281" customFormat="1" ht="12" customHeight="1">
      <c r="A61" s="100"/>
      <c r="B61" s="100"/>
      <c r="C61" s="100"/>
      <c r="D61" s="100"/>
      <c r="E61" s="100"/>
      <c r="F61" s="100"/>
      <c r="G61" s="100"/>
      <c r="H61" s="100"/>
      <c r="I61" s="100"/>
      <c r="J61" s="100"/>
      <c r="K61" s="100"/>
      <c r="L61" s="100"/>
      <c r="M61" s="100"/>
      <c r="N61" s="100"/>
      <c r="O61" s="100"/>
      <c r="P61" s="684"/>
      <c r="Q61" s="685"/>
      <c r="R61" s="683"/>
      <c r="X61" s="100"/>
      <c r="Y61" s="100"/>
      <c r="Z61" s="1380"/>
      <c r="AA61" s="100"/>
      <c r="AB61" s="100"/>
      <c r="AC61" s="100"/>
      <c r="AD61" s="100"/>
      <c r="AE61" s="100"/>
      <c r="AF61" s="100"/>
      <c r="AG61" s="100"/>
      <c r="AH61" s="100"/>
      <c r="AI61" s="100"/>
      <c r="AJ61" s="100"/>
      <c r="AK61" s="100"/>
      <c r="AL61" s="100"/>
      <c r="AM61" s="100"/>
      <c r="AN61" s="100"/>
      <c r="AO61" s="100"/>
      <c r="AP61" s="100"/>
      <c r="AQ61" s="100"/>
      <c r="AR61" s="100"/>
    </row>
    <row r="62" spans="1:44" s="281" customFormat="1" ht="12" customHeight="1">
      <c r="A62" s="100"/>
      <c r="B62" s="100"/>
      <c r="C62" s="100"/>
      <c r="D62" s="153"/>
      <c r="E62" s="100"/>
      <c r="F62" s="100"/>
      <c r="G62" s="100"/>
      <c r="H62" s="100"/>
      <c r="I62" s="100"/>
      <c r="J62" s="639" t="s">
        <v>79</v>
      </c>
      <c r="K62" s="100"/>
      <c r="L62" s="100"/>
      <c r="M62" s="100"/>
      <c r="N62" s="100"/>
      <c r="O62" s="100"/>
      <c r="P62" s="684"/>
      <c r="Q62" s="685"/>
      <c r="R62" s="683"/>
      <c r="X62" s="100"/>
      <c r="Y62" s="100"/>
      <c r="Z62" s="1380"/>
      <c r="AA62" s="100"/>
      <c r="AB62" s="100"/>
      <c r="AC62" s="100"/>
      <c r="AD62" s="100"/>
      <c r="AE62" s="100"/>
      <c r="AF62" s="100"/>
      <c r="AG62" s="100"/>
      <c r="AH62" s="100"/>
      <c r="AI62" s="100"/>
      <c r="AJ62" s="100"/>
      <c r="AK62" s="100"/>
      <c r="AL62" s="100"/>
      <c r="AM62" s="100"/>
      <c r="AN62" s="100"/>
      <c r="AO62" s="100"/>
      <c r="AP62" s="100"/>
      <c r="AQ62" s="100"/>
      <c r="AR62" s="100"/>
    </row>
    <row r="63" spans="1:44" s="281" customFormat="1" ht="12" customHeight="1">
      <c r="A63" s="100"/>
      <c r="B63" s="100"/>
      <c r="C63" s="100"/>
      <c r="D63" s="153"/>
      <c r="E63" s="100"/>
      <c r="F63" s="100"/>
      <c r="G63" s="100"/>
      <c r="H63" s="100"/>
      <c r="I63" s="100"/>
      <c r="J63" s="639" t="s">
        <v>80</v>
      </c>
      <c r="K63" s="100"/>
      <c r="L63" s="100"/>
      <c r="M63" s="100"/>
      <c r="N63" s="100"/>
      <c r="O63" s="100"/>
      <c r="P63" s="684"/>
      <c r="Q63" s="685"/>
      <c r="R63" s="683"/>
      <c r="X63" s="100"/>
      <c r="Y63" s="100"/>
      <c r="Z63" s="1380"/>
      <c r="AA63" s="100"/>
      <c r="AB63" s="100"/>
      <c r="AC63" s="100"/>
      <c r="AD63" s="100"/>
      <c r="AE63" s="100"/>
      <c r="AF63" s="100"/>
      <c r="AG63" s="100"/>
      <c r="AH63" s="100"/>
      <c r="AI63" s="100"/>
      <c r="AJ63" s="100"/>
      <c r="AK63" s="100"/>
      <c r="AL63" s="100"/>
      <c r="AM63" s="100"/>
      <c r="AN63" s="100"/>
      <c r="AO63" s="100"/>
      <c r="AP63" s="100"/>
      <c r="AQ63" s="100"/>
      <c r="AR63" s="100"/>
    </row>
    <row r="64" spans="1:44" s="281" customFormat="1" ht="12" customHeight="1">
      <c r="A64" s="100"/>
      <c r="B64" s="100"/>
      <c r="C64" s="100"/>
      <c r="D64" s="153"/>
      <c r="E64" s="100"/>
      <c r="F64" s="100"/>
      <c r="G64" s="100"/>
      <c r="H64" s="100"/>
      <c r="I64" s="100"/>
      <c r="J64" s="639" t="s">
        <v>81</v>
      </c>
      <c r="K64" s="100"/>
      <c r="L64" s="100"/>
      <c r="M64" s="100"/>
      <c r="N64" s="100"/>
      <c r="O64" s="100"/>
      <c r="P64" s="684"/>
      <c r="Q64" s="685"/>
      <c r="R64" s="683"/>
      <c r="X64" s="100"/>
      <c r="Y64" s="100"/>
      <c r="Z64" s="1380"/>
      <c r="AA64" s="100"/>
      <c r="AB64" s="100"/>
      <c r="AC64" s="100"/>
      <c r="AD64" s="100"/>
      <c r="AE64" s="100"/>
      <c r="AF64" s="100"/>
      <c r="AG64" s="100"/>
      <c r="AH64" s="100"/>
      <c r="AI64" s="100"/>
      <c r="AJ64" s="100"/>
      <c r="AK64" s="100"/>
      <c r="AL64" s="100"/>
      <c r="AM64" s="100"/>
      <c r="AN64" s="100"/>
      <c r="AO64" s="100"/>
      <c r="AP64" s="100"/>
      <c r="AQ64" s="100"/>
      <c r="AR64" s="100"/>
    </row>
    <row r="65" spans="1:44" s="281" customFormat="1" ht="12" customHeight="1">
      <c r="A65" s="100"/>
      <c r="B65" s="100"/>
      <c r="C65" s="100"/>
      <c r="D65" s="153"/>
      <c r="E65" s="100"/>
      <c r="F65" s="100"/>
      <c r="G65" s="100"/>
      <c r="H65" s="100"/>
      <c r="I65" s="100"/>
      <c r="J65" s="639" t="s">
        <v>82</v>
      </c>
      <c r="K65" s="100"/>
      <c r="L65" s="100"/>
      <c r="M65" s="100"/>
      <c r="N65" s="100"/>
      <c r="O65" s="100"/>
      <c r="P65" s="684"/>
      <c r="Q65" s="685"/>
      <c r="R65" s="683"/>
      <c r="X65" s="100"/>
      <c r="Y65" s="100"/>
      <c r="Z65" s="1380"/>
      <c r="AA65" s="100"/>
      <c r="AB65" s="100"/>
      <c r="AC65" s="100"/>
      <c r="AD65" s="100"/>
      <c r="AE65" s="100"/>
      <c r="AF65" s="100"/>
      <c r="AG65" s="100"/>
      <c r="AH65" s="100"/>
      <c r="AI65" s="100"/>
      <c r="AJ65" s="100"/>
      <c r="AK65" s="100"/>
      <c r="AL65" s="100"/>
      <c r="AM65" s="100"/>
      <c r="AN65" s="100"/>
      <c r="AO65" s="100"/>
      <c r="AP65" s="100"/>
      <c r="AQ65" s="100"/>
      <c r="AR65" s="100"/>
    </row>
    <row r="66" spans="1:44" s="281" customFormat="1" ht="12" customHeight="1">
      <c r="A66" s="100"/>
      <c r="B66" s="100"/>
      <c r="C66" s="100"/>
      <c r="D66" s="153"/>
      <c r="E66" s="100"/>
      <c r="F66" s="100"/>
      <c r="G66" s="100"/>
      <c r="H66" s="100"/>
      <c r="I66" s="100"/>
      <c r="J66" s="639" t="s">
        <v>83</v>
      </c>
      <c r="K66" s="100"/>
      <c r="L66" s="100"/>
      <c r="M66" s="100"/>
      <c r="N66" s="100"/>
      <c r="O66" s="100"/>
      <c r="P66" s="684"/>
      <c r="Q66" s="685"/>
      <c r="R66" s="683"/>
      <c r="X66" s="100"/>
      <c r="Y66" s="100"/>
      <c r="Z66" s="1380"/>
      <c r="AA66" s="100"/>
      <c r="AB66" s="100"/>
      <c r="AC66" s="100"/>
      <c r="AD66" s="100"/>
      <c r="AE66" s="100"/>
      <c r="AF66" s="100"/>
      <c r="AG66" s="100"/>
      <c r="AH66" s="100"/>
      <c r="AI66" s="100"/>
      <c r="AJ66" s="100"/>
      <c r="AK66" s="100"/>
      <c r="AL66" s="100"/>
      <c r="AM66" s="100"/>
      <c r="AN66" s="100"/>
      <c r="AO66" s="100"/>
      <c r="AP66" s="100"/>
      <c r="AQ66" s="100"/>
      <c r="AR66" s="100"/>
    </row>
    <row r="67" spans="1:44" s="281" customFormat="1" ht="12" customHeight="1">
      <c r="A67" s="100"/>
      <c r="B67" s="100"/>
      <c r="C67" s="100"/>
      <c r="D67" s="153"/>
      <c r="E67" s="100"/>
      <c r="F67" s="100"/>
      <c r="G67" s="100"/>
      <c r="H67" s="100"/>
      <c r="I67" s="100"/>
      <c r="J67" s="639" t="s">
        <v>84</v>
      </c>
      <c r="K67" s="100"/>
      <c r="L67" s="100"/>
      <c r="M67" s="100"/>
      <c r="N67" s="100"/>
      <c r="O67" s="100"/>
      <c r="P67" s="684"/>
      <c r="Q67" s="685"/>
      <c r="R67" s="683"/>
      <c r="X67" s="100"/>
      <c r="Y67" s="100"/>
      <c r="Z67" s="1380"/>
      <c r="AA67" s="100"/>
      <c r="AB67" s="100"/>
      <c r="AC67" s="100"/>
      <c r="AD67" s="100"/>
      <c r="AE67" s="100"/>
      <c r="AF67" s="100"/>
      <c r="AG67" s="100"/>
      <c r="AH67" s="100"/>
      <c r="AI67" s="100"/>
      <c r="AJ67" s="100"/>
      <c r="AK67" s="100"/>
      <c r="AL67" s="100"/>
      <c r="AM67" s="100"/>
      <c r="AN67" s="100"/>
      <c r="AO67" s="100"/>
      <c r="AP67" s="100"/>
      <c r="AQ67" s="100"/>
      <c r="AR67" s="100"/>
    </row>
    <row r="68" spans="1:44" s="281" customFormat="1" ht="12" customHeight="1">
      <c r="A68" s="100"/>
      <c r="B68" s="100"/>
      <c r="C68" s="100"/>
      <c r="D68" s="153"/>
      <c r="E68" s="100"/>
      <c r="F68" s="100"/>
      <c r="G68" s="100"/>
      <c r="H68" s="100"/>
      <c r="I68" s="100"/>
      <c r="J68" s="639" t="s">
        <v>85</v>
      </c>
      <c r="K68" s="100"/>
      <c r="L68" s="100"/>
      <c r="M68" s="100"/>
      <c r="N68" s="100"/>
      <c r="O68" s="100"/>
      <c r="P68" s="684"/>
      <c r="Q68" s="685"/>
      <c r="R68" s="683"/>
      <c r="X68" s="100"/>
      <c r="Y68" s="100"/>
      <c r="Z68" s="1380"/>
      <c r="AA68" s="100"/>
      <c r="AB68" s="100"/>
      <c r="AC68" s="100"/>
      <c r="AD68" s="100"/>
      <c r="AE68" s="100"/>
      <c r="AF68" s="100"/>
      <c r="AG68" s="100"/>
      <c r="AH68" s="100"/>
      <c r="AI68" s="100"/>
      <c r="AJ68" s="100"/>
      <c r="AK68" s="100"/>
      <c r="AL68" s="100"/>
      <c r="AM68" s="100"/>
      <c r="AN68" s="100"/>
      <c r="AO68" s="100"/>
      <c r="AP68" s="100"/>
      <c r="AQ68" s="100"/>
      <c r="AR68" s="100"/>
    </row>
    <row r="69" spans="1:44" s="281" customFormat="1" ht="12" customHeight="1">
      <c r="A69" s="100"/>
      <c r="B69" s="100"/>
      <c r="C69" s="100"/>
      <c r="D69" s="153"/>
      <c r="E69" s="100"/>
      <c r="F69" s="100"/>
      <c r="G69" s="100"/>
      <c r="H69" s="100"/>
      <c r="I69" s="100"/>
      <c r="J69" s="639" t="s">
        <v>86</v>
      </c>
      <c r="K69" s="100"/>
      <c r="L69" s="100"/>
      <c r="M69" s="100"/>
      <c r="N69" s="100"/>
      <c r="O69" s="100"/>
      <c r="P69" s="684"/>
      <c r="Q69" s="685"/>
      <c r="R69" s="683"/>
      <c r="X69" s="100"/>
      <c r="Y69" s="100"/>
      <c r="Z69" s="1380"/>
      <c r="AA69" s="100"/>
      <c r="AB69" s="100"/>
      <c r="AC69" s="100"/>
      <c r="AD69" s="100"/>
      <c r="AE69" s="100"/>
      <c r="AF69" s="100"/>
      <c r="AG69" s="100"/>
      <c r="AH69" s="100"/>
      <c r="AI69" s="100"/>
      <c r="AJ69" s="100"/>
      <c r="AK69" s="100"/>
      <c r="AL69" s="100"/>
      <c r="AM69" s="100"/>
      <c r="AN69" s="100"/>
      <c r="AO69" s="100"/>
      <c r="AP69" s="100"/>
      <c r="AQ69" s="100"/>
      <c r="AR69" s="100"/>
    </row>
    <row r="70" spans="1:44" s="281" customFormat="1" ht="12" customHeight="1">
      <c r="A70" s="100"/>
      <c r="B70" s="100"/>
      <c r="C70" s="100"/>
      <c r="D70" s="153"/>
      <c r="E70" s="100"/>
      <c r="F70" s="100"/>
      <c r="G70" s="100"/>
      <c r="H70" s="100"/>
      <c r="I70" s="100"/>
      <c r="J70" s="639" t="s">
        <v>87</v>
      </c>
      <c r="K70" s="100"/>
      <c r="L70" s="100"/>
      <c r="M70" s="100"/>
      <c r="N70" s="100"/>
      <c r="O70" s="100"/>
      <c r="P70" s="684"/>
      <c r="Q70" s="685"/>
      <c r="R70" s="683"/>
      <c r="X70" s="100"/>
      <c r="Y70" s="100"/>
      <c r="Z70" s="1380"/>
      <c r="AA70" s="100"/>
      <c r="AB70" s="100"/>
      <c r="AC70" s="100"/>
      <c r="AD70" s="100"/>
      <c r="AE70" s="100"/>
      <c r="AF70" s="100"/>
      <c r="AG70" s="100"/>
      <c r="AH70" s="100"/>
      <c r="AI70" s="100"/>
      <c r="AJ70" s="100"/>
      <c r="AK70" s="100"/>
      <c r="AL70" s="100"/>
      <c r="AM70" s="100"/>
      <c r="AN70" s="100"/>
      <c r="AO70" s="100"/>
      <c r="AP70" s="100"/>
      <c r="AQ70" s="100"/>
      <c r="AR70" s="100"/>
    </row>
    <row r="71" spans="1:44" s="281" customFormat="1" ht="12" customHeight="1">
      <c r="A71" s="100"/>
      <c r="B71" s="100"/>
      <c r="C71" s="100"/>
      <c r="D71" s="153"/>
      <c r="E71" s="100"/>
      <c r="F71" s="100"/>
      <c r="G71" s="100"/>
      <c r="H71" s="100"/>
      <c r="I71" s="100"/>
      <c r="J71" s="639" t="s">
        <v>88</v>
      </c>
      <c r="K71" s="100"/>
      <c r="L71" s="100"/>
      <c r="M71" s="100"/>
      <c r="N71" s="100"/>
      <c r="O71" s="100"/>
      <c r="P71" s="684"/>
      <c r="Q71" s="685"/>
      <c r="R71" s="683"/>
      <c r="X71" s="100"/>
      <c r="Y71" s="100"/>
      <c r="Z71" s="1380"/>
      <c r="AA71" s="100"/>
      <c r="AB71" s="100"/>
      <c r="AC71" s="100"/>
      <c r="AD71" s="100"/>
      <c r="AE71" s="100"/>
      <c r="AF71" s="100"/>
      <c r="AG71" s="100"/>
      <c r="AH71" s="100"/>
      <c r="AI71" s="100"/>
      <c r="AJ71" s="100"/>
      <c r="AK71" s="100"/>
      <c r="AL71" s="100"/>
      <c r="AM71" s="100"/>
      <c r="AN71" s="100"/>
      <c r="AO71" s="100"/>
      <c r="AP71" s="100"/>
      <c r="AQ71" s="100"/>
      <c r="AR71" s="100"/>
    </row>
    <row r="72" spans="1:44" s="281" customFormat="1" ht="12" customHeight="1">
      <c r="A72" s="100"/>
      <c r="B72" s="100"/>
      <c r="C72" s="100"/>
      <c r="D72" s="153"/>
      <c r="E72" s="100"/>
      <c r="F72" s="100"/>
      <c r="G72" s="100"/>
      <c r="H72" s="100"/>
      <c r="I72" s="100"/>
      <c r="J72" s="100"/>
      <c r="K72" s="100"/>
      <c r="L72" s="100"/>
      <c r="M72" s="100"/>
      <c r="N72" s="100"/>
      <c r="O72" s="100"/>
      <c r="P72" s="684"/>
      <c r="Q72" s="685"/>
      <c r="R72" s="683"/>
      <c r="X72" s="100"/>
      <c r="Y72" s="100"/>
      <c r="Z72" s="1380"/>
      <c r="AA72" s="100"/>
      <c r="AB72" s="100"/>
      <c r="AC72" s="100"/>
      <c r="AD72" s="100"/>
      <c r="AE72" s="100"/>
      <c r="AF72" s="100"/>
      <c r="AG72" s="100"/>
      <c r="AH72" s="100"/>
      <c r="AI72" s="100"/>
      <c r="AJ72" s="100"/>
      <c r="AK72" s="100"/>
      <c r="AL72" s="100"/>
      <c r="AM72" s="100"/>
      <c r="AN72" s="100"/>
      <c r="AO72" s="100"/>
      <c r="AP72" s="100"/>
      <c r="AQ72" s="100"/>
      <c r="AR72" s="100"/>
    </row>
    <row r="73" spans="1:44" s="281" customFormat="1" ht="12" customHeight="1">
      <c r="A73" s="100"/>
      <c r="B73" s="100"/>
      <c r="C73" s="100"/>
      <c r="D73" s="153"/>
      <c r="E73" s="100"/>
      <c r="F73" s="100"/>
      <c r="G73" s="100"/>
      <c r="H73" s="100"/>
      <c r="I73" s="100"/>
      <c r="J73" s="100"/>
      <c r="K73" s="100"/>
      <c r="L73" s="100"/>
      <c r="M73" s="100"/>
      <c r="N73" s="100"/>
      <c r="O73" s="100"/>
      <c r="P73" s="684"/>
      <c r="Q73" s="685"/>
      <c r="R73" s="683"/>
      <c r="X73" s="100"/>
      <c r="Y73" s="100"/>
      <c r="Z73" s="1380"/>
      <c r="AA73" s="100"/>
      <c r="AB73" s="100"/>
      <c r="AC73" s="100"/>
      <c r="AD73" s="100"/>
      <c r="AE73" s="100"/>
      <c r="AF73" s="100"/>
      <c r="AG73" s="100"/>
      <c r="AH73" s="100"/>
      <c r="AI73" s="100"/>
      <c r="AJ73" s="100"/>
      <c r="AK73" s="100"/>
      <c r="AL73" s="100"/>
      <c r="AM73" s="100"/>
      <c r="AN73" s="100"/>
      <c r="AO73" s="100"/>
      <c r="AP73" s="100"/>
      <c r="AQ73" s="100"/>
      <c r="AR73" s="100"/>
    </row>
    <row r="74" spans="1:44" s="281" customFormat="1" ht="12" customHeight="1">
      <c r="A74" s="100"/>
      <c r="B74" s="100"/>
      <c r="C74" s="100"/>
      <c r="D74" s="153"/>
      <c r="E74" s="100"/>
      <c r="F74" s="100"/>
      <c r="G74" s="100"/>
      <c r="H74" s="100"/>
      <c r="I74" s="100"/>
      <c r="J74" s="100"/>
      <c r="K74" s="100"/>
      <c r="L74" s="100"/>
      <c r="M74" s="100"/>
      <c r="N74" s="100"/>
      <c r="O74" s="100"/>
      <c r="P74" s="684"/>
      <c r="Q74" s="685"/>
      <c r="R74" s="683"/>
      <c r="X74" s="100"/>
      <c r="Y74" s="100"/>
      <c r="Z74" s="1380"/>
      <c r="AA74" s="100"/>
      <c r="AB74" s="100"/>
      <c r="AC74" s="100"/>
      <c r="AD74" s="100"/>
      <c r="AE74" s="100"/>
      <c r="AF74" s="100"/>
      <c r="AG74" s="100"/>
      <c r="AH74" s="100"/>
      <c r="AI74" s="100"/>
      <c r="AJ74" s="100"/>
      <c r="AK74" s="100"/>
      <c r="AL74" s="100"/>
      <c r="AM74" s="100"/>
      <c r="AN74" s="100"/>
      <c r="AO74" s="100"/>
      <c r="AP74" s="100"/>
      <c r="AQ74" s="100"/>
      <c r="AR74" s="100"/>
    </row>
    <row r="75" spans="1:44" s="281" customFormat="1" ht="12" customHeight="1">
      <c r="A75" s="100"/>
      <c r="B75" s="100"/>
      <c r="C75" s="100"/>
      <c r="D75" s="153"/>
      <c r="E75" s="100"/>
      <c r="F75" s="100"/>
      <c r="G75" s="100"/>
      <c r="H75" s="100"/>
      <c r="I75" s="100"/>
      <c r="J75" s="100"/>
      <c r="K75" s="100"/>
      <c r="L75" s="100"/>
      <c r="M75" s="100"/>
      <c r="N75" s="100"/>
      <c r="O75" s="100"/>
      <c r="P75" s="684"/>
      <c r="Q75" s="685"/>
      <c r="R75" s="683"/>
      <c r="X75" s="100"/>
      <c r="Y75" s="100"/>
      <c r="Z75" s="1380"/>
      <c r="AA75" s="100"/>
      <c r="AB75" s="100"/>
      <c r="AC75" s="100"/>
      <c r="AD75" s="100"/>
      <c r="AE75" s="100"/>
      <c r="AF75" s="100"/>
      <c r="AG75" s="100"/>
      <c r="AH75" s="100"/>
      <c r="AI75" s="100"/>
      <c r="AJ75" s="100"/>
      <c r="AK75" s="100"/>
      <c r="AL75" s="100"/>
      <c r="AM75" s="100"/>
      <c r="AN75" s="100"/>
      <c r="AO75" s="100"/>
      <c r="AP75" s="100"/>
      <c r="AQ75" s="100"/>
      <c r="AR75" s="100"/>
    </row>
    <row r="76" spans="1:44" s="281" customFormat="1" ht="12" customHeight="1">
      <c r="A76" s="100"/>
      <c r="B76" s="100"/>
      <c r="C76" s="100"/>
      <c r="E76" s="100"/>
      <c r="F76" s="100"/>
      <c r="G76" s="100"/>
      <c r="H76" s="100"/>
      <c r="I76" s="100"/>
      <c r="J76" s="100"/>
      <c r="K76" s="100"/>
      <c r="L76" s="100"/>
      <c r="M76" s="100"/>
      <c r="N76" s="100"/>
      <c r="O76" s="100"/>
      <c r="P76" s="684"/>
      <c r="Q76" s="685"/>
      <c r="R76" s="683"/>
      <c r="X76" s="100"/>
      <c r="Y76" s="100"/>
      <c r="Z76" s="1380"/>
      <c r="AA76" s="100"/>
      <c r="AB76" s="100"/>
      <c r="AC76" s="100"/>
      <c r="AD76" s="100"/>
      <c r="AE76" s="100"/>
      <c r="AF76" s="100"/>
      <c r="AG76" s="100"/>
      <c r="AH76" s="100"/>
      <c r="AI76" s="100"/>
      <c r="AJ76" s="100"/>
      <c r="AK76" s="100"/>
      <c r="AL76" s="100"/>
      <c r="AM76" s="100"/>
      <c r="AN76" s="100"/>
      <c r="AO76" s="100"/>
      <c r="AP76" s="100"/>
      <c r="AQ76" s="100"/>
      <c r="AR76" s="100"/>
    </row>
    <row r="77" spans="1:44" s="281" customFormat="1" ht="12" customHeight="1">
      <c r="A77" s="100"/>
      <c r="B77" s="100"/>
      <c r="C77" s="100"/>
      <c r="E77" s="100"/>
      <c r="F77" s="100"/>
      <c r="G77" s="100"/>
      <c r="H77" s="100"/>
      <c r="I77" s="100"/>
      <c r="J77" s="100"/>
      <c r="K77" s="100"/>
      <c r="L77" s="100"/>
      <c r="M77" s="100"/>
      <c r="N77" s="100"/>
      <c r="O77" s="100"/>
      <c r="P77" s="686"/>
      <c r="Q77" s="683"/>
      <c r="R77" s="683"/>
      <c r="X77" s="100"/>
      <c r="Y77" s="100"/>
      <c r="Z77" s="1380"/>
      <c r="AA77" s="100"/>
      <c r="AB77" s="100"/>
      <c r="AC77" s="100"/>
      <c r="AD77" s="100"/>
      <c r="AE77" s="100"/>
      <c r="AF77" s="100"/>
      <c r="AG77" s="100"/>
      <c r="AH77" s="100"/>
      <c r="AI77" s="100"/>
      <c r="AJ77" s="100"/>
      <c r="AK77" s="100"/>
      <c r="AL77" s="100"/>
      <c r="AM77" s="100"/>
      <c r="AN77" s="100"/>
      <c r="AO77" s="100"/>
      <c r="AP77" s="100"/>
      <c r="AQ77" s="100"/>
      <c r="AR77" s="100"/>
    </row>
    <row r="78" spans="1:44" s="281" customFormat="1" ht="12" customHeight="1">
      <c r="A78" s="100"/>
      <c r="B78" s="100"/>
      <c r="C78" s="100"/>
      <c r="D78" s="153"/>
      <c r="E78" s="100"/>
      <c r="F78" s="100"/>
      <c r="G78" s="100"/>
      <c r="H78" s="100"/>
      <c r="I78" s="100"/>
      <c r="J78" s="100"/>
      <c r="K78" s="100"/>
      <c r="L78" s="100"/>
      <c r="M78" s="100"/>
      <c r="N78" s="100"/>
      <c r="O78" s="100"/>
      <c r="P78" s="684"/>
      <c r="Q78" s="685"/>
      <c r="R78" s="683"/>
      <c r="X78" s="100"/>
      <c r="Y78" s="100"/>
      <c r="Z78" s="1380"/>
      <c r="AA78" s="100"/>
      <c r="AB78" s="100"/>
      <c r="AC78" s="100"/>
      <c r="AD78" s="100"/>
      <c r="AE78" s="100"/>
      <c r="AF78" s="100"/>
      <c r="AG78" s="100"/>
      <c r="AH78" s="100"/>
      <c r="AI78" s="100"/>
      <c r="AJ78" s="100"/>
      <c r="AK78" s="100"/>
      <c r="AL78" s="100"/>
      <c r="AM78" s="100"/>
      <c r="AN78" s="100"/>
      <c r="AO78" s="100"/>
      <c r="AP78" s="100"/>
      <c r="AQ78" s="100"/>
      <c r="AR78" s="100"/>
    </row>
    <row r="79" spans="1:44" s="281" customFormat="1" ht="12" customHeight="1">
      <c r="A79" s="100"/>
      <c r="B79" s="100"/>
      <c r="C79" s="100"/>
      <c r="E79" s="100"/>
      <c r="F79" s="100"/>
      <c r="G79" s="100"/>
      <c r="H79" s="100"/>
      <c r="I79" s="100"/>
      <c r="J79" s="100"/>
      <c r="K79" s="100"/>
      <c r="L79" s="100"/>
      <c r="M79" s="100"/>
      <c r="N79" s="100"/>
      <c r="O79" s="100"/>
      <c r="P79" s="684"/>
      <c r="Q79" s="685"/>
      <c r="R79" s="683"/>
      <c r="X79" s="100"/>
      <c r="Y79" s="100"/>
      <c r="Z79" s="1380"/>
      <c r="AA79" s="100"/>
      <c r="AB79" s="100"/>
      <c r="AC79" s="100"/>
      <c r="AD79" s="100"/>
      <c r="AE79" s="100"/>
      <c r="AF79" s="100"/>
      <c r="AG79" s="100"/>
      <c r="AH79" s="100"/>
      <c r="AI79" s="100"/>
      <c r="AJ79" s="100"/>
      <c r="AK79" s="100"/>
      <c r="AL79" s="100"/>
      <c r="AM79" s="100"/>
      <c r="AN79" s="100"/>
      <c r="AO79" s="100"/>
      <c r="AP79" s="100"/>
      <c r="AQ79" s="100"/>
      <c r="AR79" s="100"/>
    </row>
    <row r="80" spans="1:44" s="281" customFormat="1" ht="12" customHeight="1">
      <c r="A80" s="100"/>
      <c r="B80" s="100"/>
      <c r="C80" s="100"/>
      <c r="D80" s="100"/>
      <c r="E80" s="100"/>
      <c r="F80" s="100"/>
      <c r="G80" s="100"/>
      <c r="H80" s="100"/>
      <c r="I80" s="100"/>
      <c r="J80" s="100"/>
      <c r="K80" s="100"/>
      <c r="L80" s="100"/>
      <c r="M80" s="100"/>
      <c r="N80" s="100"/>
      <c r="O80" s="100"/>
      <c r="P80" s="684"/>
      <c r="Q80" s="685"/>
      <c r="R80" s="683"/>
      <c r="X80" s="100"/>
      <c r="Y80" s="100"/>
      <c r="Z80" s="1380"/>
      <c r="AA80" s="100"/>
      <c r="AB80" s="100"/>
      <c r="AC80" s="100"/>
      <c r="AD80" s="100"/>
      <c r="AE80" s="100"/>
      <c r="AF80" s="100"/>
      <c r="AG80" s="100"/>
      <c r="AH80" s="100"/>
      <c r="AI80" s="100"/>
      <c r="AJ80" s="100"/>
      <c r="AK80" s="100"/>
      <c r="AL80" s="100"/>
      <c r="AM80" s="100"/>
      <c r="AN80" s="100"/>
      <c r="AO80" s="100"/>
      <c r="AP80" s="100"/>
      <c r="AQ80" s="100"/>
      <c r="AR80" s="100"/>
    </row>
    <row r="81" spans="1:44" s="281" customFormat="1" ht="12" customHeight="1">
      <c r="A81" s="100"/>
      <c r="B81" s="100"/>
      <c r="C81" s="100"/>
      <c r="D81" s="100"/>
      <c r="E81" s="100"/>
      <c r="F81" s="100"/>
      <c r="G81" s="100"/>
      <c r="H81" s="100"/>
      <c r="I81" s="100"/>
      <c r="J81" s="100"/>
      <c r="K81" s="100"/>
      <c r="L81" s="100"/>
      <c r="M81" s="100"/>
      <c r="N81" s="100"/>
      <c r="O81" s="100"/>
      <c r="P81" s="686"/>
      <c r="Q81" s="683"/>
      <c r="R81" s="683"/>
      <c r="X81" s="100"/>
      <c r="Y81" s="100"/>
      <c r="Z81" s="1380"/>
      <c r="AA81" s="100"/>
      <c r="AB81" s="100"/>
      <c r="AC81" s="100"/>
      <c r="AD81" s="100"/>
      <c r="AE81" s="100"/>
      <c r="AF81" s="100"/>
      <c r="AG81" s="100"/>
      <c r="AH81" s="100"/>
      <c r="AI81" s="100"/>
      <c r="AJ81" s="100"/>
      <c r="AK81" s="100"/>
      <c r="AL81" s="100"/>
      <c r="AM81" s="100"/>
      <c r="AN81" s="100"/>
      <c r="AO81" s="100"/>
      <c r="AP81" s="100"/>
      <c r="AQ81" s="100"/>
      <c r="AR81" s="100"/>
    </row>
    <row r="82" spans="1:44" s="281" customFormat="1" ht="12" customHeight="1">
      <c r="A82" s="100"/>
      <c r="B82" s="100"/>
      <c r="C82" s="100"/>
      <c r="D82" s="100"/>
      <c r="E82" s="100"/>
      <c r="F82" s="100"/>
      <c r="G82" s="100"/>
      <c r="H82" s="100"/>
      <c r="I82" s="100"/>
      <c r="J82" s="100"/>
      <c r="K82" s="100"/>
      <c r="L82" s="100"/>
      <c r="M82" s="100"/>
      <c r="N82" s="100"/>
      <c r="O82" s="100"/>
      <c r="P82" s="684"/>
      <c r="Q82" s="685"/>
      <c r="R82" s="683"/>
      <c r="X82" s="100"/>
      <c r="Y82" s="100"/>
      <c r="Z82" s="1380"/>
      <c r="AA82" s="100"/>
      <c r="AB82" s="100"/>
      <c r="AC82" s="100"/>
      <c r="AD82" s="100"/>
      <c r="AE82" s="100"/>
      <c r="AF82" s="100"/>
      <c r="AG82" s="100"/>
      <c r="AH82" s="100"/>
      <c r="AI82" s="100"/>
      <c r="AJ82" s="100"/>
      <c r="AK82" s="100"/>
      <c r="AL82" s="100"/>
      <c r="AM82" s="100"/>
      <c r="AN82" s="100"/>
      <c r="AO82" s="100"/>
      <c r="AP82" s="100"/>
      <c r="AQ82" s="100"/>
      <c r="AR82" s="100"/>
    </row>
    <row r="83" spans="1:44" s="281" customFormat="1" ht="12" customHeight="1">
      <c r="A83" s="100"/>
      <c r="B83" s="100"/>
      <c r="C83" s="100"/>
      <c r="D83" s="100"/>
      <c r="E83" s="100"/>
      <c r="F83" s="100"/>
      <c r="G83" s="100"/>
      <c r="H83" s="100"/>
      <c r="I83" s="100"/>
      <c r="J83" s="100"/>
      <c r="K83" s="100"/>
      <c r="L83" s="100"/>
      <c r="M83" s="100"/>
      <c r="N83" s="100"/>
      <c r="O83" s="100"/>
      <c r="P83" s="684"/>
      <c r="Q83" s="685"/>
      <c r="R83" s="683"/>
      <c r="X83" s="100"/>
      <c r="Y83" s="100"/>
      <c r="Z83" s="1380"/>
      <c r="AA83" s="100"/>
      <c r="AB83" s="100"/>
      <c r="AC83" s="100"/>
      <c r="AD83" s="100"/>
      <c r="AE83" s="100"/>
      <c r="AF83" s="100"/>
      <c r="AG83" s="100"/>
      <c r="AH83" s="100"/>
      <c r="AI83" s="100"/>
      <c r="AJ83" s="100"/>
      <c r="AK83" s="100"/>
      <c r="AL83" s="100"/>
      <c r="AM83" s="100"/>
      <c r="AN83" s="100"/>
      <c r="AO83" s="100"/>
      <c r="AP83" s="100"/>
      <c r="AQ83" s="100"/>
      <c r="AR83" s="100"/>
    </row>
    <row r="84" spans="1:44" s="281" customFormat="1" ht="12" customHeight="1">
      <c r="A84" s="100"/>
      <c r="B84" s="100"/>
      <c r="C84" s="100"/>
      <c r="D84" s="100"/>
      <c r="E84" s="100"/>
      <c r="F84" s="100"/>
      <c r="G84" s="100"/>
      <c r="H84" s="100"/>
      <c r="I84" s="100"/>
      <c r="J84" s="100"/>
      <c r="K84" s="100"/>
      <c r="L84" s="100"/>
      <c r="M84" s="100"/>
      <c r="N84" s="100"/>
      <c r="O84" s="100"/>
      <c r="P84" s="684"/>
      <c r="Q84" s="685"/>
      <c r="R84" s="683"/>
      <c r="X84" s="100"/>
      <c r="Y84" s="100"/>
      <c r="Z84" s="1380"/>
      <c r="AA84" s="100"/>
      <c r="AB84" s="100"/>
      <c r="AC84" s="100"/>
      <c r="AD84" s="100"/>
      <c r="AE84" s="100"/>
      <c r="AF84" s="100"/>
      <c r="AG84" s="100"/>
      <c r="AH84" s="100"/>
      <c r="AI84" s="100"/>
      <c r="AJ84" s="100"/>
      <c r="AK84" s="100"/>
      <c r="AL84" s="100"/>
      <c r="AM84" s="100"/>
      <c r="AN84" s="100"/>
      <c r="AO84" s="100"/>
      <c r="AP84" s="100"/>
      <c r="AQ84" s="100"/>
      <c r="AR84" s="100"/>
    </row>
    <row r="85" spans="1:44" s="281" customFormat="1" ht="12" customHeight="1">
      <c r="A85" s="100"/>
      <c r="B85" s="100"/>
      <c r="C85" s="100"/>
      <c r="D85" s="100"/>
      <c r="E85" s="100"/>
      <c r="F85" s="100"/>
      <c r="G85" s="100"/>
      <c r="H85" s="100"/>
      <c r="I85" s="100"/>
      <c r="J85" s="100"/>
      <c r="K85" s="100"/>
      <c r="L85" s="100"/>
      <c r="M85" s="100"/>
      <c r="N85" s="100"/>
      <c r="O85" s="100"/>
      <c r="P85" s="684"/>
      <c r="Q85" s="685"/>
      <c r="R85" s="683"/>
      <c r="X85" s="100"/>
      <c r="Y85" s="100"/>
      <c r="Z85" s="1380"/>
      <c r="AA85" s="100"/>
      <c r="AB85" s="100"/>
      <c r="AC85" s="100"/>
      <c r="AD85" s="100"/>
      <c r="AE85" s="100"/>
      <c r="AF85" s="100"/>
      <c r="AG85" s="100"/>
      <c r="AH85" s="100"/>
      <c r="AI85" s="100"/>
      <c r="AJ85" s="100"/>
      <c r="AK85" s="100"/>
      <c r="AL85" s="100"/>
      <c r="AM85" s="100"/>
      <c r="AN85" s="100"/>
      <c r="AO85" s="100"/>
      <c r="AP85" s="100"/>
      <c r="AQ85" s="100"/>
      <c r="AR85" s="100"/>
    </row>
    <row r="86" spans="1:44" s="281" customFormat="1" ht="12" customHeight="1">
      <c r="A86" s="100"/>
      <c r="B86" s="100"/>
      <c r="C86" s="100"/>
      <c r="D86" s="100"/>
      <c r="E86" s="100"/>
      <c r="F86" s="100"/>
      <c r="G86" s="100"/>
      <c r="H86" s="100"/>
      <c r="I86" s="100"/>
      <c r="J86" s="100"/>
      <c r="K86" s="100"/>
      <c r="L86" s="100"/>
      <c r="M86" s="100"/>
      <c r="N86" s="100"/>
      <c r="O86" s="100"/>
      <c r="P86" s="684"/>
      <c r="Q86" s="685"/>
      <c r="R86" s="683"/>
      <c r="X86" s="100"/>
      <c r="Y86" s="100"/>
      <c r="Z86" s="1380"/>
      <c r="AA86" s="100"/>
      <c r="AB86" s="100"/>
      <c r="AC86" s="100"/>
      <c r="AD86" s="100"/>
      <c r="AE86" s="100"/>
      <c r="AF86" s="100"/>
      <c r="AG86" s="100"/>
      <c r="AH86" s="100"/>
      <c r="AI86" s="100"/>
      <c r="AJ86" s="100"/>
      <c r="AK86" s="100"/>
      <c r="AL86" s="100"/>
      <c r="AM86" s="100"/>
      <c r="AN86" s="100"/>
      <c r="AO86" s="100"/>
      <c r="AP86" s="100"/>
      <c r="AQ86" s="100"/>
      <c r="AR86" s="100"/>
    </row>
    <row r="87" spans="1:44" s="281" customFormat="1" ht="12" customHeight="1">
      <c r="A87" s="100"/>
      <c r="B87" s="100"/>
      <c r="C87" s="100"/>
      <c r="D87" s="100"/>
      <c r="E87" s="100"/>
      <c r="F87" s="100"/>
      <c r="G87" s="100"/>
      <c r="H87" s="100"/>
      <c r="I87" s="100"/>
      <c r="J87" s="100"/>
      <c r="K87" s="100"/>
      <c r="L87" s="100"/>
      <c r="M87" s="100"/>
      <c r="N87" s="100"/>
      <c r="O87" s="100"/>
      <c r="P87" s="684"/>
      <c r="Q87" s="685"/>
      <c r="R87" s="683"/>
      <c r="X87" s="100"/>
      <c r="Y87" s="100"/>
      <c r="Z87" s="1380"/>
      <c r="AA87" s="100"/>
      <c r="AB87" s="100"/>
      <c r="AC87" s="100"/>
      <c r="AD87" s="100"/>
      <c r="AE87" s="100"/>
      <c r="AF87" s="100"/>
      <c r="AG87" s="100"/>
      <c r="AH87" s="100"/>
      <c r="AI87" s="100"/>
      <c r="AJ87" s="100"/>
      <c r="AK87" s="100"/>
      <c r="AL87" s="100"/>
      <c r="AM87" s="100"/>
      <c r="AN87" s="100"/>
      <c r="AO87" s="100"/>
      <c r="AP87" s="100"/>
      <c r="AQ87" s="100"/>
      <c r="AR87" s="100"/>
    </row>
    <row r="88" spans="1:44" s="281" customFormat="1" ht="12" customHeight="1">
      <c r="A88" s="100"/>
      <c r="B88" s="100"/>
      <c r="C88" s="100"/>
      <c r="D88" s="100"/>
      <c r="E88" s="100"/>
      <c r="F88" s="100"/>
      <c r="G88" s="100"/>
      <c r="H88" s="100"/>
      <c r="I88" s="100"/>
      <c r="J88" s="100"/>
      <c r="K88" s="100"/>
      <c r="L88" s="100"/>
      <c r="M88" s="100"/>
      <c r="N88" s="100"/>
      <c r="O88" s="100"/>
      <c r="P88" s="684"/>
      <c r="Q88" s="685"/>
      <c r="R88" s="683"/>
      <c r="X88" s="100"/>
      <c r="Y88" s="100"/>
      <c r="Z88" s="1380"/>
      <c r="AA88" s="100"/>
      <c r="AB88" s="100"/>
      <c r="AC88" s="100"/>
      <c r="AD88" s="100"/>
      <c r="AE88" s="100"/>
      <c r="AF88" s="100"/>
      <c r="AG88" s="100"/>
      <c r="AH88" s="100"/>
      <c r="AI88" s="100"/>
      <c r="AJ88" s="100"/>
      <c r="AK88" s="100"/>
      <c r="AL88" s="100"/>
      <c r="AM88" s="100"/>
      <c r="AN88" s="100"/>
      <c r="AO88" s="100"/>
      <c r="AP88" s="100"/>
      <c r="AQ88" s="100"/>
      <c r="AR88" s="100"/>
    </row>
    <row r="89" spans="1:44" s="281" customFormat="1" ht="12" customHeight="1">
      <c r="A89" s="100"/>
      <c r="B89" s="100"/>
      <c r="C89" s="100"/>
      <c r="D89" s="100"/>
      <c r="E89" s="100"/>
      <c r="F89" s="100"/>
      <c r="G89" s="100"/>
      <c r="H89" s="100"/>
      <c r="I89" s="100"/>
      <c r="J89" s="100"/>
      <c r="K89" s="100"/>
      <c r="L89" s="100"/>
      <c r="M89" s="100"/>
      <c r="N89" s="100"/>
      <c r="O89" s="100"/>
      <c r="P89" s="684"/>
      <c r="Q89" s="685"/>
      <c r="R89" s="683"/>
      <c r="X89" s="100"/>
      <c r="Y89" s="100"/>
      <c r="Z89" s="1380"/>
      <c r="AA89" s="100"/>
      <c r="AB89" s="100"/>
      <c r="AC89" s="100"/>
      <c r="AD89" s="100"/>
      <c r="AE89" s="100"/>
      <c r="AF89" s="100"/>
      <c r="AG89" s="100"/>
      <c r="AH89" s="100"/>
      <c r="AI89" s="100"/>
      <c r="AJ89" s="100"/>
      <c r="AK89" s="100"/>
      <c r="AL89" s="100"/>
      <c r="AM89" s="100"/>
      <c r="AN89" s="100"/>
      <c r="AO89" s="100"/>
      <c r="AP89" s="100"/>
      <c r="AQ89" s="100"/>
      <c r="AR89" s="100"/>
    </row>
    <row r="90" spans="1:44" s="281" customFormat="1" ht="12" customHeight="1">
      <c r="A90" s="100"/>
      <c r="B90" s="100"/>
      <c r="C90" s="100"/>
      <c r="D90" s="100"/>
      <c r="E90" s="100"/>
      <c r="F90" s="100"/>
      <c r="G90" s="100"/>
      <c r="H90" s="100"/>
      <c r="I90" s="100"/>
      <c r="J90" s="100"/>
      <c r="K90" s="100"/>
      <c r="L90" s="100"/>
      <c r="M90" s="100"/>
      <c r="N90" s="100"/>
      <c r="O90" s="100"/>
      <c r="P90" s="684"/>
      <c r="Q90" s="685"/>
      <c r="R90" s="683"/>
      <c r="X90" s="100"/>
      <c r="Y90" s="100"/>
      <c r="Z90" s="1380"/>
      <c r="AA90" s="100"/>
      <c r="AB90" s="100"/>
      <c r="AC90" s="100"/>
      <c r="AD90" s="100"/>
      <c r="AE90" s="100"/>
      <c r="AF90" s="100"/>
      <c r="AG90" s="100"/>
      <c r="AH90" s="100"/>
      <c r="AI90" s="100"/>
      <c r="AJ90" s="100"/>
      <c r="AK90" s="100"/>
      <c r="AL90" s="100"/>
      <c r="AM90" s="100"/>
      <c r="AN90" s="100"/>
      <c r="AO90" s="100"/>
      <c r="AP90" s="100"/>
      <c r="AQ90" s="100"/>
      <c r="AR90" s="100"/>
    </row>
    <row r="91" spans="1:44" s="281" customFormat="1" ht="12" customHeight="1">
      <c r="A91" s="100"/>
      <c r="B91" s="100"/>
      <c r="C91" s="100"/>
      <c r="D91" s="100"/>
      <c r="E91" s="100"/>
      <c r="F91" s="100"/>
      <c r="G91" s="100"/>
      <c r="H91" s="100"/>
      <c r="I91" s="100"/>
      <c r="J91" s="100"/>
      <c r="K91" s="100"/>
      <c r="L91" s="100"/>
      <c r="M91" s="100"/>
      <c r="N91" s="100"/>
      <c r="O91" s="100"/>
      <c r="P91" s="684"/>
      <c r="Q91" s="685"/>
      <c r="R91" s="683"/>
      <c r="X91" s="100"/>
      <c r="Y91" s="100"/>
      <c r="Z91" s="1380"/>
      <c r="AA91" s="100"/>
      <c r="AB91" s="100"/>
      <c r="AC91" s="100"/>
      <c r="AD91" s="100"/>
      <c r="AE91" s="100"/>
      <c r="AF91" s="100"/>
      <c r="AG91" s="100"/>
      <c r="AH91" s="100"/>
      <c r="AI91" s="100"/>
      <c r="AJ91" s="100"/>
      <c r="AK91" s="100"/>
      <c r="AL91" s="100"/>
      <c r="AM91" s="100"/>
      <c r="AN91" s="100"/>
      <c r="AO91" s="100"/>
      <c r="AP91" s="100"/>
      <c r="AQ91" s="100"/>
      <c r="AR91" s="100"/>
    </row>
    <row r="92" spans="1:44" s="281" customFormat="1" ht="12" customHeight="1">
      <c r="A92" s="100"/>
      <c r="B92" s="100"/>
      <c r="C92" s="100"/>
      <c r="D92" s="100"/>
      <c r="E92" s="100"/>
      <c r="F92" s="100"/>
      <c r="G92" s="100"/>
      <c r="H92" s="100"/>
      <c r="I92" s="100"/>
      <c r="J92" s="100"/>
      <c r="K92" s="100"/>
      <c r="L92" s="100"/>
      <c r="M92" s="100"/>
      <c r="N92" s="100"/>
      <c r="O92" s="100"/>
      <c r="P92" s="684"/>
      <c r="Q92" s="685"/>
      <c r="R92" s="683"/>
      <c r="X92" s="100"/>
      <c r="Y92" s="100"/>
      <c r="Z92" s="1380"/>
      <c r="AA92" s="100"/>
      <c r="AB92" s="100"/>
      <c r="AC92" s="100"/>
      <c r="AD92" s="100"/>
      <c r="AE92" s="100"/>
      <c r="AF92" s="100"/>
      <c r="AG92" s="100"/>
      <c r="AH92" s="100"/>
      <c r="AI92" s="100"/>
      <c r="AJ92" s="100"/>
      <c r="AK92" s="100"/>
      <c r="AL92" s="100"/>
      <c r="AM92" s="100"/>
      <c r="AN92" s="100"/>
      <c r="AO92" s="100"/>
      <c r="AP92" s="100"/>
      <c r="AQ92" s="100"/>
      <c r="AR92" s="100"/>
    </row>
    <row r="93" spans="1:44" s="281" customFormat="1" ht="12" customHeight="1">
      <c r="A93" s="100"/>
      <c r="B93" s="100"/>
      <c r="C93" s="100"/>
      <c r="D93" s="100"/>
      <c r="E93" s="100"/>
      <c r="F93" s="100"/>
      <c r="G93" s="100"/>
      <c r="H93" s="100"/>
      <c r="I93" s="100"/>
      <c r="J93" s="100"/>
      <c r="K93" s="100"/>
      <c r="L93" s="100"/>
      <c r="M93" s="100"/>
      <c r="N93" s="100"/>
      <c r="O93" s="100"/>
      <c r="P93" s="684"/>
      <c r="Q93" s="685"/>
      <c r="R93" s="683"/>
      <c r="X93" s="100"/>
      <c r="Y93" s="100"/>
      <c r="Z93" s="1380"/>
      <c r="AA93" s="100"/>
      <c r="AB93" s="100"/>
      <c r="AC93" s="100"/>
      <c r="AD93" s="100"/>
      <c r="AE93" s="100"/>
      <c r="AF93" s="100"/>
      <c r="AG93" s="100"/>
      <c r="AH93" s="100"/>
      <c r="AI93" s="100"/>
      <c r="AJ93" s="100"/>
      <c r="AK93" s="100"/>
      <c r="AL93" s="100"/>
      <c r="AM93" s="100"/>
      <c r="AN93" s="100"/>
      <c r="AO93" s="100"/>
      <c r="AP93" s="100"/>
      <c r="AQ93" s="100"/>
      <c r="AR93" s="100"/>
    </row>
    <row r="94" spans="1:44" s="281" customFormat="1" ht="12" customHeight="1">
      <c r="A94" s="100"/>
      <c r="B94" s="100"/>
      <c r="C94" s="100"/>
      <c r="D94" s="100"/>
      <c r="E94" s="100"/>
      <c r="F94" s="100"/>
      <c r="G94" s="100"/>
      <c r="H94" s="100"/>
      <c r="I94" s="100"/>
      <c r="J94" s="100"/>
      <c r="K94" s="100"/>
      <c r="L94" s="100"/>
      <c r="M94" s="100"/>
      <c r="N94" s="100"/>
      <c r="O94" s="100"/>
      <c r="P94" s="684"/>
      <c r="Q94" s="685"/>
      <c r="R94" s="683"/>
      <c r="X94" s="100"/>
      <c r="Y94" s="100"/>
      <c r="Z94" s="1380"/>
      <c r="AA94" s="100"/>
      <c r="AB94" s="100"/>
      <c r="AC94" s="100"/>
      <c r="AD94" s="100"/>
      <c r="AE94" s="100"/>
      <c r="AF94" s="100"/>
      <c r="AG94" s="100"/>
      <c r="AH94" s="100"/>
      <c r="AI94" s="100"/>
      <c r="AJ94" s="100"/>
      <c r="AK94" s="100"/>
      <c r="AL94" s="100"/>
      <c r="AM94" s="100"/>
      <c r="AN94" s="100"/>
      <c r="AO94" s="100"/>
      <c r="AP94" s="100"/>
      <c r="AQ94" s="100"/>
      <c r="AR94" s="100"/>
    </row>
    <row r="95" spans="1:44" s="281" customFormat="1" ht="12" customHeight="1">
      <c r="A95" s="100"/>
      <c r="B95" s="100"/>
      <c r="C95" s="100"/>
      <c r="D95" s="100"/>
      <c r="E95" s="100"/>
      <c r="F95" s="100"/>
      <c r="G95" s="100"/>
      <c r="H95" s="100"/>
      <c r="I95" s="100"/>
      <c r="J95" s="100"/>
      <c r="K95" s="100"/>
      <c r="L95" s="100"/>
      <c r="M95" s="100"/>
      <c r="N95" s="100"/>
      <c r="O95" s="100"/>
      <c r="P95" s="686"/>
      <c r="Q95" s="685"/>
      <c r="R95" s="684"/>
      <c r="S95" s="301"/>
      <c r="X95" s="100"/>
      <c r="Y95" s="100"/>
      <c r="Z95" s="1380"/>
      <c r="AA95" s="100"/>
      <c r="AB95" s="100"/>
      <c r="AC95" s="100"/>
      <c r="AD95" s="100"/>
      <c r="AE95" s="100"/>
      <c r="AF95" s="100"/>
      <c r="AG95" s="100"/>
      <c r="AH95" s="100"/>
      <c r="AI95" s="100"/>
      <c r="AJ95" s="100"/>
      <c r="AK95" s="100"/>
      <c r="AL95" s="100"/>
      <c r="AM95" s="100"/>
      <c r="AN95" s="100"/>
      <c r="AO95" s="100"/>
      <c r="AP95" s="100"/>
      <c r="AQ95" s="100"/>
      <c r="AR95" s="100"/>
    </row>
    <row r="96" spans="1:44" s="281" customFormat="1" ht="12" customHeight="1">
      <c r="A96" s="100"/>
      <c r="B96" s="100"/>
      <c r="C96" s="100"/>
      <c r="D96" s="100"/>
      <c r="E96" s="100"/>
      <c r="F96" s="100"/>
      <c r="G96" s="100"/>
      <c r="H96" s="100"/>
      <c r="I96" s="100"/>
      <c r="J96" s="100"/>
      <c r="K96" s="100"/>
      <c r="L96" s="100"/>
      <c r="M96" s="100"/>
      <c r="N96" s="100"/>
      <c r="O96" s="100"/>
      <c r="P96" s="684"/>
      <c r="Q96" s="685"/>
      <c r="R96" s="684"/>
      <c r="S96" s="301"/>
      <c r="X96" s="100"/>
      <c r="Y96" s="100"/>
      <c r="Z96" s="1380"/>
      <c r="AA96" s="100"/>
      <c r="AB96" s="100"/>
      <c r="AC96" s="100"/>
      <c r="AD96" s="100"/>
      <c r="AE96" s="100"/>
      <c r="AF96" s="100"/>
      <c r="AG96" s="100"/>
      <c r="AH96" s="100"/>
      <c r="AI96" s="100"/>
      <c r="AJ96" s="100"/>
      <c r="AK96" s="100"/>
      <c r="AL96" s="100"/>
      <c r="AM96" s="100"/>
      <c r="AN96" s="100"/>
      <c r="AO96" s="100"/>
      <c r="AP96" s="100"/>
      <c r="AQ96" s="100"/>
      <c r="AR96" s="100"/>
    </row>
    <row r="97" spans="1:44" s="281" customFormat="1" ht="12" customHeight="1">
      <c r="A97" s="100"/>
      <c r="B97" s="100"/>
      <c r="C97" s="100"/>
      <c r="D97" s="100"/>
      <c r="E97" s="100"/>
      <c r="F97" s="100"/>
      <c r="G97" s="100"/>
      <c r="H97" s="100"/>
      <c r="I97" s="100"/>
      <c r="J97" s="100"/>
      <c r="K97" s="100"/>
      <c r="L97" s="100"/>
      <c r="M97" s="100"/>
      <c r="N97" s="100"/>
      <c r="O97" s="100"/>
      <c r="P97" s="684"/>
      <c r="Q97" s="685"/>
      <c r="R97" s="684"/>
      <c r="S97" s="301"/>
      <c r="X97" s="100"/>
      <c r="Y97" s="100"/>
      <c r="Z97" s="1380"/>
      <c r="AA97" s="100"/>
      <c r="AB97" s="100"/>
      <c r="AC97" s="100"/>
      <c r="AD97" s="100"/>
      <c r="AE97" s="100"/>
      <c r="AF97" s="100"/>
      <c r="AG97" s="100"/>
      <c r="AH97" s="100"/>
      <c r="AI97" s="100"/>
      <c r="AJ97" s="100"/>
      <c r="AK97" s="100"/>
      <c r="AL97" s="100"/>
      <c r="AM97" s="100"/>
      <c r="AN97" s="100"/>
      <c r="AO97" s="100"/>
      <c r="AP97" s="100"/>
      <c r="AQ97" s="100"/>
      <c r="AR97" s="100"/>
    </row>
    <row r="98" spans="1:44" s="281" customFormat="1" ht="12" customHeight="1">
      <c r="A98" s="100"/>
      <c r="B98" s="100"/>
      <c r="C98" s="100"/>
      <c r="D98" s="100"/>
      <c r="E98" s="100"/>
      <c r="F98" s="100"/>
      <c r="G98" s="100"/>
      <c r="H98" s="100"/>
      <c r="I98" s="100"/>
      <c r="J98" s="100"/>
      <c r="K98" s="100"/>
      <c r="L98" s="100"/>
      <c r="M98" s="100"/>
      <c r="N98" s="100"/>
      <c r="O98" s="100"/>
      <c r="P98" s="684"/>
      <c r="Q98" s="685"/>
      <c r="R98" s="684"/>
      <c r="S98" s="301"/>
      <c r="X98" s="100"/>
      <c r="Y98" s="100"/>
      <c r="Z98" s="1380"/>
      <c r="AA98" s="100"/>
      <c r="AB98" s="100"/>
      <c r="AC98" s="100"/>
      <c r="AD98" s="100"/>
      <c r="AE98" s="100"/>
      <c r="AF98" s="100"/>
      <c r="AG98" s="100"/>
      <c r="AH98" s="100"/>
      <c r="AI98" s="100"/>
      <c r="AJ98" s="100"/>
      <c r="AK98" s="100"/>
      <c r="AL98" s="100"/>
      <c r="AM98" s="100"/>
      <c r="AN98" s="100"/>
      <c r="AO98" s="100"/>
      <c r="AP98" s="100"/>
      <c r="AQ98" s="100"/>
      <c r="AR98" s="100"/>
    </row>
    <row r="99" spans="1:44" s="281" customFormat="1" ht="12" customHeight="1">
      <c r="A99" s="100"/>
      <c r="B99" s="100"/>
      <c r="C99" s="100"/>
      <c r="D99" s="100"/>
      <c r="E99" s="100"/>
      <c r="F99" s="100"/>
      <c r="G99" s="100"/>
      <c r="H99" s="100"/>
      <c r="I99" s="100"/>
      <c r="J99" s="100"/>
      <c r="K99" s="100"/>
      <c r="L99" s="100"/>
      <c r="M99" s="100"/>
      <c r="N99" s="100"/>
      <c r="O99" s="100"/>
      <c r="P99" s="684"/>
      <c r="Q99" s="683"/>
      <c r="R99" s="683"/>
      <c r="X99" s="100"/>
      <c r="Y99" s="100"/>
      <c r="Z99" s="1380"/>
      <c r="AA99" s="100"/>
      <c r="AB99" s="100"/>
      <c r="AC99" s="100"/>
      <c r="AD99" s="100"/>
      <c r="AE99" s="100"/>
      <c r="AF99" s="100"/>
      <c r="AG99" s="100"/>
      <c r="AH99" s="100"/>
      <c r="AI99" s="100"/>
      <c r="AJ99" s="100"/>
      <c r="AK99" s="100"/>
      <c r="AL99" s="100"/>
      <c r="AM99" s="100"/>
      <c r="AN99" s="100"/>
      <c r="AO99" s="100"/>
      <c r="AP99" s="100"/>
      <c r="AQ99" s="100"/>
      <c r="AR99" s="100"/>
    </row>
    <row r="100" spans="1:44" s="281" customFormat="1" ht="12" customHeight="1">
      <c r="A100" s="100"/>
      <c r="B100" s="100"/>
      <c r="C100" s="100"/>
      <c r="D100" s="100"/>
      <c r="E100" s="100"/>
      <c r="F100" s="100"/>
      <c r="G100" s="100"/>
      <c r="H100" s="100"/>
      <c r="I100" s="100"/>
      <c r="J100" s="100"/>
      <c r="K100" s="100"/>
      <c r="L100" s="100"/>
      <c r="M100" s="100"/>
      <c r="N100" s="100"/>
      <c r="O100" s="100"/>
      <c r="P100" s="686"/>
      <c r="Q100" s="683"/>
      <c r="R100" s="683"/>
      <c r="X100" s="100"/>
      <c r="Y100" s="100"/>
      <c r="Z100" s="1380"/>
      <c r="AA100" s="100"/>
      <c r="AB100" s="100"/>
      <c r="AC100" s="100"/>
      <c r="AD100" s="100"/>
      <c r="AE100" s="100"/>
      <c r="AF100" s="100"/>
      <c r="AG100" s="100"/>
      <c r="AH100" s="100"/>
      <c r="AI100" s="100"/>
      <c r="AJ100" s="100"/>
      <c r="AK100" s="100"/>
      <c r="AL100" s="100"/>
      <c r="AM100" s="100"/>
      <c r="AN100" s="100"/>
      <c r="AO100" s="100"/>
      <c r="AP100" s="100"/>
      <c r="AQ100" s="100"/>
      <c r="AR100" s="100"/>
    </row>
    <row r="101" spans="1:44" s="281" customFormat="1" ht="12" customHeight="1">
      <c r="A101" s="100"/>
      <c r="B101" s="100"/>
      <c r="C101" s="100"/>
      <c r="D101" s="100"/>
      <c r="E101" s="100"/>
      <c r="F101" s="100"/>
      <c r="G101" s="100"/>
      <c r="H101" s="100"/>
      <c r="I101" s="100"/>
      <c r="J101" s="100"/>
      <c r="K101" s="100"/>
      <c r="L101" s="100"/>
      <c r="M101" s="100"/>
      <c r="N101" s="100"/>
      <c r="O101" s="100"/>
      <c r="P101" s="684"/>
      <c r="Q101" s="685"/>
      <c r="R101" s="683"/>
      <c r="X101" s="100"/>
      <c r="Y101" s="100"/>
      <c r="Z101" s="1380"/>
      <c r="AA101" s="100"/>
      <c r="AB101" s="100"/>
      <c r="AC101" s="100"/>
      <c r="AD101" s="100"/>
      <c r="AE101" s="100"/>
      <c r="AF101" s="100"/>
      <c r="AG101" s="100"/>
      <c r="AH101" s="100"/>
      <c r="AI101" s="100"/>
      <c r="AJ101" s="100"/>
      <c r="AK101" s="100"/>
      <c r="AL101" s="100"/>
      <c r="AM101" s="100"/>
      <c r="AN101" s="100"/>
      <c r="AO101" s="100"/>
      <c r="AP101" s="100"/>
      <c r="AQ101" s="100"/>
      <c r="AR101" s="100"/>
    </row>
    <row r="102" spans="1:44" s="281" customFormat="1" ht="12" customHeight="1">
      <c r="A102" s="100"/>
      <c r="B102" s="100"/>
      <c r="C102" s="100"/>
      <c r="D102" s="100"/>
      <c r="E102" s="100"/>
      <c r="F102" s="100"/>
      <c r="G102" s="100"/>
      <c r="H102" s="100"/>
      <c r="I102" s="100"/>
      <c r="J102" s="100"/>
      <c r="K102" s="100"/>
      <c r="L102" s="100"/>
      <c r="M102" s="100"/>
      <c r="N102" s="100"/>
      <c r="O102" s="100"/>
      <c r="P102" s="684"/>
      <c r="Q102" s="685"/>
      <c r="R102" s="683"/>
      <c r="X102" s="100"/>
      <c r="Y102" s="100"/>
      <c r="Z102" s="1380"/>
      <c r="AA102" s="100"/>
      <c r="AB102" s="100"/>
      <c r="AC102" s="100"/>
      <c r="AD102" s="100"/>
      <c r="AE102" s="100"/>
      <c r="AF102" s="100"/>
      <c r="AG102" s="100"/>
      <c r="AH102" s="100"/>
      <c r="AI102" s="100"/>
      <c r="AJ102" s="100"/>
      <c r="AK102" s="100"/>
      <c r="AL102" s="100"/>
      <c r="AM102" s="100"/>
      <c r="AN102" s="100"/>
      <c r="AO102" s="100"/>
      <c r="AP102" s="100"/>
      <c r="AQ102" s="100"/>
      <c r="AR102" s="100"/>
    </row>
    <row r="103" spans="1:44" s="281" customFormat="1" ht="12" customHeight="1">
      <c r="A103" s="100"/>
      <c r="B103" s="100"/>
      <c r="C103" s="100"/>
      <c r="D103" s="100"/>
      <c r="E103" s="100"/>
      <c r="F103" s="100"/>
      <c r="G103" s="100"/>
      <c r="H103" s="100"/>
      <c r="I103" s="100"/>
      <c r="J103" s="100"/>
      <c r="K103" s="100"/>
      <c r="L103" s="100"/>
      <c r="M103" s="100"/>
      <c r="N103" s="100"/>
      <c r="O103" s="100"/>
      <c r="P103" s="686"/>
      <c r="Q103" s="685"/>
      <c r="R103" s="683"/>
      <c r="X103" s="100"/>
      <c r="Y103" s="100"/>
      <c r="Z103" s="1380"/>
      <c r="AA103" s="100"/>
      <c r="AB103" s="100"/>
      <c r="AC103" s="100"/>
      <c r="AD103" s="100"/>
      <c r="AE103" s="100"/>
      <c r="AF103" s="100"/>
      <c r="AG103" s="100"/>
      <c r="AH103" s="100"/>
      <c r="AI103" s="100"/>
      <c r="AJ103" s="100"/>
      <c r="AK103" s="100"/>
      <c r="AL103" s="100"/>
      <c r="AM103" s="100"/>
      <c r="AN103" s="100"/>
      <c r="AO103" s="100"/>
      <c r="AP103" s="100"/>
      <c r="AQ103" s="100"/>
      <c r="AR103" s="100"/>
    </row>
    <row r="104" spans="1:44" s="281" customFormat="1" ht="12" customHeight="1">
      <c r="A104" s="100"/>
      <c r="B104" s="100"/>
      <c r="C104" s="100"/>
      <c r="D104" s="100"/>
      <c r="E104" s="100"/>
      <c r="F104" s="100"/>
      <c r="G104" s="100"/>
      <c r="H104" s="100"/>
      <c r="I104" s="100"/>
      <c r="J104" s="100"/>
      <c r="K104" s="100"/>
      <c r="L104" s="100"/>
      <c r="M104" s="100"/>
      <c r="N104" s="100"/>
      <c r="O104" s="100"/>
      <c r="P104" s="684"/>
      <c r="Q104" s="685"/>
      <c r="R104" s="683"/>
      <c r="X104" s="100"/>
      <c r="Y104" s="100"/>
      <c r="Z104" s="1380"/>
      <c r="AA104" s="100"/>
      <c r="AB104" s="100"/>
      <c r="AC104" s="100"/>
      <c r="AD104" s="100"/>
      <c r="AE104" s="100"/>
      <c r="AF104" s="100"/>
      <c r="AG104" s="100"/>
      <c r="AH104" s="100"/>
      <c r="AI104" s="100"/>
      <c r="AJ104" s="100"/>
      <c r="AK104" s="100"/>
      <c r="AL104" s="100"/>
      <c r="AM104" s="100"/>
      <c r="AN104" s="100"/>
      <c r="AO104" s="100"/>
      <c r="AP104" s="100"/>
      <c r="AQ104" s="100"/>
      <c r="AR104" s="100"/>
    </row>
    <row r="105" spans="1:44" s="281" customFormat="1" ht="12" customHeight="1">
      <c r="A105" s="100"/>
      <c r="B105" s="100"/>
      <c r="C105" s="100"/>
      <c r="D105" s="100"/>
      <c r="E105" s="100"/>
      <c r="F105" s="100"/>
      <c r="G105" s="100"/>
      <c r="H105" s="100"/>
      <c r="I105" s="100"/>
      <c r="J105" s="100"/>
      <c r="K105" s="100"/>
      <c r="L105" s="100"/>
      <c r="M105" s="100"/>
      <c r="N105" s="100"/>
      <c r="O105" s="100"/>
      <c r="P105" s="684"/>
      <c r="Q105" s="685"/>
      <c r="R105" s="683"/>
      <c r="X105" s="100"/>
      <c r="Y105" s="100"/>
      <c r="Z105" s="1380"/>
      <c r="AA105" s="100"/>
      <c r="AB105" s="100"/>
      <c r="AC105" s="100"/>
      <c r="AD105" s="100"/>
      <c r="AE105" s="100"/>
      <c r="AF105" s="100"/>
      <c r="AG105" s="100"/>
      <c r="AH105" s="100"/>
      <c r="AI105" s="100"/>
      <c r="AJ105" s="100"/>
      <c r="AK105" s="100"/>
      <c r="AL105" s="100"/>
      <c r="AM105" s="100"/>
      <c r="AN105" s="100"/>
      <c r="AO105" s="100"/>
      <c r="AP105" s="100"/>
      <c r="AQ105" s="100"/>
      <c r="AR105" s="100"/>
    </row>
    <row r="106" spans="1:44" s="281" customFormat="1" ht="12" customHeight="1">
      <c r="A106" s="100"/>
      <c r="B106" s="100"/>
      <c r="C106" s="100"/>
      <c r="D106" s="100"/>
      <c r="E106" s="100"/>
      <c r="F106" s="100"/>
      <c r="G106" s="100"/>
      <c r="H106" s="100"/>
      <c r="I106" s="100"/>
      <c r="J106" s="100"/>
      <c r="K106" s="100"/>
      <c r="L106" s="100"/>
      <c r="M106" s="100"/>
      <c r="N106" s="100"/>
      <c r="O106" s="100"/>
      <c r="P106" s="684"/>
      <c r="Q106" s="685"/>
      <c r="R106" s="683"/>
      <c r="X106" s="100"/>
      <c r="Y106" s="100"/>
      <c r="Z106" s="1380"/>
      <c r="AA106" s="100"/>
      <c r="AB106" s="100"/>
      <c r="AC106" s="100"/>
      <c r="AD106" s="100"/>
      <c r="AE106" s="100"/>
      <c r="AF106" s="100"/>
      <c r="AG106" s="100"/>
      <c r="AH106" s="100"/>
      <c r="AI106" s="100"/>
      <c r="AJ106" s="100"/>
      <c r="AK106" s="100"/>
      <c r="AL106" s="100"/>
      <c r="AM106" s="100"/>
      <c r="AN106" s="100"/>
      <c r="AO106" s="100"/>
      <c r="AP106" s="100"/>
      <c r="AQ106" s="100"/>
      <c r="AR106" s="100"/>
    </row>
    <row r="107" spans="1:44" s="281" customFormat="1" ht="12" customHeight="1">
      <c r="A107" s="100"/>
      <c r="B107" s="100"/>
      <c r="C107" s="100"/>
      <c r="D107" s="100"/>
      <c r="E107" s="100"/>
      <c r="F107" s="100"/>
      <c r="G107" s="100"/>
      <c r="H107" s="100"/>
      <c r="I107" s="100"/>
      <c r="J107" s="100"/>
      <c r="K107" s="100"/>
      <c r="L107" s="100"/>
      <c r="M107" s="100"/>
      <c r="N107" s="100"/>
      <c r="O107" s="100"/>
      <c r="P107" s="684"/>
      <c r="Q107" s="685"/>
      <c r="R107" s="683"/>
      <c r="X107" s="100"/>
      <c r="Y107" s="100"/>
      <c r="Z107" s="1380"/>
      <c r="AA107" s="100"/>
      <c r="AB107" s="100"/>
      <c r="AC107" s="100"/>
      <c r="AD107" s="100"/>
      <c r="AE107" s="100"/>
      <c r="AF107" s="100"/>
      <c r="AG107" s="100"/>
      <c r="AH107" s="100"/>
      <c r="AI107" s="100"/>
      <c r="AJ107" s="100"/>
      <c r="AK107" s="100"/>
      <c r="AL107" s="100"/>
      <c r="AM107" s="100"/>
      <c r="AN107" s="100"/>
      <c r="AO107" s="100"/>
      <c r="AP107" s="100"/>
      <c r="AQ107" s="100"/>
      <c r="AR107" s="100"/>
    </row>
    <row r="108" spans="1:44" s="281" customFormat="1" ht="12" customHeight="1">
      <c r="A108" s="100"/>
      <c r="B108" s="100"/>
      <c r="C108" s="100"/>
      <c r="D108" s="100"/>
      <c r="E108" s="100"/>
      <c r="F108" s="100"/>
      <c r="G108" s="100"/>
      <c r="H108" s="100"/>
      <c r="I108" s="100"/>
      <c r="J108" s="100"/>
      <c r="K108" s="100"/>
      <c r="L108" s="100"/>
      <c r="M108" s="100"/>
      <c r="N108" s="100"/>
      <c r="O108" s="100"/>
      <c r="P108" s="684"/>
      <c r="Q108" s="685"/>
      <c r="R108" s="683"/>
      <c r="X108" s="100"/>
      <c r="Y108" s="100"/>
      <c r="Z108" s="1380"/>
      <c r="AA108" s="100"/>
      <c r="AB108" s="100"/>
      <c r="AC108" s="100"/>
      <c r="AD108" s="100"/>
      <c r="AE108" s="100"/>
      <c r="AF108" s="100"/>
      <c r="AG108" s="100"/>
      <c r="AH108" s="100"/>
      <c r="AI108" s="100"/>
      <c r="AJ108" s="100"/>
      <c r="AK108" s="100"/>
      <c r="AL108" s="100"/>
      <c r="AM108" s="100"/>
      <c r="AN108" s="100"/>
      <c r="AO108" s="100"/>
      <c r="AP108" s="100"/>
      <c r="AQ108" s="100"/>
      <c r="AR108" s="100"/>
    </row>
    <row r="109" spans="1:44" s="281" customFormat="1" ht="12" customHeight="1">
      <c r="A109" s="100"/>
      <c r="B109" s="100"/>
      <c r="C109" s="100"/>
      <c r="D109" s="100"/>
      <c r="E109" s="100"/>
      <c r="F109" s="100"/>
      <c r="G109" s="100"/>
      <c r="H109" s="100"/>
      <c r="I109" s="100"/>
      <c r="J109" s="100"/>
      <c r="K109" s="100"/>
      <c r="L109" s="100"/>
      <c r="M109" s="100"/>
      <c r="N109" s="100"/>
      <c r="O109" s="100"/>
      <c r="P109" s="684"/>
      <c r="Q109" s="685"/>
      <c r="R109" s="683"/>
      <c r="X109" s="100"/>
      <c r="Y109" s="100"/>
      <c r="Z109" s="1380"/>
      <c r="AA109" s="100"/>
      <c r="AB109" s="100"/>
      <c r="AC109" s="100"/>
      <c r="AD109" s="100"/>
      <c r="AE109" s="100"/>
      <c r="AF109" s="100"/>
      <c r="AG109" s="100"/>
      <c r="AH109" s="100"/>
      <c r="AI109" s="100"/>
      <c r="AJ109" s="100"/>
      <c r="AK109" s="100"/>
      <c r="AL109" s="100"/>
      <c r="AM109" s="100"/>
      <c r="AN109" s="100"/>
      <c r="AO109" s="100"/>
      <c r="AP109" s="100"/>
      <c r="AQ109" s="100"/>
      <c r="AR109" s="100"/>
    </row>
    <row r="110" spans="1:44" s="281" customFormat="1" ht="12" customHeight="1">
      <c r="A110" s="100"/>
      <c r="B110" s="100"/>
      <c r="C110" s="100"/>
      <c r="D110" s="100"/>
      <c r="E110" s="100"/>
      <c r="F110" s="100"/>
      <c r="G110" s="100"/>
      <c r="H110" s="100"/>
      <c r="I110" s="100"/>
      <c r="J110" s="100"/>
      <c r="K110" s="100"/>
      <c r="L110" s="100"/>
      <c r="M110" s="100"/>
      <c r="N110" s="100"/>
      <c r="O110" s="100"/>
      <c r="P110" s="684"/>
      <c r="Q110" s="685"/>
      <c r="R110" s="683"/>
      <c r="X110" s="100"/>
      <c r="Y110" s="100"/>
      <c r="Z110" s="1380"/>
      <c r="AA110" s="100"/>
      <c r="AB110" s="100"/>
      <c r="AC110" s="100"/>
      <c r="AD110" s="100"/>
      <c r="AE110" s="100"/>
      <c r="AF110" s="100"/>
      <c r="AG110" s="100"/>
      <c r="AH110" s="100"/>
      <c r="AI110" s="100"/>
      <c r="AJ110" s="100"/>
      <c r="AK110" s="100"/>
      <c r="AL110" s="100"/>
      <c r="AM110" s="100"/>
      <c r="AN110" s="100"/>
      <c r="AO110" s="100"/>
      <c r="AP110" s="100"/>
      <c r="AQ110" s="100"/>
      <c r="AR110" s="100"/>
    </row>
    <row r="111" spans="1:44" s="281" customFormat="1" ht="12" customHeight="1">
      <c r="A111" s="100"/>
      <c r="B111" s="100"/>
      <c r="C111" s="100"/>
      <c r="D111" s="100"/>
      <c r="E111" s="100"/>
      <c r="F111" s="100"/>
      <c r="G111" s="100"/>
      <c r="H111" s="100"/>
      <c r="I111" s="100"/>
      <c r="J111" s="100"/>
      <c r="K111" s="100"/>
      <c r="L111" s="100"/>
      <c r="M111" s="100"/>
      <c r="N111" s="100"/>
      <c r="O111" s="100"/>
      <c r="P111" s="686"/>
      <c r="Q111" s="685"/>
      <c r="R111" s="683"/>
      <c r="X111" s="100"/>
      <c r="Y111" s="100"/>
      <c r="Z111" s="1380"/>
      <c r="AA111" s="100"/>
      <c r="AB111" s="100"/>
      <c r="AC111" s="100"/>
      <c r="AD111" s="100"/>
      <c r="AE111" s="100"/>
      <c r="AF111" s="100"/>
      <c r="AG111" s="100"/>
      <c r="AH111" s="100"/>
      <c r="AI111" s="100"/>
      <c r="AJ111" s="100"/>
      <c r="AK111" s="100"/>
      <c r="AL111" s="100"/>
      <c r="AM111" s="100"/>
      <c r="AN111" s="100"/>
      <c r="AO111" s="100"/>
      <c r="AP111" s="100"/>
      <c r="AQ111" s="100"/>
      <c r="AR111" s="100"/>
    </row>
    <row r="112" spans="1:44" s="281" customFormat="1" ht="12" customHeight="1">
      <c r="A112" s="100"/>
      <c r="B112" s="100"/>
      <c r="C112" s="100"/>
      <c r="D112" s="100"/>
      <c r="E112" s="100"/>
      <c r="F112" s="100"/>
      <c r="G112" s="100"/>
      <c r="H112" s="100"/>
      <c r="I112" s="100"/>
      <c r="J112" s="100"/>
      <c r="K112" s="100"/>
      <c r="L112" s="100"/>
      <c r="M112" s="100"/>
      <c r="N112" s="100"/>
      <c r="O112" s="100"/>
      <c r="P112" s="684"/>
      <c r="Q112" s="685"/>
      <c r="R112" s="683"/>
      <c r="X112" s="100"/>
      <c r="Y112" s="100"/>
      <c r="Z112" s="1380"/>
      <c r="AA112" s="100"/>
      <c r="AB112" s="100"/>
      <c r="AC112" s="100"/>
      <c r="AD112" s="100"/>
      <c r="AE112" s="100"/>
      <c r="AF112" s="100"/>
      <c r="AG112" s="100"/>
      <c r="AH112" s="100"/>
      <c r="AI112" s="100"/>
      <c r="AJ112" s="100"/>
      <c r="AK112" s="100"/>
      <c r="AL112" s="100"/>
      <c r="AM112" s="100"/>
      <c r="AN112" s="100"/>
      <c r="AO112" s="100"/>
      <c r="AP112" s="100"/>
      <c r="AQ112" s="100"/>
      <c r="AR112" s="100"/>
    </row>
    <row r="113" spans="1:44" s="281" customFormat="1" ht="12" customHeight="1">
      <c r="A113" s="100"/>
      <c r="B113" s="100"/>
      <c r="C113" s="100"/>
      <c r="D113" s="100"/>
      <c r="E113" s="100"/>
      <c r="F113" s="100"/>
      <c r="G113" s="100"/>
      <c r="H113" s="100"/>
      <c r="I113" s="100"/>
      <c r="J113" s="100"/>
      <c r="K113" s="100"/>
      <c r="L113" s="100"/>
      <c r="M113" s="100"/>
      <c r="N113" s="100"/>
      <c r="O113" s="100"/>
      <c r="P113" s="684"/>
      <c r="Q113" s="685"/>
      <c r="R113" s="683"/>
      <c r="X113" s="100"/>
      <c r="Y113" s="100"/>
      <c r="Z113" s="1380"/>
      <c r="AA113" s="100"/>
      <c r="AB113" s="100"/>
      <c r="AC113" s="100"/>
      <c r="AD113" s="100"/>
      <c r="AE113" s="100"/>
      <c r="AF113" s="100"/>
      <c r="AG113" s="100"/>
      <c r="AH113" s="100"/>
      <c r="AI113" s="100"/>
      <c r="AJ113" s="100"/>
      <c r="AK113" s="100"/>
      <c r="AL113" s="100"/>
      <c r="AM113" s="100"/>
      <c r="AN113" s="100"/>
      <c r="AO113" s="100"/>
      <c r="AP113" s="100"/>
      <c r="AQ113" s="100"/>
      <c r="AR113" s="100"/>
    </row>
    <row r="114" spans="1:44" s="281" customFormat="1" ht="12" customHeight="1">
      <c r="A114" s="100"/>
      <c r="B114" s="100"/>
      <c r="C114" s="100"/>
      <c r="D114" s="100"/>
      <c r="E114" s="100"/>
      <c r="F114" s="100"/>
      <c r="G114" s="100"/>
      <c r="H114" s="100"/>
      <c r="I114" s="100"/>
      <c r="J114" s="100"/>
      <c r="K114" s="100"/>
      <c r="L114" s="100"/>
      <c r="M114" s="100"/>
      <c r="N114" s="100"/>
      <c r="O114" s="100"/>
      <c r="P114" s="684"/>
      <c r="Q114" s="685"/>
      <c r="R114" s="683"/>
      <c r="X114" s="100"/>
      <c r="Y114" s="100"/>
      <c r="Z114" s="1380"/>
      <c r="AA114" s="100"/>
      <c r="AB114" s="100"/>
      <c r="AC114" s="100"/>
      <c r="AD114" s="100"/>
      <c r="AE114" s="100"/>
      <c r="AF114" s="100"/>
      <c r="AG114" s="100"/>
      <c r="AH114" s="100"/>
      <c r="AI114" s="100"/>
      <c r="AJ114" s="100"/>
      <c r="AK114" s="100"/>
      <c r="AL114" s="100"/>
      <c r="AM114" s="100"/>
      <c r="AN114" s="100"/>
      <c r="AO114" s="100"/>
      <c r="AP114" s="100"/>
      <c r="AQ114" s="100"/>
      <c r="AR114" s="100"/>
    </row>
    <row r="115" spans="1:44" s="281" customFormat="1" ht="12" customHeight="1">
      <c r="A115" s="100"/>
      <c r="B115" s="100"/>
      <c r="C115" s="100"/>
      <c r="D115" s="100"/>
      <c r="E115" s="100"/>
      <c r="F115" s="100"/>
      <c r="G115" s="100"/>
      <c r="H115" s="100"/>
      <c r="I115" s="100"/>
      <c r="J115" s="100"/>
      <c r="K115" s="100"/>
      <c r="L115" s="100"/>
      <c r="M115" s="100"/>
      <c r="N115" s="100"/>
      <c r="O115" s="100"/>
      <c r="P115" s="684"/>
      <c r="Q115" s="685"/>
      <c r="R115" s="683"/>
      <c r="X115" s="100"/>
      <c r="Y115" s="100"/>
      <c r="Z115" s="1380"/>
      <c r="AA115" s="100"/>
      <c r="AB115" s="100"/>
      <c r="AC115" s="100"/>
      <c r="AD115" s="100"/>
      <c r="AE115" s="100"/>
      <c r="AF115" s="100"/>
      <c r="AG115" s="100"/>
      <c r="AH115" s="100"/>
      <c r="AI115" s="100"/>
      <c r="AJ115" s="100"/>
      <c r="AK115" s="100"/>
      <c r="AL115" s="100"/>
      <c r="AM115" s="100"/>
      <c r="AN115" s="100"/>
      <c r="AO115" s="100"/>
      <c r="AP115" s="100"/>
      <c r="AQ115" s="100"/>
      <c r="AR115" s="100"/>
    </row>
    <row r="116" spans="1:44" s="281" customFormat="1" ht="12" customHeight="1">
      <c r="A116" s="100"/>
      <c r="B116" s="100"/>
      <c r="C116" s="100"/>
      <c r="D116" s="100"/>
      <c r="E116" s="100"/>
      <c r="F116" s="100"/>
      <c r="G116" s="100"/>
      <c r="H116" s="100"/>
      <c r="I116" s="100"/>
      <c r="J116" s="100"/>
      <c r="K116" s="100"/>
      <c r="L116" s="100"/>
      <c r="M116" s="100"/>
      <c r="N116" s="100"/>
      <c r="O116" s="100"/>
      <c r="P116" s="684"/>
      <c r="Q116" s="685"/>
      <c r="R116" s="683"/>
      <c r="X116" s="100"/>
      <c r="Y116" s="100"/>
      <c r="Z116" s="1380"/>
      <c r="AA116" s="100"/>
      <c r="AB116" s="100"/>
      <c r="AC116" s="100"/>
      <c r="AD116" s="100"/>
      <c r="AE116" s="100"/>
      <c r="AF116" s="100"/>
      <c r="AG116" s="100"/>
      <c r="AH116" s="100"/>
      <c r="AI116" s="100"/>
      <c r="AJ116" s="100"/>
      <c r="AK116" s="100"/>
      <c r="AL116" s="100"/>
      <c r="AM116" s="100"/>
      <c r="AN116" s="100"/>
      <c r="AO116" s="100"/>
      <c r="AP116" s="100"/>
      <c r="AQ116" s="100"/>
      <c r="AR116" s="100"/>
    </row>
    <row r="117" spans="1:44" s="281" customFormat="1" ht="12" customHeight="1">
      <c r="A117" s="100"/>
      <c r="B117" s="100"/>
      <c r="C117" s="100"/>
      <c r="D117" s="100"/>
      <c r="E117" s="100"/>
      <c r="F117" s="100"/>
      <c r="G117" s="100"/>
      <c r="H117" s="100"/>
      <c r="I117" s="100"/>
      <c r="J117" s="100"/>
      <c r="K117" s="100"/>
      <c r="L117" s="100"/>
      <c r="M117" s="100"/>
      <c r="N117" s="100"/>
      <c r="O117" s="100"/>
      <c r="P117" s="684"/>
      <c r="Q117" s="685"/>
      <c r="R117" s="683"/>
      <c r="X117" s="100"/>
      <c r="Y117" s="100"/>
      <c r="Z117" s="1380"/>
      <c r="AA117" s="100"/>
      <c r="AB117" s="100"/>
      <c r="AC117" s="100"/>
      <c r="AD117" s="100"/>
      <c r="AE117" s="100"/>
      <c r="AF117" s="100"/>
      <c r="AG117" s="100"/>
      <c r="AH117" s="100"/>
      <c r="AI117" s="100"/>
      <c r="AJ117" s="100"/>
      <c r="AK117" s="100"/>
      <c r="AL117" s="100"/>
      <c r="AM117" s="100"/>
      <c r="AN117" s="100"/>
      <c r="AO117" s="100"/>
      <c r="AP117" s="100"/>
      <c r="AQ117" s="100"/>
      <c r="AR117" s="100"/>
    </row>
    <row r="118" spans="1:44" s="281" customFormat="1" ht="12" customHeight="1">
      <c r="A118" s="100"/>
      <c r="B118" s="100"/>
      <c r="C118" s="100"/>
      <c r="D118" s="100"/>
      <c r="E118" s="100"/>
      <c r="F118" s="100"/>
      <c r="G118" s="100"/>
      <c r="H118" s="100"/>
      <c r="I118" s="100"/>
      <c r="J118" s="100"/>
      <c r="K118" s="100"/>
      <c r="L118" s="100"/>
      <c r="M118" s="100"/>
      <c r="N118" s="100"/>
      <c r="O118" s="100"/>
      <c r="P118" s="684"/>
      <c r="Q118" s="685"/>
      <c r="R118" s="683"/>
      <c r="X118" s="100"/>
      <c r="Y118" s="100"/>
      <c r="Z118" s="1380"/>
      <c r="AA118" s="100"/>
      <c r="AB118" s="100"/>
      <c r="AC118" s="100"/>
      <c r="AD118" s="100"/>
      <c r="AE118" s="100"/>
      <c r="AF118" s="100"/>
      <c r="AG118" s="100"/>
      <c r="AH118" s="100"/>
      <c r="AI118" s="100"/>
      <c r="AJ118" s="100"/>
      <c r="AK118" s="100"/>
      <c r="AL118" s="100"/>
      <c r="AM118" s="100"/>
      <c r="AN118" s="100"/>
      <c r="AO118" s="100"/>
      <c r="AP118" s="100"/>
      <c r="AQ118" s="100"/>
      <c r="AR118" s="100"/>
    </row>
    <row r="119" spans="1:44" s="281" customFormat="1" ht="12" customHeight="1">
      <c r="A119" s="100"/>
      <c r="B119" s="100"/>
      <c r="C119" s="100"/>
      <c r="D119" s="100"/>
      <c r="E119" s="100"/>
      <c r="F119" s="100"/>
      <c r="G119" s="100"/>
      <c r="H119" s="100"/>
      <c r="I119" s="100"/>
      <c r="J119" s="100"/>
      <c r="K119" s="100"/>
      <c r="L119" s="100"/>
      <c r="M119" s="100"/>
      <c r="N119" s="100"/>
      <c r="O119" s="100"/>
      <c r="P119" s="684"/>
      <c r="Q119" s="685"/>
      <c r="R119" s="683"/>
      <c r="X119" s="100"/>
      <c r="Y119" s="100"/>
      <c r="Z119" s="1380"/>
      <c r="AA119" s="100"/>
      <c r="AB119" s="100"/>
      <c r="AC119" s="100"/>
      <c r="AD119" s="100"/>
      <c r="AE119" s="100"/>
      <c r="AF119" s="100"/>
      <c r="AG119" s="100"/>
      <c r="AH119" s="100"/>
      <c r="AI119" s="100"/>
      <c r="AJ119" s="100"/>
      <c r="AK119" s="100"/>
      <c r="AL119" s="100"/>
      <c r="AM119" s="100"/>
      <c r="AN119" s="100"/>
      <c r="AO119" s="100"/>
      <c r="AP119" s="100"/>
      <c r="AQ119" s="100"/>
      <c r="AR119" s="100"/>
    </row>
    <row r="120" spans="1:44" s="281" customFormat="1" ht="12" customHeight="1">
      <c r="A120" s="100"/>
      <c r="B120" s="100"/>
      <c r="C120" s="100"/>
      <c r="D120" s="100"/>
      <c r="E120" s="100"/>
      <c r="F120" s="100"/>
      <c r="G120" s="100"/>
      <c r="H120" s="100"/>
      <c r="I120" s="100"/>
      <c r="J120" s="100"/>
      <c r="K120" s="100"/>
      <c r="L120" s="100"/>
      <c r="M120" s="100"/>
      <c r="N120" s="100"/>
      <c r="O120" s="100"/>
      <c r="P120" s="684"/>
      <c r="Q120" s="685"/>
      <c r="R120" s="683"/>
      <c r="X120" s="100"/>
      <c r="Y120" s="100"/>
      <c r="Z120" s="1380"/>
      <c r="AA120" s="100"/>
      <c r="AB120" s="100"/>
      <c r="AC120" s="100"/>
      <c r="AD120" s="100"/>
      <c r="AE120" s="100"/>
      <c r="AF120" s="100"/>
      <c r="AG120" s="100"/>
      <c r="AH120" s="100"/>
      <c r="AI120" s="100"/>
      <c r="AJ120" s="100"/>
      <c r="AK120" s="100"/>
      <c r="AL120" s="100"/>
      <c r="AM120" s="100"/>
      <c r="AN120" s="100"/>
      <c r="AO120" s="100"/>
      <c r="AP120" s="100"/>
      <c r="AQ120" s="100"/>
      <c r="AR120" s="100"/>
    </row>
    <row r="121" spans="1:44" s="281" customFormat="1" ht="12" customHeight="1">
      <c r="A121" s="100"/>
      <c r="B121" s="100"/>
      <c r="C121" s="100"/>
      <c r="D121" s="100"/>
      <c r="E121" s="100"/>
      <c r="F121" s="100"/>
      <c r="G121" s="100"/>
      <c r="H121" s="100"/>
      <c r="I121" s="100"/>
      <c r="J121" s="100"/>
      <c r="K121" s="100"/>
      <c r="L121" s="100"/>
      <c r="M121" s="100"/>
      <c r="N121" s="100"/>
      <c r="O121" s="100"/>
      <c r="P121" s="684"/>
      <c r="Q121" s="685"/>
      <c r="R121" s="683"/>
      <c r="X121" s="100"/>
      <c r="Y121" s="100"/>
      <c r="Z121" s="1380"/>
      <c r="AA121" s="100"/>
      <c r="AB121" s="100"/>
      <c r="AC121" s="100"/>
      <c r="AD121" s="100"/>
      <c r="AE121" s="100"/>
      <c r="AF121" s="100"/>
      <c r="AG121" s="100"/>
      <c r="AH121" s="100"/>
      <c r="AI121" s="100"/>
      <c r="AJ121" s="100"/>
      <c r="AK121" s="100"/>
      <c r="AL121" s="100"/>
      <c r="AM121" s="100"/>
      <c r="AN121" s="100"/>
      <c r="AO121" s="100"/>
      <c r="AP121" s="100"/>
      <c r="AQ121" s="100"/>
      <c r="AR121" s="100"/>
    </row>
    <row r="122" spans="1:44" s="281" customFormat="1" ht="12" customHeight="1">
      <c r="A122" s="100"/>
      <c r="B122" s="100"/>
      <c r="C122" s="100"/>
      <c r="D122" s="100"/>
      <c r="E122" s="100"/>
      <c r="F122" s="100"/>
      <c r="G122" s="100"/>
      <c r="H122" s="100"/>
      <c r="I122" s="100"/>
      <c r="J122" s="100"/>
      <c r="K122" s="100"/>
      <c r="L122" s="100"/>
      <c r="M122" s="100"/>
      <c r="N122" s="100"/>
      <c r="O122" s="100"/>
      <c r="P122" s="684"/>
      <c r="Q122" s="685"/>
      <c r="R122" s="683"/>
      <c r="X122" s="100"/>
      <c r="Y122" s="100"/>
      <c r="Z122" s="1380"/>
      <c r="AA122" s="100"/>
      <c r="AB122" s="100"/>
      <c r="AC122" s="100"/>
      <c r="AD122" s="100"/>
      <c r="AE122" s="100"/>
      <c r="AF122" s="100"/>
      <c r="AG122" s="100"/>
      <c r="AH122" s="100"/>
      <c r="AI122" s="100"/>
      <c r="AJ122" s="100"/>
      <c r="AK122" s="100"/>
      <c r="AL122" s="100"/>
      <c r="AM122" s="100"/>
      <c r="AN122" s="100"/>
      <c r="AO122" s="100"/>
      <c r="AP122" s="100"/>
      <c r="AQ122" s="100"/>
      <c r="AR122" s="100"/>
    </row>
    <row r="123" spans="1:44" s="281" customFormat="1" ht="12" customHeight="1">
      <c r="A123" s="100"/>
      <c r="B123" s="100"/>
      <c r="C123" s="100"/>
      <c r="D123" s="100"/>
      <c r="E123" s="100"/>
      <c r="F123" s="100"/>
      <c r="G123" s="100"/>
      <c r="H123" s="100"/>
      <c r="I123" s="100"/>
      <c r="J123" s="100"/>
      <c r="K123" s="100"/>
      <c r="L123" s="100"/>
      <c r="M123" s="100"/>
      <c r="N123" s="100"/>
      <c r="O123" s="100"/>
      <c r="P123" s="684"/>
      <c r="Q123" s="685"/>
      <c r="R123" s="683"/>
      <c r="X123" s="100"/>
      <c r="Y123" s="100"/>
      <c r="Z123" s="1380"/>
      <c r="AA123" s="100"/>
      <c r="AB123" s="100"/>
      <c r="AC123" s="100"/>
      <c r="AD123" s="100"/>
      <c r="AE123" s="100"/>
      <c r="AF123" s="100"/>
      <c r="AG123" s="100"/>
      <c r="AH123" s="100"/>
      <c r="AI123" s="100"/>
      <c r="AJ123" s="100"/>
      <c r="AK123" s="100"/>
      <c r="AL123" s="100"/>
      <c r="AM123" s="100"/>
      <c r="AN123" s="100"/>
      <c r="AO123" s="100"/>
      <c r="AP123" s="100"/>
      <c r="AQ123" s="100"/>
      <c r="AR123" s="100"/>
    </row>
    <row r="124" spans="1:44" s="281" customFormat="1" ht="12" customHeight="1">
      <c r="A124" s="100"/>
      <c r="B124" s="100"/>
      <c r="C124" s="100"/>
      <c r="D124" s="100"/>
      <c r="E124" s="100"/>
      <c r="F124" s="100"/>
      <c r="G124" s="100"/>
      <c r="H124" s="100"/>
      <c r="I124" s="100"/>
      <c r="J124" s="100"/>
      <c r="K124" s="100"/>
      <c r="L124" s="100"/>
      <c r="M124" s="100"/>
      <c r="N124" s="100"/>
      <c r="O124" s="100"/>
      <c r="P124" s="684"/>
      <c r="Q124" s="685"/>
      <c r="R124" s="683"/>
      <c r="X124" s="100"/>
      <c r="Y124" s="100"/>
      <c r="Z124" s="1380"/>
      <c r="AA124" s="100"/>
      <c r="AB124" s="100"/>
      <c r="AC124" s="100"/>
      <c r="AD124" s="100"/>
      <c r="AE124" s="100"/>
      <c r="AF124" s="100"/>
      <c r="AG124" s="100"/>
      <c r="AH124" s="100"/>
      <c r="AI124" s="100"/>
      <c r="AJ124" s="100"/>
      <c r="AK124" s="100"/>
      <c r="AL124" s="100"/>
      <c r="AM124" s="100"/>
      <c r="AN124" s="100"/>
      <c r="AO124" s="100"/>
      <c r="AP124" s="100"/>
      <c r="AQ124" s="100"/>
      <c r="AR124" s="100"/>
    </row>
    <row r="125" spans="1:44" s="281" customFormat="1" ht="12" customHeight="1">
      <c r="A125" s="100"/>
      <c r="B125" s="100"/>
      <c r="C125" s="100"/>
      <c r="D125" s="100"/>
      <c r="E125" s="100"/>
      <c r="F125" s="100"/>
      <c r="G125" s="100"/>
      <c r="H125" s="100"/>
      <c r="I125" s="100"/>
      <c r="J125" s="100"/>
      <c r="K125" s="100"/>
      <c r="L125" s="100"/>
      <c r="M125" s="100"/>
      <c r="N125" s="100"/>
      <c r="O125" s="100"/>
      <c r="P125" s="684"/>
      <c r="Q125" s="685"/>
      <c r="R125" s="683"/>
      <c r="X125" s="100"/>
      <c r="Y125" s="100"/>
      <c r="Z125" s="1380"/>
      <c r="AA125" s="100"/>
      <c r="AB125" s="100"/>
      <c r="AC125" s="100"/>
      <c r="AD125" s="100"/>
      <c r="AE125" s="100"/>
      <c r="AF125" s="100"/>
      <c r="AG125" s="100"/>
      <c r="AH125" s="100"/>
      <c r="AI125" s="100"/>
      <c r="AJ125" s="100"/>
      <c r="AK125" s="100"/>
      <c r="AL125" s="100"/>
      <c r="AM125" s="100"/>
      <c r="AN125" s="100"/>
      <c r="AO125" s="100"/>
      <c r="AP125" s="100"/>
      <c r="AQ125" s="100"/>
      <c r="AR125" s="100"/>
    </row>
    <row r="126" spans="1:44" s="281" customFormat="1" ht="12" customHeight="1">
      <c r="A126" s="100"/>
      <c r="B126" s="100"/>
      <c r="C126" s="100"/>
      <c r="D126" s="100"/>
      <c r="E126" s="100"/>
      <c r="F126" s="100"/>
      <c r="G126" s="100"/>
      <c r="H126" s="100"/>
      <c r="I126" s="100"/>
      <c r="J126" s="100"/>
      <c r="K126" s="100"/>
      <c r="L126" s="100"/>
      <c r="M126" s="100"/>
      <c r="N126" s="100"/>
      <c r="O126" s="100"/>
      <c r="P126" s="687"/>
      <c r="Q126" s="685"/>
      <c r="R126" s="683"/>
      <c r="X126" s="100"/>
      <c r="Y126" s="100"/>
      <c r="Z126" s="1380"/>
      <c r="AA126" s="100"/>
      <c r="AB126" s="100"/>
      <c r="AC126" s="100"/>
      <c r="AD126" s="100"/>
      <c r="AE126" s="100"/>
      <c r="AF126" s="100"/>
      <c r="AG126" s="100"/>
      <c r="AH126" s="100"/>
      <c r="AI126" s="100"/>
      <c r="AJ126" s="100"/>
      <c r="AK126" s="100"/>
      <c r="AL126" s="100"/>
      <c r="AM126" s="100"/>
      <c r="AN126" s="100"/>
      <c r="AO126" s="100"/>
      <c r="AP126" s="100"/>
      <c r="AQ126" s="100"/>
      <c r="AR126" s="100"/>
    </row>
    <row r="127" spans="1:44" s="281" customFormat="1" ht="12" customHeight="1">
      <c r="A127" s="100"/>
      <c r="B127" s="100"/>
      <c r="C127" s="100"/>
      <c r="D127" s="100"/>
      <c r="E127" s="100"/>
      <c r="F127" s="100"/>
      <c r="G127" s="100"/>
      <c r="H127" s="100"/>
      <c r="I127" s="100"/>
      <c r="J127" s="100"/>
      <c r="K127" s="100"/>
      <c r="L127" s="100"/>
      <c r="M127" s="100"/>
      <c r="N127" s="100"/>
      <c r="O127" s="100"/>
      <c r="P127" s="684"/>
      <c r="Q127" s="685"/>
      <c r="R127" s="683"/>
      <c r="X127" s="100"/>
      <c r="Y127" s="100"/>
      <c r="Z127" s="1380"/>
      <c r="AA127" s="100"/>
      <c r="AB127" s="100"/>
      <c r="AC127" s="100"/>
      <c r="AD127" s="100"/>
      <c r="AE127" s="100"/>
      <c r="AF127" s="100"/>
      <c r="AG127" s="100"/>
      <c r="AH127" s="100"/>
      <c r="AI127" s="100"/>
      <c r="AJ127" s="100"/>
      <c r="AK127" s="100"/>
      <c r="AL127" s="100"/>
      <c r="AM127" s="100"/>
      <c r="AN127" s="100"/>
      <c r="AO127" s="100"/>
      <c r="AP127" s="100"/>
      <c r="AQ127" s="100"/>
      <c r="AR127" s="100"/>
    </row>
    <row r="128" spans="1:44" s="281" customFormat="1" ht="12" customHeight="1">
      <c r="A128" s="100"/>
      <c r="B128" s="100"/>
      <c r="C128" s="100"/>
      <c r="D128" s="100"/>
      <c r="E128" s="100"/>
      <c r="F128" s="100"/>
      <c r="G128" s="100"/>
      <c r="H128" s="100"/>
      <c r="I128" s="100"/>
      <c r="J128" s="100"/>
      <c r="K128" s="100"/>
      <c r="L128" s="100"/>
      <c r="M128" s="100"/>
      <c r="N128" s="100"/>
      <c r="O128" s="100"/>
      <c r="P128" s="684"/>
      <c r="Q128" s="685"/>
      <c r="R128" s="683"/>
      <c r="X128" s="100"/>
      <c r="Y128" s="100"/>
      <c r="Z128" s="1380"/>
      <c r="AA128" s="100"/>
      <c r="AB128" s="100"/>
      <c r="AC128" s="100"/>
      <c r="AD128" s="100"/>
      <c r="AE128" s="100"/>
      <c r="AF128" s="100"/>
      <c r="AG128" s="100"/>
      <c r="AH128" s="100"/>
      <c r="AI128" s="100"/>
      <c r="AJ128" s="100"/>
      <c r="AK128" s="100"/>
      <c r="AL128" s="100"/>
      <c r="AM128" s="100"/>
      <c r="AN128" s="100"/>
      <c r="AO128" s="100"/>
      <c r="AP128" s="100"/>
      <c r="AQ128" s="100"/>
      <c r="AR128" s="100"/>
    </row>
    <row r="129" spans="1:44" s="281" customFormat="1" ht="12" customHeight="1">
      <c r="A129" s="100"/>
      <c r="B129" s="100"/>
      <c r="C129" s="100"/>
      <c r="D129" s="100"/>
      <c r="E129" s="100"/>
      <c r="F129" s="100"/>
      <c r="G129" s="100"/>
      <c r="H129" s="100"/>
      <c r="I129" s="100"/>
      <c r="J129" s="100"/>
      <c r="K129" s="100"/>
      <c r="L129" s="100"/>
      <c r="M129" s="100"/>
      <c r="N129" s="100"/>
      <c r="O129" s="100"/>
      <c r="P129" s="684"/>
      <c r="Q129" s="685"/>
      <c r="R129" s="683"/>
      <c r="X129" s="100"/>
      <c r="Y129" s="100"/>
      <c r="Z129" s="1380"/>
      <c r="AA129" s="100"/>
      <c r="AB129" s="100"/>
      <c r="AC129" s="100"/>
      <c r="AD129" s="100"/>
      <c r="AE129" s="100"/>
      <c r="AF129" s="100"/>
      <c r="AG129" s="100"/>
      <c r="AH129" s="100"/>
      <c r="AI129" s="100"/>
      <c r="AJ129" s="100"/>
      <c r="AK129" s="100"/>
      <c r="AL129" s="100"/>
      <c r="AM129" s="100"/>
      <c r="AN129" s="100"/>
      <c r="AO129" s="100"/>
      <c r="AP129" s="100"/>
      <c r="AQ129" s="100"/>
      <c r="AR129" s="100"/>
    </row>
    <row r="130" spans="1:44" s="281" customFormat="1" ht="12" customHeight="1">
      <c r="A130" s="100"/>
      <c r="B130" s="100"/>
      <c r="C130" s="100"/>
      <c r="D130" s="100"/>
      <c r="E130" s="100"/>
      <c r="F130" s="100"/>
      <c r="G130" s="100"/>
      <c r="H130" s="100"/>
      <c r="I130" s="100"/>
      <c r="J130" s="100"/>
      <c r="K130" s="100"/>
      <c r="L130" s="100"/>
      <c r="M130" s="100"/>
      <c r="N130" s="100"/>
      <c r="O130" s="100"/>
      <c r="P130" s="684"/>
      <c r="Q130" s="685"/>
      <c r="R130" s="683"/>
      <c r="X130" s="100"/>
      <c r="Y130" s="100"/>
      <c r="Z130" s="1380"/>
      <c r="AA130" s="100"/>
      <c r="AB130" s="100"/>
      <c r="AC130" s="100"/>
      <c r="AD130" s="100"/>
      <c r="AE130" s="100"/>
      <c r="AF130" s="100"/>
      <c r="AG130" s="100"/>
      <c r="AH130" s="100"/>
      <c r="AI130" s="100"/>
      <c r="AJ130" s="100"/>
      <c r="AK130" s="100"/>
      <c r="AL130" s="100"/>
      <c r="AM130" s="100"/>
      <c r="AN130" s="100"/>
      <c r="AO130" s="100"/>
      <c r="AP130" s="100"/>
      <c r="AQ130" s="100"/>
      <c r="AR130" s="100"/>
    </row>
    <row r="131" spans="1:44" s="281" customFormat="1" ht="12" customHeight="1">
      <c r="A131" s="100"/>
      <c r="B131" s="100"/>
      <c r="C131" s="100"/>
      <c r="D131" s="100"/>
      <c r="E131" s="100"/>
      <c r="F131" s="100"/>
      <c r="G131" s="100"/>
      <c r="H131" s="100"/>
      <c r="I131" s="100"/>
      <c r="J131" s="100"/>
      <c r="K131" s="100"/>
      <c r="L131" s="100"/>
      <c r="M131" s="100"/>
      <c r="N131" s="100"/>
      <c r="O131" s="100"/>
      <c r="P131" s="684"/>
      <c r="Q131" s="685"/>
      <c r="R131" s="683"/>
      <c r="X131" s="100"/>
      <c r="Y131" s="100"/>
      <c r="Z131" s="1380"/>
      <c r="AA131" s="100"/>
      <c r="AB131" s="100"/>
      <c r="AC131" s="100"/>
      <c r="AD131" s="100"/>
      <c r="AE131" s="100"/>
      <c r="AF131" s="100"/>
      <c r="AG131" s="100"/>
      <c r="AH131" s="100"/>
      <c r="AI131" s="100"/>
      <c r="AJ131" s="100"/>
      <c r="AK131" s="100"/>
      <c r="AL131" s="100"/>
      <c r="AM131" s="100"/>
      <c r="AN131" s="100"/>
      <c r="AO131" s="100"/>
      <c r="AP131" s="100"/>
      <c r="AQ131" s="100"/>
      <c r="AR131" s="100"/>
    </row>
    <row r="132" spans="1:44" s="281" customFormat="1" ht="12" customHeight="1">
      <c r="A132" s="100"/>
      <c r="B132" s="100"/>
      <c r="C132" s="100"/>
      <c r="D132" s="100"/>
      <c r="E132" s="100"/>
      <c r="F132" s="100"/>
      <c r="G132" s="100"/>
      <c r="H132" s="100"/>
      <c r="I132" s="100"/>
      <c r="J132" s="100"/>
      <c r="K132" s="100"/>
      <c r="L132" s="100"/>
      <c r="M132" s="100"/>
      <c r="N132" s="100"/>
      <c r="O132" s="100"/>
      <c r="P132" s="684"/>
      <c r="Q132" s="685"/>
      <c r="R132" s="683"/>
      <c r="X132" s="100"/>
      <c r="Y132" s="100"/>
      <c r="Z132" s="1380"/>
      <c r="AA132" s="100"/>
      <c r="AB132" s="100"/>
      <c r="AC132" s="100"/>
      <c r="AD132" s="100"/>
      <c r="AE132" s="100"/>
      <c r="AF132" s="100"/>
      <c r="AG132" s="100"/>
      <c r="AH132" s="100"/>
      <c r="AI132" s="100"/>
      <c r="AJ132" s="100"/>
      <c r="AK132" s="100"/>
      <c r="AL132" s="100"/>
      <c r="AM132" s="100"/>
      <c r="AN132" s="100"/>
      <c r="AO132" s="100"/>
      <c r="AP132" s="100"/>
      <c r="AQ132" s="100"/>
      <c r="AR132" s="100"/>
    </row>
    <row r="133" spans="1:44" s="281" customFormat="1" ht="12" customHeight="1">
      <c r="A133" s="100"/>
      <c r="B133" s="100"/>
      <c r="C133" s="100"/>
      <c r="D133" s="100"/>
      <c r="E133" s="100"/>
      <c r="F133" s="100"/>
      <c r="G133" s="100"/>
      <c r="H133" s="100"/>
      <c r="I133" s="100"/>
      <c r="J133" s="100"/>
      <c r="K133" s="100"/>
      <c r="L133" s="100"/>
      <c r="M133" s="100"/>
      <c r="N133" s="100"/>
      <c r="O133" s="100"/>
      <c r="P133" s="684"/>
      <c r="Q133" s="685"/>
      <c r="R133" s="683"/>
      <c r="X133" s="100"/>
      <c r="Y133" s="100"/>
      <c r="Z133" s="1380"/>
      <c r="AA133" s="100"/>
      <c r="AB133" s="100"/>
      <c r="AC133" s="100"/>
      <c r="AD133" s="100"/>
      <c r="AE133" s="100"/>
      <c r="AF133" s="100"/>
      <c r="AG133" s="100"/>
      <c r="AH133" s="100"/>
      <c r="AI133" s="100"/>
      <c r="AJ133" s="100"/>
      <c r="AK133" s="100"/>
      <c r="AL133" s="100"/>
      <c r="AM133" s="100"/>
      <c r="AN133" s="100"/>
      <c r="AO133" s="100"/>
      <c r="AP133" s="100"/>
      <c r="AQ133" s="100"/>
      <c r="AR133" s="100"/>
    </row>
    <row r="134" spans="1:44" s="281" customFormat="1" ht="12" customHeight="1">
      <c r="A134" s="100"/>
      <c r="B134" s="100"/>
      <c r="C134" s="100"/>
      <c r="D134" s="100"/>
      <c r="E134" s="100"/>
      <c r="F134" s="100"/>
      <c r="G134" s="100"/>
      <c r="H134" s="100"/>
      <c r="I134" s="100"/>
      <c r="J134" s="100"/>
      <c r="K134" s="100"/>
      <c r="L134" s="100"/>
      <c r="M134" s="100"/>
      <c r="N134" s="100"/>
      <c r="O134" s="100"/>
      <c r="P134" s="684"/>
      <c r="Q134" s="685"/>
      <c r="R134" s="683"/>
      <c r="X134" s="100"/>
      <c r="Y134" s="100"/>
      <c r="Z134" s="1380"/>
      <c r="AA134" s="100"/>
      <c r="AB134" s="100"/>
      <c r="AC134" s="100"/>
      <c r="AD134" s="100"/>
      <c r="AE134" s="100"/>
      <c r="AF134" s="100"/>
      <c r="AG134" s="100"/>
      <c r="AH134" s="100"/>
      <c r="AI134" s="100"/>
      <c r="AJ134" s="100"/>
      <c r="AK134" s="100"/>
      <c r="AL134" s="100"/>
      <c r="AM134" s="100"/>
      <c r="AN134" s="100"/>
      <c r="AO134" s="100"/>
      <c r="AP134" s="100"/>
      <c r="AQ134" s="100"/>
      <c r="AR134" s="100"/>
    </row>
    <row r="135" spans="1:44" s="281" customFormat="1" ht="12" customHeight="1">
      <c r="A135" s="100"/>
      <c r="B135" s="100"/>
      <c r="C135" s="100"/>
      <c r="D135" s="100"/>
      <c r="E135" s="100"/>
      <c r="F135" s="100"/>
      <c r="G135" s="100"/>
      <c r="H135" s="100"/>
      <c r="I135" s="100"/>
      <c r="J135" s="100"/>
      <c r="K135" s="100"/>
      <c r="L135" s="100"/>
      <c r="M135" s="100"/>
      <c r="N135" s="100"/>
      <c r="O135" s="100"/>
      <c r="P135" s="684"/>
      <c r="Q135" s="685"/>
      <c r="R135" s="683"/>
      <c r="X135" s="100"/>
      <c r="Y135" s="100"/>
      <c r="Z135" s="1380"/>
      <c r="AA135" s="100"/>
      <c r="AB135" s="100"/>
      <c r="AC135" s="100"/>
      <c r="AD135" s="100"/>
      <c r="AE135" s="100"/>
      <c r="AF135" s="100"/>
      <c r="AG135" s="100"/>
      <c r="AH135" s="100"/>
      <c r="AI135" s="100"/>
      <c r="AJ135" s="100"/>
      <c r="AK135" s="100"/>
      <c r="AL135" s="100"/>
      <c r="AM135" s="100"/>
      <c r="AN135" s="100"/>
      <c r="AO135" s="100"/>
      <c r="AP135" s="100"/>
      <c r="AQ135" s="100"/>
      <c r="AR135" s="100"/>
    </row>
    <row r="136" spans="1:44" s="281" customFormat="1" ht="12" customHeight="1">
      <c r="A136" s="100"/>
      <c r="B136" s="100"/>
      <c r="C136" s="100"/>
      <c r="D136" s="100"/>
      <c r="E136" s="100"/>
      <c r="F136" s="100"/>
      <c r="G136" s="100"/>
      <c r="H136" s="100"/>
      <c r="I136" s="100"/>
      <c r="J136" s="100"/>
      <c r="K136" s="100"/>
      <c r="L136" s="100"/>
      <c r="M136" s="100"/>
      <c r="N136" s="100"/>
      <c r="O136" s="100"/>
      <c r="P136" s="684"/>
      <c r="Q136" s="685"/>
      <c r="R136" s="683"/>
      <c r="X136" s="100"/>
      <c r="Y136" s="100"/>
      <c r="Z136" s="1380"/>
      <c r="AA136" s="100"/>
      <c r="AB136" s="100"/>
      <c r="AC136" s="100"/>
      <c r="AD136" s="100"/>
      <c r="AE136" s="100"/>
      <c r="AF136" s="100"/>
      <c r="AG136" s="100"/>
      <c r="AH136" s="100"/>
      <c r="AI136" s="100"/>
      <c r="AJ136" s="100"/>
      <c r="AK136" s="100"/>
      <c r="AL136" s="100"/>
      <c r="AM136" s="100"/>
      <c r="AN136" s="100"/>
      <c r="AO136" s="100"/>
      <c r="AP136" s="100"/>
      <c r="AQ136" s="100"/>
      <c r="AR136" s="100"/>
    </row>
    <row r="137" spans="1:44" s="281" customFormat="1" ht="12" customHeight="1">
      <c r="A137" s="100"/>
      <c r="B137" s="100"/>
      <c r="C137" s="100"/>
      <c r="D137" s="100"/>
      <c r="E137" s="100"/>
      <c r="F137" s="100"/>
      <c r="G137" s="100"/>
      <c r="H137" s="100"/>
      <c r="I137" s="100"/>
      <c r="J137" s="100"/>
      <c r="K137" s="100"/>
      <c r="L137" s="100"/>
      <c r="M137" s="100"/>
      <c r="N137" s="100"/>
      <c r="O137" s="100"/>
      <c r="P137" s="684"/>
      <c r="Q137" s="685"/>
      <c r="R137" s="683"/>
      <c r="X137" s="100"/>
      <c r="Y137" s="100"/>
      <c r="Z137" s="1380"/>
      <c r="AA137" s="100"/>
      <c r="AB137" s="100"/>
      <c r="AC137" s="100"/>
      <c r="AD137" s="100"/>
      <c r="AE137" s="100"/>
      <c r="AF137" s="100"/>
      <c r="AG137" s="100"/>
      <c r="AH137" s="100"/>
      <c r="AI137" s="100"/>
      <c r="AJ137" s="100"/>
      <c r="AK137" s="100"/>
      <c r="AL137" s="100"/>
      <c r="AM137" s="100"/>
      <c r="AN137" s="100"/>
      <c r="AO137" s="100"/>
      <c r="AP137" s="100"/>
      <c r="AQ137" s="100"/>
      <c r="AR137" s="100"/>
    </row>
    <row r="138" spans="1:44" s="281" customFormat="1" ht="12" customHeight="1">
      <c r="A138" s="100"/>
      <c r="B138" s="100"/>
      <c r="C138" s="100"/>
      <c r="D138" s="100"/>
      <c r="E138" s="100"/>
      <c r="F138" s="100"/>
      <c r="G138" s="100"/>
      <c r="H138" s="100"/>
      <c r="I138" s="100"/>
      <c r="J138" s="100"/>
      <c r="K138" s="100"/>
      <c r="L138" s="100"/>
      <c r="M138" s="100"/>
      <c r="N138" s="100"/>
      <c r="O138" s="100"/>
      <c r="P138" s="684"/>
      <c r="Q138" s="685"/>
      <c r="R138" s="683"/>
      <c r="X138" s="100"/>
      <c r="Y138" s="100"/>
      <c r="Z138" s="1380"/>
      <c r="AA138" s="100"/>
      <c r="AB138" s="100"/>
      <c r="AC138" s="100"/>
      <c r="AD138" s="100"/>
      <c r="AE138" s="100"/>
      <c r="AF138" s="100"/>
      <c r="AG138" s="100"/>
      <c r="AH138" s="100"/>
      <c r="AI138" s="100"/>
      <c r="AJ138" s="100"/>
      <c r="AK138" s="100"/>
      <c r="AL138" s="100"/>
      <c r="AM138" s="100"/>
      <c r="AN138" s="100"/>
      <c r="AO138" s="100"/>
      <c r="AP138" s="100"/>
      <c r="AQ138" s="100"/>
      <c r="AR138" s="100"/>
    </row>
    <row r="139" spans="1:44" s="281" customFormat="1" ht="12" customHeight="1">
      <c r="A139" s="100"/>
      <c r="B139" s="100"/>
      <c r="C139" s="100"/>
      <c r="D139" s="100"/>
      <c r="E139" s="100"/>
      <c r="F139" s="100"/>
      <c r="G139" s="100"/>
      <c r="H139" s="100"/>
      <c r="I139" s="100"/>
      <c r="J139" s="100"/>
      <c r="K139" s="100"/>
      <c r="L139" s="100"/>
      <c r="M139" s="100"/>
      <c r="N139" s="100"/>
      <c r="O139" s="100"/>
      <c r="P139" s="684"/>
      <c r="Q139" s="685"/>
      <c r="R139" s="683"/>
      <c r="X139" s="100"/>
      <c r="Y139" s="100"/>
      <c r="Z139" s="1380"/>
      <c r="AA139" s="100"/>
      <c r="AB139" s="100"/>
      <c r="AC139" s="100"/>
      <c r="AD139" s="100"/>
      <c r="AE139" s="100"/>
      <c r="AF139" s="100"/>
      <c r="AG139" s="100"/>
      <c r="AH139" s="100"/>
      <c r="AI139" s="100"/>
      <c r="AJ139" s="100"/>
      <c r="AK139" s="100"/>
      <c r="AL139" s="100"/>
      <c r="AM139" s="100"/>
      <c r="AN139" s="100"/>
      <c r="AO139" s="100"/>
      <c r="AP139" s="100"/>
      <c r="AQ139" s="100"/>
      <c r="AR139" s="100"/>
    </row>
    <row r="140" spans="1:44" s="281" customFormat="1" ht="12" customHeight="1">
      <c r="A140" s="100"/>
      <c r="B140" s="100"/>
      <c r="C140" s="100"/>
      <c r="D140" s="100"/>
      <c r="E140" s="100"/>
      <c r="F140" s="100"/>
      <c r="G140" s="100"/>
      <c r="H140" s="100"/>
      <c r="I140" s="100"/>
      <c r="J140" s="100"/>
      <c r="K140" s="100"/>
      <c r="L140" s="100"/>
      <c r="M140" s="100"/>
      <c r="N140" s="100"/>
      <c r="O140" s="100"/>
      <c r="P140" s="684"/>
      <c r="Q140" s="685"/>
      <c r="R140" s="683"/>
      <c r="X140" s="100"/>
      <c r="Y140" s="100"/>
      <c r="Z140" s="1380"/>
      <c r="AA140" s="100"/>
      <c r="AB140" s="100"/>
      <c r="AC140" s="100"/>
      <c r="AD140" s="100"/>
      <c r="AE140" s="100"/>
      <c r="AF140" s="100"/>
      <c r="AG140" s="100"/>
      <c r="AH140" s="100"/>
      <c r="AI140" s="100"/>
      <c r="AJ140" s="100"/>
      <c r="AK140" s="100"/>
      <c r="AL140" s="100"/>
      <c r="AM140" s="100"/>
      <c r="AN140" s="100"/>
      <c r="AO140" s="100"/>
      <c r="AP140" s="100"/>
      <c r="AQ140" s="100"/>
      <c r="AR140" s="100"/>
    </row>
    <row r="141" spans="1:44" s="281" customFormat="1" ht="12" customHeight="1">
      <c r="A141" s="100"/>
      <c r="B141" s="100"/>
      <c r="C141" s="100"/>
      <c r="D141" s="100"/>
      <c r="E141" s="100"/>
      <c r="F141" s="100"/>
      <c r="G141" s="100"/>
      <c r="H141" s="100"/>
      <c r="I141" s="100"/>
      <c r="J141" s="100"/>
      <c r="K141" s="100"/>
      <c r="L141" s="100"/>
      <c r="M141" s="100"/>
      <c r="N141" s="100"/>
      <c r="O141" s="100"/>
      <c r="P141" s="684"/>
      <c r="Q141" s="685"/>
      <c r="R141" s="683"/>
      <c r="X141" s="100"/>
      <c r="Y141" s="100"/>
      <c r="Z141" s="1380"/>
      <c r="AA141" s="100"/>
      <c r="AB141" s="100"/>
      <c r="AC141" s="100"/>
      <c r="AD141" s="100"/>
      <c r="AE141" s="100"/>
      <c r="AF141" s="100"/>
      <c r="AG141" s="100"/>
      <c r="AH141" s="100"/>
      <c r="AI141" s="100"/>
      <c r="AJ141" s="100"/>
      <c r="AK141" s="100"/>
      <c r="AL141" s="100"/>
      <c r="AM141" s="100"/>
      <c r="AN141" s="100"/>
      <c r="AO141" s="100"/>
      <c r="AP141" s="100"/>
      <c r="AQ141" s="100"/>
      <c r="AR141" s="100"/>
    </row>
    <row r="142" spans="1:44" s="281" customFormat="1" ht="12" customHeight="1">
      <c r="A142" s="100"/>
      <c r="B142" s="100"/>
      <c r="C142" s="100"/>
      <c r="D142" s="100"/>
      <c r="E142" s="100"/>
      <c r="F142" s="100"/>
      <c r="G142" s="100"/>
      <c r="H142" s="100"/>
      <c r="I142" s="100"/>
      <c r="J142" s="100"/>
      <c r="K142" s="100"/>
      <c r="L142" s="100"/>
      <c r="M142" s="100"/>
      <c r="N142" s="100"/>
      <c r="O142" s="100"/>
      <c r="P142" s="684"/>
      <c r="Q142" s="685"/>
      <c r="R142" s="683"/>
      <c r="X142" s="100"/>
      <c r="Y142" s="100"/>
      <c r="Z142" s="1380"/>
      <c r="AA142" s="100"/>
      <c r="AB142" s="100"/>
      <c r="AC142" s="100"/>
      <c r="AD142" s="100"/>
      <c r="AE142" s="100"/>
      <c r="AF142" s="100"/>
      <c r="AG142" s="100"/>
      <c r="AH142" s="100"/>
      <c r="AI142" s="100"/>
      <c r="AJ142" s="100"/>
      <c r="AK142" s="100"/>
      <c r="AL142" s="100"/>
      <c r="AM142" s="100"/>
      <c r="AN142" s="100"/>
      <c r="AO142" s="100"/>
      <c r="AP142" s="100"/>
      <c r="AQ142" s="100"/>
      <c r="AR142" s="100"/>
    </row>
    <row r="143" spans="1:44" s="281" customFormat="1" ht="12" customHeight="1">
      <c r="A143" s="100"/>
      <c r="B143" s="100"/>
      <c r="C143" s="100"/>
      <c r="D143" s="100"/>
      <c r="E143" s="100"/>
      <c r="F143" s="100"/>
      <c r="G143" s="100"/>
      <c r="H143" s="100"/>
      <c r="I143" s="100"/>
      <c r="J143" s="100"/>
      <c r="K143" s="100"/>
      <c r="L143" s="100"/>
      <c r="M143" s="100"/>
      <c r="N143" s="100"/>
      <c r="O143" s="100"/>
      <c r="P143" s="684"/>
      <c r="Q143" s="685"/>
      <c r="R143" s="683"/>
      <c r="X143" s="100"/>
      <c r="Y143" s="100"/>
      <c r="Z143" s="1380"/>
      <c r="AA143" s="100"/>
      <c r="AB143" s="100"/>
      <c r="AC143" s="100"/>
      <c r="AD143" s="100"/>
      <c r="AE143" s="100"/>
      <c r="AF143" s="100"/>
      <c r="AG143" s="100"/>
      <c r="AH143" s="100"/>
      <c r="AI143" s="100"/>
      <c r="AJ143" s="100"/>
      <c r="AK143" s="100"/>
      <c r="AL143" s="100"/>
      <c r="AM143" s="100"/>
      <c r="AN143" s="100"/>
      <c r="AO143" s="100"/>
      <c r="AP143" s="100"/>
      <c r="AQ143" s="100"/>
      <c r="AR143" s="100"/>
    </row>
    <row r="144" spans="1:44" s="281" customFormat="1" ht="12" customHeight="1">
      <c r="A144" s="100"/>
      <c r="B144" s="100"/>
      <c r="C144" s="100"/>
      <c r="D144" s="100"/>
      <c r="E144" s="100"/>
      <c r="F144" s="100"/>
      <c r="G144" s="100"/>
      <c r="H144" s="100"/>
      <c r="I144" s="100"/>
      <c r="J144" s="100"/>
      <c r="K144" s="100"/>
      <c r="L144" s="100"/>
      <c r="M144" s="100"/>
      <c r="N144" s="100"/>
      <c r="O144" s="100"/>
      <c r="P144" s="684"/>
      <c r="Q144" s="685"/>
      <c r="R144" s="683"/>
      <c r="X144" s="100"/>
      <c r="Y144" s="100"/>
      <c r="Z144" s="1380"/>
      <c r="AA144" s="100"/>
      <c r="AB144" s="100"/>
      <c r="AC144" s="100"/>
      <c r="AD144" s="100"/>
      <c r="AE144" s="100"/>
      <c r="AF144" s="100"/>
      <c r="AG144" s="100"/>
      <c r="AH144" s="100"/>
      <c r="AI144" s="100"/>
      <c r="AJ144" s="100"/>
      <c r="AK144" s="100"/>
      <c r="AL144" s="100"/>
      <c r="AM144" s="100"/>
      <c r="AN144" s="100"/>
      <c r="AO144" s="100"/>
      <c r="AP144" s="100"/>
      <c r="AQ144" s="100"/>
      <c r="AR144" s="100"/>
    </row>
    <row r="145" spans="1:44" s="281" customFormat="1" ht="12" customHeight="1">
      <c r="A145" s="100"/>
      <c r="B145" s="100"/>
      <c r="C145" s="100"/>
      <c r="D145" s="100"/>
      <c r="E145" s="100"/>
      <c r="F145" s="100"/>
      <c r="G145" s="100"/>
      <c r="H145" s="100"/>
      <c r="I145" s="100"/>
      <c r="J145" s="100"/>
      <c r="K145" s="100"/>
      <c r="L145" s="100"/>
      <c r="M145" s="100"/>
      <c r="N145" s="100"/>
      <c r="O145" s="100"/>
      <c r="P145" s="684"/>
      <c r="Q145" s="685"/>
      <c r="R145" s="683"/>
      <c r="X145" s="100"/>
      <c r="Y145" s="100"/>
      <c r="Z145" s="1380"/>
      <c r="AA145" s="100"/>
      <c r="AB145" s="100"/>
      <c r="AC145" s="100"/>
      <c r="AD145" s="100"/>
      <c r="AE145" s="100"/>
      <c r="AF145" s="100"/>
      <c r="AG145" s="100"/>
      <c r="AH145" s="100"/>
      <c r="AI145" s="100"/>
      <c r="AJ145" s="100"/>
      <c r="AK145" s="100"/>
      <c r="AL145" s="100"/>
      <c r="AM145" s="100"/>
      <c r="AN145" s="100"/>
      <c r="AO145" s="100"/>
      <c r="AP145" s="100"/>
      <c r="AQ145" s="100"/>
      <c r="AR145" s="100"/>
    </row>
    <row r="146" spans="1:44" s="281" customFormat="1" ht="12" customHeight="1">
      <c r="A146" s="100"/>
      <c r="B146" s="100"/>
      <c r="C146" s="100"/>
      <c r="D146" s="100"/>
      <c r="E146" s="100"/>
      <c r="F146" s="100"/>
      <c r="G146" s="100"/>
      <c r="H146" s="100"/>
      <c r="I146" s="100"/>
      <c r="J146" s="100"/>
      <c r="K146" s="100"/>
      <c r="L146" s="100"/>
      <c r="M146" s="100"/>
      <c r="N146" s="100"/>
      <c r="O146" s="100"/>
      <c r="P146" s="684"/>
      <c r="Q146" s="685"/>
      <c r="R146" s="683"/>
      <c r="X146" s="100"/>
      <c r="Y146" s="100"/>
      <c r="Z146" s="1380"/>
      <c r="AA146" s="100"/>
      <c r="AB146" s="100"/>
      <c r="AC146" s="100"/>
      <c r="AD146" s="100"/>
      <c r="AE146" s="100"/>
      <c r="AF146" s="100"/>
      <c r="AG146" s="100"/>
      <c r="AH146" s="100"/>
      <c r="AI146" s="100"/>
      <c r="AJ146" s="100"/>
      <c r="AK146" s="100"/>
      <c r="AL146" s="100"/>
      <c r="AM146" s="100"/>
      <c r="AN146" s="100"/>
      <c r="AO146" s="100"/>
      <c r="AP146" s="100"/>
      <c r="AQ146" s="100"/>
      <c r="AR146" s="100"/>
    </row>
    <row r="147" spans="1:44" s="281" customFormat="1" ht="12" customHeight="1">
      <c r="A147" s="100"/>
      <c r="B147" s="100"/>
      <c r="C147" s="100"/>
      <c r="D147" s="100"/>
      <c r="E147" s="100"/>
      <c r="F147" s="100"/>
      <c r="G147" s="100"/>
      <c r="H147" s="100"/>
      <c r="I147" s="100"/>
      <c r="J147" s="100"/>
      <c r="K147" s="100"/>
      <c r="L147" s="100"/>
      <c r="M147" s="100"/>
      <c r="N147" s="100"/>
      <c r="O147" s="100"/>
      <c r="P147" s="684"/>
      <c r="Q147" s="685"/>
      <c r="R147" s="683"/>
      <c r="X147" s="100"/>
      <c r="Y147" s="100"/>
      <c r="Z147" s="1380"/>
      <c r="AA147" s="100"/>
      <c r="AB147" s="100"/>
      <c r="AC147" s="100"/>
      <c r="AD147" s="100"/>
      <c r="AE147" s="100"/>
      <c r="AF147" s="100"/>
      <c r="AG147" s="100"/>
      <c r="AH147" s="100"/>
      <c r="AI147" s="100"/>
      <c r="AJ147" s="100"/>
      <c r="AK147" s="100"/>
      <c r="AL147" s="100"/>
      <c r="AM147" s="100"/>
      <c r="AN147" s="100"/>
      <c r="AO147" s="100"/>
      <c r="AP147" s="100"/>
      <c r="AQ147" s="100"/>
      <c r="AR147" s="100"/>
    </row>
    <row r="148" spans="1:44" s="281" customFormat="1" ht="12" customHeight="1">
      <c r="A148" s="100"/>
      <c r="B148" s="100"/>
      <c r="C148" s="100"/>
      <c r="D148" s="100"/>
      <c r="E148" s="100"/>
      <c r="F148" s="100"/>
      <c r="G148" s="100"/>
      <c r="H148" s="100"/>
      <c r="I148" s="100"/>
      <c r="J148" s="100"/>
      <c r="K148" s="100"/>
      <c r="L148" s="100"/>
      <c r="M148" s="100"/>
      <c r="N148" s="100"/>
      <c r="O148" s="100"/>
      <c r="P148" s="684"/>
      <c r="Q148" s="685"/>
      <c r="R148" s="683"/>
      <c r="X148" s="100"/>
      <c r="Y148" s="100"/>
      <c r="Z148" s="1380"/>
      <c r="AA148" s="100"/>
      <c r="AB148" s="100"/>
      <c r="AC148" s="100"/>
      <c r="AD148" s="100"/>
      <c r="AE148" s="100"/>
      <c r="AF148" s="100"/>
      <c r="AG148" s="100"/>
      <c r="AH148" s="100"/>
      <c r="AI148" s="100"/>
      <c r="AJ148" s="100"/>
      <c r="AK148" s="100"/>
      <c r="AL148" s="100"/>
      <c r="AM148" s="100"/>
      <c r="AN148" s="100"/>
      <c r="AO148" s="100"/>
      <c r="AP148" s="100"/>
      <c r="AQ148" s="100"/>
      <c r="AR148" s="100"/>
    </row>
    <row r="149" spans="1:44" s="281" customFormat="1" ht="12" customHeight="1">
      <c r="A149" s="100"/>
      <c r="B149" s="100"/>
      <c r="C149" s="100"/>
      <c r="D149" s="100"/>
      <c r="E149" s="100"/>
      <c r="F149" s="100"/>
      <c r="G149" s="100"/>
      <c r="H149" s="100"/>
      <c r="I149" s="100"/>
      <c r="J149" s="100"/>
      <c r="K149" s="100"/>
      <c r="L149" s="100"/>
      <c r="M149" s="100"/>
      <c r="N149" s="100"/>
      <c r="O149" s="100"/>
      <c r="P149" s="684"/>
      <c r="Q149" s="685"/>
      <c r="R149" s="683"/>
      <c r="X149" s="100"/>
      <c r="Y149" s="100"/>
      <c r="Z149" s="1380"/>
      <c r="AA149" s="100"/>
      <c r="AB149" s="100"/>
      <c r="AC149" s="100"/>
      <c r="AD149" s="100"/>
      <c r="AE149" s="100"/>
      <c r="AF149" s="100"/>
      <c r="AG149" s="100"/>
      <c r="AH149" s="100"/>
      <c r="AI149" s="100"/>
      <c r="AJ149" s="100"/>
      <c r="AK149" s="100"/>
      <c r="AL149" s="100"/>
      <c r="AM149" s="100"/>
      <c r="AN149" s="100"/>
      <c r="AO149" s="100"/>
      <c r="AP149" s="100"/>
      <c r="AQ149" s="100"/>
      <c r="AR149" s="100"/>
    </row>
    <row r="150" spans="1:44" s="281" customFormat="1" ht="12" customHeight="1">
      <c r="A150" s="100"/>
      <c r="B150" s="100"/>
      <c r="C150" s="100"/>
      <c r="D150" s="100"/>
      <c r="E150" s="100"/>
      <c r="F150" s="100"/>
      <c r="G150" s="100"/>
      <c r="H150" s="100"/>
      <c r="I150" s="100"/>
      <c r="J150" s="100"/>
      <c r="K150" s="100"/>
      <c r="L150" s="100"/>
      <c r="M150" s="100"/>
      <c r="N150" s="100"/>
      <c r="O150" s="100"/>
      <c r="P150" s="684"/>
      <c r="Q150" s="685"/>
      <c r="R150" s="683"/>
      <c r="X150" s="100"/>
      <c r="Y150" s="100"/>
      <c r="Z150" s="1380"/>
      <c r="AA150" s="100"/>
      <c r="AB150" s="100"/>
      <c r="AC150" s="100"/>
      <c r="AD150" s="100"/>
      <c r="AE150" s="100"/>
      <c r="AF150" s="100"/>
      <c r="AG150" s="100"/>
      <c r="AH150" s="100"/>
      <c r="AI150" s="100"/>
      <c r="AJ150" s="100"/>
      <c r="AK150" s="100"/>
      <c r="AL150" s="100"/>
      <c r="AM150" s="100"/>
      <c r="AN150" s="100"/>
      <c r="AO150" s="100"/>
      <c r="AP150" s="100"/>
      <c r="AQ150" s="100"/>
      <c r="AR150" s="100"/>
    </row>
    <row r="151" spans="1:44" s="281" customFormat="1" ht="12" customHeight="1">
      <c r="A151" s="100"/>
      <c r="B151" s="100"/>
      <c r="C151" s="100"/>
      <c r="D151" s="100"/>
      <c r="E151" s="100"/>
      <c r="F151" s="100"/>
      <c r="G151" s="100"/>
      <c r="H151" s="100"/>
      <c r="I151" s="100"/>
      <c r="J151" s="100"/>
      <c r="K151" s="100"/>
      <c r="L151" s="100"/>
      <c r="M151" s="100"/>
      <c r="N151" s="100"/>
      <c r="O151" s="100"/>
      <c r="P151" s="684"/>
      <c r="Q151" s="685"/>
      <c r="R151" s="683"/>
      <c r="X151" s="100"/>
      <c r="Y151" s="100"/>
      <c r="Z151" s="1380"/>
      <c r="AA151" s="100"/>
      <c r="AB151" s="100"/>
      <c r="AC151" s="100"/>
      <c r="AD151" s="100"/>
      <c r="AE151" s="100"/>
      <c r="AF151" s="100"/>
      <c r="AG151" s="100"/>
      <c r="AH151" s="100"/>
      <c r="AI151" s="100"/>
      <c r="AJ151" s="100"/>
      <c r="AK151" s="100"/>
      <c r="AL151" s="100"/>
      <c r="AM151" s="100"/>
      <c r="AN151" s="100"/>
      <c r="AO151" s="100"/>
      <c r="AP151" s="100"/>
      <c r="AQ151" s="100"/>
      <c r="AR151" s="100"/>
    </row>
    <row r="152" spans="1:44" s="281" customFormat="1" ht="12" customHeight="1">
      <c r="A152" s="100"/>
      <c r="B152" s="100"/>
      <c r="C152" s="100"/>
      <c r="D152" s="100"/>
      <c r="E152" s="100"/>
      <c r="F152" s="100"/>
      <c r="G152" s="100"/>
      <c r="H152" s="100"/>
      <c r="I152" s="100"/>
      <c r="J152" s="100"/>
      <c r="K152" s="100"/>
      <c r="L152" s="100"/>
      <c r="M152" s="100"/>
      <c r="N152" s="100"/>
      <c r="O152" s="100"/>
      <c r="P152" s="684"/>
      <c r="Q152" s="685"/>
      <c r="R152" s="683"/>
      <c r="X152" s="100"/>
      <c r="Y152" s="100"/>
      <c r="Z152" s="1380"/>
      <c r="AA152" s="100"/>
      <c r="AB152" s="100"/>
      <c r="AC152" s="100"/>
      <c r="AD152" s="100"/>
      <c r="AE152" s="100"/>
      <c r="AF152" s="100"/>
      <c r="AG152" s="100"/>
      <c r="AH152" s="100"/>
      <c r="AI152" s="100"/>
      <c r="AJ152" s="100"/>
      <c r="AK152" s="100"/>
      <c r="AL152" s="100"/>
      <c r="AM152" s="100"/>
      <c r="AN152" s="100"/>
      <c r="AO152" s="100"/>
      <c r="AP152" s="100"/>
      <c r="AQ152" s="100"/>
      <c r="AR152" s="100"/>
    </row>
    <row r="153" spans="1:44" s="281" customFormat="1" ht="12" customHeight="1">
      <c r="A153" s="100"/>
      <c r="B153" s="100"/>
      <c r="C153" s="100"/>
      <c r="D153" s="100"/>
      <c r="E153" s="100"/>
      <c r="F153" s="100"/>
      <c r="G153" s="100"/>
      <c r="H153" s="100"/>
      <c r="I153" s="100"/>
      <c r="J153" s="100"/>
      <c r="K153" s="100"/>
      <c r="L153" s="100"/>
      <c r="M153" s="100"/>
      <c r="N153" s="100"/>
      <c r="O153" s="100"/>
      <c r="P153" s="686"/>
      <c r="Q153" s="685"/>
      <c r="R153" s="683"/>
      <c r="X153" s="100"/>
      <c r="Y153" s="100"/>
      <c r="Z153" s="1380"/>
      <c r="AA153" s="100"/>
      <c r="AB153" s="100"/>
      <c r="AC153" s="100"/>
      <c r="AD153" s="100"/>
      <c r="AE153" s="100"/>
      <c r="AF153" s="100"/>
      <c r="AG153" s="100"/>
      <c r="AH153" s="100"/>
      <c r="AI153" s="100"/>
      <c r="AJ153" s="100"/>
      <c r="AK153" s="100"/>
      <c r="AL153" s="100"/>
      <c r="AM153" s="100"/>
      <c r="AN153" s="100"/>
      <c r="AO153" s="100"/>
      <c r="AP153" s="100"/>
      <c r="AQ153" s="100"/>
      <c r="AR153" s="100"/>
    </row>
    <row r="154" spans="1:44" s="281" customFormat="1" ht="12" customHeight="1">
      <c r="A154" s="100"/>
      <c r="B154" s="100"/>
      <c r="C154" s="100"/>
      <c r="D154" s="100"/>
      <c r="E154" s="100"/>
      <c r="F154" s="100"/>
      <c r="G154" s="100"/>
      <c r="H154" s="100"/>
      <c r="I154" s="100"/>
      <c r="J154" s="100"/>
      <c r="K154" s="100"/>
      <c r="L154" s="100"/>
      <c r="M154" s="100"/>
      <c r="N154" s="100"/>
      <c r="O154" s="100"/>
      <c r="P154" s="684"/>
      <c r="Q154" s="685"/>
      <c r="R154" s="683"/>
      <c r="X154" s="100"/>
      <c r="Y154" s="100"/>
      <c r="Z154" s="1380"/>
      <c r="AA154" s="100"/>
      <c r="AB154" s="100"/>
      <c r="AC154" s="100"/>
      <c r="AD154" s="100"/>
      <c r="AE154" s="100"/>
      <c r="AF154" s="100"/>
      <c r="AG154" s="100"/>
      <c r="AH154" s="100"/>
      <c r="AI154" s="100"/>
      <c r="AJ154" s="100"/>
      <c r="AK154" s="100"/>
      <c r="AL154" s="100"/>
      <c r="AM154" s="100"/>
      <c r="AN154" s="100"/>
      <c r="AO154" s="100"/>
      <c r="AP154" s="100"/>
      <c r="AQ154" s="100"/>
      <c r="AR154" s="100"/>
    </row>
    <row r="155" spans="1:44" s="281" customFormat="1" ht="12" customHeight="1">
      <c r="A155" s="100"/>
      <c r="B155" s="100"/>
      <c r="C155" s="100"/>
      <c r="D155" s="100"/>
      <c r="E155" s="100"/>
      <c r="F155" s="100"/>
      <c r="G155" s="100"/>
      <c r="H155" s="100"/>
      <c r="I155" s="100"/>
      <c r="J155" s="100"/>
      <c r="K155" s="100"/>
      <c r="L155" s="100"/>
      <c r="M155" s="100"/>
      <c r="N155" s="100"/>
      <c r="O155" s="100"/>
      <c r="P155" s="684"/>
      <c r="Q155" s="685"/>
      <c r="R155" s="683"/>
      <c r="X155" s="100"/>
      <c r="Y155" s="100"/>
      <c r="Z155" s="1380"/>
      <c r="AA155" s="100"/>
      <c r="AB155" s="100"/>
      <c r="AC155" s="100"/>
      <c r="AD155" s="100"/>
      <c r="AE155" s="100"/>
      <c r="AF155" s="100"/>
      <c r="AG155" s="100"/>
      <c r="AH155" s="100"/>
      <c r="AI155" s="100"/>
      <c r="AJ155" s="100"/>
      <c r="AK155" s="100"/>
      <c r="AL155" s="100"/>
      <c r="AM155" s="100"/>
      <c r="AN155" s="100"/>
      <c r="AO155" s="100"/>
      <c r="AP155" s="100"/>
      <c r="AQ155" s="100"/>
      <c r="AR155" s="100"/>
    </row>
    <row r="156" spans="1:44" s="281" customFormat="1" ht="12" customHeight="1">
      <c r="A156" s="100"/>
      <c r="B156" s="100"/>
      <c r="C156" s="100"/>
      <c r="D156" s="100"/>
      <c r="E156" s="100"/>
      <c r="F156" s="100"/>
      <c r="G156" s="100"/>
      <c r="H156" s="100"/>
      <c r="I156" s="100"/>
      <c r="J156" s="100"/>
      <c r="K156" s="100"/>
      <c r="L156" s="100"/>
      <c r="M156" s="100"/>
      <c r="N156" s="100"/>
      <c r="O156" s="100"/>
      <c r="P156" s="684"/>
      <c r="Q156" s="685"/>
      <c r="R156" s="683"/>
      <c r="X156" s="100"/>
      <c r="Y156" s="100"/>
      <c r="Z156" s="1380"/>
      <c r="AA156" s="100"/>
      <c r="AB156" s="100"/>
      <c r="AC156" s="100"/>
      <c r="AD156" s="100"/>
      <c r="AE156" s="100"/>
      <c r="AF156" s="100"/>
      <c r="AG156" s="100"/>
      <c r="AH156" s="100"/>
      <c r="AI156" s="100"/>
      <c r="AJ156" s="100"/>
      <c r="AK156" s="100"/>
      <c r="AL156" s="100"/>
      <c r="AM156" s="100"/>
      <c r="AN156" s="100"/>
      <c r="AO156" s="100"/>
      <c r="AP156" s="100"/>
      <c r="AQ156" s="100"/>
      <c r="AR156" s="100"/>
    </row>
    <row r="157" spans="1:44" s="281" customFormat="1" ht="12" customHeight="1">
      <c r="A157" s="100"/>
      <c r="B157" s="100"/>
      <c r="C157" s="100"/>
      <c r="D157" s="100"/>
      <c r="E157" s="100"/>
      <c r="F157" s="100"/>
      <c r="G157" s="100"/>
      <c r="H157" s="100"/>
      <c r="I157" s="100"/>
      <c r="J157" s="100"/>
      <c r="K157" s="100"/>
      <c r="L157" s="100"/>
      <c r="M157" s="100"/>
      <c r="N157" s="100"/>
      <c r="O157" s="100"/>
      <c r="P157" s="684"/>
      <c r="Q157" s="685"/>
      <c r="R157" s="683"/>
      <c r="X157" s="100"/>
      <c r="Y157" s="100"/>
      <c r="Z157" s="1380"/>
      <c r="AA157" s="100"/>
      <c r="AB157" s="100"/>
      <c r="AC157" s="100"/>
      <c r="AD157" s="100"/>
      <c r="AE157" s="100"/>
      <c r="AF157" s="100"/>
      <c r="AG157" s="100"/>
      <c r="AH157" s="100"/>
      <c r="AI157" s="100"/>
      <c r="AJ157" s="100"/>
      <c r="AK157" s="100"/>
      <c r="AL157" s="100"/>
      <c r="AM157" s="100"/>
      <c r="AN157" s="100"/>
      <c r="AO157" s="100"/>
      <c r="AP157" s="100"/>
      <c r="AQ157" s="100"/>
      <c r="AR157" s="100"/>
    </row>
    <row r="158" spans="1:44" s="281" customFormat="1" ht="12" customHeight="1">
      <c r="A158" s="100"/>
      <c r="B158" s="100"/>
      <c r="C158" s="100"/>
      <c r="D158" s="100"/>
      <c r="E158" s="100"/>
      <c r="F158" s="100"/>
      <c r="G158" s="100"/>
      <c r="H158" s="100"/>
      <c r="I158" s="100"/>
      <c r="J158" s="100"/>
      <c r="K158" s="100"/>
      <c r="L158" s="100"/>
      <c r="M158" s="100"/>
      <c r="N158" s="100"/>
      <c r="O158" s="100"/>
      <c r="P158" s="684"/>
      <c r="Q158" s="685"/>
      <c r="R158" s="683"/>
      <c r="X158" s="100"/>
      <c r="Y158" s="100"/>
      <c r="Z158" s="1380"/>
      <c r="AA158" s="100"/>
      <c r="AB158" s="100"/>
      <c r="AC158" s="100"/>
      <c r="AD158" s="100"/>
      <c r="AE158" s="100"/>
      <c r="AF158" s="100"/>
      <c r="AG158" s="100"/>
      <c r="AH158" s="100"/>
      <c r="AI158" s="100"/>
      <c r="AJ158" s="100"/>
      <c r="AK158" s="100"/>
      <c r="AL158" s="100"/>
      <c r="AM158" s="100"/>
      <c r="AN158" s="100"/>
      <c r="AO158" s="100"/>
      <c r="AP158" s="100"/>
      <c r="AQ158" s="100"/>
      <c r="AR158" s="100"/>
    </row>
    <row r="159" spans="1:44" s="281" customFormat="1" ht="12" customHeight="1">
      <c r="A159" s="100"/>
      <c r="B159" s="100"/>
      <c r="C159" s="100"/>
      <c r="D159" s="100"/>
      <c r="E159" s="100"/>
      <c r="F159" s="100"/>
      <c r="G159" s="100"/>
      <c r="H159" s="100"/>
      <c r="I159" s="100"/>
      <c r="J159" s="100"/>
      <c r="K159" s="100"/>
      <c r="L159" s="100"/>
      <c r="M159" s="100"/>
      <c r="N159" s="100"/>
      <c r="O159" s="100"/>
      <c r="P159" s="684"/>
      <c r="Q159" s="685"/>
      <c r="R159" s="683"/>
      <c r="X159" s="100"/>
      <c r="Y159" s="100"/>
      <c r="Z159" s="1380"/>
      <c r="AA159" s="100"/>
      <c r="AB159" s="100"/>
      <c r="AC159" s="100"/>
      <c r="AD159" s="100"/>
      <c r="AE159" s="100"/>
      <c r="AF159" s="100"/>
      <c r="AG159" s="100"/>
      <c r="AH159" s="100"/>
      <c r="AI159" s="100"/>
      <c r="AJ159" s="100"/>
      <c r="AK159" s="100"/>
      <c r="AL159" s="100"/>
      <c r="AM159" s="100"/>
      <c r="AN159" s="100"/>
      <c r="AO159" s="100"/>
      <c r="AP159" s="100"/>
      <c r="AQ159" s="100"/>
      <c r="AR159" s="100"/>
    </row>
    <row r="160" spans="1:44" s="281" customFormat="1" ht="12" customHeight="1">
      <c r="A160" s="100"/>
      <c r="B160" s="100"/>
      <c r="C160" s="100"/>
      <c r="D160" s="100"/>
      <c r="E160" s="100"/>
      <c r="F160" s="100"/>
      <c r="G160" s="100"/>
      <c r="H160" s="100"/>
      <c r="I160" s="100"/>
      <c r="J160" s="100"/>
      <c r="K160" s="100"/>
      <c r="L160" s="100"/>
      <c r="M160" s="100"/>
      <c r="N160" s="100"/>
      <c r="O160" s="100"/>
      <c r="P160" s="684"/>
      <c r="Q160" s="685"/>
      <c r="R160" s="683"/>
      <c r="X160" s="100"/>
      <c r="Y160" s="100"/>
      <c r="Z160" s="1380"/>
      <c r="AA160" s="100"/>
      <c r="AB160" s="100"/>
      <c r="AC160" s="100"/>
      <c r="AD160" s="100"/>
      <c r="AE160" s="100"/>
      <c r="AF160" s="100"/>
      <c r="AG160" s="100"/>
      <c r="AH160" s="100"/>
      <c r="AI160" s="100"/>
      <c r="AJ160" s="100"/>
      <c r="AK160" s="100"/>
      <c r="AL160" s="100"/>
      <c r="AM160" s="100"/>
      <c r="AN160" s="100"/>
      <c r="AO160" s="100"/>
      <c r="AP160" s="100"/>
      <c r="AQ160" s="100"/>
      <c r="AR160" s="100"/>
    </row>
    <row r="161" spans="1:44" s="281" customFormat="1" ht="12" customHeight="1">
      <c r="A161" s="100"/>
      <c r="B161" s="100"/>
      <c r="C161" s="100"/>
      <c r="D161" s="100"/>
      <c r="E161" s="100"/>
      <c r="F161" s="100"/>
      <c r="G161" s="100"/>
      <c r="H161" s="100"/>
      <c r="I161" s="100"/>
      <c r="J161" s="100"/>
      <c r="K161" s="100"/>
      <c r="L161" s="100"/>
      <c r="M161" s="100"/>
      <c r="N161" s="100"/>
      <c r="O161" s="100"/>
      <c r="P161" s="684"/>
      <c r="Q161" s="685"/>
      <c r="R161" s="683"/>
      <c r="X161" s="100"/>
      <c r="Y161" s="100"/>
      <c r="Z161" s="1380"/>
      <c r="AA161" s="100"/>
      <c r="AB161" s="100"/>
      <c r="AC161" s="100"/>
      <c r="AD161" s="100"/>
      <c r="AE161" s="100"/>
      <c r="AF161" s="100"/>
      <c r="AG161" s="100"/>
      <c r="AH161" s="100"/>
      <c r="AI161" s="100"/>
      <c r="AJ161" s="100"/>
      <c r="AK161" s="100"/>
      <c r="AL161" s="100"/>
      <c r="AM161" s="100"/>
      <c r="AN161" s="100"/>
      <c r="AO161" s="100"/>
      <c r="AP161" s="100"/>
      <c r="AQ161" s="100"/>
      <c r="AR161" s="100"/>
    </row>
    <row r="162" spans="1:44" s="281" customFormat="1" ht="12" customHeight="1">
      <c r="A162" s="100"/>
      <c r="B162" s="100"/>
      <c r="C162" s="100"/>
      <c r="D162" s="100"/>
      <c r="E162" s="100"/>
      <c r="F162" s="100"/>
      <c r="G162" s="100"/>
      <c r="H162" s="100"/>
      <c r="I162" s="100"/>
      <c r="J162" s="100"/>
      <c r="K162" s="100"/>
      <c r="L162" s="100"/>
      <c r="M162" s="100"/>
      <c r="N162" s="100"/>
      <c r="O162" s="100"/>
      <c r="P162" s="684"/>
      <c r="Q162" s="685"/>
      <c r="R162" s="683"/>
      <c r="X162" s="100"/>
      <c r="Y162" s="100"/>
      <c r="Z162" s="1380"/>
      <c r="AA162" s="100"/>
      <c r="AB162" s="100"/>
      <c r="AC162" s="100"/>
      <c r="AD162" s="100"/>
      <c r="AE162" s="100"/>
      <c r="AF162" s="100"/>
      <c r="AG162" s="100"/>
      <c r="AH162" s="100"/>
      <c r="AI162" s="100"/>
      <c r="AJ162" s="100"/>
      <c r="AK162" s="100"/>
      <c r="AL162" s="100"/>
      <c r="AM162" s="100"/>
      <c r="AN162" s="100"/>
      <c r="AO162" s="100"/>
      <c r="AP162" s="100"/>
      <c r="AQ162" s="100"/>
      <c r="AR162" s="100"/>
    </row>
    <row r="163" spans="1:44" s="281" customFormat="1" ht="12" customHeight="1">
      <c r="A163" s="100"/>
      <c r="B163" s="100"/>
      <c r="C163" s="100"/>
      <c r="D163" s="100"/>
      <c r="E163" s="100"/>
      <c r="F163" s="100"/>
      <c r="G163" s="100"/>
      <c r="H163" s="100"/>
      <c r="I163" s="100"/>
      <c r="J163" s="100"/>
      <c r="K163" s="100"/>
      <c r="L163" s="100"/>
      <c r="M163" s="100"/>
      <c r="N163" s="100"/>
      <c r="O163" s="100"/>
      <c r="P163" s="684"/>
      <c r="Q163" s="685"/>
      <c r="R163" s="683"/>
      <c r="X163" s="100"/>
      <c r="Y163" s="100"/>
      <c r="Z163" s="1380"/>
      <c r="AA163" s="100"/>
      <c r="AB163" s="100"/>
      <c r="AC163" s="100"/>
      <c r="AD163" s="100"/>
      <c r="AE163" s="100"/>
      <c r="AF163" s="100"/>
      <c r="AG163" s="100"/>
      <c r="AH163" s="100"/>
      <c r="AI163" s="100"/>
      <c r="AJ163" s="100"/>
      <c r="AK163" s="100"/>
      <c r="AL163" s="100"/>
      <c r="AM163" s="100"/>
      <c r="AN163" s="100"/>
      <c r="AO163" s="100"/>
      <c r="AP163" s="100"/>
      <c r="AQ163" s="100"/>
      <c r="AR163" s="100"/>
    </row>
    <row r="164" spans="1:44" s="281" customFormat="1" ht="12" customHeight="1">
      <c r="A164" s="100"/>
      <c r="B164" s="100"/>
      <c r="C164" s="100"/>
      <c r="D164" s="100"/>
      <c r="E164" s="100"/>
      <c r="F164" s="100"/>
      <c r="G164" s="100"/>
      <c r="H164" s="100"/>
      <c r="I164" s="100"/>
      <c r="J164" s="100"/>
      <c r="K164" s="100"/>
      <c r="L164" s="100"/>
      <c r="M164" s="100"/>
      <c r="N164" s="100"/>
      <c r="O164" s="100"/>
      <c r="P164" s="684"/>
      <c r="Q164" s="683"/>
      <c r="R164" s="683"/>
      <c r="X164" s="100"/>
      <c r="Y164" s="100"/>
      <c r="Z164" s="1380"/>
      <c r="AA164" s="100"/>
      <c r="AB164" s="100"/>
      <c r="AC164" s="100"/>
      <c r="AD164" s="100"/>
      <c r="AE164" s="100"/>
      <c r="AF164" s="100"/>
      <c r="AG164" s="100"/>
      <c r="AH164" s="100"/>
      <c r="AI164" s="100"/>
      <c r="AJ164" s="100"/>
      <c r="AK164" s="100"/>
      <c r="AL164" s="100"/>
      <c r="AM164" s="100"/>
      <c r="AN164" s="100"/>
      <c r="AO164" s="100"/>
      <c r="AP164" s="100"/>
      <c r="AQ164" s="100"/>
      <c r="AR164" s="100"/>
    </row>
    <row r="165" spans="1:44" s="281" customFormat="1" ht="12" customHeight="1">
      <c r="A165" s="100"/>
      <c r="B165" s="100"/>
      <c r="C165" s="100"/>
      <c r="D165" s="100"/>
      <c r="E165" s="100"/>
      <c r="F165" s="100"/>
      <c r="G165" s="100"/>
      <c r="H165" s="100"/>
      <c r="I165" s="100"/>
      <c r="J165" s="100"/>
      <c r="K165" s="100"/>
      <c r="L165" s="100"/>
      <c r="M165" s="100"/>
      <c r="N165" s="100"/>
      <c r="O165" s="100"/>
      <c r="P165" s="684"/>
      <c r="Q165" s="685"/>
      <c r="R165" s="683"/>
      <c r="X165" s="100"/>
      <c r="Y165" s="100"/>
      <c r="Z165" s="1380"/>
      <c r="AA165" s="100"/>
      <c r="AB165" s="100"/>
      <c r="AC165" s="100"/>
      <c r="AD165" s="100"/>
      <c r="AE165" s="100"/>
      <c r="AF165" s="100"/>
      <c r="AG165" s="100"/>
      <c r="AH165" s="100"/>
      <c r="AI165" s="100"/>
      <c r="AJ165" s="100"/>
      <c r="AK165" s="100"/>
      <c r="AL165" s="100"/>
      <c r="AM165" s="100"/>
      <c r="AN165" s="100"/>
      <c r="AO165" s="100"/>
      <c r="AP165" s="100"/>
      <c r="AQ165" s="100"/>
      <c r="AR165" s="100"/>
    </row>
    <row r="166" spans="1:44" s="281" customFormat="1" ht="12" customHeight="1">
      <c r="A166" s="100"/>
      <c r="B166" s="100"/>
      <c r="C166" s="100"/>
      <c r="D166" s="100"/>
      <c r="E166" s="100"/>
      <c r="F166" s="100"/>
      <c r="G166" s="100"/>
      <c r="H166" s="100"/>
      <c r="I166" s="100"/>
      <c r="J166" s="100"/>
      <c r="K166" s="100"/>
      <c r="L166" s="100"/>
      <c r="M166" s="100"/>
      <c r="N166" s="100"/>
      <c r="O166" s="100"/>
      <c r="P166" s="684"/>
      <c r="Q166" s="685"/>
      <c r="R166" s="683"/>
      <c r="X166" s="100"/>
      <c r="Y166" s="100"/>
      <c r="Z166" s="1380"/>
      <c r="AA166" s="100"/>
      <c r="AB166" s="100"/>
      <c r="AC166" s="100"/>
      <c r="AD166" s="100"/>
      <c r="AE166" s="100"/>
      <c r="AF166" s="100"/>
      <c r="AG166" s="100"/>
      <c r="AH166" s="100"/>
      <c r="AI166" s="100"/>
      <c r="AJ166" s="100"/>
      <c r="AK166" s="100"/>
      <c r="AL166" s="100"/>
      <c r="AM166" s="100"/>
      <c r="AN166" s="100"/>
      <c r="AO166" s="100"/>
      <c r="AP166" s="100"/>
      <c r="AQ166" s="100"/>
      <c r="AR166" s="100"/>
    </row>
    <row r="167" spans="1:44" s="281" customFormat="1" ht="12" customHeight="1">
      <c r="A167" s="100"/>
      <c r="B167" s="100"/>
      <c r="C167" s="100"/>
      <c r="D167" s="100"/>
      <c r="E167" s="100"/>
      <c r="F167" s="100"/>
      <c r="G167" s="100"/>
      <c r="H167" s="100"/>
      <c r="I167" s="100"/>
      <c r="J167" s="100"/>
      <c r="K167" s="100"/>
      <c r="L167" s="100"/>
      <c r="M167" s="100"/>
      <c r="N167" s="100"/>
      <c r="O167" s="100"/>
      <c r="P167" s="684"/>
      <c r="Q167" s="685"/>
      <c r="R167" s="683"/>
      <c r="X167" s="100"/>
      <c r="Y167" s="100"/>
      <c r="Z167" s="1380"/>
      <c r="AA167" s="100"/>
      <c r="AB167" s="100"/>
      <c r="AC167" s="100"/>
      <c r="AD167" s="100"/>
      <c r="AE167" s="100"/>
      <c r="AF167" s="100"/>
      <c r="AG167" s="100"/>
      <c r="AH167" s="100"/>
      <c r="AI167" s="100"/>
      <c r="AJ167" s="100"/>
      <c r="AK167" s="100"/>
      <c r="AL167" s="100"/>
      <c r="AM167" s="100"/>
      <c r="AN167" s="100"/>
      <c r="AO167" s="100"/>
      <c r="AP167" s="100"/>
      <c r="AQ167" s="100"/>
      <c r="AR167" s="100"/>
    </row>
    <row r="168" spans="1:44" s="281" customFormat="1" ht="12" customHeight="1">
      <c r="A168" s="100"/>
      <c r="B168" s="100"/>
      <c r="C168" s="100"/>
      <c r="D168" s="100"/>
      <c r="E168" s="100"/>
      <c r="F168" s="100"/>
      <c r="G168" s="100"/>
      <c r="H168" s="100"/>
      <c r="I168" s="100"/>
      <c r="J168" s="100"/>
      <c r="K168" s="100"/>
      <c r="L168" s="100"/>
      <c r="M168" s="100"/>
      <c r="N168" s="100"/>
      <c r="O168" s="100"/>
      <c r="P168" s="686"/>
      <c r="Q168" s="683"/>
      <c r="R168" s="683"/>
      <c r="X168" s="100"/>
      <c r="Y168" s="100"/>
      <c r="Z168" s="1380"/>
      <c r="AA168" s="100"/>
      <c r="AB168" s="100"/>
      <c r="AC168" s="100"/>
      <c r="AD168" s="100"/>
      <c r="AE168" s="100"/>
      <c r="AF168" s="100"/>
      <c r="AG168" s="100"/>
      <c r="AH168" s="100"/>
      <c r="AI168" s="100"/>
      <c r="AJ168" s="100"/>
      <c r="AK168" s="100"/>
      <c r="AL168" s="100"/>
      <c r="AM168" s="100"/>
      <c r="AN168" s="100"/>
      <c r="AO168" s="100"/>
      <c r="AP168" s="100"/>
      <c r="AQ168" s="100"/>
      <c r="AR168" s="100"/>
    </row>
    <row r="169" spans="1:44" s="281" customFormat="1" ht="12" customHeight="1">
      <c r="A169" s="100"/>
      <c r="B169" s="100"/>
      <c r="C169" s="100"/>
      <c r="D169" s="100"/>
      <c r="E169" s="100"/>
      <c r="F169" s="100"/>
      <c r="G169" s="100"/>
      <c r="H169" s="100"/>
      <c r="I169" s="100"/>
      <c r="J169" s="100"/>
      <c r="K169" s="100"/>
      <c r="L169" s="100"/>
      <c r="M169" s="100"/>
      <c r="N169" s="100"/>
      <c r="O169" s="100"/>
      <c r="P169" s="684"/>
      <c r="Q169" s="685"/>
      <c r="R169" s="683"/>
      <c r="X169" s="100"/>
      <c r="Y169" s="100"/>
      <c r="Z169" s="1380"/>
      <c r="AA169" s="100"/>
      <c r="AB169" s="100"/>
      <c r="AC169" s="100"/>
      <c r="AD169" s="100"/>
      <c r="AE169" s="100"/>
      <c r="AF169" s="100"/>
      <c r="AG169" s="100"/>
      <c r="AH169" s="100"/>
      <c r="AI169" s="100"/>
      <c r="AJ169" s="100"/>
      <c r="AK169" s="100"/>
      <c r="AL169" s="100"/>
      <c r="AM169" s="100"/>
      <c r="AN169" s="100"/>
      <c r="AO169" s="100"/>
      <c r="AP169" s="100"/>
      <c r="AQ169" s="100"/>
      <c r="AR169" s="100"/>
    </row>
    <row r="170" spans="1:44" s="281" customFormat="1" ht="12" customHeight="1">
      <c r="A170" s="100"/>
      <c r="B170" s="100"/>
      <c r="C170" s="100"/>
      <c r="D170" s="100"/>
      <c r="E170" s="100"/>
      <c r="F170" s="100"/>
      <c r="G170" s="100"/>
      <c r="H170" s="100"/>
      <c r="I170" s="100"/>
      <c r="J170" s="100"/>
      <c r="K170" s="100"/>
      <c r="L170" s="100"/>
      <c r="M170" s="100"/>
      <c r="N170" s="100"/>
      <c r="O170" s="100"/>
      <c r="P170" s="684"/>
      <c r="Q170" s="685"/>
      <c r="R170" s="683"/>
      <c r="X170" s="100"/>
      <c r="Y170" s="100"/>
      <c r="Z170" s="1380"/>
      <c r="AA170" s="100"/>
      <c r="AB170" s="100"/>
      <c r="AC170" s="100"/>
      <c r="AD170" s="100"/>
      <c r="AE170" s="100"/>
      <c r="AF170" s="100"/>
      <c r="AG170" s="100"/>
      <c r="AH170" s="100"/>
      <c r="AI170" s="100"/>
      <c r="AJ170" s="100"/>
      <c r="AK170" s="100"/>
      <c r="AL170" s="100"/>
      <c r="AM170" s="100"/>
      <c r="AN170" s="100"/>
      <c r="AO170" s="100"/>
      <c r="AP170" s="100"/>
      <c r="AQ170" s="100"/>
      <c r="AR170" s="100"/>
    </row>
    <row r="171" spans="1:44" s="281" customFormat="1" ht="12" customHeight="1">
      <c r="A171" s="100"/>
      <c r="B171" s="100"/>
      <c r="C171" s="100"/>
      <c r="D171" s="100"/>
      <c r="E171" s="100"/>
      <c r="F171" s="100"/>
      <c r="G171" s="100"/>
      <c r="H171" s="100"/>
      <c r="I171" s="100"/>
      <c r="J171" s="100"/>
      <c r="K171" s="100"/>
      <c r="L171" s="100"/>
      <c r="M171" s="100"/>
      <c r="N171" s="100"/>
      <c r="O171" s="100"/>
      <c r="P171" s="684"/>
      <c r="Q171" s="685"/>
      <c r="R171" s="683"/>
      <c r="X171" s="100"/>
      <c r="Y171" s="100"/>
      <c r="Z171" s="1380"/>
      <c r="AA171" s="100"/>
      <c r="AB171" s="100"/>
      <c r="AC171" s="100"/>
      <c r="AD171" s="100"/>
      <c r="AE171" s="100"/>
      <c r="AF171" s="100"/>
      <c r="AG171" s="100"/>
      <c r="AH171" s="100"/>
      <c r="AI171" s="100"/>
      <c r="AJ171" s="100"/>
      <c r="AK171" s="100"/>
      <c r="AL171" s="100"/>
      <c r="AM171" s="100"/>
      <c r="AN171" s="100"/>
      <c r="AO171" s="100"/>
      <c r="AP171" s="100"/>
      <c r="AQ171" s="100"/>
      <c r="AR171" s="100"/>
    </row>
    <row r="172" spans="1:44" s="281" customFormat="1" ht="12" customHeight="1">
      <c r="A172" s="100"/>
      <c r="B172" s="100"/>
      <c r="C172" s="100"/>
      <c r="D172" s="100"/>
      <c r="E172" s="100"/>
      <c r="F172" s="100"/>
      <c r="G172" s="100"/>
      <c r="H172" s="100"/>
      <c r="I172" s="100"/>
      <c r="J172" s="100"/>
      <c r="K172" s="100"/>
      <c r="L172" s="100"/>
      <c r="M172" s="100"/>
      <c r="N172" s="100"/>
      <c r="O172" s="100"/>
      <c r="P172" s="686"/>
      <c r="Q172" s="683"/>
      <c r="R172" s="683"/>
      <c r="X172" s="100"/>
      <c r="Y172" s="100"/>
      <c r="Z172" s="1380"/>
      <c r="AA172" s="100"/>
      <c r="AB172" s="100"/>
      <c r="AC172" s="100"/>
      <c r="AD172" s="100"/>
      <c r="AE172" s="100"/>
      <c r="AF172" s="100"/>
      <c r="AG172" s="100"/>
      <c r="AH172" s="100"/>
      <c r="AI172" s="100"/>
      <c r="AJ172" s="100"/>
      <c r="AK172" s="100"/>
      <c r="AL172" s="100"/>
      <c r="AM172" s="100"/>
      <c r="AN172" s="100"/>
      <c r="AO172" s="100"/>
      <c r="AP172" s="100"/>
      <c r="AQ172" s="100"/>
      <c r="AR172" s="100"/>
    </row>
    <row r="173" spans="1:44" s="281" customFormat="1" ht="12" customHeight="1">
      <c r="A173" s="100"/>
      <c r="B173" s="100"/>
      <c r="C173" s="100"/>
      <c r="D173" s="100"/>
      <c r="E173" s="100"/>
      <c r="F173" s="100"/>
      <c r="G173" s="100"/>
      <c r="H173" s="100"/>
      <c r="I173" s="100"/>
      <c r="J173" s="100"/>
      <c r="K173" s="100"/>
      <c r="L173" s="100"/>
      <c r="M173" s="100"/>
      <c r="N173" s="100"/>
      <c r="O173" s="100"/>
      <c r="P173" s="684"/>
      <c r="Q173" s="685"/>
      <c r="R173" s="683"/>
      <c r="X173" s="100"/>
      <c r="Y173" s="100"/>
      <c r="Z173" s="1380"/>
      <c r="AA173" s="100"/>
      <c r="AB173" s="100"/>
      <c r="AC173" s="100"/>
      <c r="AD173" s="100"/>
      <c r="AE173" s="100"/>
      <c r="AF173" s="100"/>
      <c r="AG173" s="100"/>
      <c r="AH173" s="100"/>
      <c r="AI173" s="100"/>
      <c r="AJ173" s="100"/>
      <c r="AK173" s="100"/>
      <c r="AL173" s="100"/>
      <c r="AM173" s="100"/>
      <c r="AN173" s="100"/>
      <c r="AO173" s="100"/>
      <c r="AP173" s="100"/>
      <c r="AQ173" s="100"/>
      <c r="AR173" s="100"/>
    </row>
    <row r="174" spans="1:44" s="281" customFormat="1" ht="12" customHeight="1">
      <c r="A174" s="100"/>
      <c r="B174" s="100"/>
      <c r="C174" s="100"/>
      <c r="D174" s="100"/>
      <c r="E174" s="100"/>
      <c r="F174" s="100"/>
      <c r="G174" s="100"/>
      <c r="H174" s="100"/>
      <c r="I174" s="100"/>
      <c r="J174" s="100"/>
      <c r="K174" s="100"/>
      <c r="L174" s="100"/>
      <c r="M174" s="100"/>
      <c r="N174" s="100"/>
      <c r="O174" s="100"/>
      <c r="P174" s="684"/>
      <c r="Q174" s="685"/>
      <c r="R174" s="683"/>
      <c r="X174" s="100"/>
      <c r="Y174" s="100"/>
      <c r="Z174" s="1380"/>
      <c r="AA174" s="100"/>
      <c r="AB174" s="100"/>
      <c r="AC174" s="100"/>
      <c r="AD174" s="100"/>
      <c r="AE174" s="100"/>
      <c r="AF174" s="100"/>
      <c r="AG174" s="100"/>
      <c r="AH174" s="100"/>
      <c r="AI174" s="100"/>
      <c r="AJ174" s="100"/>
      <c r="AK174" s="100"/>
      <c r="AL174" s="100"/>
      <c r="AM174" s="100"/>
      <c r="AN174" s="100"/>
      <c r="AO174" s="100"/>
      <c r="AP174" s="100"/>
      <c r="AQ174" s="100"/>
      <c r="AR174" s="100"/>
    </row>
    <row r="175" spans="1:44" s="281" customFormat="1" ht="12" customHeight="1">
      <c r="A175" s="100"/>
      <c r="B175" s="100"/>
      <c r="C175" s="100"/>
      <c r="D175" s="100"/>
      <c r="E175" s="100"/>
      <c r="F175" s="100"/>
      <c r="G175" s="100"/>
      <c r="H175" s="100"/>
      <c r="I175" s="100"/>
      <c r="J175" s="100"/>
      <c r="K175" s="100"/>
      <c r="L175" s="100"/>
      <c r="M175" s="100"/>
      <c r="N175" s="100"/>
      <c r="O175" s="100"/>
      <c r="P175" s="684"/>
      <c r="Q175" s="683"/>
      <c r="R175" s="683"/>
      <c r="X175" s="100"/>
      <c r="Y175" s="100"/>
      <c r="Z175" s="1380"/>
      <c r="AA175" s="100"/>
      <c r="AB175" s="100"/>
      <c r="AC175" s="100"/>
      <c r="AD175" s="100"/>
      <c r="AE175" s="100"/>
      <c r="AF175" s="100"/>
      <c r="AG175" s="100"/>
      <c r="AH175" s="100"/>
      <c r="AI175" s="100"/>
      <c r="AJ175" s="100"/>
      <c r="AK175" s="100"/>
      <c r="AL175" s="100"/>
      <c r="AM175" s="100"/>
      <c r="AN175" s="100"/>
      <c r="AO175" s="100"/>
      <c r="AP175" s="100"/>
      <c r="AQ175" s="100"/>
      <c r="AR175" s="100"/>
    </row>
    <row r="176" spans="1:44" s="281" customFormat="1" ht="12" customHeight="1">
      <c r="A176" s="100"/>
      <c r="B176" s="100"/>
      <c r="C176" s="100"/>
      <c r="D176" s="100"/>
      <c r="E176" s="100"/>
      <c r="F176" s="100"/>
      <c r="G176" s="100"/>
      <c r="H176" s="100"/>
      <c r="I176" s="100"/>
      <c r="J176" s="100"/>
      <c r="K176" s="100"/>
      <c r="L176" s="100"/>
      <c r="M176" s="100"/>
      <c r="N176" s="100"/>
      <c r="O176" s="100"/>
      <c r="P176" s="686"/>
      <c r="Q176" s="683"/>
      <c r="R176" s="683"/>
      <c r="X176" s="100"/>
      <c r="Y176" s="100"/>
      <c r="Z176" s="1380"/>
      <c r="AA176" s="100"/>
      <c r="AB176" s="100"/>
      <c r="AC176" s="100"/>
      <c r="AD176" s="100"/>
      <c r="AE176" s="100"/>
      <c r="AF176" s="100"/>
      <c r="AG176" s="100"/>
      <c r="AH176" s="100"/>
      <c r="AI176" s="100"/>
      <c r="AJ176" s="100"/>
      <c r="AK176" s="100"/>
      <c r="AL176" s="100"/>
      <c r="AM176" s="100"/>
      <c r="AN176" s="100"/>
      <c r="AO176" s="100"/>
      <c r="AP176" s="100"/>
      <c r="AQ176" s="100"/>
      <c r="AR176" s="100"/>
    </row>
    <row r="177" spans="1:44" s="281" customFormat="1" ht="12" customHeight="1">
      <c r="A177" s="100"/>
      <c r="B177" s="100"/>
      <c r="C177" s="100"/>
      <c r="D177" s="100"/>
      <c r="E177" s="100"/>
      <c r="F177" s="100"/>
      <c r="G177" s="100"/>
      <c r="H177" s="100"/>
      <c r="I177" s="100"/>
      <c r="J177" s="100"/>
      <c r="K177" s="100"/>
      <c r="L177" s="100"/>
      <c r="M177" s="100"/>
      <c r="N177" s="100"/>
      <c r="O177" s="100"/>
      <c r="P177" s="684"/>
      <c r="Q177" s="685"/>
      <c r="R177" s="683"/>
      <c r="X177" s="100"/>
      <c r="Y177" s="100"/>
      <c r="Z177" s="1380"/>
      <c r="AA177" s="100"/>
      <c r="AB177" s="100"/>
      <c r="AC177" s="100"/>
      <c r="AD177" s="100"/>
      <c r="AE177" s="100"/>
      <c r="AF177" s="100"/>
      <c r="AG177" s="100"/>
      <c r="AH177" s="100"/>
      <c r="AI177" s="100"/>
      <c r="AJ177" s="100"/>
      <c r="AK177" s="100"/>
      <c r="AL177" s="100"/>
      <c r="AM177" s="100"/>
      <c r="AN177" s="100"/>
      <c r="AO177" s="100"/>
      <c r="AP177" s="100"/>
      <c r="AQ177" s="100"/>
      <c r="AR177" s="100"/>
    </row>
    <row r="178" spans="1:44" s="281" customFormat="1" ht="12" customHeight="1">
      <c r="A178" s="100"/>
      <c r="B178" s="100"/>
      <c r="C178" s="100"/>
      <c r="D178" s="100"/>
      <c r="E178" s="100"/>
      <c r="F178" s="100"/>
      <c r="G178" s="100"/>
      <c r="H178" s="100"/>
      <c r="I178" s="100"/>
      <c r="J178" s="100"/>
      <c r="K178" s="100"/>
      <c r="L178" s="100"/>
      <c r="M178" s="100"/>
      <c r="N178" s="100"/>
      <c r="O178" s="100"/>
      <c r="P178" s="684"/>
      <c r="Q178" s="685"/>
      <c r="R178" s="683"/>
      <c r="X178" s="100"/>
      <c r="Y178" s="100"/>
      <c r="Z178" s="1380"/>
      <c r="AA178" s="100"/>
      <c r="AB178" s="100"/>
      <c r="AC178" s="100"/>
      <c r="AD178" s="100"/>
      <c r="AE178" s="100"/>
      <c r="AF178" s="100"/>
      <c r="AG178" s="100"/>
      <c r="AH178" s="100"/>
      <c r="AI178" s="100"/>
      <c r="AJ178" s="100"/>
      <c r="AK178" s="100"/>
      <c r="AL178" s="100"/>
      <c r="AM178" s="100"/>
      <c r="AN178" s="100"/>
      <c r="AO178" s="100"/>
      <c r="AP178" s="100"/>
      <c r="AQ178" s="100"/>
      <c r="AR178" s="100"/>
    </row>
    <row r="179" spans="1:44" s="281" customFormat="1" ht="12" customHeight="1">
      <c r="A179" s="100"/>
      <c r="B179" s="100"/>
      <c r="C179" s="100"/>
      <c r="D179" s="100"/>
      <c r="E179" s="100"/>
      <c r="F179" s="100"/>
      <c r="G179" s="100"/>
      <c r="H179" s="100"/>
      <c r="I179" s="100"/>
      <c r="J179" s="100"/>
      <c r="K179" s="100"/>
      <c r="L179" s="100"/>
      <c r="M179" s="100"/>
      <c r="N179" s="100"/>
      <c r="O179" s="100"/>
      <c r="P179" s="684"/>
      <c r="Q179" s="685"/>
      <c r="R179" s="683"/>
      <c r="X179" s="100"/>
      <c r="Y179" s="100"/>
      <c r="Z179" s="1380"/>
      <c r="AA179" s="100"/>
      <c r="AB179" s="100"/>
      <c r="AC179" s="100"/>
      <c r="AD179" s="100"/>
      <c r="AE179" s="100"/>
      <c r="AF179" s="100"/>
      <c r="AG179" s="100"/>
      <c r="AH179" s="100"/>
      <c r="AI179" s="100"/>
      <c r="AJ179" s="100"/>
      <c r="AK179" s="100"/>
      <c r="AL179" s="100"/>
      <c r="AM179" s="100"/>
      <c r="AN179" s="100"/>
      <c r="AO179" s="100"/>
      <c r="AP179" s="100"/>
      <c r="AQ179" s="100"/>
      <c r="AR179" s="100"/>
    </row>
    <row r="180" spans="1:44" s="281" customFormat="1" ht="12" customHeight="1">
      <c r="A180" s="100"/>
      <c r="B180" s="100"/>
      <c r="C180" s="100"/>
      <c r="D180" s="100"/>
      <c r="E180" s="100"/>
      <c r="F180" s="100"/>
      <c r="G180" s="100"/>
      <c r="H180" s="100"/>
      <c r="I180" s="100"/>
      <c r="J180" s="100"/>
      <c r="K180" s="100"/>
      <c r="L180" s="100"/>
      <c r="M180" s="100"/>
      <c r="N180" s="100"/>
      <c r="O180" s="100"/>
      <c r="P180" s="686"/>
      <c r="Q180" s="683"/>
      <c r="R180" s="683"/>
      <c r="X180" s="100"/>
      <c r="Y180" s="100"/>
      <c r="Z180" s="1380"/>
      <c r="AA180" s="100"/>
      <c r="AB180" s="100"/>
      <c r="AC180" s="100"/>
      <c r="AD180" s="100"/>
      <c r="AE180" s="100"/>
      <c r="AF180" s="100"/>
      <c r="AG180" s="100"/>
      <c r="AH180" s="100"/>
      <c r="AI180" s="100"/>
      <c r="AJ180" s="100"/>
      <c r="AK180" s="100"/>
      <c r="AL180" s="100"/>
      <c r="AM180" s="100"/>
      <c r="AN180" s="100"/>
      <c r="AO180" s="100"/>
      <c r="AP180" s="100"/>
      <c r="AQ180" s="100"/>
      <c r="AR180" s="100"/>
    </row>
    <row r="181" spans="1:44" s="281" customFormat="1" ht="12" customHeight="1">
      <c r="A181" s="100"/>
      <c r="B181" s="100"/>
      <c r="C181" s="100"/>
      <c r="D181" s="100"/>
      <c r="E181" s="100"/>
      <c r="F181" s="100"/>
      <c r="G181" s="100"/>
      <c r="H181" s="100"/>
      <c r="I181" s="100"/>
      <c r="J181" s="100"/>
      <c r="K181" s="100"/>
      <c r="L181" s="100"/>
      <c r="M181" s="100"/>
      <c r="N181" s="100"/>
      <c r="O181" s="100"/>
      <c r="P181" s="684"/>
      <c r="Q181" s="685"/>
      <c r="R181" s="683"/>
      <c r="X181" s="100"/>
      <c r="Y181" s="100"/>
      <c r="Z181" s="1380"/>
      <c r="AA181" s="100"/>
      <c r="AB181" s="100"/>
      <c r="AC181" s="100"/>
      <c r="AD181" s="100"/>
      <c r="AE181" s="100"/>
      <c r="AF181" s="100"/>
      <c r="AG181" s="100"/>
      <c r="AH181" s="100"/>
      <c r="AI181" s="100"/>
      <c r="AJ181" s="100"/>
      <c r="AK181" s="100"/>
      <c r="AL181" s="100"/>
      <c r="AM181" s="100"/>
      <c r="AN181" s="100"/>
      <c r="AO181" s="100"/>
      <c r="AP181" s="100"/>
      <c r="AQ181" s="100"/>
      <c r="AR181" s="100"/>
    </row>
    <row r="182" spans="1:44" s="281" customFormat="1" ht="12" customHeight="1">
      <c r="A182" s="100"/>
      <c r="B182" s="100"/>
      <c r="C182" s="100"/>
      <c r="D182" s="100"/>
      <c r="E182" s="100"/>
      <c r="F182" s="100"/>
      <c r="G182" s="100"/>
      <c r="H182" s="100"/>
      <c r="I182" s="100"/>
      <c r="J182" s="100"/>
      <c r="K182" s="100"/>
      <c r="L182" s="100"/>
      <c r="M182" s="100"/>
      <c r="N182" s="100"/>
      <c r="O182" s="100"/>
      <c r="P182" s="686"/>
      <c r="Q182" s="685"/>
      <c r="R182" s="683"/>
      <c r="X182" s="100"/>
      <c r="Y182" s="100"/>
      <c r="Z182" s="1380"/>
      <c r="AA182" s="100"/>
      <c r="AB182" s="100"/>
      <c r="AC182" s="100"/>
      <c r="AD182" s="100"/>
      <c r="AE182" s="100"/>
      <c r="AF182" s="100"/>
      <c r="AG182" s="100"/>
      <c r="AH182" s="100"/>
      <c r="AI182" s="100"/>
      <c r="AJ182" s="100"/>
      <c r="AK182" s="100"/>
      <c r="AL182" s="100"/>
      <c r="AM182" s="100"/>
      <c r="AN182" s="100"/>
      <c r="AO182" s="100"/>
      <c r="AP182" s="100"/>
      <c r="AQ182" s="100"/>
      <c r="AR182" s="100"/>
    </row>
    <row r="183" spans="1:44" s="281" customFormat="1" ht="12" customHeight="1">
      <c r="A183" s="100"/>
      <c r="B183" s="100"/>
      <c r="C183" s="100"/>
      <c r="D183" s="100"/>
      <c r="E183" s="100"/>
      <c r="F183" s="100"/>
      <c r="G183" s="100"/>
      <c r="H183" s="100"/>
      <c r="I183" s="100"/>
      <c r="J183" s="100"/>
      <c r="K183" s="100"/>
      <c r="L183" s="100"/>
      <c r="M183" s="100"/>
      <c r="N183" s="100"/>
      <c r="O183" s="100"/>
      <c r="P183" s="684"/>
      <c r="Q183" s="683"/>
      <c r="R183" s="683"/>
      <c r="X183" s="100"/>
      <c r="Y183" s="100"/>
      <c r="Z183" s="1380"/>
      <c r="AA183" s="100"/>
      <c r="AB183" s="100"/>
      <c r="AC183" s="100"/>
      <c r="AD183" s="100"/>
      <c r="AE183" s="100"/>
      <c r="AF183" s="100"/>
      <c r="AG183" s="100"/>
      <c r="AH183" s="100"/>
      <c r="AI183" s="100"/>
      <c r="AJ183" s="100"/>
      <c r="AK183" s="100"/>
      <c r="AL183" s="100"/>
      <c r="AM183" s="100"/>
      <c r="AN183" s="100"/>
      <c r="AO183" s="100"/>
      <c r="AP183" s="100"/>
      <c r="AQ183" s="100"/>
      <c r="AR183" s="100"/>
    </row>
    <row r="184" spans="1:44" s="281" customFormat="1" ht="12" customHeight="1">
      <c r="A184" s="100"/>
      <c r="B184" s="100"/>
      <c r="C184" s="100"/>
      <c r="D184" s="100"/>
      <c r="E184" s="100"/>
      <c r="F184" s="100"/>
      <c r="G184" s="100"/>
      <c r="H184" s="100"/>
      <c r="I184" s="100"/>
      <c r="J184" s="100"/>
      <c r="K184" s="100"/>
      <c r="L184" s="100"/>
      <c r="M184" s="100"/>
      <c r="N184" s="100"/>
      <c r="O184" s="100"/>
      <c r="P184" s="684"/>
      <c r="Q184" s="685"/>
      <c r="R184" s="683"/>
      <c r="X184" s="100"/>
      <c r="Y184" s="100"/>
      <c r="Z184" s="1380"/>
      <c r="AA184" s="100"/>
      <c r="AB184" s="100"/>
      <c r="AC184" s="100"/>
      <c r="AD184" s="100"/>
      <c r="AE184" s="100"/>
      <c r="AF184" s="100"/>
      <c r="AG184" s="100"/>
      <c r="AH184" s="100"/>
      <c r="AI184" s="100"/>
      <c r="AJ184" s="100"/>
      <c r="AK184" s="100"/>
      <c r="AL184" s="100"/>
      <c r="AM184" s="100"/>
      <c r="AN184" s="100"/>
      <c r="AO184" s="100"/>
      <c r="AP184" s="100"/>
      <c r="AQ184" s="100"/>
      <c r="AR184" s="100"/>
    </row>
    <row r="185" spans="1:44" s="281" customFormat="1" ht="12" customHeight="1">
      <c r="A185" s="100"/>
      <c r="B185" s="100"/>
      <c r="C185" s="100"/>
      <c r="D185" s="100"/>
      <c r="E185" s="100"/>
      <c r="F185" s="100"/>
      <c r="G185" s="100"/>
      <c r="H185" s="100"/>
      <c r="I185" s="100"/>
      <c r="J185" s="100"/>
      <c r="K185" s="100"/>
      <c r="L185" s="100"/>
      <c r="M185" s="100"/>
      <c r="N185" s="100"/>
      <c r="O185" s="100"/>
      <c r="P185" s="684"/>
      <c r="Q185" s="685"/>
      <c r="R185" s="683"/>
      <c r="X185" s="100"/>
      <c r="Y185" s="100"/>
      <c r="Z185" s="1380"/>
      <c r="AA185" s="100"/>
      <c r="AB185" s="100"/>
      <c r="AC185" s="100"/>
      <c r="AD185" s="100"/>
      <c r="AE185" s="100"/>
      <c r="AF185" s="100"/>
      <c r="AG185" s="100"/>
      <c r="AH185" s="100"/>
      <c r="AI185" s="100"/>
      <c r="AJ185" s="100"/>
      <c r="AK185" s="100"/>
      <c r="AL185" s="100"/>
      <c r="AM185" s="100"/>
      <c r="AN185" s="100"/>
      <c r="AO185" s="100"/>
      <c r="AP185" s="100"/>
      <c r="AQ185" s="100"/>
      <c r="AR185" s="100"/>
    </row>
    <row r="186" spans="1:44" s="281" customFormat="1" ht="12" customHeight="1">
      <c r="A186" s="100"/>
      <c r="B186" s="100"/>
      <c r="C186" s="100"/>
      <c r="D186" s="100"/>
      <c r="E186" s="100"/>
      <c r="F186" s="100"/>
      <c r="G186" s="100"/>
      <c r="H186" s="100"/>
      <c r="I186" s="100"/>
      <c r="J186" s="100"/>
      <c r="K186" s="100"/>
      <c r="L186" s="100"/>
      <c r="M186" s="100"/>
      <c r="N186" s="100"/>
      <c r="O186" s="100"/>
      <c r="P186" s="684"/>
      <c r="Q186" s="685"/>
      <c r="R186" s="683"/>
      <c r="X186" s="100"/>
      <c r="Y186" s="100"/>
      <c r="Z186" s="1380"/>
      <c r="AA186" s="100"/>
      <c r="AB186" s="100"/>
      <c r="AC186" s="100"/>
      <c r="AD186" s="100"/>
      <c r="AE186" s="100"/>
      <c r="AF186" s="100"/>
      <c r="AG186" s="100"/>
      <c r="AH186" s="100"/>
      <c r="AI186" s="100"/>
      <c r="AJ186" s="100"/>
      <c r="AK186" s="100"/>
      <c r="AL186" s="100"/>
      <c r="AM186" s="100"/>
      <c r="AN186" s="100"/>
      <c r="AO186" s="100"/>
      <c r="AP186" s="100"/>
      <c r="AQ186" s="100"/>
      <c r="AR186" s="100"/>
    </row>
    <row r="187" spans="1:44" s="281" customFormat="1" ht="12" customHeight="1">
      <c r="A187" s="100"/>
      <c r="B187" s="100"/>
      <c r="C187" s="100"/>
      <c r="D187" s="100"/>
      <c r="E187" s="100"/>
      <c r="F187" s="100"/>
      <c r="G187" s="100"/>
      <c r="H187" s="100"/>
      <c r="I187" s="100"/>
      <c r="J187" s="100"/>
      <c r="K187" s="100"/>
      <c r="L187" s="100"/>
      <c r="M187" s="100"/>
      <c r="N187" s="100"/>
      <c r="O187" s="100"/>
      <c r="P187" s="684"/>
      <c r="Q187" s="683"/>
      <c r="R187" s="683"/>
      <c r="X187" s="100"/>
      <c r="Y187" s="100"/>
      <c r="Z187" s="1380"/>
      <c r="AA187" s="100"/>
      <c r="AB187" s="100"/>
      <c r="AC187" s="100"/>
      <c r="AD187" s="100"/>
      <c r="AE187" s="100"/>
      <c r="AF187" s="100"/>
      <c r="AG187" s="100"/>
      <c r="AH187" s="100"/>
      <c r="AI187" s="100"/>
      <c r="AJ187" s="100"/>
      <c r="AK187" s="100"/>
      <c r="AL187" s="100"/>
      <c r="AM187" s="100"/>
      <c r="AN187" s="100"/>
      <c r="AO187" s="100"/>
      <c r="AP187" s="100"/>
      <c r="AQ187" s="100"/>
      <c r="AR187" s="100"/>
    </row>
    <row r="188" spans="1:44" s="281" customFormat="1" ht="12" customHeight="1">
      <c r="A188" s="100"/>
      <c r="B188" s="100"/>
      <c r="C188" s="100"/>
      <c r="D188" s="100"/>
      <c r="E188" s="100"/>
      <c r="F188" s="100"/>
      <c r="G188" s="100"/>
      <c r="H188" s="100"/>
      <c r="I188" s="100"/>
      <c r="J188" s="100"/>
      <c r="K188" s="100"/>
      <c r="L188" s="100"/>
      <c r="M188" s="100"/>
      <c r="N188" s="100"/>
      <c r="O188" s="100"/>
      <c r="P188" s="686"/>
      <c r="Q188" s="685"/>
      <c r="R188" s="683"/>
      <c r="X188" s="100"/>
      <c r="Y188" s="100"/>
      <c r="Z188" s="1380"/>
      <c r="AA188" s="100"/>
      <c r="AB188" s="100"/>
      <c r="AC188" s="100"/>
      <c r="AD188" s="100"/>
      <c r="AE188" s="100"/>
      <c r="AF188" s="100"/>
      <c r="AG188" s="100"/>
      <c r="AH188" s="100"/>
      <c r="AI188" s="100"/>
      <c r="AJ188" s="100"/>
      <c r="AK188" s="100"/>
      <c r="AL188" s="100"/>
      <c r="AM188" s="100"/>
      <c r="AN188" s="100"/>
      <c r="AO188" s="100"/>
      <c r="AP188" s="100"/>
      <c r="AQ188" s="100"/>
      <c r="AR188" s="100"/>
    </row>
    <row r="189" spans="1:44" s="281" customFormat="1" ht="12" customHeight="1">
      <c r="A189" s="100"/>
      <c r="B189" s="100"/>
      <c r="C189" s="100"/>
      <c r="D189" s="100"/>
      <c r="E189" s="100"/>
      <c r="F189" s="100"/>
      <c r="G189" s="100"/>
      <c r="H189" s="100"/>
      <c r="I189" s="100"/>
      <c r="J189" s="100"/>
      <c r="K189" s="100"/>
      <c r="L189" s="100"/>
      <c r="M189" s="100"/>
      <c r="N189" s="100"/>
      <c r="O189" s="100"/>
      <c r="P189" s="684"/>
      <c r="Q189" s="685"/>
      <c r="R189" s="683"/>
      <c r="X189" s="100"/>
      <c r="Y189" s="100"/>
      <c r="Z189" s="1380"/>
      <c r="AA189" s="100"/>
      <c r="AB189" s="100"/>
      <c r="AC189" s="100"/>
      <c r="AD189" s="100"/>
      <c r="AE189" s="100"/>
      <c r="AF189" s="100"/>
      <c r="AG189" s="100"/>
      <c r="AH189" s="100"/>
      <c r="AI189" s="100"/>
      <c r="AJ189" s="100"/>
      <c r="AK189" s="100"/>
      <c r="AL189" s="100"/>
      <c r="AM189" s="100"/>
      <c r="AN189" s="100"/>
      <c r="AO189" s="100"/>
      <c r="AP189" s="100"/>
      <c r="AQ189" s="100"/>
      <c r="AR189" s="100"/>
    </row>
    <row r="190" spans="1:44" s="281" customFormat="1" ht="12" customHeight="1">
      <c r="A190" s="100"/>
      <c r="B190" s="100"/>
      <c r="C190" s="100"/>
      <c r="D190" s="100"/>
      <c r="E190" s="100"/>
      <c r="F190" s="100"/>
      <c r="G190" s="100"/>
      <c r="H190" s="100"/>
      <c r="I190" s="100"/>
      <c r="J190" s="100"/>
      <c r="K190" s="100"/>
      <c r="L190" s="100"/>
      <c r="M190" s="100"/>
      <c r="N190" s="100"/>
      <c r="O190" s="100"/>
      <c r="P190" s="684"/>
      <c r="Q190" s="685"/>
      <c r="R190" s="683"/>
      <c r="X190" s="100"/>
      <c r="Y190" s="100"/>
      <c r="Z190" s="1380"/>
      <c r="AA190" s="100"/>
      <c r="AB190" s="100"/>
      <c r="AC190" s="100"/>
      <c r="AD190" s="100"/>
      <c r="AE190" s="100"/>
      <c r="AF190" s="100"/>
      <c r="AG190" s="100"/>
      <c r="AH190" s="100"/>
      <c r="AI190" s="100"/>
      <c r="AJ190" s="100"/>
      <c r="AK190" s="100"/>
      <c r="AL190" s="100"/>
      <c r="AM190" s="100"/>
      <c r="AN190" s="100"/>
      <c r="AO190" s="100"/>
      <c r="AP190" s="100"/>
      <c r="AQ190" s="100"/>
      <c r="AR190" s="100"/>
    </row>
    <row r="191" spans="1:44" s="281" customFormat="1" ht="12" customHeight="1">
      <c r="A191" s="100"/>
      <c r="B191" s="100"/>
      <c r="C191" s="100"/>
      <c r="D191" s="100"/>
      <c r="E191" s="100"/>
      <c r="F191" s="100"/>
      <c r="G191" s="100"/>
      <c r="H191" s="100"/>
      <c r="I191" s="100"/>
      <c r="J191" s="100"/>
      <c r="K191" s="100"/>
      <c r="L191" s="100"/>
      <c r="M191" s="100"/>
      <c r="N191" s="100"/>
      <c r="O191" s="100"/>
      <c r="P191" s="684"/>
      <c r="Q191" s="685"/>
      <c r="R191" s="683"/>
      <c r="X191" s="100"/>
      <c r="Y191" s="100"/>
      <c r="Z191" s="1380"/>
      <c r="AA191" s="100"/>
      <c r="AB191" s="100"/>
      <c r="AC191" s="100"/>
      <c r="AD191" s="100"/>
      <c r="AE191" s="100"/>
      <c r="AF191" s="100"/>
      <c r="AG191" s="100"/>
      <c r="AH191" s="100"/>
      <c r="AI191" s="100"/>
      <c r="AJ191" s="100"/>
      <c r="AK191" s="100"/>
      <c r="AL191" s="100"/>
      <c r="AM191" s="100"/>
      <c r="AN191" s="100"/>
      <c r="AO191" s="100"/>
      <c r="AP191" s="100"/>
      <c r="AQ191" s="100"/>
      <c r="AR191" s="100"/>
    </row>
    <row r="192" spans="1:44" s="281" customFormat="1" ht="12" customHeight="1">
      <c r="A192" s="100"/>
      <c r="B192" s="100"/>
      <c r="C192" s="100"/>
      <c r="D192" s="100"/>
      <c r="E192" s="100"/>
      <c r="F192" s="100"/>
      <c r="G192" s="100"/>
      <c r="H192" s="100"/>
      <c r="I192" s="100"/>
      <c r="J192" s="100"/>
      <c r="K192" s="100"/>
      <c r="L192" s="100"/>
      <c r="M192" s="100"/>
      <c r="N192" s="100"/>
      <c r="O192" s="100"/>
      <c r="P192" s="684"/>
      <c r="Q192" s="685"/>
      <c r="R192" s="683"/>
      <c r="X192" s="100"/>
      <c r="Y192" s="100"/>
      <c r="Z192" s="1380"/>
      <c r="AA192" s="100"/>
      <c r="AB192" s="100"/>
      <c r="AC192" s="100"/>
      <c r="AD192" s="100"/>
      <c r="AE192" s="100"/>
      <c r="AF192" s="100"/>
      <c r="AG192" s="100"/>
      <c r="AH192" s="100"/>
      <c r="AI192" s="100"/>
      <c r="AJ192" s="100"/>
      <c r="AK192" s="100"/>
      <c r="AL192" s="100"/>
      <c r="AM192" s="100"/>
      <c r="AN192" s="100"/>
      <c r="AO192" s="100"/>
      <c r="AP192" s="100"/>
      <c r="AQ192" s="100"/>
      <c r="AR192" s="100"/>
    </row>
    <row r="193" spans="1:44" s="281" customFormat="1" ht="12" customHeight="1">
      <c r="A193" s="100"/>
      <c r="B193" s="100"/>
      <c r="C193" s="100"/>
      <c r="D193" s="100"/>
      <c r="E193" s="100"/>
      <c r="F193" s="100"/>
      <c r="G193" s="100"/>
      <c r="H193" s="100"/>
      <c r="I193" s="100"/>
      <c r="J193" s="100"/>
      <c r="K193" s="100"/>
      <c r="L193" s="100"/>
      <c r="M193" s="100"/>
      <c r="N193" s="100"/>
      <c r="O193" s="100"/>
      <c r="P193" s="684"/>
      <c r="Q193" s="685"/>
      <c r="R193" s="683"/>
      <c r="X193" s="100"/>
      <c r="Y193" s="100"/>
      <c r="Z193" s="1380"/>
      <c r="AA193" s="100"/>
      <c r="AB193" s="100"/>
      <c r="AC193" s="100"/>
      <c r="AD193" s="100"/>
      <c r="AE193" s="100"/>
      <c r="AF193" s="100"/>
      <c r="AG193" s="100"/>
      <c r="AH193" s="100"/>
      <c r="AI193" s="100"/>
      <c r="AJ193" s="100"/>
      <c r="AK193" s="100"/>
      <c r="AL193" s="100"/>
      <c r="AM193" s="100"/>
      <c r="AN193" s="100"/>
      <c r="AO193" s="100"/>
      <c r="AP193" s="100"/>
      <c r="AQ193" s="100"/>
      <c r="AR193" s="100"/>
    </row>
    <row r="194" spans="1:44" s="281" customFormat="1" ht="12" customHeight="1">
      <c r="A194" s="100"/>
      <c r="B194" s="100"/>
      <c r="C194" s="100"/>
      <c r="D194" s="100"/>
      <c r="E194" s="100"/>
      <c r="F194" s="100"/>
      <c r="G194" s="100"/>
      <c r="H194" s="100"/>
      <c r="I194" s="100"/>
      <c r="J194" s="100"/>
      <c r="K194" s="100"/>
      <c r="L194" s="100"/>
      <c r="M194" s="100"/>
      <c r="N194" s="100"/>
      <c r="O194" s="100"/>
      <c r="P194" s="684"/>
      <c r="Q194" s="685"/>
      <c r="R194" s="683"/>
      <c r="X194" s="100"/>
      <c r="Y194" s="100"/>
      <c r="Z194" s="1380"/>
      <c r="AA194" s="100"/>
      <c r="AB194" s="100"/>
      <c r="AC194" s="100"/>
      <c r="AD194" s="100"/>
      <c r="AE194" s="100"/>
      <c r="AF194" s="100"/>
      <c r="AG194" s="100"/>
      <c r="AH194" s="100"/>
      <c r="AI194" s="100"/>
      <c r="AJ194" s="100"/>
      <c r="AK194" s="100"/>
      <c r="AL194" s="100"/>
      <c r="AM194" s="100"/>
      <c r="AN194" s="100"/>
      <c r="AO194" s="100"/>
      <c r="AP194" s="100"/>
      <c r="AQ194" s="100"/>
      <c r="AR194" s="100"/>
    </row>
    <row r="195" spans="1:44" s="281" customFormat="1" ht="12" customHeight="1">
      <c r="A195" s="100"/>
      <c r="B195" s="100"/>
      <c r="C195" s="100"/>
      <c r="D195" s="100"/>
      <c r="E195" s="100"/>
      <c r="F195" s="100"/>
      <c r="G195" s="100"/>
      <c r="H195" s="100"/>
      <c r="I195" s="100"/>
      <c r="J195" s="100"/>
      <c r="K195" s="100"/>
      <c r="L195" s="100"/>
      <c r="M195" s="100"/>
      <c r="N195" s="100"/>
      <c r="O195" s="100"/>
      <c r="P195" s="684"/>
      <c r="Q195" s="685"/>
      <c r="R195" s="683"/>
      <c r="X195" s="100"/>
      <c r="Y195" s="100"/>
      <c r="Z195" s="1380"/>
      <c r="AA195" s="100"/>
      <c r="AB195" s="100"/>
      <c r="AC195" s="100"/>
      <c r="AD195" s="100"/>
      <c r="AE195" s="100"/>
      <c r="AF195" s="100"/>
      <c r="AG195" s="100"/>
      <c r="AH195" s="100"/>
      <c r="AI195" s="100"/>
      <c r="AJ195" s="100"/>
      <c r="AK195" s="100"/>
      <c r="AL195" s="100"/>
      <c r="AM195" s="100"/>
      <c r="AN195" s="100"/>
      <c r="AO195" s="100"/>
      <c r="AP195" s="100"/>
      <c r="AQ195" s="100"/>
      <c r="AR195" s="100"/>
    </row>
    <row r="196" spans="1:44" s="281" customFormat="1" ht="12" customHeight="1">
      <c r="A196" s="100"/>
      <c r="B196" s="100"/>
      <c r="C196" s="100"/>
      <c r="D196" s="100"/>
      <c r="E196" s="100"/>
      <c r="F196" s="100"/>
      <c r="G196" s="100"/>
      <c r="H196" s="100"/>
      <c r="I196" s="100"/>
      <c r="J196" s="100"/>
      <c r="K196" s="100"/>
      <c r="L196" s="100"/>
      <c r="M196" s="100"/>
      <c r="N196" s="100"/>
      <c r="O196" s="100"/>
      <c r="P196" s="684"/>
      <c r="Q196" s="685"/>
      <c r="R196" s="683"/>
      <c r="X196" s="100"/>
      <c r="Y196" s="100"/>
      <c r="Z196" s="1380"/>
      <c r="AA196" s="100"/>
      <c r="AB196" s="100"/>
      <c r="AC196" s="100"/>
      <c r="AD196" s="100"/>
      <c r="AE196" s="100"/>
      <c r="AF196" s="100"/>
      <c r="AG196" s="100"/>
      <c r="AH196" s="100"/>
      <c r="AI196" s="100"/>
      <c r="AJ196" s="100"/>
      <c r="AK196" s="100"/>
      <c r="AL196" s="100"/>
      <c r="AM196" s="100"/>
      <c r="AN196" s="100"/>
      <c r="AO196" s="100"/>
      <c r="AP196" s="100"/>
      <c r="AQ196" s="100"/>
      <c r="AR196" s="100"/>
    </row>
    <row r="197" spans="1:44" s="281" customFormat="1" ht="12" customHeight="1">
      <c r="A197" s="100"/>
      <c r="B197" s="100"/>
      <c r="C197" s="100"/>
      <c r="D197" s="100"/>
      <c r="E197" s="100"/>
      <c r="F197" s="100"/>
      <c r="G197" s="100"/>
      <c r="H197" s="100"/>
      <c r="I197" s="100"/>
      <c r="J197" s="100"/>
      <c r="K197" s="100"/>
      <c r="L197" s="100"/>
      <c r="M197" s="100"/>
      <c r="N197" s="100"/>
      <c r="O197" s="100"/>
      <c r="P197" s="684"/>
      <c r="Q197" s="685"/>
      <c r="R197" s="683"/>
      <c r="X197" s="100"/>
      <c r="Y197" s="100"/>
      <c r="Z197" s="1380"/>
      <c r="AA197" s="100"/>
      <c r="AB197" s="100"/>
      <c r="AC197" s="100"/>
      <c r="AD197" s="100"/>
      <c r="AE197" s="100"/>
      <c r="AF197" s="100"/>
      <c r="AG197" s="100"/>
      <c r="AH197" s="100"/>
      <c r="AI197" s="100"/>
      <c r="AJ197" s="100"/>
      <c r="AK197" s="100"/>
      <c r="AL197" s="100"/>
      <c r="AM197" s="100"/>
      <c r="AN197" s="100"/>
      <c r="AO197" s="100"/>
      <c r="AP197" s="100"/>
      <c r="AQ197" s="100"/>
      <c r="AR197" s="100"/>
    </row>
    <row r="198" spans="1:44" s="281" customFormat="1" ht="12" customHeight="1">
      <c r="A198" s="100"/>
      <c r="B198" s="100"/>
      <c r="C198" s="100"/>
      <c r="D198" s="100"/>
      <c r="E198" s="100"/>
      <c r="F198" s="100"/>
      <c r="G198" s="100"/>
      <c r="H198" s="100"/>
      <c r="I198" s="100"/>
      <c r="J198" s="100"/>
      <c r="K198" s="100"/>
      <c r="L198" s="100"/>
      <c r="M198" s="100"/>
      <c r="N198" s="100"/>
      <c r="O198" s="100"/>
      <c r="P198" s="684"/>
      <c r="Q198" s="685"/>
      <c r="R198" s="683"/>
      <c r="X198" s="100"/>
      <c r="Y198" s="100"/>
      <c r="Z198" s="1380"/>
      <c r="AA198" s="100"/>
      <c r="AB198" s="100"/>
      <c r="AC198" s="100"/>
      <c r="AD198" s="100"/>
      <c r="AE198" s="100"/>
      <c r="AF198" s="100"/>
      <c r="AG198" s="100"/>
      <c r="AH198" s="100"/>
      <c r="AI198" s="100"/>
      <c r="AJ198" s="100"/>
      <c r="AK198" s="100"/>
      <c r="AL198" s="100"/>
      <c r="AM198" s="100"/>
      <c r="AN198" s="100"/>
      <c r="AO198" s="100"/>
      <c r="AP198" s="100"/>
      <c r="AQ198" s="100"/>
      <c r="AR198" s="100"/>
    </row>
    <row r="199" spans="1:44" s="281" customFormat="1" ht="12" customHeight="1">
      <c r="A199" s="100"/>
      <c r="B199" s="100"/>
      <c r="C199" s="100"/>
      <c r="D199" s="100"/>
      <c r="E199" s="100"/>
      <c r="F199" s="100"/>
      <c r="G199" s="100"/>
      <c r="H199" s="100"/>
      <c r="I199" s="100"/>
      <c r="J199" s="100"/>
      <c r="K199" s="100"/>
      <c r="L199" s="100"/>
      <c r="M199" s="100"/>
      <c r="N199" s="100"/>
      <c r="O199" s="100"/>
      <c r="P199" s="684"/>
      <c r="Q199" s="685"/>
      <c r="R199" s="683"/>
      <c r="X199" s="100"/>
      <c r="Y199" s="100"/>
      <c r="Z199" s="1380"/>
      <c r="AA199" s="100"/>
      <c r="AB199" s="100"/>
      <c r="AC199" s="100"/>
      <c r="AD199" s="100"/>
      <c r="AE199" s="100"/>
      <c r="AF199" s="100"/>
      <c r="AG199" s="100"/>
      <c r="AH199" s="100"/>
      <c r="AI199" s="100"/>
      <c r="AJ199" s="100"/>
      <c r="AK199" s="100"/>
      <c r="AL199" s="100"/>
      <c r="AM199" s="100"/>
      <c r="AN199" s="100"/>
      <c r="AO199" s="100"/>
      <c r="AP199" s="100"/>
      <c r="AQ199" s="100"/>
      <c r="AR199" s="100"/>
    </row>
    <row r="200" spans="1:44" s="281" customFormat="1" ht="12" customHeight="1">
      <c r="A200" s="100"/>
      <c r="B200" s="100"/>
      <c r="C200" s="100"/>
      <c r="D200" s="100"/>
      <c r="E200" s="100"/>
      <c r="F200" s="100"/>
      <c r="G200" s="100"/>
      <c r="H200" s="100"/>
      <c r="I200" s="100"/>
      <c r="J200" s="100"/>
      <c r="K200" s="100"/>
      <c r="L200" s="100"/>
      <c r="M200" s="100"/>
      <c r="N200" s="100"/>
      <c r="O200" s="100"/>
      <c r="P200" s="684"/>
      <c r="Q200" s="685"/>
      <c r="R200" s="683"/>
      <c r="X200" s="100"/>
      <c r="Y200" s="100"/>
      <c r="Z200" s="1380"/>
      <c r="AA200" s="100"/>
      <c r="AB200" s="100"/>
      <c r="AC200" s="100"/>
      <c r="AD200" s="100"/>
      <c r="AE200" s="100"/>
      <c r="AF200" s="100"/>
      <c r="AG200" s="100"/>
      <c r="AH200" s="100"/>
      <c r="AI200" s="100"/>
      <c r="AJ200" s="100"/>
      <c r="AK200" s="100"/>
      <c r="AL200" s="100"/>
      <c r="AM200" s="100"/>
      <c r="AN200" s="100"/>
      <c r="AO200" s="100"/>
      <c r="AP200" s="100"/>
      <c r="AQ200" s="100"/>
      <c r="AR200" s="100"/>
    </row>
    <row r="201" spans="1:44" s="281" customFormat="1" ht="12" customHeight="1">
      <c r="A201" s="100"/>
      <c r="B201" s="100"/>
      <c r="C201" s="100"/>
      <c r="D201" s="100"/>
      <c r="E201" s="100"/>
      <c r="F201" s="100"/>
      <c r="G201" s="100"/>
      <c r="H201" s="100"/>
      <c r="I201" s="100"/>
      <c r="J201" s="100"/>
      <c r="K201" s="100"/>
      <c r="L201" s="100"/>
      <c r="M201" s="100"/>
      <c r="N201" s="100"/>
      <c r="O201" s="100"/>
      <c r="P201" s="684"/>
      <c r="Q201" s="685"/>
      <c r="R201" s="683"/>
      <c r="X201" s="100"/>
      <c r="Y201" s="100"/>
      <c r="Z201" s="1380"/>
      <c r="AA201" s="100"/>
      <c r="AB201" s="100"/>
      <c r="AC201" s="100"/>
      <c r="AD201" s="100"/>
      <c r="AE201" s="100"/>
      <c r="AF201" s="100"/>
      <c r="AG201" s="100"/>
      <c r="AH201" s="100"/>
      <c r="AI201" s="100"/>
      <c r="AJ201" s="100"/>
      <c r="AK201" s="100"/>
      <c r="AL201" s="100"/>
      <c r="AM201" s="100"/>
      <c r="AN201" s="100"/>
      <c r="AO201" s="100"/>
      <c r="AP201" s="100"/>
      <c r="AQ201" s="100"/>
      <c r="AR201" s="100"/>
    </row>
    <row r="202" spans="1:44" s="281" customFormat="1" ht="12" customHeight="1">
      <c r="A202" s="100"/>
      <c r="B202" s="100"/>
      <c r="C202" s="100"/>
      <c r="D202" s="100"/>
      <c r="E202" s="100"/>
      <c r="F202" s="100"/>
      <c r="G202" s="100"/>
      <c r="H202" s="100"/>
      <c r="I202" s="100"/>
      <c r="J202" s="100"/>
      <c r="K202" s="100"/>
      <c r="L202" s="100"/>
      <c r="M202" s="100"/>
      <c r="N202" s="100"/>
      <c r="O202" s="100"/>
      <c r="P202" s="684"/>
      <c r="Q202" s="685"/>
      <c r="R202" s="683"/>
      <c r="X202" s="100"/>
      <c r="Y202" s="100"/>
      <c r="Z202" s="1380"/>
      <c r="AA202" s="100"/>
      <c r="AB202" s="100"/>
      <c r="AC202" s="100"/>
      <c r="AD202" s="100"/>
      <c r="AE202" s="100"/>
      <c r="AF202" s="100"/>
      <c r="AG202" s="100"/>
      <c r="AH202" s="100"/>
      <c r="AI202" s="100"/>
      <c r="AJ202" s="100"/>
      <c r="AK202" s="100"/>
      <c r="AL202" s="100"/>
      <c r="AM202" s="100"/>
      <c r="AN202" s="100"/>
      <c r="AO202" s="100"/>
      <c r="AP202" s="100"/>
      <c r="AQ202" s="100"/>
      <c r="AR202" s="100"/>
    </row>
    <row r="203" spans="1:44" s="281" customFormat="1" ht="12" customHeight="1">
      <c r="A203" s="100"/>
      <c r="B203" s="100"/>
      <c r="C203" s="100"/>
      <c r="D203" s="100"/>
      <c r="E203" s="100"/>
      <c r="F203" s="100"/>
      <c r="G203" s="100"/>
      <c r="H203" s="100"/>
      <c r="I203" s="100"/>
      <c r="J203" s="100"/>
      <c r="K203" s="100"/>
      <c r="L203" s="100"/>
      <c r="M203" s="100"/>
      <c r="N203" s="100"/>
      <c r="O203" s="100"/>
      <c r="P203" s="684"/>
      <c r="Q203" s="685"/>
      <c r="R203" s="683"/>
      <c r="X203" s="100"/>
      <c r="Y203" s="100"/>
      <c r="Z203" s="1380"/>
      <c r="AA203" s="100"/>
      <c r="AB203" s="100"/>
      <c r="AC203" s="100"/>
      <c r="AD203" s="100"/>
      <c r="AE203" s="100"/>
      <c r="AF203" s="100"/>
      <c r="AG203" s="100"/>
      <c r="AH203" s="100"/>
      <c r="AI203" s="100"/>
      <c r="AJ203" s="100"/>
      <c r="AK203" s="100"/>
      <c r="AL203" s="100"/>
      <c r="AM203" s="100"/>
      <c r="AN203" s="100"/>
      <c r="AO203" s="100"/>
      <c r="AP203" s="100"/>
      <c r="AQ203" s="100"/>
      <c r="AR203" s="100"/>
    </row>
    <row r="204" spans="1:44" s="281" customFormat="1" ht="12" customHeight="1">
      <c r="A204" s="100"/>
      <c r="B204" s="100"/>
      <c r="C204" s="100"/>
      <c r="D204" s="100"/>
      <c r="E204" s="100"/>
      <c r="F204" s="100"/>
      <c r="G204" s="100"/>
      <c r="H204" s="100"/>
      <c r="I204" s="100"/>
      <c r="J204" s="100"/>
      <c r="K204" s="100"/>
      <c r="L204" s="100"/>
      <c r="M204" s="100"/>
      <c r="N204" s="100"/>
      <c r="O204" s="100"/>
      <c r="P204" s="684"/>
      <c r="Q204" s="685"/>
      <c r="R204" s="683"/>
      <c r="X204" s="100"/>
      <c r="Y204" s="100"/>
      <c r="Z204" s="1380"/>
      <c r="AA204" s="100"/>
      <c r="AB204" s="100"/>
      <c r="AC204" s="100"/>
      <c r="AD204" s="100"/>
      <c r="AE204" s="100"/>
      <c r="AF204" s="100"/>
      <c r="AG204" s="100"/>
      <c r="AH204" s="100"/>
      <c r="AI204" s="100"/>
      <c r="AJ204" s="100"/>
      <c r="AK204" s="100"/>
      <c r="AL204" s="100"/>
      <c r="AM204" s="100"/>
      <c r="AN204" s="100"/>
      <c r="AO204" s="100"/>
      <c r="AP204" s="100"/>
      <c r="AQ204" s="100"/>
      <c r="AR204" s="100"/>
    </row>
    <row r="205" spans="1:44" s="281" customFormat="1" ht="12" customHeight="1">
      <c r="A205" s="100"/>
      <c r="B205" s="100"/>
      <c r="C205" s="100"/>
      <c r="D205" s="100"/>
      <c r="E205" s="100"/>
      <c r="F205" s="100"/>
      <c r="G205" s="100"/>
      <c r="H205" s="100"/>
      <c r="I205" s="100"/>
      <c r="J205" s="100"/>
      <c r="K205" s="100"/>
      <c r="L205" s="100"/>
      <c r="M205" s="100"/>
      <c r="N205" s="100"/>
      <c r="O205" s="100"/>
      <c r="P205" s="684"/>
      <c r="Q205" s="685"/>
      <c r="R205" s="683"/>
      <c r="X205" s="100"/>
      <c r="Y205" s="100"/>
      <c r="Z205" s="1380"/>
      <c r="AA205" s="100"/>
      <c r="AB205" s="100"/>
      <c r="AC205" s="100"/>
      <c r="AD205" s="100"/>
      <c r="AE205" s="100"/>
      <c r="AF205" s="100"/>
      <c r="AG205" s="100"/>
      <c r="AH205" s="100"/>
      <c r="AI205" s="100"/>
      <c r="AJ205" s="100"/>
      <c r="AK205" s="100"/>
      <c r="AL205" s="100"/>
      <c r="AM205" s="100"/>
      <c r="AN205" s="100"/>
      <c r="AO205" s="100"/>
      <c r="AP205" s="100"/>
      <c r="AQ205" s="100"/>
      <c r="AR205" s="100"/>
    </row>
    <row r="206" spans="1:44" s="281" customFormat="1" ht="12" customHeight="1">
      <c r="A206" s="100"/>
      <c r="B206" s="100"/>
      <c r="C206" s="100"/>
      <c r="D206" s="100"/>
      <c r="E206" s="100"/>
      <c r="F206" s="100"/>
      <c r="G206" s="100"/>
      <c r="H206" s="100"/>
      <c r="I206" s="100"/>
      <c r="J206" s="100"/>
      <c r="K206" s="100"/>
      <c r="L206" s="100"/>
      <c r="M206" s="100"/>
      <c r="N206" s="100"/>
      <c r="O206" s="100"/>
      <c r="P206" s="686"/>
      <c r="Q206" s="685"/>
      <c r="R206" s="683"/>
      <c r="X206" s="100"/>
      <c r="Y206" s="100"/>
      <c r="Z206" s="1380"/>
      <c r="AA206" s="100"/>
      <c r="AB206" s="100"/>
      <c r="AC206" s="100"/>
      <c r="AD206" s="100"/>
      <c r="AE206" s="100"/>
      <c r="AF206" s="100"/>
      <c r="AG206" s="100"/>
      <c r="AH206" s="100"/>
      <c r="AI206" s="100"/>
      <c r="AJ206" s="100"/>
      <c r="AK206" s="100"/>
      <c r="AL206" s="100"/>
      <c r="AM206" s="100"/>
      <c r="AN206" s="100"/>
      <c r="AO206" s="100"/>
      <c r="AP206" s="100"/>
      <c r="AQ206" s="100"/>
      <c r="AR206" s="100"/>
    </row>
    <row r="207" spans="1:44" s="281" customFormat="1" ht="12" customHeight="1">
      <c r="A207" s="100"/>
      <c r="B207" s="100"/>
      <c r="C207" s="100"/>
      <c r="D207" s="100"/>
      <c r="E207" s="100"/>
      <c r="F207" s="100"/>
      <c r="G207" s="100"/>
      <c r="H207" s="100"/>
      <c r="I207" s="100"/>
      <c r="J207" s="100"/>
      <c r="K207" s="100"/>
      <c r="L207" s="100"/>
      <c r="M207" s="100"/>
      <c r="N207" s="100"/>
      <c r="O207" s="100"/>
      <c r="P207" s="684"/>
      <c r="Q207" s="685"/>
      <c r="R207" s="683"/>
      <c r="X207" s="100"/>
      <c r="Y207" s="100"/>
      <c r="Z207" s="1380"/>
      <c r="AA207" s="100"/>
      <c r="AB207" s="100"/>
      <c r="AC207" s="100"/>
      <c r="AD207" s="100"/>
      <c r="AE207" s="100"/>
      <c r="AF207" s="100"/>
      <c r="AG207" s="100"/>
      <c r="AH207" s="100"/>
      <c r="AI207" s="100"/>
      <c r="AJ207" s="100"/>
      <c r="AK207" s="100"/>
      <c r="AL207" s="100"/>
      <c r="AM207" s="100"/>
      <c r="AN207" s="100"/>
      <c r="AO207" s="100"/>
      <c r="AP207" s="100"/>
      <c r="AQ207" s="100"/>
      <c r="AR207" s="100"/>
    </row>
    <row r="208" spans="1:44" s="281" customFormat="1" ht="12" customHeight="1">
      <c r="A208" s="100"/>
      <c r="B208" s="100"/>
      <c r="C208" s="100"/>
      <c r="D208" s="100"/>
      <c r="E208" s="100"/>
      <c r="F208" s="100"/>
      <c r="G208" s="100"/>
      <c r="H208" s="100"/>
      <c r="I208" s="100"/>
      <c r="J208" s="100"/>
      <c r="K208" s="100"/>
      <c r="L208" s="100"/>
      <c r="M208" s="100"/>
      <c r="N208" s="100"/>
      <c r="O208" s="100"/>
      <c r="P208" s="684"/>
      <c r="Q208" s="685"/>
      <c r="R208" s="684"/>
      <c r="S208" s="301"/>
      <c r="X208" s="100"/>
      <c r="Y208" s="100"/>
      <c r="Z208" s="1380"/>
      <c r="AA208" s="100"/>
      <c r="AB208" s="100"/>
      <c r="AC208" s="100"/>
      <c r="AD208" s="100"/>
      <c r="AE208" s="100"/>
      <c r="AF208" s="100"/>
      <c r="AG208" s="100"/>
      <c r="AH208" s="100"/>
      <c r="AI208" s="100"/>
      <c r="AJ208" s="100"/>
      <c r="AK208" s="100"/>
      <c r="AL208" s="100"/>
      <c r="AM208" s="100"/>
      <c r="AN208" s="100"/>
      <c r="AO208" s="100"/>
      <c r="AP208" s="100"/>
      <c r="AQ208" s="100"/>
      <c r="AR208" s="100"/>
    </row>
    <row r="209" spans="1:44" s="281" customFormat="1" ht="12" customHeight="1">
      <c r="A209" s="100"/>
      <c r="B209" s="100"/>
      <c r="C209" s="100"/>
      <c r="D209" s="100"/>
      <c r="E209" s="100"/>
      <c r="F209" s="100"/>
      <c r="G209" s="100"/>
      <c r="H209" s="100"/>
      <c r="I209" s="100"/>
      <c r="J209" s="100"/>
      <c r="K209" s="100"/>
      <c r="L209" s="100"/>
      <c r="M209" s="100"/>
      <c r="N209" s="100"/>
      <c r="O209" s="100"/>
      <c r="P209" s="684"/>
      <c r="Q209" s="685"/>
      <c r="R209" s="684"/>
      <c r="S209" s="301"/>
      <c r="X209" s="100"/>
      <c r="Y209" s="100"/>
      <c r="Z209" s="1380"/>
      <c r="AA209" s="100"/>
      <c r="AB209" s="100"/>
      <c r="AC209" s="100"/>
      <c r="AD209" s="100"/>
      <c r="AE209" s="100"/>
      <c r="AF209" s="100"/>
      <c r="AG209" s="100"/>
      <c r="AH209" s="100"/>
      <c r="AI209" s="100"/>
      <c r="AJ209" s="100"/>
      <c r="AK209" s="100"/>
      <c r="AL209" s="100"/>
      <c r="AM209" s="100"/>
      <c r="AN209" s="100"/>
      <c r="AO209" s="100"/>
      <c r="AP209" s="100"/>
      <c r="AQ209" s="100"/>
      <c r="AR209" s="100"/>
    </row>
    <row r="210" spans="1:44" s="281" customFormat="1" ht="12" customHeight="1">
      <c r="A210" s="100"/>
      <c r="B210" s="100"/>
      <c r="C210" s="100"/>
      <c r="D210" s="100"/>
      <c r="E210" s="100"/>
      <c r="F210" s="100"/>
      <c r="G210" s="100"/>
      <c r="H210" s="100"/>
      <c r="I210" s="100"/>
      <c r="J210" s="100"/>
      <c r="K210" s="100"/>
      <c r="L210" s="100"/>
      <c r="M210" s="100"/>
      <c r="N210" s="100"/>
      <c r="O210" s="100"/>
      <c r="P210" s="684"/>
      <c r="Q210" s="685"/>
      <c r="R210" s="684"/>
      <c r="S210" s="301"/>
      <c r="X210" s="100"/>
      <c r="Y210" s="100"/>
      <c r="Z210" s="1380"/>
      <c r="AA210" s="100"/>
      <c r="AB210" s="100"/>
      <c r="AC210" s="100"/>
      <c r="AD210" s="100"/>
      <c r="AE210" s="100"/>
      <c r="AF210" s="100"/>
      <c r="AG210" s="100"/>
      <c r="AH210" s="100"/>
      <c r="AI210" s="100"/>
      <c r="AJ210" s="100"/>
      <c r="AK210" s="100"/>
      <c r="AL210" s="100"/>
      <c r="AM210" s="100"/>
      <c r="AN210" s="100"/>
      <c r="AO210" s="100"/>
      <c r="AP210" s="100"/>
      <c r="AQ210" s="100"/>
      <c r="AR210" s="100"/>
    </row>
    <row r="211" spans="1:44" s="281" customFormat="1" ht="12" customHeight="1">
      <c r="A211" s="100"/>
      <c r="B211" s="100"/>
      <c r="C211" s="100"/>
      <c r="D211" s="100"/>
      <c r="E211" s="100"/>
      <c r="F211" s="100"/>
      <c r="G211" s="100"/>
      <c r="H211" s="100"/>
      <c r="I211" s="100"/>
      <c r="J211" s="100"/>
      <c r="K211" s="100"/>
      <c r="L211" s="100"/>
      <c r="M211" s="100"/>
      <c r="N211" s="100"/>
      <c r="O211" s="100"/>
      <c r="P211" s="684"/>
      <c r="Q211" s="683"/>
      <c r="R211" s="684"/>
      <c r="S211" s="301"/>
      <c r="X211" s="100"/>
      <c r="Y211" s="100"/>
      <c r="Z211" s="1380"/>
      <c r="AA211" s="100"/>
      <c r="AB211" s="100"/>
      <c r="AC211" s="100"/>
      <c r="AD211" s="100"/>
      <c r="AE211" s="100"/>
      <c r="AF211" s="100"/>
      <c r="AG211" s="100"/>
      <c r="AH211" s="100"/>
      <c r="AI211" s="100"/>
      <c r="AJ211" s="100"/>
      <c r="AK211" s="100"/>
      <c r="AL211" s="100"/>
      <c r="AM211" s="100"/>
      <c r="AN211" s="100"/>
      <c r="AO211" s="100"/>
      <c r="AP211" s="100"/>
      <c r="AQ211" s="100"/>
      <c r="AR211" s="100"/>
    </row>
    <row r="212" spans="1:44" s="281" customFormat="1" ht="12" customHeight="1">
      <c r="A212" s="100"/>
      <c r="B212" s="100"/>
      <c r="C212" s="100"/>
      <c r="D212" s="100"/>
      <c r="E212" s="100"/>
      <c r="F212" s="100"/>
      <c r="G212" s="100"/>
      <c r="H212" s="100"/>
      <c r="I212" s="100"/>
      <c r="J212" s="100"/>
      <c r="K212" s="100"/>
      <c r="L212" s="100"/>
      <c r="M212" s="100"/>
      <c r="N212" s="100"/>
      <c r="O212" s="100"/>
      <c r="P212" s="686"/>
      <c r="Q212" s="683"/>
      <c r="R212" s="684"/>
      <c r="S212" s="301"/>
      <c r="X212" s="100"/>
      <c r="Y212" s="100"/>
      <c r="Z212" s="1380"/>
      <c r="AA212" s="100"/>
      <c r="AB212" s="100"/>
      <c r="AC212" s="100"/>
      <c r="AD212" s="100"/>
      <c r="AE212" s="100"/>
      <c r="AF212" s="100"/>
      <c r="AG212" s="100"/>
      <c r="AH212" s="100"/>
      <c r="AI212" s="100"/>
      <c r="AJ212" s="100"/>
      <c r="AK212" s="100"/>
      <c r="AL212" s="100"/>
      <c r="AM212" s="100"/>
      <c r="AN212" s="100"/>
      <c r="AO212" s="100"/>
      <c r="AP212" s="100"/>
      <c r="AQ212" s="100"/>
      <c r="AR212" s="100"/>
    </row>
    <row r="213" spans="1:44" s="281" customFormat="1" ht="12" customHeight="1">
      <c r="A213" s="100"/>
      <c r="B213" s="100"/>
      <c r="C213" s="100"/>
      <c r="D213" s="100"/>
      <c r="E213" s="100"/>
      <c r="F213" s="100"/>
      <c r="G213" s="100"/>
      <c r="H213" s="100"/>
      <c r="I213" s="100"/>
      <c r="J213" s="100"/>
      <c r="K213" s="100"/>
      <c r="L213" s="100"/>
      <c r="M213" s="100"/>
      <c r="N213" s="100"/>
      <c r="O213" s="100"/>
      <c r="P213" s="684"/>
      <c r="Q213" s="683"/>
      <c r="R213" s="684"/>
      <c r="S213" s="301"/>
      <c r="X213" s="100"/>
      <c r="Y213" s="100"/>
      <c r="Z213" s="1380"/>
      <c r="AA213" s="100"/>
      <c r="AB213" s="100"/>
      <c r="AC213" s="100"/>
      <c r="AD213" s="100"/>
      <c r="AE213" s="100"/>
      <c r="AF213" s="100"/>
      <c r="AG213" s="100"/>
      <c r="AH213" s="100"/>
      <c r="AI213" s="100"/>
      <c r="AJ213" s="100"/>
      <c r="AK213" s="100"/>
      <c r="AL213" s="100"/>
      <c r="AM213" s="100"/>
      <c r="AN213" s="100"/>
      <c r="AO213" s="100"/>
      <c r="AP213" s="100"/>
      <c r="AQ213" s="100"/>
      <c r="AR213" s="100"/>
    </row>
    <row r="214" spans="1:44" s="281" customFormat="1" ht="12" customHeight="1">
      <c r="A214" s="100"/>
      <c r="B214" s="100"/>
      <c r="C214" s="100"/>
      <c r="D214" s="100"/>
      <c r="E214" s="100"/>
      <c r="F214" s="100"/>
      <c r="G214" s="100"/>
      <c r="H214" s="100"/>
      <c r="I214" s="100"/>
      <c r="J214" s="100"/>
      <c r="K214" s="100"/>
      <c r="L214" s="100"/>
      <c r="M214" s="100"/>
      <c r="N214" s="100"/>
      <c r="O214" s="100"/>
      <c r="P214" s="684"/>
      <c r="Q214" s="683"/>
      <c r="R214" s="684"/>
      <c r="S214" s="301"/>
      <c r="X214" s="100"/>
      <c r="Y214" s="100"/>
      <c r="Z214" s="1380"/>
      <c r="AA214" s="100"/>
      <c r="AB214" s="100"/>
      <c r="AC214" s="100"/>
      <c r="AD214" s="100"/>
      <c r="AE214" s="100"/>
      <c r="AF214" s="100"/>
      <c r="AG214" s="100"/>
      <c r="AH214" s="100"/>
      <c r="AI214" s="100"/>
      <c r="AJ214" s="100"/>
      <c r="AK214" s="100"/>
      <c r="AL214" s="100"/>
      <c r="AM214" s="100"/>
      <c r="AN214" s="100"/>
      <c r="AO214" s="100"/>
      <c r="AP214" s="100"/>
      <c r="AQ214" s="100"/>
      <c r="AR214" s="100"/>
    </row>
    <row r="215" spans="1:44" s="281" customFormat="1" ht="12" customHeight="1">
      <c r="A215" s="100"/>
      <c r="B215" s="100"/>
      <c r="C215" s="100"/>
      <c r="D215" s="100"/>
      <c r="E215" s="100"/>
      <c r="F215" s="100"/>
      <c r="G215" s="100"/>
      <c r="H215" s="100"/>
      <c r="I215" s="100"/>
      <c r="J215" s="100"/>
      <c r="K215" s="100"/>
      <c r="L215" s="100"/>
      <c r="M215" s="100"/>
      <c r="N215" s="100"/>
      <c r="O215" s="100"/>
      <c r="P215" s="684"/>
      <c r="Q215" s="683"/>
      <c r="R215" s="683"/>
      <c r="X215" s="100"/>
      <c r="Y215" s="100"/>
      <c r="Z215" s="1380"/>
      <c r="AA215" s="100"/>
      <c r="AB215" s="100"/>
      <c r="AC215" s="100"/>
      <c r="AD215" s="100"/>
      <c r="AE215" s="100"/>
      <c r="AF215" s="100"/>
      <c r="AG215" s="100"/>
      <c r="AH215" s="100"/>
      <c r="AI215" s="100"/>
      <c r="AJ215" s="100"/>
      <c r="AK215" s="100"/>
      <c r="AL215" s="100"/>
      <c r="AM215" s="100"/>
      <c r="AN215" s="100"/>
      <c r="AO215" s="100"/>
      <c r="AP215" s="100"/>
      <c r="AQ215" s="100"/>
      <c r="AR215" s="100"/>
    </row>
    <row r="216" spans="1:44" s="281" customFormat="1" ht="12" customHeight="1">
      <c r="A216" s="100"/>
      <c r="B216" s="100"/>
      <c r="C216" s="100"/>
      <c r="D216" s="100"/>
      <c r="E216" s="100"/>
      <c r="F216" s="100"/>
      <c r="G216" s="100"/>
      <c r="H216" s="100"/>
      <c r="I216" s="100"/>
      <c r="J216" s="100"/>
      <c r="K216" s="100"/>
      <c r="L216" s="100"/>
      <c r="M216" s="100"/>
      <c r="N216" s="100"/>
      <c r="O216" s="100"/>
      <c r="P216" s="684"/>
      <c r="Q216" s="683"/>
      <c r="R216" s="683"/>
      <c r="X216" s="100"/>
      <c r="Y216" s="100"/>
      <c r="Z216" s="1380"/>
      <c r="AA216" s="100"/>
      <c r="AB216" s="100"/>
      <c r="AC216" s="100"/>
      <c r="AD216" s="100"/>
      <c r="AE216" s="100"/>
      <c r="AF216" s="100"/>
      <c r="AG216" s="100"/>
      <c r="AH216" s="100"/>
      <c r="AI216" s="100"/>
      <c r="AJ216" s="100"/>
      <c r="AK216" s="100"/>
      <c r="AL216" s="100"/>
      <c r="AM216" s="100"/>
      <c r="AN216" s="100"/>
      <c r="AO216" s="100"/>
      <c r="AP216" s="100"/>
      <c r="AQ216" s="100"/>
      <c r="AR216" s="100"/>
    </row>
    <row r="217" spans="1:44" s="281" customFormat="1" ht="12" customHeight="1">
      <c r="A217" s="100"/>
      <c r="B217" s="100"/>
      <c r="C217" s="100"/>
      <c r="D217" s="100"/>
      <c r="E217" s="100"/>
      <c r="F217" s="100"/>
      <c r="G217" s="100"/>
      <c r="H217" s="100"/>
      <c r="I217" s="100"/>
      <c r="J217" s="100"/>
      <c r="K217" s="100"/>
      <c r="L217" s="100"/>
      <c r="M217" s="100"/>
      <c r="N217" s="100"/>
      <c r="O217" s="100"/>
      <c r="P217" s="684"/>
      <c r="Q217" s="683"/>
      <c r="R217" s="683"/>
      <c r="X217" s="100"/>
      <c r="Y217" s="100"/>
      <c r="Z217" s="1380"/>
      <c r="AA217" s="100"/>
      <c r="AB217" s="100"/>
      <c r="AC217" s="100"/>
      <c r="AD217" s="100"/>
      <c r="AE217" s="100"/>
      <c r="AF217" s="100"/>
      <c r="AG217" s="100"/>
      <c r="AH217" s="100"/>
      <c r="AI217" s="100"/>
      <c r="AJ217" s="100"/>
      <c r="AK217" s="100"/>
      <c r="AL217" s="100"/>
      <c r="AM217" s="100"/>
      <c r="AN217" s="100"/>
      <c r="AO217" s="100"/>
      <c r="AP217" s="100"/>
      <c r="AQ217" s="100"/>
      <c r="AR217" s="100"/>
    </row>
    <row r="218" spans="1:44" s="281" customFormat="1" ht="12" customHeight="1">
      <c r="A218" s="100"/>
      <c r="B218" s="100"/>
      <c r="C218" s="100"/>
      <c r="D218" s="100"/>
      <c r="E218" s="100"/>
      <c r="F218" s="100"/>
      <c r="G218" s="100"/>
      <c r="H218" s="100"/>
      <c r="I218" s="100"/>
      <c r="J218" s="100"/>
      <c r="K218" s="100"/>
      <c r="L218" s="100"/>
      <c r="M218" s="100"/>
      <c r="N218" s="100"/>
      <c r="O218" s="100"/>
      <c r="P218" s="684"/>
      <c r="Q218" s="683"/>
      <c r="R218" s="683"/>
      <c r="X218" s="100"/>
      <c r="Y218" s="100"/>
      <c r="Z218" s="1380"/>
      <c r="AA218" s="100"/>
      <c r="AB218" s="100"/>
      <c r="AC218" s="100"/>
      <c r="AD218" s="100"/>
      <c r="AE218" s="100"/>
      <c r="AF218" s="100"/>
      <c r="AG218" s="100"/>
      <c r="AH218" s="100"/>
      <c r="AI218" s="100"/>
      <c r="AJ218" s="100"/>
      <c r="AK218" s="100"/>
      <c r="AL218" s="100"/>
      <c r="AM218" s="100"/>
      <c r="AN218" s="100"/>
      <c r="AO218" s="100"/>
      <c r="AP218" s="100"/>
      <c r="AQ218" s="100"/>
      <c r="AR218" s="100"/>
    </row>
    <row r="219" spans="1:44" s="281" customFormat="1" ht="12" customHeight="1">
      <c r="A219" s="100"/>
      <c r="B219" s="100"/>
      <c r="C219" s="100"/>
      <c r="D219" s="100"/>
      <c r="E219" s="100"/>
      <c r="F219" s="100"/>
      <c r="G219" s="100"/>
      <c r="H219" s="100"/>
      <c r="I219" s="100"/>
      <c r="J219" s="100"/>
      <c r="K219" s="100"/>
      <c r="L219" s="100"/>
      <c r="M219" s="100"/>
      <c r="N219" s="100"/>
      <c r="O219" s="100"/>
      <c r="P219" s="686"/>
      <c r="Q219" s="683"/>
      <c r="R219" s="683"/>
      <c r="X219" s="100"/>
      <c r="Y219" s="100"/>
      <c r="Z219" s="1380"/>
      <c r="AA219" s="100"/>
      <c r="AB219" s="100"/>
      <c r="AC219" s="100"/>
      <c r="AD219" s="100"/>
      <c r="AE219" s="100"/>
      <c r="AF219" s="100"/>
      <c r="AG219" s="100"/>
      <c r="AH219" s="100"/>
      <c r="AI219" s="100"/>
      <c r="AJ219" s="100"/>
      <c r="AK219" s="100"/>
      <c r="AL219" s="100"/>
      <c r="AM219" s="100"/>
      <c r="AN219" s="100"/>
      <c r="AO219" s="100"/>
      <c r="AP219" s="100"/>
      <c r="AQ219" s="100"/>
      <c r="AR219" s="100"/>
    </row>
    <row r="220" spans="1:44" s="281" customFormat="1" ht="12" customHeight="1">
      <c r="A220" s="100"/>
      <c r="B220" s="100"/>
      <c r="C220" s="100"/>
      <c r="D220" s="100"/>
      <c r="E220" s="100"/>
      <c r="F220" s="100"/>
      <c r="G220" s="100"/>
      <c r="H220" s="100"/>
      <c r="I220" s="100"/>
      <c r="J220" s="100"/>
      <c r="K220" s="100"/>
      <c r="L220" s="100"/>
      <c r="M220" s="100"/>
      <c r="N220" s="100"/>
      <c r="O220" s="100"/>
      <c r="P220" s="684"/>
      <c r="Q220" s="683"/>
      <c r="R220" s="683"/>
      <c r="X220" s="100"/>
      <c r="Y220" s="100"/>
      <c r="Z220" s="1380"/>
      <c r="AA220" s="100"/>
      <c r="AB220" s="100"/>
      <c r="AC220" s="100"/>
      <c r="AD220" s="100"/>
      <c r="AE220" s="100"/>
      <c r="AF220" s="100"/>
      <c r="AG220" s="100"/>
      <c r="AH220" s="100"/>
      <c r="AI220" s="100"/>
      <c r="AJ220" s="100"/>
      <c r="AK220" s="100"/>
      <c r="AL220" s="100"/>
      <c r="AM220" s="100"/>
      <c r="AN220" s="100"/>
      <c r="AO220" s="100"/>
      <c r="AP220" s="100"/>
      <c r="AQ220" s="100"/>
      <c r="AR220" s="100"/>
    </row>
    <row r="221" spans="1:44" s="281" customFormat="1" ht="12" customHeight="1">
      <c r="A221" s="100"/>
      <c r="B221" s="100"/>
      <c r="C221" s="100"/>
      <c r="D221" s="100"/>
      <c r="E221" s="100"/>
      <c r="F221" s="100"/>
      <c r="G221" s="100"/>
      <c r="H221" s="100"/>
      <c r="I221" s="100"/>
      <c r="J221" s="100"/>
      <c r="K221" s="100"/>
      <c r="L221" s="100"/>
      <c r="M221" s="100"/>
      <c r="N221" s="100"/>
      <c r="O221" s="100"/>
      <c r="P221" s="684"/>
      <c r="Q221" s="683"/>
      <c r="R221" s="683"/>
      <c r="X221" s="100"/>
      <c r="Y221" s="100"/>
      <c r="Z221" s="1380"/>
      <c r="AA221" s="100"/>
      <c r="AB221" s="100"/>
      <c r="AC221" s="100"/>
      <c r="AD221" s="100"/>
      <c r="AE221" s="100"/>
      <c r="AF221" s="100"/>
      <c r="AG221" s="100"/>
      <c r="AH221" s="100"/>
      <c r="AI221" s="100"/>
      <c r="AJ221" s="100"/>
      <c r="AK221" s="100"/>
      <c r="AL221" s="100"/>
      <c r="AM221" s="100"/>
      <c r="AN221" s="100"/>
      <c r="AO221" s="100"/>
      <c r="AP221" s="100"/>
      <c r="AQ221" s="100"/>
      <c r="AR221" s="100"/>
    </row>
    <row r="222" spans="1:44" s="281" customFormat="1" ht="12" customHeight="1">
      <c r="A222" s="100"/>
      <c r="B222" s="100"/>
      <c r="C222" s="100"/>
      <c r="D222" s="100"/>
      <c r="E222" s="100"/>
      <c r="F222" s="100"/>
      <c r="G222" s="100"/>
      <c r="H222" s="100"/>
      <c r="I222" s="100"/>
      <c r="J222" s="100"/>
      <c r="K222" s="100"/>
      <c r="L222" s="100"/>
      <c r="M222" s="100"/>
      <c r="N222" s="100"/>
      <c r="O222" s="100"/>
      <c r="P222" s="684"/>
      <c r="Q222" s="683"/>
      <c r="R222" s="683"/>
      <c r="X222" s="100"/>
      <c r="Y222" s="100"/>
      <c r="Z222" s="1380"/>
      <c r="AA222" s="100"/>
      <c r="AB222" s="100"/>
      <c r="AC222" s="100"/>
      <c r="AD222" s="100"/>
      <c r="AE222" s="100"/>
      <c r="AF222" s="100"/>
      <c r="AG222" s="100"/>
      <c r="AH222" s="100"/>
      <c r="AI222" s="100"/>
      <c r="AJ222" s="100"/>
      <c r="AK222" s="100"/>
      <c r="AL222" s="100"/>
      <c r="AM222" s="100"/>
      <c r="AN222" s="100"/>
      <c r="AO222" s="100"/>
      <c r="AP222" s="100"/>
      <c r="AQ222" s="100"/>
      <c r="AR222" s="100"/>
    </row>
    <row r="223" spans="1:44" s="281" customFormat="1" ht="12" customHeight="1">
      <c r="A223" s="100"/>
      <c r="B223" s="100"/>
      <c r="C223" s="100"/>
      <c r="D223" s="100"/>
      <c r="E223" s="100"/>
      <c r="F223" s="100"/>
      <c r="G223" s="100"/>
      <c r="H223" s="100"/>
      <c r="I223" s="100"/>
      <c r="J223" s="100"/>
      <c r="K223" s="100"/>
      <c r="L223" s="100"/>
      <c r="M223" s="100"/>
      <c r="N223" s="100"/>
      <c r="O223" s="100"/>
      <c r="P223" s="684"/>
      <c r="Q223" s="683"/>
      <c r="R223" s="683"/>
      <c r="X223" s="100"/>
      <c r="Y223" s="100"/>
      <c r="Z223" s="1380"/>
      <c r="AA223" s="100"/>
      <c r="AB223" s="100"/>
      <c r="AC223" s="100"/>
      <c r="AD223" s="100"/>
      <c r="AE223" s="100"/>
      <c r="AF223" s="100"/>
      <c r="AG223" s="100"/>
      <c r="AH223" s="100"/>
      <c r="AI223" s="100"/>
      <c r="AJ223" s="100"/>
      <c r="AK223" s="100"/>
      <c r="AL223" s="100"/>
      <c r="AM223" s="100"/>
      <c r="AN223" s="100"/>
      <c r="AO223" s="100"/>
      <c r="AP223" s="100"/>
      <c r="AQ223" s="100"/>
      <c r="AR223" s="100"/>
    </row>
    <row r="224" spans="1:44" s="281" customFormat="1" ht="12" customHeight="1">
      <c r="A224" s="100"/>
      <c r="B224" s="100"/>
      <c r="C224" s="100"/>
      <c r="D224" s="100"/>
      <c r="E224" s="100"/>
      <c r="F224" s="100"/>
      <c r="G224" s="100"/>
      <c r="H224" s="100"/>
      <c r="I224" s="100"/>
      <c r="J224" s="100"/>
      <c r="K224" s="100"/>
      <c r="L224" s="100"/>
      <c r="M224" s="100"/>
      <c r="N224" s="100"/>
      <c r="O224" s="100"/>
      <c r="P224" s="684"/>
      <c r="Q224" s="683"/>
      <c r="R224" s="683"/>
      <c r="X224" s="100"/>
      <c r="Y224" s="100"/>
      <c r="Z224" s="1380"/>
      <c r="AA224" s="100"/>
      <c r="AB224" s="100"/>
      <c r="AC224" s="100"/>
      <c r="AD224" s="100"/>
      <c r="AE224" s="100"/>
      <c r="AF224" s="100"/>
      <c r="AG224" s="100"/>
      <c r="AH224" s="100"/>
      <c r="AI224" s="100"/>
      <c r="AJ224" s="100"/>
      <c r="AK224" s="100"/>
      <c r="AL224" s="100"/>
      <c r="AM224" s="100"/>
      <c r="AN224" s="100"/>
      <c r="AO224" s="100"/>
      <c r="AP224" s="100"/>
      <c r="AQ224" s="100"/>
      <c r="AR224" s="100"/>
    </row>
    <row r="225" spans="1:44" s="281" customFormat="1" ht="12" customHeight="1">
      <c r="A225" s="100"/>
      <c r="B225" s="100"/>
      <c r="C225" s="100"/>
      <c r="D225" s="100"/>
      <c r="E225" s="100"/>
      <c r="F225" s="100"/>
      <c r="G225" s="100"/>
      <c r="H225" s="100"/>
      <c r="I225" s="100"/>
      <c r="J225" s="100"/>
      <c r="K225" s="100"/>
      <c r="L225" s="100"/>
      <c r="M225" s="100"/>
      <c r="N225" s="100"/>
      <c r="O225" s="100"/>
      <c r="P225" s="684"/>
      <c r="Q225" s="683"/>
      <c r="R225" s="683"/>
      <c r="X225" s="100"/>
      <c r="Y225" s="100"/>
      <c r="Z225" s="1380"/>
      <c r="AA225" s="100"/>
      <c r="AB225" s="100"/>
      <c r="AC225" s="100"/>
      <c r="AD225" s="100"/>
      <c r="AE225" s="100"/>
      <c r="AF225" s="100"/>
      <c r="AG225" s="100"/>
      <c r="AH225" s="100"/>
      <c r="AI225" s="100"/>
      <c r="AJ225" s="100"/>
      <c r="AK225" s="100"/>
      <c r="AL225" s="100"/>
      <c r="AM225" s="100"/>
      <c r="AN225" s="100"/>
      <c r="AO225" s="100"/>
      <c r="AP225" s="100"/>
      <c r="AQ225" s="100"/>
      <c r="AR225" s="100"/>
    </row>
    <row r="226" spans="1:44" s="281" customFormat="1" ht="12" customHeight="1">
      <c r="A226" s="100"/>
      <c r="B226" s="100"/>
      <c r="C226" s="100"/>
      <c r="D226" s="100"/>
      <c r="E226" s="100"/>
      <c r="F226" s="100"/>
      <c r="G226" s="100"/>
      <c r="H226" s="100"/>
      <c r="I226" s="100"/>
      <c r="J226" s="100"/>
      <c r="K226" s="100"/>
      <c r="L226" s="100"/>
      <c r="M226" s="100"/>
      <c r="N226" s="100"/>
      <c r="O226" s="100"/>
      <c r="P226" s="684"/>
      <c r="Q226" s="683"/>
      <c r="R226" s="683"/>
      <c r="X226" s="100"/>
      <c r="Y226" s="100"/>
      <c r="Z226" s="1380"/>
      <c r="AA226" s="100"/>
      <c r="AB226" s="100"/>
      <c r="AC226" s="100"/>
      <c r="AD226" s="100"/>
      <c r="AE226" s="100"/>
      <c r="AF226" s="100"/>
      <c r="AG226" s="100"/>
      <c r="AH226" s="100"/>
      <c r="AI226" s="100"/>
      <c r="AJ226" s="100"/>
      <c r="AK226" s="100"/>
      <c r="AL226" s="100"/>
      <c r="AM226" s="100"/>
      <c r="AN226" s="100"/>
      <c r="AO226" s="100"/>
      <c r="AP226" s="100"/>
      <c r="AQ226" s="100"/>
      <c r="AR226" s="100"/>
    </row>
    <row r="227" spans="1:44" s="281" customFormat="1" ht="12" customHeight="1">
      <c r="A227" s="100"/>
      <c r="B227" s="100"/>
      <c r="C227" s="100"/>
      <c r="D227" s="100"/>
      <c r="E227" s="100"/>
      <c r="F227" s="100"/>
      <c r="G227" s="100"/>
      <c r="H227" s="100"/>
      <c r="I227" s="100"/>
      <c r="J227" s="100"/>
      <c r="K227" s="100"/>
      <c r="L227" s="100"/>
      <c r="M227" s="100"/>
      <c r="N227" s="100"/>
      <c r="O227" s="100"/>
      <c r="P227" s="686"/>
      <c r="Q227" s="683"/>
      <c r="R227" s="683"/>
      <c r="X227" s="100"/>
      <c r="Y227" s="100"/>
      <c r="Z227" s="1380"/>
      <c r="AA227" s="100"/>
      <c r="AB227" s="100"/>
      <c r="AC227" s="100"/>
      <c r="AD227" s="100"/>
      <c r="AE227" s="100"/>
      <c r="AF227" s="100"/>
      <c r="AG227" s="100"/>
      <c r="AH227" s="100"/>
      <c r="AI227" s="100"/>
      <c r="AJ227" s="100"/>
      <c r="AK227" s="100"/>
      <c r="AL227" s="100"/>
      <c r="AM227" s="100"/>
      <c r="AN227" s="100"/>
      <c r="AO227" s="100"/>
      <c r="AP227" s="100"/>
      <c r="AQ227" s="100"/>
      <c r="AR227" s="100"/>
    </row>
    <row r="228" spans="1:44" s="281" customFormat="1" ht="12" customHeight="1">
      <c r="A228" s="100"/>
      <c r="B228" s="100"/>
      <c r="C228" s="100"/>
      <c r="D228" s="100"/>
      <c r="E228" s="100"/>
      <c r="F228" s="100"/>
      <c r="G228" s="100"/>
      <c r="H228" s="100"/>
      <c r="I228" s="100"/>
      <c r="J228" s="100"/>
      <c r="K228" s="100"/>
      <c r="L228" s="100"/>
      <c r="M228" s="100"/>
      <c r="N228" s="100"/>
      <c r="O228" s="100"/>
      <c r="P228" s="686"/>
      <c r="Q228" s="683"/>
      <c r="R228" s="683"/>
      <c r="X228" s="100"/>
      <c r="Y228" s="100"/>
      <c r="Z228" s="1380"/>
      <c r="AA228" s="100"/>
      <c r="AB228" s="100"/>
      <c r="AC228" s="100"/>
      <c r="AD228" s="100"/>
      <c r="AE228" s="100"/>
      <c r="AF228" s="100"/>
      <c r="AG228" s="100"/>
      <c r="AH228" s="100"/>
      <c r="AI228" s="100"/>
      <c r="AJ228" s="100"/>
      <c r="AK228" s="100"/>
      <c r="AL228" s="100"/>
      <c r="AM228" s="100"/>
      <c r="AN228" s="100"/>
      <c r="AO228" s="100"/>
      <c r="AP228" s="100"/>
      <c r="AQ228" s="100"/>
      <c r="AR228" s="100"/>
    </row>
    <row r="229" spans="1:44" s="281" customFormat="1" ht="12" customHeight="1">
      <c r="A229" s="100"/>
      <c r="B229" s="100"/>
      <c r="C229" s="100"/>
      <c r="D229" s="100"/>
      <c r="E229" s="100"/>
      <c r="F229" s="100"/>
      <c r="G229" s="100"/>
      <c r="H229" s="100"/>
      <c r="I229" s="100"/>
      <c r="J229" s="100"/>
      <c r="K229" s="100"/>
      <c r="L229" s="100"/>
      <c r="M229" s="100"/>
      <c r="N229" s="100"/>
      <c r="O229" s="100"/>
      <c r="P229" s="684"/>
      <c r="Q229" s="683"/>
      <c r="R229" s="683"/>
      <c r="X229" s="100"/>
      <c r="Y229" s="100"/>
      <c r="Z229" s="1380"/>
      <c r="AA229" s="100"/>
      <c r="AB229" s="100"/>
      <c r="AC229" s="100"/>
      <c r="AD229" s="100"/>
      <c r="AE229" s="100"/>
      <c r="AF229" s="100"/>
      <c r="AG229" s="100"/>
      <c r="AH229" s="100"/>
      <c r="AI229" s="100"/>
      <c r="AJ229" s="100"/>
      <c r="AK229" s="100"/>
      <c r="AL229" s="100"/>
      <c r="AM229" s="100"/>
      <c r="AN229" s="100"/>
      <c r="AO229" s="100"/>
      <c r="AP229" s="100"/>
      <c r="AQ229" s="100"/>
      <c r="AR229" s="100"/>
    </row>
    <row r="230" spans="1:44" s="281" customFormat="1" ht="12" customHeight="1">
      <c r="A230" s="100"/>
      <c r="B230" s="100"/>
      <c r="C230" s="100"/>
      <c r="D230" s="100"/>
      <c r="E230" s="100"/>
      <c r="F230" s="100"/>
      <c r="G230" s="100"/>
      <c r="H230" s="100"/>
      <c r="I230" s="100"/>
      <c r="J230" s="100"/>
      <c r="K230" s="100"/>
      <c r="L230" s="100"/>
      <c r="M230" s="100"/>
      <c r="N230" s="100"/>
      <c r="O230" s="100"/>
      <c r="P230" s="684"/>
      <c r="Q230" s="683"/>
      <c r="R230" s="683"/>
      <c r="X230" s="100"/>
      <c r="Y230" s="100"/>
      <c r="Z230" s="1380"/>
      <c r="AA230" s="100"/>
      <c r="AB230" s="100"/>
      <c r="AC230" s="100"/>
      <c r="AD230" s="100"/>
      <c r="AE230" s="100"/>
      <c r="AF230" s="100"/>
      <c r="AG230" s="100"/>
      <c r="AH230" s="100"/>
      <c r="AI230" s="100"/>
      <c r="AJ230" s="100"/>
      <c r="AK230" s="100"/>
      <c r="AL230" s="100"/>
      <c r="AM230" s="100"/>
      <c r="AN230" s="100"/>
      <c r="AO230" s="100"/>
      <c r="AP230" s="100"/>
      <c r="AQ230" s="100"/>
      <c r="AR230" s="100"/>
    </row>
    <row r="231" spans="1:44" s="281" customFormat="1" ht="12" customHeight="1">
      <c r="A231" s="100"/>
      <c r="B231" s="100"/>
      <c r="C231" s="100"/>
      <c r="D231" s="100"/>
      <c r="E231" s="100"/>
      <c r="F231" s="100"/>
      <c r="G231" s="100"/>
      <c r="H231" s="100"/>
      <c r="I231" s="100"/>
      <c r="J231" s="100"/>
      <c r="K231" s="100"/>
      <c r="L231" s="100"/>
      <c r="M231" s="100"/>
      <c r="N231" s="100"/>
      <c r="O231" s="100"/>
      <c r="P231" s="684"/>
      <c r="Q231" s="683"/>
      <c r="R231" s="683"/>
      <c r="X231" s="100"/>
      <c r="Y231" s="100"/>
      <c r="Z231" s="1380"/>
      <c r="AA231" s="100"/>
      <c r="AB231" s="100"/>
      <c r="AC231" s="100"/>
      <c r="AD231" s="100"/>
      <c r="AE231" s="100"/>
      <c r="AF231" s="100"/>
      <c r="AG231" s="100"/>
      <c r="AH231" s="100"/>
      <c r="AI231" s="100"/>
      <c r="AJ231" s="100"/>
      <c r="AK231" s="100"/>
      <c r="AL231" s="100"/>
      <c r="AM231" s="100"/>
      <c r="AN231" s="100"/>
      <c r="AO231" s="100"/>
      <c r="AP231" s="100"/>
      <c r="AQ231" s="100"/>
      <c r="AR231" s="100"/>
    </row>
    <row r="232" spans="1:44" s="281" customFormat="1" ht="12" customHeight="1">
      <c r="A232" s="100"/>
      <c r="B232" s="100"/>
      <c r="C232" s="100"/>
      <c r="D232" s="100"/>
      <c r="E232" s="100"/>
      <c r="F232" s="100"/>
      <c r="G232" s="100"/>
      <c r="H232" s="100"/>
      <c r="I232" s="100"/>
      <c r="J232" s="100"/>
      <c r="K232" s="100"/>
      <c r="L232" s="100"/>
      <c r="M232" s="100"/>
      <c r="N232" s="100"/>
      <c r="O232" s="100"/>
      <c r="P232" s="684"/>
      <c r="Q232" s="683"/>
      <c r="R232" s="683"/>
      <c r="X232" s="100"/>
      <c r="Y232" s="100"/>
      <c r="Z232" s="1380"/>
      <c r="AA232" s="100"/>
      <c r="AB232" s="100"/>
      <c r="AC232" s="100"/>
      <c r="AD232" s="100"/>
      <c r="AE232" s="100"/>
      <c r="AF232" s="100"/>
      <c r="AG232" s="100"/>
      <c r="AH232" s="100"/>
      <c r="AI232" s="100"/>
      <c r="AJ232" s="100"/>
      <c r="AK232" s="100"/>
      <c r="AL232" s="100"/>
      <c r="AM232" s="100"/>
      <c r="AN232" s="100"/>
      <c r="AO232" s="100"/>
      <c r="AP232" s="100"/>
      <c r="AQ232" s="100"/>
      <c r="AR232" s="100"/>
    </row>
    <row r="233" spans="1:44" s="281" customFormat="1" ht="12" customHeight="1">
      <c r="A233" s="100"/>
      <c r="B233" s="100"/>
      <c r="C233" s="100"/>
      <c r="D233" s="100"/>
      <c r="E233" s="100"/>
      <c r="F233" s="100"/>
      <c r="G233" s="100"/>
      <c r="H233" s="100"/>
      <c r="I233" s="100"/>
      <c r="J233" s="100"/>
      <c r="K233" s="100"/>
      <c r="L233" s="100"/>
      <c r="M233" s="100"/>
      <c r="N233" s="100"/>
      <c r="O233" s="100"/>
      <c r="P233" s="684"/>
      <c r="Q233" s="683"/>
      <c r="R233" s="683"/>
      <c r="X233" s="100"/>
      <c r="Y233" s="100"/>
      <c r="Z233" s="1380"/>
      <c r="AA233" s="100"/>
      <c r="AB233" s="100"/>
      <c r="AC233" s="100"/>
      <c r="AD233" s="100"/>
      <c r="AE233" s="100"/>
      <c r="AF233" s="100"/>
      <c r="AG233" s="100"/>
      <c r="AH233" s="100"/>
      <c r="AI233" s="100"/>
      <c r="AJ233" s="100"/>
      <c r="AK233" s="100"/>
      <c r="AL233" s="100"/>
      <c r="AM233" s="100"/>
      <c r="AN233" s="100"/>
      <c r="AO233" s="100"/>
      <c r="AP233" s="100"/>
      <c r="AQ233" s="100"/>
      <c r="AR233" s="100"/>
    </row>
    <row r="234" spans="1:44" s="281" customFormat="1" ht="12" customHeight="1">
      <c r="A234" s="100"/>
      <c r="B234" s="100"/>
      <c r="C234" s="100"/>
      <c r="D234" s="100"/>
      <c r="E234" s="100"/>
      <c r="F234" s="100"/>
      <c r="G234" s="100"/>
      <c r="H234" s="100"/>
      <c r="I234" s="100"/>
      <c r="J234" s="100"/>
      <c r="K234" s="100"/>
      <c r="L234" s="100"/>
      <c r="M234" s="100"/>
      <c r="N234" s="100"/>
      <c r="O234" s="100"/>
      <c r="P234" s="684"/>
      <c r="Q234" s="683"/>
      <c r="R234" s="683"/>
      <c r="X234" s="100"/>
      <c r="Y234" s="100"/>
      <c r="Z234" s="1380"/>
      <c r="AA234" s="100"/>
      <c r="AB234" s="100"/>
      <c r="AC234" s="100"/>
      <c r="AD234" s="100"/>
      <c r="AE234" s="100"/>
      <c r="AF234" s="100"/>
      <c r="AG234" s="100"/>
      <c r="AH234" s="100"/>
      <c r="AI234" s="100"/>
      <c r="AJ234" s="100"/>
      <c r="AK234" s="100"/>
      <c r="AL234" s="100"/>
      <c r="AM234" s="100"/>
      <c r="AN234" s="100"/>
      <c r="AO234" s="100"/>
      <c r="AP234" s="100"/>
      <c r="AQ234" s="100"/>
      <c r="AR234" s="100"/>
    </row>
    <row r="235" spans="1:44" s="281" customFormat="1" ht="12" customHeight="1">
      <c r="A235" s="100"/>
      <c r="B235" s="100"/>
      <c r="C235" s="100"/>
      <c r="D235" s="100"/>
      <c r="E235" s="100"/>
      <c r="F235" s="100"/>
      <c r="G235" s="100"/>
      <c r="H235" s="100"/>
      <c r="I235" s="100"/>
      <c r="J235" s="100"/>
      <c r="K235" s="100"/>
      <c r="L235" s="100"/>
      <c r="M235" s="100"/>
      <c r="N235" s="100"/>
      <c r="O235" s="100"/>
      <c r="P235" s="684"/>
      <c r="Q235" s="683"/>
      <c r="R235" s="683"/>
      <c r="X235" s="100"/>
      <c r="Y235" s="100"/>
      <c r="Z235" s="1380"/>
      <c r="AA235" s="100"/>
      <c r="AB235" s="100"/>
      <c r="AC235" s="100"/>
      <c r="AD235" s="100"/>
      <c r="AE235" s="100"/>
      <c r="AF235" s="100"/>
      <c r="AG235" s="100"/>
      <c r="AH235" s="100"/>
      <c r="AI235" s="100"/>
      <c r="AJ235" s="100"/>
      <c r="AK235" s="100"/>
      <c r="AL235" s="100"/>
      <c r="AM235" s="100"/>
      <c r="AN235" s="100"/>
      <c r="AO235" s="100"/>
      <c r="AP235" s="100"/>
      <c r="AQ235" s="100"/>
      <c r="AR235" s="100"/>
    </row>
    <row r="236" spans="1:44" s="281" customFormat="1" ht="12" customHeight="1">
      <c r="A236" s="100"/>
      <c r="B236" s="100"/>
      <c r="C236" s="100"/>
      <c r="D236" s="100"/>
      <c r="E236" s="100"/>
      <c r="F236" s="100"/>
      <c r="G236" s="100"/>
      <c r="H236" s="100"/>
      <c r="I236" s="100"/>
      <c r="J236" s="100"/>
      <c r="K236" s="100"/>
      <c r="L236" s="100"/>
      <c r="M236" s="100"/>
      <c r="N236" s="100"/>
      <c r="O236" s="100"/>
      <c r="P236" s="684"/>
      <c r="Q236" s="683"/>
      <c r="R236" s="683"/>
      <c r="X236" s="100"/>
      <c r="Y236" s="100"/>
      <c r="Z236" s="1380"/>
      <c r="AA236" s="100"/>
      <c r="AB236" s="100"/>
      <c r="AC236" s="100"/>
      <c r="AD236" s="100"/>
      <c r="AE236" s="100"/>
      <c r="AF236" s="100"/>
      <c r="AG236" s="100"/>
      <c r="AH236" s="100"/>
      <c r="AI236" s="100"/>
      <c r="AJ236" s="100"/>
      <c r="AK236" s="100"/>
      <c r="AL236" s="100"/>
      <c r="AM236" s="100"/>
      <c r="AN236" s="100"/>
      <c r="AO236" s="100"/>
      <c r="AP236" s="100"/>
      <c r="AQ236" s="100"/>
      <c r="AR236" s="100"/>
    </row>
    <row r="237" spans="1:44" s="281" customFormat="1" ht="12" customHeight="1">
      <c r="A237" s="100"/>
      <c r="B237" s="683"/>
      <c r="C237" s="683"/>
      <c r="D237" s="683"/>
      <c r="E237" s="683"/>
      <c r="F237" s="683"/>
      <c r="G237" s="683"/>
      <c r="H237" s="683"/>
      <c r="I237" s="683"/>
      <c r="J237" s="683"/>
      <c r="K237" s="683"/>
      <c r="L237" s="683"/>
      <c r="M237" s="683"/>
      <c r="N237" s="683"/>
      <c r="O237" s="683"/>
      <c r="P237" s="684"/>
      <c r="Q237" s="683"/>
      <c r="R237" s="683"/>
      <c r="X237" s="100"/>
      <c r="Y237" s="100"/>
      <c r="Z237" s="1380"/>
      <c r="AA237" s="100"/>
      <c r="AB237" s="100"/>
      <c r="AC237" s="100"/>
      <c r="AD237" s="100"/>
      <c r="AE237" s="100"/>
      <c r="AF237" s="100"/>
      <c r="AG237" s="100"/>
      <c r="AH237" s="100"/>
      <c r="AI237" s="100"/>
      <c r="AJ237" s="100"/>
      <c r="AK237" s="100"/>
      <c r="AL237" s="100"/>
      <c r="AM237" s="100"/>
      <c r="AN237" s="100"/>
      <c r="AO237" s="100"/>
      <c r="AP237" s="100"/>
      <c r="AQ237" s="100"/>
      <c r="AR237" s="100"/>
    </row>
    <row r="238" spans="1:44" s="281" customFormat="1" ht="12" customHeight="1">
      <c r="A238" s="100"/>
      <c r="B238" s="683"/>
      <c r="C238" s="683"/>
      <c r="D238" s="683"/>
      <c r="E238" s="683"/>
      <c r="F238" s="683"/>
      <c r="G238" s="683"/>
      <c r="H238" s="683"/>
      <c r="I238" s="683"/>
      <c r="J238" s="683"/>
      <c r="K238" s="683"/>
      <c r="L238" s="683"/>
      <c r="M238" s="683"/>
      <c r="N238" s="683"/>
      <c r="O238" s="683"/>
      <c r="P238" s="684"/>
      <c r="Q238" s="683"/>
      <c r="R238" s="683"/>
      <c r="X238" s="100"/>
      <c r="Y238" s="100"/>
      <c r="Z238" s="1380"/>
      <c r="AA238" s="100"/>
      <c r="AB238" s="100"/>
      <c r="AC238" s="100"/>
      <c r="AD238" s="100"/>
      <c r="AE238" s="100"/>
      <c r="AF238" s="100"/>
      <c r="AG238" s="100"/>
      <c r="AH238" s="100"/>
      <c r="AI238" s="100"/>
      <c r="AJ238" s="100"/>
      <c r="AK238" s="100"/>
      <c r="AL238" s="100"/>
      <c r="AM238" s="100"/>
      <c r="AN238" s="100"/>
      <c r="AO238" s="100"/>
      <c r="AP238" s="100"/>
      <c r="AQ238" s="100"/>
      <c r="AR238" s="100"/>
    </row>
    <row r="239" spans="1:44" s="281" customFormat="1" ht="12" customHeight="1">
      <c r="A239" s="100"/>
      <c r="B239" s="683"/>
      <c r="C239" s="683"/>
      <c r="D239" s="683"/>
      <c r="E239" s="683"/>
      <c r="F239" s="683"/>
      <c r="G239" s="683"/>
      <c r="H239" s="683"/>
      <c r="I239" s="683"/>
      <c r="J239" s="683"/>
      <c r="K239" s="683"/>
      <c r="L239" s="683"/>
      <c r="M239" s="683"/>
      <c r="N239" s="683"/>
      <c r="O239" s="683"/>
      <c r="P239" s="684"/>
      <c r="Q239" s="683"/>
      <c r="R239" s="683"/>
      <c r="X239" s="100"/>
      <c r="Y239" s="100"/>
      <c r="Z239" s="1380"/>
      <c r="AA239" s="100"/>
      <c r="AB239" s="100"/>
      <c r="AC239" s="100"/>
      <c r="AD239" s="100"/>
      <c r="AE239" s="100"/>
      <c r="AF239" s="100"/>
      <c r="AG239" s="100"/>
      <c r="AH239" s="100"/>
      <c r="AI239" s="100"/>
      <c r="AJ239" s="100"/>
      <c r="AK239" s="100"/>
      <c r="AL239" s="100"/>
      <c r="AM239" s="100"/>
      <c r="AN239" s="100"/>
      <c r="AO239" s="100"/>
      <c r="AP239" s="100"/>
      <c r="AQ239" s="100"/>
      <c r="AR239" s="100"/>
    </row>
    <row r="240" spans="1:44" s="281" customFormat="1" ht="12" customHeight="1">
      <c r="A240" s="100"/>
      <c r="B240" s="683"/>
      <c r="C240" s="683"/>
      <c r="D240" s="683"/>
      <c r="E240" s="683"/>
      <c r="F240" s="683"/>
      <c r="G240" s="683"/>
      <c r="H240" s="683"/>
      <c r="I240" s="683"/>
      <c r="J240" s="683"/>
      <c r="K240" s="683"/>
      <c r="L240" s="683"/>
      <c r="M240" s="683"/>
      <c r="N240" s="683"/>
      <c r="O240" s="683"/>
      <c r="P240" s="684"/>
      <c r="Q240" s="683"/>
      <c r="R240" s="683"/>
      <c r="X240" s="100"/>
      <c r="Y240" s="100"/>
      <c r="Z240" s="1380"/>
      <c r="AA240" s="100"/>
      <c r="AB240" s="100"/>
      <c r="AC240" s="100"/>
      <c r="AD240" s="100"/>
      <c r="AE240" s="100"/>
      <c r="AF240" s="100"/>
      <c r="AG240" s="100"/>
      <c r="AH240" s="100"/>
      <c r="AI240" s="100"/>
      <c r="AJ240" s="100"/>
      <c r="AK240" s="100"/>
      <c r="AL240" s="100"/>
      <c r="AM240" s="100"/>
      <c r="AN240" s="100"/>
      <c r="AO240" s="100"/>
      <c r="AP240" s="100"/>
      <c r="AQ240" s="100"/>
      <c r="AR240" s="100"/>
    </row>
    <row r="241" spans="1:44" s="281" customFormat="1" ht="12" customHeight="1">
      <c r="A241" s="100"/>
      <c r="B241" s="683"/>
      <c r="C241" s="683"/>
      <c r="D241" s="683"/>
      <c r="E241" s="683"/>
      <c r="F241" s="683"/>
      <c r="G241" s="683"/>
      <c r="H241" s="683"/>
      <c r="I241" s="683"/>
      <c r="J241" s="683"/>
      <c r="K241" s="683"/>
      <c r="L241" s="683"/>
      <c r="M241" s="683"/>
      <c r="N241" s="683"/>
      <c r="O241" s="683"/>
      <c r="P241" s="684"/>
      <c r="Q241" s="683"/>
      <c r="R241" s="683"/>
      <c r="X241" s="100"/>
      <c r="Y241" s="100"/>
      <c r="Z241" s="1380"/>
      <c r="AA241" s="100"/>
      <c r="AB241" s="100"/>
      <c r="AC241" s="100"/>
      <c r="AD241" s="100"/>
      <c r="AE241" s="100"/>
      <c r="AF241" s="100"/>
      <c r="AG241" s="100"/>
      <c r="AH241" s="100"/>
      <c r="AI241" s="100"/>
      <c r="AJ241" s="100"/>
      <c r="AK241" s="100"/>
      <c r="AL241" s="100"/>
      <c r="AM241" s="100"/>
      <c r="AN241" s="100"/>
      <c r="AO241" s="100"/>
      <c r="AP241" s="100"/>
      <c r="AQ241" s="100"/>
      <c r="AR241" s="100"/>
    </row>
    <row r="242" spans="1:44" s="281" customFormat="1" ht="12" customHeight="1">
      <c r="A242" s="100"/>
      <c r="B242" s="683"/>
      <c r="C242" s="683"/>
      <c r="D242" s="683"/>
      <c r="E242" s="683"/>
      <c r="F242" s="683"/>
      <c r="G242" s="683"/>
      <c r="H242" s="683"/>
      <c r="I242" s="683"/>
      <c r="J242" s="683"/>
      <c r="K242" s="683"/>
      <c r="L242" s="683"/>
      <c r="M242" s="683"/>
      <c r="N242" s="683"/>
      <c r="O242" s="683"/>
      <c r="P242" s="684"/>
      <c r="Q242" s="683"/>
      <c r="R242" s="683"/>
      <c r="X242" s="100"/>
      <c r="Y242" s="100"/>
      <c r="Z242" s="1380"/>
      <c r="AA242" s="100"/>
      <c r="AB242" s="100"/>
      <c r="AC242" s="100"/>
      <c r="AD242" s="100"/>
      <c r="AE242" s="100"/>
      <c r="AF242" s="100"/>
      <c r="AG242" s="100"/>
      <c r="AH242" s="100"/>
      <c r="AI242" s="100"/>
      <c r="AJ242" s="100"/>
      <c r="AK242" s="100"/>
      <c r="AL242" s="100"/>
      <c r="AM242" s="100"/>
      <c r="AN242" s="100"/>
      <c r="AO242" s="100"/>
      <c r="AP242" s="100"/>
      <c r="AQ242" s="100"/>
      <c r="AR242" s="100"/>
    </row>
    <row r="243" spans="1:44" s="281" customFormat="1" ht="12" customHeight="1">
      <c r="A243" s="100"/>
      <c r="B243" s="683"/>
      <c r="C243" s="683"/>
      <c r="D243" s="683"/>
      <c r="E243" s="683"/>
      <c r="F243" s="683"/>
      <c r="G243" s="683"/>
      <c r="H243" s="683"/>
      <c r="I243" s="683"/>
      <c r="J243" s="683"/>
      <c r="K243" s="683"/>
      <c r="L243" s="683"/>
      <c r="M243" s="683"/>
      <c r="N243" s="683"/>
      <c r="O243" s="683"/>
      <c r="P243" s="686"/>
      <c r="Q243" s="683"/>
      <c r="R243" s="683"/>
      <c r="X243" s="100"/>
      <c r="Y243" s="100"/>
      <c r="Z243" s="1380"/>
      <c r="AA243" s="100"/>
      <c r="AB243" s="100"/>
      <c r="AC243" s="100"/>
      <c r="AD243" s="100"/>
      <c r="AE243" s="100"/>
      <c r="AF243" s="100"/>
      <c r="AG243" s="100"/>
      <c r="AH243" s="100"/>
      <c r="AI243" s="100"/>
      <c r="AJ243" s="100"/>
      <c r="AK243" s="100"/>
      <c r="AL243" s="100"/>
      <c r="AM243" s="100"/>
      <c r="AN243" s="100"/>
      <c r="AO243" s="100"/>
      <c r="AP243" s="100"/>
      <c r="AQ243" s="100"/>
      <c r="AR243" s="100"/>
    </row>
    <row r="244" spans="1:44" s="281" customFormat="1" ht="12" customHeight="1">
      <c r="A244" s="100"/>
      <c r="B244" s="683"/>
      <c r="C244" s="683"/>
      <c r="D244" s="683"/>
      <c r="E244" s="683"/>
      <c r="F244" s="683"/>
      <c r="G244" s="683"/>
      <c r="H244" s="683"/>
      <c r="I244" s="683"/>
      <c r="J244" s="683"/>
      <c r="K244" s="683"/>
      <c r="L244" s="683"/>
      <c r="M244" s="683"/>
      <c r="N244" s="683"/>
      <c r="O244" s="683"/>
      <c r="P244" s="686"/>
      <c r="Q244" s="683"/>
      <c r="R244" s="683"/>
      <c r="X244" s="100"/>
      <c r="Y244" s="100"/>
      <c r="Z244" s="1380"/>
      <c r="AA244" s="100"/>
      <c r="AB244" s="100"/>
      <c r="AC244" s="100"/>
      <c r="AD244" s="100"/>
      <c r="AE244" s="100"/>
      <c r="AF244" s="100"/>
      <c r="AG244" s="100"/>
      <c r="AH244" s="100"/>
      <c r="AI244" s="100"/>
      <c r="AJ244" s="100"/>
      <c r="AK244" s="100"/>
      <c r="AL244" s="100"/>
      <c r="AM244" s="100"/>
      <c r="AN244" s="100"/>
      <c r="AO244" s="100"/>
      <c r="AP244" s="100"/>
      <c r="AQ244" s="100"/>
      <c r="AR244" s="100"/>
    </row>
    <row r="245" spans="1:44" s="281" customFormat="1" ht="12" customHeight="1">
      <c r="A245" s="100"/>
      <c r="B245" s="683"/>
      <c r="C245" s="683"/>
      <c r="D245" s="683"/>
      <c r="E245" s="683"/>
      <c r="F245" s="683"/>
      <c r="G245" s="683"/>
      <c r="H245" s="683"/>
      <c r="I245" s="683"/>
      <c r="J245" s="683"/>
      <c r="K245" s="683"/>
      <c r="L245" s="683"/>
      <c r="M245" s="683"/>
      <c r="N245" s="683"/>
      <c r="O245" s="683"/>
      <c r="P245" s="686"/>
      <c r="Q245" s="683"/>
      <c r="R245" s="683"/>
      <c r="X245" s="100"/>
      <c r="Y245" s="100"/>
      <c r="Z245" s="1380"/>
      <c r="AA245" s="100"/>
      <c r="AB245" s="100"/>
      <c r="AC245" s="100"/>
      <c r="AD245" s="100"/>
      <c r="AE245" s="100"/>
      <c r="AF245" s="100"/>
      <c r="AG245" s="100"/>
      <c r="AH245" s="100"/>
      <c r="AI245" s="100"/>
      <c r="AJ245" s="100"/>
      <c r="AK245" s="100"/>
      <c r="AL245" s="100"/>
      <c r="AM245" s="100"/>
      <c r="AN245" s="100"/>
      <c r="AO245" s="100"/>
      <c r="AP245" s="100"/>
      <c r="AQ245" s="100"/>
      <c r="AR245" s="100"/>
    </row>
    <row r="246" spans="1:44" s="281" customFormat="1" ht="12" customHeight="1">
      <c r="A246" s="100"/>
      <c r="B246" s="683"/>
      <c r="C246" s="683"/>
      <c r="D246" s="683"/>
      <c r="E246" s="683"/>
      <c r="F246" s="683"/>
      <c r="G246" s="683"/>
      <c r="H246" s="683"/>
      <c r="I246" s="683"/>
      <c r="J246" s="683"/>
      <c r="K246" s="683"/>
      <c r="L246" s="683"/>
      <c r="M246" s="683"/>
      <c r="N246" s="683"/>
      <c r="O246" s="683"/>
      <c r="P246" s="684"/>
      <c r="Q246" s="683"/>
      <c r="R246" s="683"/>
      <c r="X246" s="100"/>
      <c r="Y246" s="100"/>
      <c r="Z246" s="1380"/>
      <c r="AA246" s="100"/>
      <c r="AB246" s="100"/>
      <c r="AC246" s="100"/>
      <c r="AD246" s="100"/>
      <c r="AE246" s="100"/>
      <c r="AF246" s="100"/>
      <c r="AG246" s="100"/>
      <c r="AH246" s="100"/>
      <c r="AI246" s="100"/>
      <c r="AJ246" s="100"/>
      <c r="AK246" s="100"/>
      <c r="AL246" s="100"/>
      <c r="AM246" s="100"/>
      <c r="AN246" s="100"/>
      <c r="AO246" s="100"/>
      <c r="AP246" s="100"/>
      <c r="AQ246" s="100"/>
      <c r="AR246" s="100"/>
    </row>
    <row r="247" spans="1:44" s="281" customFormat="1" ht="12" customHeight="1">
      <c r="A247" s="100"/>
      <c r="B247" s="683"/>
      <c r="C247" s="683"/>
      <c r="D247" s="683"/>
      <c r="E247" s="683"/>
      <c r="F247" s="683"/>
      <c r="G247" s="683"/>
      <c r="H247" s="683"/>
      <c r="I247" s="683"/>
      <c r="J247" s="683"/>
      <c r="K247" s="683"/>
      <c r="L247" s="683"/>
      <c r="M247" s="683"/>
      <c r="N247" s="683"/>
      <c r="O247" s="683"/>
      <c r="P247" s="684"/>
      <c r="Q247" s="683"/>
      <c r="R247" s="683"/>
      <c r="X247" s="100"/>
      <c r="Y247" s="100"/>
      <c r="Z247" s="1380"/>
      <c r="AA247" s="100"/>
      <c r="AB247" s="100"/>
      <c r="AC247" s="100"/>
      <c r="AD247" s="100"/>
      <c r="AE247" s="100"/>
      <c r="AF247" s="100"/>
      <c r="AG247" s="100"/>
      <c r="AH247" s="100"/>
      <c r="AI247" s="100"/>
      <c r="AJ247" s="100"/>
      <c r="AK247" s="100"/>
      <c r="AL247" s="100"/>
      <c r="AM247" s="100"/>
      <c r="AN247" s="100"/>
      <c r="AO247" s="100"/>
      <c r="AP247" s="100"/>
      <c r="AQ247" s="100"/>
      <c r="AR247" s="100"/>
    </row>
    <row r="248" spans="1:44" s="281" customFormat="1" ht="12" customHeight="1">
      <c r="A248" s="100"/>
      <c r="B248" s="683"/>
      <c r="C248" s="683"/>
      <c r="D248" s="683"/>
      <c r="E248" s="683"/>
      <c r="F248" s="683"/>
      <c r="G248" s="683"/>
      <c r="H248" s="683"/>
      <c r="I248" s="683"/>
      <c r="J248" s="683"/>
      <c r="K248" s="683"/>
      <c r="L248" s="683"/>
      <c r="M248" s="683"/>
      <c r="N248" s="683"/>
      <c r="O248" s="683"/>
      <c r="P248" s="686"/>
      <c r="Q248" s="683"/>
      <c r="R248" s="683"/>
      <c r="X248" s="100"/>
      <c r="Y248" s="100"/>
      <c r="Z248" s="1380"/>
      <c r="AA248" s="100"/>
      <c r="AB248" s="100"/>
      <c r="AC248" s="100"/>
      <c r="AD248" s="100"/>
      <c r="AE248" s="100"/>
      <c r="AF248" s="100"/>
      <c r="AG248" s="100"/>
      <c r="AH248" s="100"/>
      <c r="AI248" s="100"/>
      <c r="AJ248" s="100"/>
      <c r="AK248" s="100"/>
      <c r="AL248" s="100"/>
      <c r="AM248" s="100"/>
      <c r="AN248" s="100"/>
      <c r="AO248" s="100"/>
      <c r="AP248" s="100"/>
      <c r="AQ248" s="100"/>
      <c r="AR248" s="100"/>
    </row>
    <row r="249" spans="1:44" s="281" customFormat="1" ht="12" customHeight="1">
      <c r="A249" s="100"/>
      <c r="B249" s="683"/>
      <c r="C249" s="683"/>
      <c r="D249" s="683"/>
      <c r="E249" s="683"/>
      <c r="F249" s="683"/>
      <c r="G249" s="683"/>
      <c r="H249" s="683"/>
      <c r="I249" s="683"/>
      <c r="J249" s="683"/>
      <c r="K249" s="683"/>
      <c r="L249" s="683"/>
      <c r="M249" s="683"/>
      <c r="N249" s="683"/>
      <c r="O249" s="683"/>
      <c r="P249" s="684"/>
      <c r="Q249" s="683"/>
      <c r="R249" s="683"/>
      <c r="X249" s="100"/>
      <c r="Y249" s="100"/>
      <c r="Z249" s="1380"/>
      <c r="AA249" s="100"/>
      <c r="AB249" s="100"/>
      <c r="AC249" s="100"/>
      <c r="AD249" s="100"/>
      <c r="AE249" s="100"/>
      <c r="AF249" s="100"/>
      <c r="AG249" s="100"/>
      <c r="AH249" s="100"/>
      <c r="AI249" s="100"/>
      <c r="AJ249" s="100"/>
      <c r="AK249" s="100"/>
      <c r="AL249" s="100"/>
      <c r="AM249" s="100"/>
      <c r="AN249" s="100"/>
      <c r="AO249" s="100"/>
      <c r="AP249" s="100"/>
      <c r="AQ249" s="100"/>
      <c r="AR249" s="100"/>
    </row>
    <row r="250" spans="1:44" s="281" customFormat="1" ht="12" customHeight="1">
      <c r="A250" s="100"/>
      <c r="B250" s="683"/>
      <c r="C250" s="683"/>
      <c r="D250" s="683"/>
      <c r="E250" s="683"/>
      <c r="F250" s="683"/>
      <c r="G250" s="683"/>
      <c r="H250" s="683"/>
      <c r="I250" s="683"/>
      <c r="J250" s="683"/>
      <c r="K250" s="683"/>
      <c r="L250" s="683"/>
      <c r="M250" s="683"/>
      <c r="N250" s="683"/>
      <c r="O250" s="683"/>
      <c r="P250" s="684"/>
      <c r="Q250" s="683"/>
      <c r="R250" s="683"/>
      <c r="X250" s="100"/>
      <c r="Y250" s="100"/>
      <c r="Z250" s="1380"/>
      <c r="AA250" s="100"/>
      <c r="AB250" s="100"/>
      <c r="AC250" s="100"/>
      <c r="AD250" s="100"/>
      <c r="AE250" s="100"/>
      <c r="AF250" s="100"/>
      <c r="AG250" s="100"/>
      <c r="AH250" s="100"/>
      <c r="AI250" s="100"/>
      <c r="AJ250" s="100"/>
      <c r="AK250" s="100"/>
      <c r="AL250" s="100"/>
      <c r="AM250" s="100"/>
      <c r="AN250" s="100"/>
      <c r="AO250" s="100"/>
      <c r="AP250" s="100"/>
      <c r="AQ250" s="100"/>
      <c r="AR250" s="100"/>
    </row>
    <row r="251" spans="1:44" s="281" customFormat="1" ht="12" customHeight="1">
      <c r="A251" s="100"/>
      <c r="B251" s="683"/>
      <c r="C251" s="683"/>
      <c r="D251" s="683"/>
      <c r="E251" s="683"/>
      <c r="F251" s="683"/>
      <c r="G251" s="683"/>
      <c r="H251" s="683"/>
      <c r="I251" s="683"/>
      <c r="J251" s="683"/>
      <c r="K251" s="683"/>
      <c r="L251" s="683"/>
      <c r="M251" s="683"/>
      <c r="N251" s="683"/>
      <c r="O251" s="683"/>
      <c r="P251" s="684"/>
      <c r="Q251" s="683"/>
      <c r="R251" s="683"/>
      <c r="X251" s="100"/>
      <c r="Y251" s="100"/>
      <c r="Z251" s="1380"/>
      <c r="AA251" s="100"/>
      <c r="AB251" s="100"/>
      <c r="AC251" s="100"/>
      <c r="AD251" s="100"/>
      <c r="AE251" s="100"/>
      <c r="AF251" s="100"/>
      <c r="AG251" s="100"/>
      <c r="AH251" s="100"/>
      <c r="AI251" s="100"/>
      <c r="AJ251" s="100"/>
      <c r="AK251" s="100"/>
      <c r="AL251" s="100"/>
      <c r="AM251" s="100"/>
      <c r="AN251" s="100"/>
      <c r="AO251" s="100"/>
      <c r="AP251" s="100"/>
      <c r="AQ251" s="100"/>
      <c r="AR251" s="100"/>
    </row>
    <row r="252" spans="1:44" s="281" customFormat="1" ht="12" customHeight="1">
      <c r="A252" s="100"/>
      <c r="B252" s="683"/>
      <c r="C252" s="683"/>
      <c r="D252" s="683"/>
      <c r="E252" s="683"/>
      <c r="F252" s="683"/>
      <c r="G252" s="683"/>
      <c r="H252" s="683"/>
      <c r="I252" s="683"/>
      <c r="J252" s="683"/>
      <c r="K252" s="683"/>
      <c r="L252" s="683"/>
      <c r="M252" s="683"/>
      <c r="N252" s="683"/>
      <c r="O252" s="683"/>
      <c r="P252" s="684"/>
      <c r="Q252" s="683"/>
      <c r="R252" s="683"/>
      <c r="X252" s="100"/>
      <c r="Y252" s="100"/>
      <c r="Z252" s="1380"/>
      <c r="AA252" s="100"/>
      <c r="AB252" s="100"/>
      <c r="AC252" s="100"/>
      <c r="AD252" s="100"/>
      <c r="AE252" s="100"/>
      <c r="AF252" s="100"/>
      <c r="AG252" s="100"/>
      <c r="AH252" s="100"/>
      <c r="AI252" s="100"/>
      <c r="AJ252" s="100"/>
      <c r="AK252" s="100"/>
      <c r="AL252" s="100"/>
      <c r="AM252" s="100"/>
      <c r="AN252" s="100"/>
      <c r="AO252" s="100"/>
      <c r="AP252" s="100"/>
      <c r="AQ252" s="100"/>
      <c r="AR252" s="100"/>
    </row>
    <row r="253" spans="1:44" s="281" customFormat="1" ht="12" customHeight="1">
      <c r="A253" s="100"/>
      <c r="B253" s="683"/>
      <c r="C253" s="683"/>
      <c r="D253" s="683"/>
      <c r="E253" s="683"/>
      <c r="F253" s="683"/>
      <c r="G253" s="683"/>
      <c r="H253" s="683"/>
      <c r="I253" s="683"/>
      <c r="J253" s="683"/>
      <c r="K253" s="683"/>
      <c r="L253" s="683"/>
      <c r="M253" s="683"/>
      <c r="N253" s="683"/>
      <c r="O253" s="683"/>
      <c r="P253" s="684"/>
      <c r="Q253" s="683"/>
      <c r="R253" s="683"/>
      <c r="X253" s="100"/>
      <c r="Y253" s="100"/>
      <c r="Z253" s="1380"/>
      <c r="AA253" s="100"/>
      <c r="AB253" s="100"/>
      <c r="AC253" s="100"/>
      <c r="AD253" s="100"/>
      <c r="AE253" s="100"/>
      <c r="AF253" s="100"/>
      <c r="AG253" s="100"/>
      <c r="AH253" s="100"/>
      <c r="AI253" s="100"/>
      <c r="AJ253" s="100"/>
      <c r="AK253" s="100"/>
      <c r="AL253" s="100"/>
      <c r="AM253" s="100"/>
      <c r="AN253" s="100"/>
      <c r="AO253" s="100"/>
      <c r="AP253" s="100"/>
      <c r="AQ253" s="100"/>
      <c r="AR253" s="100"/>
    </row>
    <row r="254" spans="1:44" s="281" customFormat="1" ht="12" customHeight="1">
      <c r="A254" s="100"/>
      <c r="B254" s="683"/>
      <c r="C254" s="683"/>
      <c r="D254" s="683"/>
      <c r="E254" s="683"/>
      <c r="F254" s="683"/>
      <c r="G254" s="683"/>
      <c r="H254" s="683"/>
      <c r="I254" s="683"/>
      <c r="J254" s="683"/>
      <c r="K254" s="683"/>
      <c r="L254" s="683"/>
      <c r="M254" s="683"/>
      <c r="N254" s="683"/>
      <c r="O254" s="683"/>
      <c r="P254" s="684"/>
      <c r="Q254" s="683"/>
      <c r="R254" s="683"/>
      <c r="X254" s="100"/>
      <c r="Y254" s="100"/>
      <c r="Z254" s="1380"/>
      <c r="AA254" s="100"/>
      <c r="AB254" s="100"/>
      <c r="AC254" s="100"/>
      <c r="AD254" s="100"/>
      <c r="AE254" s="100"/>
      <c r="AF254" s="100"/>
      <c r="AG254" s="100"/>
      <c r="AH254" s="100"/>
      <c r="AI254" s="100"/>
      <c r="AJ254" s="100"/>
      <c r="AK254" s="100"/>
      <c r="AL254" s="100"/>
      <c r="AM254" s="100"/>
      <c r="AN254" s="100"/>
      <c r="AO254" s="100"/>
      <c r="AP254" s="100"/>
      <c r="AQ254" s="100"/>
      <c r="AR254" s="100"/>
    </row>
    <row r="255" spans="1:44" s="281" customFormat="1" ht="12" customHeight="1">
      <c r="A255" s="100"/>
      <c r="B255" s="683"/>
      <c r="C255" s="683"/>
      <c r="D255" s="683"/>
      <c r="E255" s="683"/>
      <c r="F255" s="683"/>
      <c r="G255" s="683"/>
      <c r="H255" s="683"/>
      <c r="I255" s="683"/>
      <c r="J255" s="683"/>
      <c r="K255" s="683"/>
      <c r="L255" s="683"/>
      <c r="M255" s="683"/>
      <c r="N255" s="683"/>
      <c r="O255" s="683"/>
      <c r="P255" s="684"/>
      <c r="Q255" s="683"/>
      <c r="R255" s="683"/>
      <c r="X255" s="100"/>
      <c r="Y255" s="100"/>
      <c r="Z255" s="1380"/>
      <c r="AA255" s="100"/>
      <c r="AB255" s="100"/>
      <c r="AC255" s="100"/>
      <c r="AD255" s="100"/>
      <c r="AE255" s="100"/>
      <c r="AF255" s="100"/>
      <c r="AG255" s="100"/>
      <c r="AH255" s="100"/>
      <c r="AI255" s="100"/>
      <c r="AJ255" s="100"/>
      <c r="AK255" s="100"/>
      <c r="AL255" s="100"/>
      <c r="AM255" s="100"/>
      <c r="AN255" s="100"/>
      <c r="AO255" s="100"/>
      <c r="AP255" s="100"/>
      <c r="AQ255" s="100"/>
      <c r="AR255" s="100"/>
    </row>
    <row r="256" spans="1:44" s="281" customFormat="1" ht="12" customHeight="1">
      <c r="A256" s="100"/>
      <c r="B256" s="683"/>
      <c r="C256" s="683"/>
      <c r="D256" s="683"/>
      <c r="E256" s="683"/>
      <c r="F256" s="683"/>
      <c r="G256" s="683"/>
      <c r="H256" s="683"/>
      <c r="I256" s="683"/>
      <c r="J256" s="683"/>
      <c r="K256" s="683"/>
      <c r="L256" s="683"/>
      <c r="M256" s="683"/>
      <c r="N256" s="683"/>
      <c r="O256" s="683"/>
      <c r="P256" s="684"/>
      <c r="Q256" s="683"/>
      <c r="R256" s="683"/>
      <c r="X256" s="100"/>
      <c r="Y256" s="100"/>
      <c r="Z256" s="1380"/>
      <c r="AA256" s="100"/>
      <c r="AB256" s="100"/>
      <c r="AC256" s="100"/>
      <c r="AD256" s="100"/>
      <c r="AE256" s="100"/>
      <c r="AF256" s="100"/>
      <c r="AG256" s="100"/>
      <c r="AH256" s="100"/>
      <c r="AI256" s="100"/>
      <c r="AJ256" s="100"/>
      <c r="AK256" s="100"/>
      <c r="AL256" s="100"/>
      <c r="AM256" s="100"/>
      <c r="AN256" s="100"/>
      <c r="AO256" s="100"/>
      <c r="AP256" s="100"/>
      <c r="AQ256" s="100"/>
      <c r="AR256" s="100"/>
    </row>
    <row r="257" spans="1:44" s="281" customFormat="1" ht="12" customHeight="1">
      <c r="A257" s="100"/>
      <c r="B257" s="683"/>
      <c r="C257" s="683"/>
      <c r="D257" s="683"/>
      <c r="E257" s="683"/>
      <c r="F257" s="683"/>
      <c r="G257" s="683"/>
      <c r="H257" s="683"/>
      <c r="I257" s="683"/>
      <c r="J257" s="683"/>
      <c r="K257" s="683"/>
      <c r="L257" s="683"/>
      <c r="M257" s="683"/>
      <c r="N257" s="683"/>
      <c r="O257" s="683"/>
      <c r="P257" s="684"/>
      <c r="Q257" s="683"/>
      <c r="R257" s="683"/>
      <c r="X257" s="100"/>
      <c r="Y257" s="100"/>
      <c r="Z257" s="1380"/>
      <c r="AA257" s="100"/>
      <c r="AB257" s="100"/>
      <c r="AC257" s="100"/>
      <c r="AD257" s="100"/>
      <c r="AE257" s="100"/>
      <c r="AF257" s="100"/>
      <c r="AG257" s="100"/>
      <c r="AH257" s="100"/>
      <c r="AI257" s="100"/>
      <c r="AJ257" s="100"/>
      <c r="AK257" s="100"/>
      <c r="AL257" s="100"/>
      <c r="AM257" s="100"/>
      <c r="AN257" s="100"/>
      <c r="AO257" s="100"/>
      <c r="AP257" s="100"/>
      <c r="AQ257" s="100"/>
      <c r="AR257" s="100"/>
    </row>
    <row r="258" spans="1:44" s="281" customFormat="1" ht="12" customHeight="1">
      <c r="A258" s="100"/>
      <c r="B258" s="683"/>
      <c r="C258" s="683"/>
      <c r="D258" s="683"/>
      <c r="E258" s="683"/>
      <c r="F258" s="683"/>
      <c r="G258" s="683"/>
      <c r="H258" s="683"/>
      <c r="I258" s="683"/>
      <c r="J258" s="683"/>
      <c r="K258" s="683"/>
      <c r="L258" s="683"/>
      <c r="M258" s="683"/>
      <c r="N258" s="683"/>
      <c r="O258" s="683"/>
      <c r="P258" s="684"/>
      <c r="Q258" s="683"/>
      <c r="R258" s="683"/>
      <c r="X258" s="100"/>
      <c r="Y258" s="100"/>
      <c r="Z258" s="1380"/>
      <c r="AA258" s="100"/>
      <c r="AB258" s="100"/>
      <c r="AC258" s="100"/>
      <c r="AD258" s="100"/>
      <c r="AE258" s="100"/>
      <c r="AF258" s="100"/>
      <c r="AG258" s="100"/>
      <c r="AH258" s="100"/>
      <c r="AI258" s="100"/>
      <c r="AJ258" s="100"/>
      <c r="AK258" s="100"/>
      <c r="AL258" s="100"/>
      <c r="AM258" s="100"/>
      <c r="AN258" s="100"/>
      <c r="AO258" s="100"/>
      <c r="AP258" s="100"/>
      <c r="AQ258" s="100"/>
      <c r="AR258" s="100"/>
    </row>
    <row r="259" spans="1:44" s="281" customFormat="1" ht="12" customHeight="1">
      <c r="A259" s="100"/>
      <c r="B259" s="683"/>
      <c r="C259" s="683"/>
      <c r="D259" s="683"/>
      <c r="E259" s="683"/>
      <c r="F259" s="683"/>
      <c r="G259" s="683"/>
      <c r="H259" s="683"/>
      <c r="I259" s="683"/>
      <c r="J259" s="683"/>
      <c r="K259" s="683"/>
      <c r="L259" s="683"/>
      <c r="M259" s="683"/>
      <c r="N259" s="683"/>
      <c r="O259" s="683"/>
      <c r="P259" s="684"/>
      <c r="Q259" s="683"/>
      <c r="R259" s="683"/>
      <c r="X259" s="100"/>
      <c r="Y259" s="100"/>
      <c r="Z259" s="1380"/>
      <c r="AA259" s="100"/>
      <c r="AB259" s="100"/>
      <c r="AC259" s="100"/>
      <c r="AD259" s="100"/>
      <c r="AE259" s="100"/>
      <c r="AF259" s="100"/>
      <c r="AG259" s="100"/>
      <c r="AH259" s="100"/>
      <c r="AI259" s="100"/>
      <c r="AJ259" s="100"/>
      <c r="AK259" s="100"/>
      <c r="AL259" s="100"/>
      <c r="AM259" s="100"/>
      <c r="AN259" s="100"/>
      <c r="AO259" s="100"/>
      <c r="AP259" s="100"/>
      <c r="AQ259" s="100"/>
      <c r="AR259" s="100"/>
    </row>
    <row r="260" spans="1:44" s="281" customFormat="1" ht="12" customHeight="1">
      <c r="A260" s="100"/>
      <c r="B260" s="683"/>
      <c r="C260" s="683"/>
      <c r="D260" s="683"/>
      <c r="E260" s="683"/>
      <c r="F260" s="683"/>
      <c r="G260" s="683"/>
      <c r="H260" s="683"/>
      <c r="I260" s="683"/>
      <c r="J260" s="683"/>
      <c r="K260" s="683"/>
      <c r="L260" s="683"/>
      <c r="M260" s="683"/>
      <c r="N260" s="683"/>
      <c r="O260" s="683"/>
      <c r="P260" s="686"/>
      <c r="Q260" s="683"/>
      <c r="R260" s="683"/>
      <c r="X260" s="100"/>
      <c r="Y260" s="100"/>
      <c r="Z260" s="1380"/>
      <c r="AA260" s="100"/>
      <c r="AB260" s="100"/>
      <c r="AC260" s="100"/>
      <c r="AD260" s="100"/>
      <c r="AE260" s="100"/>
      <c r="AF260" s="100"/>
      <c r="AG260" s="100"/>
      <c r="AH260" s="100"/>
      <c r="AI260" s="100"/>
      <c r="AJ260" s="100"/>
      <c r="AK260" s="100"/>
      <c r="AL260" s="100"/>
      <c r="AM260" s="100"/>
      <c r="AN260" s="100"/>
      <c r="AO260" s="100"/>
      <c r="AP260" s="100"/>
      <c r="AQ260" s="100"/>
      <c r="AR260" s="100"/>
    </row>
    <row r="261" spans="1:44" s="281" customFormat="1" ht="12" customHeight="1">
      <c r="A261" s="100"/>
      <c r="B261" s="683"/>
      <c r="C261" s="683"/>
      <c r="D261" s="683"/>
      <c r="E261" s="683"/>
      <c r="F261" s="683"/>
      <c r="G261" s="683"/>
      <c r="H261" s="683"/>
      <c r="I261" s="683"/>
      <c r="J261" s="683"/>
      <c r="K261" s="683"/>
      <c r="L261" s="683"/>
      <c r="M261" s="683"/>
      <c r="N261" s="683"/>
      <c r="O261" s="683"/>
      <c r="P261" s="684"/>
      <c r="Q261" s="683"/>
      <c r="R261" s="683"/>
      <c r="X261" s="100"/>
      <c r="Y261" s="100"/>
      <c r="Z261" s="1380"/>
      <c r="AA261" s="100"/>
      <c r="AB261" s="100"/>
      <c r="AC261" s="100"/>
      <c r="AD261" s="100"/>
      <c r="AE261" s="100"/>
      <c r="AF261" s="100"/>
      <c r="AG261" s="100"/>
      <c r="AH261" s="100"/>
      <c r="AI261" s="100"/>
      <c r="AJ261" s="100"/>
      <c r="AK261" s="100"/>
      <c r="AL261" s="100"/>
      <c r="AM261" s="100"/>
      <c r="AN261" s="100"/>
      <c r="AO261" s="100"/>
      <c r="AP261" s="100"/>
      <c r="AQ261" s="100"/>
      <c r="AR261" s="100"/>
    </row>
    <row r="262" spans="1:44" s="281" customFormat="1" ht="12" customHeight="1">
      <c r="A262" s="100"/>
      <c r="B262" s="683"/>
      <c r="C262" s="683"/>
      <c r="D262" s="683"/>
      <c r="E262" s="683"/>
      <c r="F262" s="683"/>
      <c r="G262" s="683"/>
      <c r="H262" s="683"/>
      <c r="I262" s="683"/>
      <c r="J262" s="683"/>
      <c r="K262" s="683"/>
      <c r="L262" s="683"/>
      <c r="M262" s="683"/>
      <c r="N262" s="683"/>
      <c r="O262" s="683"/>
      <c r="P262" s="684"/>
      <c r="Q262" s="683"/>
      <c r="R262" s="683"/>
      <c r="X262" s="100"/>
      <c r="Y262" s="100"/>
      <c r="Z262" s="1380"/>
      <c r="AA262" s="100"/>
      <c r="AB262" s="100"/>
      <c r="AC262" s="100"/>
      <c r="AD262" s="100"/>
      <c r="AE262" s="100"/>
      <c r="AF262" s="100"/>
      <c r="AG262" s="100"/>
      <c r="AH262" s="100"/>
      <c r="AI262" s="100"/>
      <c r="AJ262" s="100"/>
      <c r="AK262" s="100"/>
      <c r="AL262" s="100"/>
      <c r="AM262" s="100"/>
      <c r="AN262" s="100"/>
      <c r="AO262" s="100"/>
      <c r="AP262" s="100"/>
      <c r="AQ262" s="100"/>
      <c r="AR262" s="100"/>
    </row>
    <row r="263" spans="1:44" s="281" customFormat="1" ht="12" customHeight="1">
      <c r="A263" s="100"/>
      <c r="B263" s="683"/>
      <c r="C263" s="683"/>
      <c r="D263" s="683"/>
      <c r="E263" s="683"/>
      <c r="F263" s="683"/>
      <c r="G263" s="683"/>
      <c r="H263" s="683"/>
      <c r="I263" s="683"/>
      <c r="J263" s="683"/>
      <c r="K263" s="683"/>
      <c r="L263" s="683"/>
      <c r="M263" s="683"/>
      <c r="N263" s="683"/>
      <c r="O263" s="683"/>
      <c r="P263" s="684"/>
      <c r="Q263" s="683"/>
      <c r="R263" s="683"/>
      <c r="X263" s="100"/>
      <c r="Y263" s="100"/>
      <c r="Z263" s="1380"/>
      <c r="AA263" s="100"/>
      <c r="AB263" s="100"/>
      <c r="AC263" s="100"/>
      <c r="AD263" s="100"/>
      <c r="AE263" s="100"/>
      <c r="AF263" s="100"/>
      <c r="AG263" s="100"/>
      <c r="AH263" s="100"/>
      <c r="AI263" s="100"/>
      <c r="AJ263" s="100"/>
      <c r="AK263" s="100"/>
      <c r="AL263" s="100"/>
      <c r="AM263" s="100"/>
      <c r="AN263" s="100"/>
      <c r="AO263" s="100"/>
      <c r="AP263" s="100"/>
      <c r="AQ263" s="100"/>
      <c r="AR263" s="100"/>
    </row>
    <row r="264" spans="1:44" s="281" customFormat="1" ht="12" customHeight="1">
      <c r="A264" s="100"/>
      <c r="B264" s="683"/>
      <c r="C264" s="683"/>
      <c r="D264" s="683"/>
      <c r="E264" s="683"/>
      <c r="F264" s="683"/>
      <c r="G264" s="683"/>
      <c r="H264" s="683"/>
      <c r="I264" s="683"/>
      <c r="J264" s="683"/>
      <c r="K264" s="683"/>
      <c r="L264" s="683"/>
      <c r="M264" s="683"/>
      <c r="N264" s="683"/>
      <c r="O264" s="683"/>
      <c r="P264" s="684"/>
      <c r="Q264" s="683"/>
      <c r="R264" s="683"/>
      <c r="X264" s="100"/>
      <c r="Y264" s="100"/>
      <c r="Z264" s="1380"/>
      <c r="AA264" s="100"/>
      <c r="AB264" s="100"/>
      <c r="AC264" s="100"/>
      <c r="AD264" s="100"/>
      <c r="AE264" s="100"/>
      <c r="AF264" s="100"/>
      <c r="AG264" s="100"/>
      <c r="AH264" s="100"/>
      <c r="AI264" s="100"/>
      <c r="AJ264" s="100"/>
      <c r="AK264" s="100"/>
      <c r="AL264" s="100"/>
      <c r="AM264" s="100"/>
      <c r="AN264" s="100"/>
      <c r="AO264" s="100"/>
      <c r="AP264" s="100"/>
      <c r="AQ264" s="100"/>
      <c r="AR264" s="100"/>
    </row>
    <row r="265" spans="1:44" s="281" customFormat="1" ht="12" customHeight="1">
      <c r="A265" s="100"/>
      <c r="B265" s="683"/>
      <c r="C265" s="683"/>
      <c r="D265" s="683"/>
      <c r="E265" s="683"/>
      <c r="F265" s="683"/>
      <c r="G265" s="683"/>
      <c r="H265" s="683"/>
      <c r="I265" s="683"/>
      <c r="J265" s="683"/>
      <c r="K265" s="683"/>
      <c r="L265" s="683"/>
      <c r="M265" s="683"/>
      <c r="N265" s="683"/>
      <c r="O265" s="683"/>
      <c r="P265" s="684"/>
      <c r="Q265" s="683"/>
      <c r="R265" s="683"/>
      <c r="X265" s="100"/>
      <c r="Y265" s="100"/>
      <c r="Z265" s="1380"/>
      <c r="AA265" s="100"/>
      <c r="AB265" s="100"/>
      <c r="AC265" s="100"/>
      <c r="AD265" s="100"/>
      <c r="AE265" s="100"/>
      <c r="AF265" s="100"/>
      <c r="AG265" s="100"/>
      <c r="AH265" s="100"/>
      <c r="AI265" s="100"/>
      <c r="AJ265" s="100"/>
      <c r="AK265" s="100"/>
      <c r="AL265" s="100"/>
      <c r="AM265" s="100"/>
      <c r="AN265" s="100"/>
      <c r="AO265" s="100"/>
      <c r="AP265" s="100"/>
      <c r="AQ265" s="100"/>
      <c r="AR265" s="100"/>
    </row>
    <row r="266" spans="1:44" s="281" customFormat="1" ht="12" customHeight="1">
      <c r="A266" s="100"/>
      <c r="B266" s="683"/>
      <c r="C266" s="683"/>
      <c r="D266" s="683"/>
      <c r="E266" s="683"/>
      <c r="F266" s="683"/>
      <c r="G266" s="683"/>
      <c r="H266" s="683"/>
      <c r="I266" s="683"/>
      <c r="J266" s="683"/>
      <c r="K266" s="683"/>
      <c r="L266" s="683"/>
      <c r="M266" s="683"/>
      <c r="N266" s="683"/>
      <c r="O266" s="683"/>
      <c r="P266" s="684"/>
      <c r="Q266" s="683"/>
      <c r="R266" s="683"/>
      <c r="X266" s="100"/>
      <c r="Y266" s="100"/>
      <c r="Z266" s="1380"/>
      <c r="AA266" s="100"/>
      <c r="AB266" s="100"/>
      <c r="AC266" s="100"/>
      <c r="AD266" s="100"/>
      <c r="AE266" s="100"/>
      <c r="AF266" s="100"/>
      <c r="AG266" s="100"/>
      <c r="AH266" s="100"/>
      <c r="AI266" s="100"/>
      <c r="AJ266" s="100"/>
      <c r="AK266" s="100"/>
      <c r="AL266" s="100"/>
      <c r="AM266" s="100"/>
      <c r="AN266" s="100"/>
      <c r="AO266" s="100"/>
      <c r="AP266" s="100"/>
      <c r="AQ266" s="100"/>
      <c r="AR266" s="100"/>
    </row>
    <row r="267" spans="1:44" s="281" customFormat="1" ht="12" customHeight="1">
      <c r="A267" s="100"/>
      <c r="P267" s="153"/>
      <c r="X267" s="100"/>
      <c r="Y267" s="100"/>
      <c r="Z267" s="1380"/>
      <c r="AA267" s="100"/>
      <c r="AB267" s="100"/>
      <c r="AC267" s="100"/>
      <c r="AD267" s="100"/>
      <c r="AE267" s="100"/>
      <c r="AF267" s="100"/>
      <c r="AG267" s="100"/>
      <c r="AH267" s="100"/>
      <c r="AI267" s="100"/>
      <c r="AJ267" s="100"/>
      <c r="AK267" s="100"/>
      <c r="AL267" s="100"/>
      <c r="AM267" s="100"/>
      <c r="AN267" s="100"/>
      <c r="AO267" s="100"/>
      <c r="AP267" s="100"/>
      <c r="AQ267" s="100"/>
      <c r="AR267" s="100"/>
    </row>
    <row r="268" spans="1:44" s="281" customFormat="1" ht="12" customHeight="1">
      <c r="A268" s="100"/>
      <c r="P268" s="153"/>
      <c r="X268" s="100"/>
      <c r="Y268" s="100"/>
      <c r="Z268" s="1380"/>
      <c r="AA268" s="100"/>
      <c r="AB268" s="100"/>
      <c r="AC268" s="100"/>
      <c r="AD268" s="100"/>
      <c r="AE268" s="100"/>
      <c r="AF268" s="100"/>
      <c r="AG268" s="100"/>
      <c r="AH268" s="100"/>
      <c r="AI268" s="100"/>
      <c r="AJ268" s="100"/>
      <c r="AK268" s="100"/>
      <c r="AL268" s="100"/>
      <c r="AM268" s="100"/>
      <c r="AN268" s="100"/>
      <c r="AO268" s="100"/>
      <c r="AP268" s="100"/>
      <c r="AQ268" s="100"/>
      <c r="AR268" s="100"/>
    </row>
    <row r="269" spans="1:44" s="281" customFormat="1" ht="12" customHeight="1">
      <c r="A269" s="100"/>
      <c r="P269" s="153"/>
      <c r="X269" s="100"/>
      <c r="Y269" s="100"/>
      <c r="Z269" s="1380"/>
      <c r="AA269" s="100"/>
      <c r="AB269" s="100"/>
      <c r="AC269" s="100"/>
      <c r="AD269" s="100"/>
      <c r="AE269" s="100"/>
      <c r="AF269" s="100"/>
      <c r="AG269" s="100"/>
      <c r="AH269" s="100"/>
      <c r="AI269" s="100"/>
      <c r="AJ269" s="100"/>
      <c r="AK269" s="100"/>
      <c r="AL269" s="100"/>
      <c r="AM269" s="100"/>
      <c r="AN269" s="100"/>
      <c r="AO269" s="100"/>
      <c r="AP269" s="100"/>
      <c r="AQ269" s="100"/>
      <c r="AR269" s="100"/>
    </row>
    <row r="270" spans="1:44" s="281" customFormat="1" ht="12" customHeight="1">
      <c r="A270" s="100"/>
      <c r="P270" s="307"/>
      <c r="X270" s="100"/>
      <c r="Y270" s="100"/>
      <c r="Z270" s="1380"/>
      <c r="AA270" s="100"/>
      <c r="AB270" s="100"/>
      <c r="AC270" s="100"/>
      <c r="AD270" s="100"/>
      <c r="AE270" s="100"/>
      <c r="AF270" s="100"/>
      <c r="AG270" s="100"/>
      <c r="AH270" s="100"/>
      <c r="AI270" s="100"/>
      <c r="AJ270" s="100"/>
      <c r="AK270" s="100"/>
      <c r="AL270" s="100"/>
      <c r="AM270" s="100"/>
      <c r="AN270" s="100"/>
      <c r="AO270" s="100"/>
      <c r="AP270" s="100"/>
      <c r="AQ270" s="100"/>
      <c r="AR270" s="100"/>
    </row>
    <row r="271" spans="1:44" s="281" customFormat="1" ht="12" customHeight="1">
      <c r="A271" s="100"/>
      <c r="P271" s="153"/>
      <c r="X271" s="100"/>
      <c r="Y271" s="100"/>
      <c r="Z271" s="1380"/>
      <c r="AA271" s="100"/>
      <c r="AB271" s="100"/>
      <c r="AC271" s="100"/>
      <c r="AD271" s="100"/>
      <c r="AE271" s="100"/>
      <c r="AF271" s="100"/>
      <c r="AG271" s="100"/>
      <c r="AH271" s="100"/>
      <c r="AI271" s="100"/>
      <c r="AJ271" s="100"/>
      <c r="AK271" s="100"/>
      <c r="AL271" s="100"/>
      <c r="AM271" s="100"/>
      <c r="AN271" s="100"/>
      <c r="AO271" s="100"/>
      <c r="AP271" s="100"/>
      <c r="AQ271" s="100"/>
      <c r="AR271" s="100"/>
    </row>
    <row r="272" spans="1:44" s="281" customFormat="1" ht="12" customHeight="1">
      <c r="A272" s="100"/>
      <c r="P272" s="153"/>
      <c r="X272" s="100"/>
      <c r="Y272" s="100"/>
      <c r="Z272" s="1380"/>
      <c r="AA272" s="100"/>
      <c r="AB272" s="100"/>
      <c r="AC272" s="100"/>
      <c r="AD272" s="100"/>
      <c r="AE272" s="100"/>
      <c r="AF272" s="100"/>
      <c r="AG272" s="100"/>
      <c r="AH272" s="100"/>
      <c r="AI272" s="100"/>
      <c r="AJ272" s="100"/>
      <c r="AK272" s="100"/>
      <c r="AL272" s="100"/>
      <c r="AM272" s="100"/>
      <c r="AN272" s="100"/>
      <c r="AO272" s="100"/>
      <c r="AP272" s="100"/>
      <c r="AQ272" s="100"/>
      <c r="AR272" s="100"/>
    </row>
    <row r="273" spans="1:44" s="281" customFormat="1" ht="12" customHeight="1">
      <c r="A273" s="100"/>
      <c r="P273" s="153"/>
      <c r="X273" s="100"/>
      <c r="Y273" s="100"/>
      <c r="Z273" s="1380"/>
      <c r="AA273" s="100"/>
      <c r="AB273" s="100"/>
      <c r="AC273" s="100"/>
      <c r="AD273" s="100"/>
      <c r="AE273" s="100"/>
      <c r="AF273" s="100"/>
      <c r="AG273" s="100"/>
      <c r="AH273" s="100"/>
      <c r="AI273" s="100"/>
      <c r="AJ273" s="100"/>
      <c r="AK273" s="100"/>
      <c r="AL273" s="100"/>
      <c r="AM273" s="100"/>
      <c r="AN273" s="100"/>
      <c r="AO273" s="100"/>
      <c r="AP273" s="100"/>
      <c r="AQ273" s="100"/>
      <c r="AR273" s="100"/>
    </row>
    <row r="274" spans="1:44" s="281" customFormat="1" ht="12" customHeight="1">
      <c r="A274" s="100"/>
      <c r="P274" s="153"/>
      <c r="X274" s="100"/>
      <c r="Y274" s="100"/>
      <c r="Z274" s="1380"/>
      <c r="AA274" s="100"/>
      <c r="AB274" s="100"/>
      <c r="AC274" s="100"/>
      <c r="AD274" s="100"/>
      <c r="AE274" s="100"/>
      <c r="AF274" s="100"/>
      <c r="AG274" s="100"/>
      <c r="AH274" s="100"/>
      <c r="AI274" s="100"/>
      <c r="AJ274" s="100"/>
      <c r="AK274" s="100"/>
      <c r="AL274" s="100"/>
      <c r="AM274" s="100"/>
      <c r="AN274" s="100"/>
      <c r="AO274" s="100"/>
      <c r="AP274" s="100"/>
      <c r="AQ274" s="100"/>
      <c r="AR274" s="100"/>
    </row>
    <row r="275" spans="1:44" s="281" customFormat="1" ht="12" customHeight="1">
      <c r="A275" s="100"/>
      <c r="P275" s="153"/>
      <c r="X275" s="100"/>
      <c r="Y275" s="100"/>
      <c r="Z275" s="1380"/>
      <c r="AA275" s="100"/>
      <c r="AB275" s="100"/>
      <c r="AC275" s="100"/>
      <c r="AD275" s="100"/>
      <c r="AE275" s="100"/>
      <c r="AF275" s="100"/>
      <c r="AG275" s="100"/>
      <c r="AH275" s="100"/>
      <c r="AI275" s="100"/>
      <c r="AJ275" s="100"/>
      <c r="AK275" s="100"/>
      <c r="AL275" s="100"/>
      <c r="AM275" s="100"/>
      <c r="AN275" s="100"/>
      <c r="AO275" s="100"/>
      <c r="AP275" s="100"/>
      <c r="AQ275" s="100"/>
      <c r="AR275" s="100"/>
    </row>
    <row r="276" spans="1:44" s="281" customFormat="1" ht="12" customHeight="1">
      <c r="A276" s="100"/>
      <c r="P276" s="153"/>
      <c r="X276" s="100"/>
      <c r="Y276" s="100"/>
      <c r="Z276" s="1380"/>
      <c r="AA276" s="100"/>
      <c r="AB276" s="100"/>
      <c r="AC276" s="100"/>
      <c r="AD276" s="100"/>
      <c r="AE276" s="100"/>
      <c r="AF276" s="100"/>
      <c r="AG276" s="100"/>
      <c r="AH276" s="100"/>
      <c r="AI276" s="100"/>
      <c r="AJ276" s="100"/>
      <c r="AK276" s="100"/>
      <c r="AL276" s="100"/>
      <c r="AM276" s="100"/>
      <c r="AN276" s="100"/>
      <c r="AO276" s="100"/>
      <c r="AP276" s="100"/>
      <c r="AQ276" s="100"/>
      <c r="AR276" s="100"/>
    </row>
    <row r="277" spans="1:44" s="281" customFormat="1" ht="12" customHeight="1">
      <c r="A277" s="100"/>
      <c r="P277" s="153"/>
      <c r="X277" s="100"/>
      <c r="Y277" s="100"/>
      <c r="Z277" s="1380"/>
      <c r="AA277" s="100"/>
      <c r="AB277" s="100"/>
      <c r="AC277" s="100"/>
      <c r="AD277" s="100"/>
      <c r="AE277" s="100"/>
      <c r="AF277" s="100"/>
      <c r="AG277" s="100"/>
      <c r="AH277" s="100"/>
      <c r="AI277" s="100"/>
      <c r="AJ277" s="100"/>
      <c r="AK277" s="100"/>
      <c r="AL277" s="100"/>
      <c r="AM277" s="100"/>
      <c r="AN277" s="100"/>
      <c r="AO277" s="100"/>
      <c r="AP277" s="100"/>
      <c r="AQ277" s="100"/>
      <c r="AR277" s="100"/>
    </row>
    <row r="278" spans="1:44" s="281" customFormat="1" ht="12" customHeight="1">
      <c r="A278" s="100"/>
      <c r="P278" s="153"/>
      <c r="X278" s="100"/>
      <c r="Y278" s="100"/>
      <c r="Z278" s="1380"/>
      <c r="AA278" s="100"/>
      <c r="AB278" s="100"/>
      <c r="AC278" s="100"/>
      <c r="AD278" s="100"/>
      <c r="AE278" s="100"/>
      <c r="AF278" s="100"/>
      <c r="AG278" s="100"/>
      <c r="AH278" s="100"/>
      <c r="AI278" s="100"/>
      <c r="AJ278" s="100"/>
      <c r="AK278" s="100"/>
      <c r="AL278" s="100"/>
      <c r="AM278" s="100"/>
      <c r="AN278" s="100"/>
      <c r="AO278" s="100"/>
      <c r="AP278" s="100"/>
      <c r="AQ278" s="100"/>
      <c r="AR278" s="100"/>
    </row>
    <row r="279" spans="1:44" s="281" customFormat="1" ht="12" customHeight="1">
      <c r="A279" s="100"/>
      <c r="P279" s="153"/>
      <c r="X279" s="100"/>
      <c r="Y279" s="100"/>
      <c r="Z279" s="1380"/>
      <c r="AA279" s="100"/>
      <c r="AB279" s="100"/>
      <c r="AC279" s="100"/>
      <c r="AD279" s="100"/>
      <c r="AE279" s="100"/>
      <c r="AF279" s="100"/>
      <c r="AG279" s="100"/>
      <c r="AH279" s="100"/>
      <c r="AI279" s="100"/>
      <c r="AJ279" s="100"/>
      <c r="AK279" s="100"/>
      <c r="AL279" s="100"/>
      <c r="AM279" s="100"/>
      <c r="AN279" s="100"/>
      <c r="AO279" s="100"/>
      <c r="AP279" s="100"/>
      <c r="AQ279" s="100"/>
      <c r="AR279" s="100"/>
    </row>
    <row r="280" spans="1:44" s="281" customFormat="1" ht="12" customHeight="1">
      <c r="A280" s="100"/>
      <c r="P280" s="153"/>
      <c r="X280" s="100"/>
      <c r="Y280" s="100"/>
      <c r="Z280" s="1380"/>
      <c r="AA280" s="100"/>
      <c r="AB280" s="100"/>
      <c r="AC280" s="100"/>
      <c r="AD280" s="100"/>
      <c r="AE280" s="100"/>
      <c r="AF280" s="100"/>
      <c r="AG280" s="100"/>
      <c r="AH280" s="100"/>
      <c r="AI280" s="100"/>
      <c r="AJ280" s="100"/>
      <c r="AK280" s="100"/>
      <c r="AL280" s="100"/>
      <c r="AM280" s="100"/>
      <c r="AN280" s="100"/>
      <c r="AO280" s="100"/>
      <c r="AP280" s="100"/>
      <c r="AQ280" s="100"/>
      <c r="AR280" s="100"/>
    </row>
    <row r="281" spans="1:44" s="281" customFormat="1" ht="12" customHeight="1">
      <c r="A281" s="100"/>
      <c r="P281" s="153"/>
      <c r="X281" s="100"/>
      <c r="Y281" s="100"/>
      <c r="Z281" s="1380"/>
      <c r="AA281" s="100"/>
      <c r="AB281" s="100"/>
      <c r="AC281" s="100"/>
      <c r="AD281" s="100"/>
      <c r="AE281" s="100"/>
      <c r="AF281" s="100"/>
      <c r="AG281" s="100"/>
      <c r="AH281" s="100"/>
      <c r="AI281" s="100"/>
      <c r="AJ281" s="100"/>
      <c r="AK281" s="100"/>
      <c r="AL281" s="100"/>
      <c r="AM281" s="100"/>
      <c r="AN281" s="100"/>
      <c r="AO281" s="100"/>
      <c r="AP281" s="100"/>
      <c r="AQ281" s="100"/>
      <c r="AR281" s="100"/>
    </row>
    <row r="282" spans="1:44" s="281" customFormat="1" ht="12" customHeight="1">
      <c r="A282" s="100"/>
      <c r="P282" s="153"/>
      <c r="X282" s="100"/>
      <c r="Y282" s="100"/>
      <c r="Z282" s="1380"/>
      <c r="AA282" s="100"/>
      <c r="AB282" s="100"/>
      <c r="AC282" s="100"/>
      <c r="AD282" s="100"/>
      <c r="AE282" s="100"/>
      <c r="AF282" s="100"/>
      <c r="AG282" s="100"/>
      <c r="AH282" s="100"/>
      <c r="AI282" s="100"/>
      <c r="AJ282" s="100"/>
      <c r="AK282" s="100"/>
      <c r="AL282" s="100"/>
      <c r="AM282" s="100"/>
      <c r="AN282" s="100"/>
      <c r="AO282" s="100"/>
      <c r="AP282" s="100"/>
      <c r="AQ282" s="100"/>
      <c r="AR282" s="100"/>
    </row>
    <row r="283" spans="1:44" s="281" customFormat="1" ht="12" customHeight="1">
      <c r="A283" s="100"/>
      <c r="P283" s="153"/>
      <c r="X283" s="100"/>
      <c r="Y283" s="100"/>
      <c r="Z283" s="1380"/>
      <c r="AA283" s="100"/>
      <c r="AB283" s="100"/>
      <c r="AC283" s="100"/>
      <c r="AD283" s="100"/>
      <c r="AE283" s="100"/>
      <c r="AF283" s="100"/>
      <c r="AG283" s="100"/>
      <c r="AH283" s="100"/>
      <c r="AI283" s="100"/>
      <c r="AJ283" s="100"/>
      <c r="AK283" s="100"/>
      <c r="AL283" s="100"/>
      <c r="AM283" s="100"/>
      <c r="AN283" s="100"/>
      <c r="AO283" s="100"/>
      <c r="AP283" s="100"/>
      <c r="AQ283" s="100"/>
      <c r="AR283" s="100"/>
    </row>
    <row r="284" spans="1:44" s="281" customFormat="1" ht="12" customHeight="1">
      <c r="A284" s="100"/>
      <c r="P284" s="307"/>
      <c r="X284" s="100"/>
      <c r="Y284" s="100"/>
      <c r="Z284" s="1380"/>
      <c r="AA284" s="100"/>
      <c r="AB284" s="100"/>
      <c r="AC284" s="100"/>
      <c r="AD284" s="100"/>
      <c r="AE284" s="100"/>
      <c r="AF284" s="100"/>
      <c r="AG284" s="100"/>
      <c r="AH284" s="100"/>
      <c r="AI284" s="100"/>
      <c r="AJ284" s="100"/>
      <c r="AK284" s="100"/>
      <c r="AL284" s="100"/>
      <c r="AM284" s="100"/>
      <c r="AN284" s="100"/>
      <c r="AO284" s="100"/>
      <c r="AP284" s="100"/>
      <c r="AQ284" s="100"/>
      <c r="AR284" s="100"/>
    </row>
    <row r="285" spans="1:44" s="281" customFormat="1" ht="12" customHeight="1">
      <c r="A285" s="100"/>
      <c r="P285" s="153"/>
      <c r="X285" s="100"/>
      <c r="Y285" s="100"/>
      <c r="Z285" s="1380"/>
      <c r="AA285" s="100"/>
      <c r="AB285" s="100"/>
      <c r="AC285" s="100"/>
      <c r="AD285" s="100"/>
      <c r="AE285" s="100"/>
      <c r="AF285" s="100"/>
      <c r="AG285" s="100"/>
      <c r="AH285" s="100"/>
      <c r="AI285" s="100"/>
      <c r="AJ285" s="100"/>
      <c r="AK285" s="100"/>
      <c r="AL285" s="100"/>
      <c r="AM285" s="100"/>
      <c r="AN285" s="100"/>
      <c r="AO285" s="100"/>
      <c r="AP285" s="100"/>
      <c r="AQ285" s="100"/>
      <c r="AR285" s="100"/>
    </row>
    <row r="286" spans="1:44" s="281" customFormat="1" ht="12" customHeight="1">
      <c r="A286" s="100"/>
      <c r="P286" s="153"/>
      <c r="X286" s="100"/>
      <c r="Y286" s="100"/>
      <c r="Z286" s="1380"/>
      <c r="AA286" s="100"/>
      <c r="AB286" s="100"/>
      <c r="AC286" s="100"/>
      <c r="AD286" s="100"/>
      <c r="AE286" s="100"/>
      <c r="AF286" s="100"/>
      <c r="AG286" s="100"/>
      <c r="AH286" s="100"/>
      <c r="AI286" s="100"/>
      <c r="AJ286" s="100"/>
      <c r="AK286" s="100"/>
      <c r="AL286" s="100"/>
      <c r="AM286" s="100"/>
      <c r="AN286" s="100"/>
      <c r="AO286" s="100"/>
      <c r="AP286" s="100"/>
      <c r="AQ286" s="100"/>
      <c r="AR286" s="100"/>
    </row>
    <row r="287" spans="1:44" s="281" customFormat="1" ht="12" customHeight="1">
      <c r="A287" s="100"/>
      <c r="P287" s="153"/>
      <c r="X287" s="100"/>
      <c r="Y287" s="100"/>
      <c r="Z287" s="1380"/>
      <c r="AA287" s="100"/>
      <c r="AB287" s="100"/>
      <c r="AC287" s="100"/>
      <c r="AD287" s="100"/>
      <c r="AE287" s="100"/>
      <c r="AF287" s="100"/>
      <c r="AG287" s="100"/>
      <c r="AH287" s="100"/>
      <c r="AI287" s="100"/>
      <c r="AJ287" s="100"/>
      <c r="AK287" s="100"/>
      <c r="AL287" s="100"/>
      <c r="AM287" s="100"/>
      <c r="AN287" s="100"/>
      <c r="AO287" s="100"/>
      <c r="AP287" s="100"/>
      <c r="AQ287" s="100"/>
      <c r="AR287" s="100"/>
    </row>
    <row r="288" spans="1:44" s="281" customFormat="1" ht="12" customHeight="1">
      <c r="A288" s="100"/>
      <c r="P288" s="307"/>
      <c r="X288" s="100"/>
      <c r="Y288" s="100"/>
      <c r="Z288" s="1380"/>
      <c r="AA288" s="100"/>
      <c r="AB288" s="100"/>
      <c r="AC288" s="100"/>
      <c r="AD288" s="100"/>
      <c r="AE288" s="100"/>
      <c r="AF288" s="100"/>
      <c r="AG288" s="100"/>
      <c r="AH288" s="100"/>
      <c r="AI288" s="100"/>
      <c r="AJ288" s="100"/>
      <c r="AK288" s="100"/>
      <c r="AL288" s="100"/>
      <c r="AM288" s="100"/>
      <c r="AN288" s="100"/>
      <c r="AO288" s="100"/>
      <c r="AP288" s="100"/>
      <c r="AQ288" s="100"/>
      <c r="AR288" s="100"/>
    </row>
    <row r="289" spans="1:44" s="281" customFormat="1" ht="12" customHeight="1">
      <c r="A289" s="100"/>
      <c r="P289" s="153"/>
      <c r="X289" s="100"/>
      <c r="Y289" s="100"/>
      <c r="Z289" s="1380"/>
      <c r="AA289" s="100"/>
      <c r="AB289" s="100"/>
      <c r="AC289" s="100"/>
      <c r="AD289" s="100"/>
      <c r="AE289" s="100"/>
      <c r="AF289" s="100"/>
      <c r="AG289" s="100"/>
      <c r="AH289" s="100"/>
      <c r="AI289" s="100"/>
      <c r="AJ289" s="100"/>
      <c r="AK289" s="100"/>
      <c r="AL289" s="100"/>
      <c r="AM289" s="100"/>
      <c r="AN289" s="100"/>
      <c r="AO289" s="100"/>
      <c r="AP289" s="100"/>
      <c r="AQ289" s="100"/>
      <c r="AR289" s="100"/>
    </row>
    <row r="290" spans="1:44" s="281" customFormat="1" ht="12" customHeight="1">
      <c r="A290" s="100"/>
      <c r="P290" s="153"/>
      <c r="X290" s="100"/>
      <c r="Y290" s="100"/>
      <c r="Z290" s="1380"/>
      <c r="AA290" s="100"/>
      <c r="AB290" s="100"/>
      <c r="AC290" s="100"/>
      <c r="AD290" s="100"/>
      <c r="AE290" s="100"/>
      <c r="AF290" s="100"/>
      <c r="AG290" s="100"/>
      <c r="AH290" s="100"/>
      <c r="AI290" s="100"/>
      <c r="AJ290" s="100"/>
      <c r="AK290" s="100"/>
      <c r="AL290" s="100"/>
      <c r="AM290" s="100"/>
      <c r="AN290" s="100"/>
      <c r="AO290" s="100"/>
      <c r="AP290" s="100"/>
      <c r="AQ290" s="100"/>
      <c r="AR290" s="100"/>
    </row>
    <row r="291" spans="1:44" s="281" customFormat="1" ht="12" customHeight="1">
      <c r="A291" s="100"/>
      <c r="P291" s="153"/>
      <c r="X291" s="100"/>
      <c r="Y291" s="100"/>
      <c r="Z291" s="1380"/>
      <c r="AA291" s="100"/>
      <c r="AB291" s="100"/>
      <c r="AC291" s="100"/>
      <c r="AD291" s="100"/>
      <c r="AE291" s="100"/>
      <c r="AF291" s="100"/>
      <c r="AG291" s="100"/>
      <c r="AH291" s="100"/>
      <c r="AI291" s="100"/>
      <c r="AJ291" s="100"/>
      <c r="AK291" s="100"/>
      <c r="AL291" s="100"/>
      <c r="AM291" s="100"/>
      <c r="AN291" s="100"/>
      <c r="AO291" s="100"/>
      <c r="AP291" s="100"/>
      <c r="AQ291" s="100"/>
      <c r="AR291" s="100"/>
    </row>
    <row r="292" spans="1:44" s="281" customFormat="1" ht="12" customHeight="1">
      <c r="A292" s="100"/>
      <c r="P292" s="153"/>
      <c r="X292" s="100"/>
      <c r="Y292" s="100"/>
      <c r="Z292" s="1380"/>
      <c r="AA292" s="100"/>
      <c r="AB292" s="100"/>
      <c r="AC292" s="100"/>
      <c r="AD292" s="100"/>
      <c r="AE292" s="100"/>
      <c r="AF292" s="100"/>
      <c r="AG292" s="100"/>
      <c r="AH292" s="100"/>
      <c r="AI292" s="100"/>
      <c r="AJ292" s="100"/>
      <c r="AK292" s="100"/>
      <c r="AL292" s="100"/>
      <c r="AM292" s="100"/>
      <c r="AN292" s="100"/>
      <c r="AO292" s="100"/>
      <c r="AP292" s="100"/>
      <c r="AQ292" s="100"/>
      <c r="AR292" s="100"/>
    </row>
    <row r="293" spans="1:44" s="281" customFormat="1" ht="12" customHeight="1">
      <c r="A293" s="100"/>
      <c r="P293" s="153"/>
      <c r="X293" s="100"/>
      <c r="Y293" s="100"/>
      <c r="Z293" s="1380"/>
      <c r="AA293" s="100"/>
      <c r="AB293" s="100"/>
      <c r="AC293" s="100"/>
      <c r="AD293" s="100"/>
      <c r="AE293" s="100"/>
      <c r="AF293" s="100"/>
      <c r="AG293" s="100"/>
      <c r="AH293" s="100"/>
      <c r="AI293" s="100"/>
      <c r="AJ293" s="100"/>
      <c r="AK293" s="100"/>
      <c r="AL293" s="100"/>
      <c r="AM293" s="100"/>
      <c r="AN293" s="100"/>
      <c r="AO293" s="100"/>
      <c r="AP293" s="100"/>
      <c r="AQ293" s="100"/>
      <c r="AR293" s="100"/>
    </row>
    <row r="294" spans="1:44" s="281" customFormat="1" ht="12" customHeight="1">
      <c r="A294" s="100"/>
      <c r="P294" s="307"/>
      <c r="X294" s="100"/>
      <c r="Y294" s="100"/>
      <c r="Z294" s="1380"/>
      <c r="AA294" s="100"/>
      <c r="AB294" s="100"/>
      <c r="AC294" s="100"/>
      <c r="AD294" s="100"/>
      <c r="AE294" s="100"/>
      <c r="AF294" s="100"/>
      <c r="AG294" s="100"/>
      <c r="AH294" s="100"/>
      <c r="AI294" s="100"/>
      <c r="AJ294" s="100"/>
      <c r="AK294" s="100"/>
      <c r="AL294" s="100"/>
      <c r="AM294" s="100"/>
      <c r="AN294" s="100"/>
      <c r="AO294" s="100"/>
      <c r="AP294" s="100"/>
      <c r="AQ294" s="100"/>
      <c r="AR294" s="100"/>
    </row>
    <row r="295" spans="1:44" s="281" customFormat="1" ht="12" customHeight="1">
      <c r="A295" s="100"/>
      <c r="P295" s="153"/>
      <c r="X295" s="100"/>
      <c r="Y295" s="100"/>
      <c r="Z295" s="1380"/>
      <c r="AA295" s="100"/>
      <c r="AB295" s="100"/>
      <c r="AC295" s="100"/>
      <c r="AD295" s="100"/>
      <c r="AE295" s="100"/>
      <c r="AF295" s="100"/>
      <c r="AG295" s="100"/>
      <c r="AH295" s="100"/>
      <c r="AI295" s="100"/>
      <c r="AJ295" s="100"/>
      <c r="AK295" s="100"/>
      <c r="AL295" s="100"/>
      <c r="AM295" s="100"/>
      <c r="AN295" s="100"/>
      <c r="AO295" s="100"/>
      <c r="AP295" s="100"/>
      <c r="AQ295" s="100"/>
      <c r="AR295" s="100"/>
    </row>
    <row r="296" spans="1:44" s="281" customFormat="1" ht="12" customHeight="1">
      <c r="A296" s="100"/>
      <c r="P296" s="153"/>
      <c r="X296" s="100"/>
      <c r="Y296" s="100"/>
      <c r="Z296" s="1380"/>
      <c r="AA296" s="100"/>
      <c r="AB296" s="100"/>
      <c r="AC296" s="100"/>
      <c r="AD296" s="100"/>
      <c r="AE296" s="100"/>
      <c r="AF296" s="100"/>
      <c r="AG296" s="100"/>
      <c r="AH296" s="100"/>
      <c r="AI296" s="100"/>
      <c r="AJ296" s="100"/>
      <c r="AK296" s="100"/>
      <c r="AL296" s="100"/>
      <c r="AM296" s="100"/>
      <c r="AN296" s="100"/>
      <c r="AO296" s="100"/>
      <c r="AP296" s="100"/>
      <c r="AQ296" s="100"/>
      <c r="AR296" s="100"/>
    </row>
    <row r="297" spans="1:44" s="281" customFormat="1" ht="12" customHeight="1">
      <c r="A297" s="100"/>
      <c r="P297" s="153"/>
      <c r="X297" s="100"/>
      <c r="Y297" s="100"/>
      <c r="Z297" s="1380"/>
      <c r="AA297" s="100"/>
      <c r="AB297" s="100"/>
      <c r="AC297" s="100"/>
      <c r="AD297" s="100"/>
      <c r="AE297" s="100"/>
      <c r="AF297" s="100"/>
      <c r="AG297" s="100"/>
      <c r="AH297" s="100"/>
      <c r="AI297" s="100"/>
      <c r="AJ297" s="100"/>
      <c r="AK297" s="100"/>
      <c r="AL297" s="100"/>
      <c r="AM297" s="100"/>
      <c r="AN297" s="100"/>
      <c r="AO297" s="100"/>
      <c r="AP297" s="100"/>
      <c r="AQ297" s="100"/>
      <c r="AR297" s="100"/>
    </row>
    <row r="298" spans="1:44" s="281" customFormat="1" ht="12" customHeight="1">
      <c r="A298" s="100"/>
      <c r="P298" s="153"/>
      <c r="X298" s="100"/>
      <c r="Y298" s="100"/>
      <c r="Z298" s="1380"/>
      <c r="AA298" s="100"/>
      <c r="AB298" s="100"/>
      <c r="AC298" s="100"/>
      <c r="AD298" s="100"/>
      <c r="AE298" s="100"/>
      <c r="AF298" s="100"/>
      <c r="AG298" s="100"/>
      <c r="AH298" s="100"/>
      <c r="AI298" s="100"/>
      <c r="AJ298" s="100"/>
      <c r="AK298" s="100"/>
      <c r="AL298" s="100"/>
      <c r="AM298" s="100"/>
      <c r="AN298" s="100"/>
      <c r="AO298" s="100"/>
      <c r="AP298" s="100"/>
      <c r="AQ298" s="100"/>
      <c r="AR298" s="100"/>
    </row>
    <row r="299" spans="1:44" s="281" customFormat="1" ht="12" customHeight="1">
      <c r="A299" s="100"/>
      <c r="P299" s="153"/>
      <c r="X299" s="100"/>
      <c r="Y299" s="100"/>
      <c r="Z299" s="1380"/>
      <c r="AA299" s="100"/>
      <c r="AB299" s="100"/>
      <c r="AC299" s="100"/>
      <c r="AD299" s="100"/>
      <c r="AE299" s="100"/>
      <c r="AF299" s="100"/>
      <c r="AG299" s="100"/>
      <c r="AH299" s="100"/>
      <c r="AI299" s="100"/>
      <c r="AJ299" s="100"/>
      <c r="AK299" s="100"/>
      <c r="AL299" s="100"/>
      <c r="AM299" s="100"/>
      <c r="AN299" s="100"/>
      <c r="AO299" s="100"/>
      <c r="AP299" s="100"/>
      <c r="AQ299" s="100"/>
      <c r="AR299" s="100"/>
    </row>
    <row r="300" spans="1:44" s="281" customFormat="1" ht="12" customHeight="1">
      <c r="A300" s="100"/>
      <c r="P300" s="153"/>
      <c r="X300" s="100"/>
      <c r="Y300" s="100"/>
      <c r="Z300" s="1380"/>
      <c r="AA300" s="100"/>
      <c r="AB300" s="100"/>
      <c r="AC300" s="100"/>
      <c r="AD300" s="100"/>
      <c r="AE300" s="100"/>
      <c r="AF300" s="100"/>
      <c r="AG300" s="100"/>
      <c r="AH300" s="100"/>
      <c r="AI300" s="100"/>
      <c r="AJ300" s="100"/>
      <c r="AK300" s="100"/>
      <c r="AL300" s="100"/>
      <c r="AM300" s="100"/>
      <c r="AN300" s="100"/>
      <c r="AO300" s="100"/>
      <c r="AP300" s="100"/>
      <c r="AQ300" s="100"/>
      <c r="AR300" s="100"/>
    </row>
    <row r="301" spans="1:44" s="281" customFormat="1" ht="12" customHeight="1">
      <c r="A301" s="100"/>
      <c r="P301" s="153"/>
      <c r="X301" s="100"/>
      <c r="Y301" s="100"/>
      <c r="Z301" s="1380"/>
      <c r="AA301" s="100"/>
      <c r="AB301" s="100"/>
      <c r="AC301" s="100"/>
      <c r="AD301" s="100"/>
      <c r="AE301" s="100"/>
      <c r="AF301" s="100"/>
      <c r="AG301" s="100"/>
      <c r="AH301" s="100"/>
      <c r="AI301" s="100"/>
      <c r="AJ301" s="100"/>
      <c r="AK301" s="100"/>
      <c r="AL301" s="100"/>
      <c r="AM301" s="100"/>
      <c r="AN301" s="100"/>
      <c r="AO301" s="100"/>
      <c r="AP301" s="100"/>
      <c r="AQ301" s="100"/>
      <c r="AR301" s="100"/>
    </row>
    <row r="302" spans="1:44" s="281" customFormat="1" ht="12" customHeight="1">
      <c r="A302" s="100"/>
      <c r="P302" s="153"/>
      <c r="X302" s="100"/>
      <c r="Y302" s="100"/>
      <c r="Z302" s="1380"/>
      <c r="AA302" s="100"/>
      <c r="AB302" s="100"/>
      <c r="AC302" s="100"/>
      <c r="AD302" s="100"/>
      <c r="AE302" s="100"/>
      <c r="AF302" s="100"/>
      <c r="AG302" s="100"/>
      <c r="AH302" s="100"/>
      <c r="AI302" s="100"/>
      <c r="AJ302" s="100"/>
      <c r="AK302" s="100"/>
      <c r="AL302" s="100"/>
      <c r="AM302" s="100"/>
      <c r="AN302" s="100"/>
      <c r="AO302" s="100"/>
      <c r="AP302" s="100"/>
      <c r="AQ302" s="100"/>
      <c r="AR302" s="100"/>
    </row>
    <row r="303" spans="1:44" s="281" customFormat="1" ht="12" customHeight="1">
      <c r="A303" s="100"/>
      <c r="P303" s="153"/>
      <c r="X303" s="100"/>
      <c r="Y303" s="100"/>
      <c r="Z303" s="1380"/>
      <c r="AA303" s="100"/>
      <c r="AB303" s="100"/>
      <c r="AC303" s="100"/>
      <c r="AD303" s="100"/>
      <c r="AE303" s="100"/>
      <c r="AF303" s="100"/>
      <c r="AG303" s="100"/>
      <c r="AH303" s="100"/>
      <c r="AI303" s="100"/>
      <c r="AJ303" s="100"/>
      <c r="AK303" s="100"/>
      <c r="AL303" s="100"/>
      <c r="AM303" s="100"/>
      <c r="AN303" s="100"/>
      <c r="AO303" s="100"/>
      <c r="AP303" s="100"/>
      <c r="AQ303" s="100"/>
      <c r="AR303" s="100"/>
    </row>
    <row r="304" spans="1:44" s="281" customFormat="1" ht="12" customHeight="1">
      <c r="A304" s="100"/>
      <c r="P304" s="153"/>
      <c r="X304" s="100"/>
      <c r="Y304" s="100"/>
      <c r="Z304" s="1380"/>
      <c r="AA304" s="100"/>
      <c r="AB304" s="100"/>
      <c r="AC304" s="100"/>
      <c r="AD304" s="100"/>
      <c r="AE304" s="100"/>
      <c r="AF304" s="100"/>
      <c r="AG304" s="100"/>
      <c r="AH304" s="100"/>
      <c r="AI304" s="100"/>
      <c r="AJ304" s="100"/>
      <c r="AK304" s="100"/>
      <c r="AL304" s="100"/>
      <c r="AM304" s="100"/>
      <c r="AN304" s="100"/>
      <c r="AO304" s="100"/>
      <c r="AP304" s="100"/>
      <c r="AQ304" s="100"/>
      <c r="AR304" s="100"/>
    </row>
    <row r="305" spans="1:44" s="281" customFormat="1" ht="12" customHeight="1">
      <c r="A305" s="100"/>
      <c r="P305" s="153"/>
      <c r="X305" s="100"/>
      <c r="Y305" s="100"/>
      <c r="Z305" s="1380"/>
      <c r="AA305" s="100"/>
      <c r="AB305" s="100"/>
      <c r="AC305" s="100"/>
      <c r="AD305" s="100"/>
      <c r="AE305" s="100"/>
      <c r="AF305" s="100"/>
      <c r="AG305" s="100"/>
      <c r="AH305" s="100"/>
      <c r="AI305" s="100"/>
      <c r="AJ305" s="100"/>
      <c r="AK305" s="100"/>
      <c r="AL305" s="100"/>
      <c r="AM305" s="100"/>
      <c r="AN305" s="100"/>
      <c r="AO305" s="100"/>
      <c r="AP305" s="100"/>
      <c r="AQ305" s="100"/>
      <c r="AR305" s="100"/>
    </row>
    <row r="306" spans="1:44" s="281" customFormat="1" ht="12" customHeight="1">
      <c r="A306" s="100"/>
      <c r="P306" s="153"/>
      <c r="X306" s="100"/>
      <c r="Y306" s="100"/>
      <c r="Z306" s="1380"/>
      <c r="AA306" s="100"/>
      <c r="AB306" s="100"/>
      <c r="AC306" s="100"/>
      <c r="AD306" s="100"/>
      <c r="AE306" s="100"/>
      <c r="AF306" s="100"/>
      <c r="AG306" s="100"/>
      <c r="AH306" s="100"/>
      <c r="AI306" s="100"/>
      <c r="AJ306" s="100"/>
      <c r="AK306" s="100"/>
      <c r="AL306" s="100"/>
      <c r="AM306" s="100"/>
      <c r="AN306" s="100"/>
      <c r="AO306" s="100"/>
      <c r="AP306" s="100"/>
      <c r="AQ306" s="100"/>
      <c r="AR306" s="100"/>
    </row>
    <row r="307" spans="1:44" s="281" customFormat="1" ht="12" customHeight="1">
      <c r="A307" s="100"/>
      <c r="P307" s="307"/>
      <c r="X307" s="100"/>
      <c r="Y307" s="100"/>
      <c r="Z307" s="1380"/>
      <c r="AA307" s="100"/>
      <c r="AB307" s="100"/>
      <c r="AC307" s="100"/>
      <c r="AD307" s="100"/>
      <c r="AE307" s="100"/>
      <c r="AF307" s="100"/>
      <c r="AG307" s="100"/>
      <c r="AH307" s="100"/>
      <c r="AI307" s="100"/>
      <c r="AJ307" s="100"/>
      <c r="AK307" s="100"/>
      <c r="AL307" s="100"/>
      <c r="AM307" s="100"/>
      <c r="AN307" s="100"/>
      <c r="AO307" s="100"/>
      <c r="AP307" s="100"/>
      <c r="AQ307" s="100"/>
      <c r="AR307" s="100"/>
    </row>
    <row r="308" spans="1:44" s="281" customFormat="1" ht="12" customHeight="1">
      <c r="A308" s="100"/>
      <c r="P308" s="153"/>
      <c r="X308" s="100"/>
      <c r="Y308" s="100"/>
      <c r="Z308" s="1380"/>
      <c r="AA308" s="100"/>
      <c r="AB308" s="100"/>
      <c r="AC308" s="100"/>
      <c r="AD308" s="100"/>
      <c r="AE308" s="100"/>
      <c r="AF308" s="100"/>
      <c r="AG308" s="100"/>
      <c r="AH308" s="100"/>
      <c r="AI308" s="100"/>
      <c r="AJ308" s="100"/>
      <c r="AK308" s="100"/>
      <c r="AL308" s="100"/>
      <c r="AM308" s="100"/>
      <c r="AN308" s="100"/>
      <c r="AO308" s="100"/>
      <c r="AP308" s="100"/>
      <c r="AQ308" s="100"/>
      <c r="AR308" s="100"/>
    </row>
    <row r="309" spans="1:44" s="281" customFormat="1" ht="12" customHeight="1">
      <c r="A309" s="100"/>
      <c r="P309" s="153"/>
      <c r="X309" s="100"/>
      <c r="Y309" s="100"/>
      <c r="Z309" s="1380"/>
      <c r="AA309" s="100"/>
      <c r="AB309" s="100"/>
      <c r="AC309" s="100"/>
      <c r="AD309" s="100"/>
      <c r="AE309" s="100"/>
      <c r="AF309" s="100"/>
      <c r="AG309" s="100"/>
      <c r="AH309" s="100"/>
      <c r="AI309" s="100"/>
      <c r="AJ309" s="100"/>
      <c r="AK309" s="100"/>
      <c r="AL309" s="100"/>
      <c r="AM309" s="100"/>
      <c r="AN309" s="100"/>
      <c r="AO309" s="100"/>
      <c r="AP309" s="100"/>
      <c r="AQ309" s="100"/>
      <c r="AR309" s="100"/>
    </row>
    <row r="310" spans="1:44" s="281" customFormat="1" ht="12" customHeight="1">
      <c r="A310" s="100"/>
      <c r="P310" s="153"/>
      <c r="X310" s="100"/>
      <c r="Y310" s="100"/>
      <c r="Z310" s="1380"/>
      <c r="AA310" s="100"/>
      <c r="AB310" s="100"/>
      <c r="AC310" s="100"/>
      <c r="AD310" s="100"/>
      <c r="AE310" s="100"/>
      <c r="AF310" s="100"/>
      <c r="AG310" s="100"/>
      <c r="AH310" s="100"/>
      <c r="AI310" s="100"/>
      <c r="AJ310" s="100"/>
      <c r="AK310" s="100"/>
      <c r="AL310" s="100"/>
      <c r="AM310" s="100"/>
      <c r="AN310" s="100"/>
      <c r="AO310" s="100"/>
      <c r="AP310" s="100"/>
      <c r="AQ310" s="100"/>
      <c r="AR310" s="100"/>
    </row>
    <row r="311" spans="1:44" s="281" customFormat="1" ht="12" customHeight="1">
      <c r="A311" s="100"/>
      <c r="P311" s="153"/>
      <c r="X311" s="100"/>
      <c r="Y311" s="100"/>
      <c r="Z311" s="1380"/>
      <c r="AA311" s="100"/>
      <c r="AB311" s="100"/>
      <c r="AC311" s="100"/>
      <c r="AD311" s="100"/>
      <c r="AE311" s="100"/>
      <c r="AF311" s="100"/>
      <c r="AG311" s="100"/>
      <c r="AH311" s="100"/>
      <c r="AI311" s="100"/>
      <c r="AJ311" s="100"/>
      <c r="AK311" s="100"/>
      <c r="AL311" s="100"/>
      <c r="AM311" s="100"/>
      <c r="AN311" s="100"/>
      <c r="AO311" s="100"/>
      <c r="AP311" s="100"/>
      <c r="AQ311" s="100"/>
      <c r="AR311" s="100"/>
    </row>
    <row r="312" spans="1:44" s="281" customFormat="1" ht="12" customHeight="1">
      <c r="A312" s="100"/>
      <c r="P312" s="153"/>
      <c r="X312" s="100"/>
      <c r="Y312" s="100"/>
      <c r="Z312" s="1380"/>
      <c r="AA312" s="100"/>
      <c r="AB312" s="100"/>
      <c r="AC312" s="100"/>
      <c r="AD312" s="100"/>
      <c r="AE312" s="100"/>
      <c r="AF312" s="100"/>
      <c r="AG312" s="100"/>
      <c r="AH312" s="100"/>
      <c r="AI312" s="100"/>
      <c r="AJ312" s="100"/>
      <c r="AK312" s="100"/>
      <c r="AL312" s="100"/>
      <c r="AM312" s="100"/>
      <c r="AN312" s="100"/>
      <c r="AO312" s="100"/>
      <c r="AP312" s="100"/>
      <c r="AQ312" s="100"/>
      <c r="AR312" s="100"/>
    </row>
    <row r="313" spans="1:44" s="281" customFormat="1" ht="12" customHeight="1">
      <c r="A313" s="100"/>
      <c r="P313" s="153"/>
      <c r="X313" s="100"/>
      <c r="Y313" s="100"/>
      <c r="Z313" s="1380"/>
      <c r="AA313" s="100"/>
      <c r="AB313" s="100"/>
      <c r="AC313" s="100"/>
      <c r="AD313" s="100"/>
      <c r="AE313" s="100"/>
      <c r="AF313" s="100"/>
      <c r="AG313" s="100"/>
      <c r="AH313" s="100"/>
      <c r="AI313" s="100"/>
      <c r="AJ313" s="100"/>
      <c r="AK313" s="100"/>
      <c r="AL313" s="100"/>
      <c r="AM313" s="100"/>
      <c r="AN313" s="100"/>
      <c r="AO313" s="100"/>
      <c r="AP313" s="100"/>
      <c r="AQ313" s="100"/>
      <c r="AR313" s="100"/>
    </row>
    <row r="314" spans="1:44" s="281" customFormat="1" ht="12" customHeight="1">
      <c r="A314" s="100"/>
      <c r="P314" s="153"/>
      <c r="X314" s="100"/>
      <c r="Y314" s="100"/>
      <c r="Z314" s="1380"/>
      <c r="AA314" s="100"/>
      <c r="AB314" s="100"/>
      <c r="AC314" s="100"/>
      <c r="AD314" s="100"/>
      <c r="AE314" s="100"/>
      <c r="AF314" s="100"/>
      <c r="AG314" s="100"/>
      <c r="AH314" s="100"/>
      <c r="AI314" s="100"/>
      <c r="AJ314" s="100"/>
      <c r="AK314" s="100"/>
      <c r="AL314" s="100"/>
      <c r="AM314" s="100"/>
      <c r="AN314" s="100"/>
      <c r="AO314" s="100"/>
      <c r="AP314" s="100"/>
      <c r="AQ314" s="100"/>
      <c r="AR314" s="100"/>
    </row>
    <row r="315" spans="1:44" s="281" customFormat="1" ht="12" customHeight="1">
      <c r="A315" s="100"/>
      <c r="P315" s="153"/>
      <c r="X315" s="100"/>
      <c r="Y315" s="100"/>
      <c r="Z315" s="1380"/>
      <c r="AA315" s="100"/>
      <c r="AB315" s="100"/>
      <c r="AC315" s="100"/>
      <c r="AD315" s="100"/>
      <c r="AE315" s="100"/>
      <c r="AF315" s="100"/>
      <c r="AG315" s="100"/>
      <c r="AH315" s="100"/>
      <c r="AI315" s="100"/>
      <c r="AJ315" s="100"/>
      <c r="AK315" s="100"/>
      <c r="AL315" s="100"/>
      <c r="AM315" s="100"/>
      <c r="AN315" s="100"/>
      <c r="AO315" s="100"/>
      <c r="AP315" s="100"/>
      <c r="AQ315" s="100"/>
      <c r="AR315" s="100"/>
    </row>
    <row r="316" spans="1:44" s="281" customFormat="1" ht="12" customHeight="1">
      <c r="A316" s="100"/>
      <c r="P316" s="153"/>
      <c r="X316" s="100"/>
      <c r="Y316" s="100"/>
      <c r="Z316" s="1380"/>
      <c r="AA316" s="100"/>
      <c r="AB316" s="100"/>
      <c r="AC316" s="100"/>
      <c r="AD316" s="100"/>
      <c r="AE316" s="100"/>
      <c r="AF316" s="100"/>
      <c r="AG316" s="100"/>
      <c r="AH316" s="100"/>
      <c r="AI316" s="100"/>
      <c r="AJ316" s="100"/>
      <c r="AK316" s="100"/>
      <c r="AL316" s="100"/>
      <c r="AM316" s="100"/>
      <c r="AN316" s="100"/>
      <c r="AO316" s="100"/>
      <c r="AP316" s="100"/>
      <c r="AQ316" s="100"/>
      <c r="AR316" s="100"/>
    </row>
    <row r="317" spans="1:44" s="281" customFormat="1" ht="12" customHeight="1">
      <c r="A317" s="100"/>
      <c r="P317" s="153"/>
      <c r="X317" s="100"/>
      <c r="Y317" s="100"/>
      <c r="Z317" s="1380"/>
      <c r="AA317" s="100"/>
      <c r="AB317" s="100"/>
      <c r="AC317" s="100"/>
      <c r="AD317" s="100"/>
      <c r="AE317" s="100"/>
      <c r="AF317" s="100"/>
      <c r="AG317" s="100"/>
      <c r="AH317" s="100"/>
      <c r="AI317" s="100"/>
      <c r="AJ317" s="100"/>
      <c r="AK317" s="100"/>
      <c r="AL317" s="100"/>
      <c r="AM317" s="100"/>
      <c r="AN317" s="100"/>
      <c r="AO317" s="100"/>
      <c r="AP317" s="100"/>
      <c r="AQ317" s="100"/>
      <c r="AR317" s="100"/>
    </row>
    <row r="318" spans="1:44" s="281" customFormat="1" ht="12" customHeight="1">
      <c r="A318" s="100"/>
      <c r="P318" s="153"/>
      <c r="X318" s="100"/>
      <c r="Y318" s="100"/>
      <c r="Z318" s="1380"/>
      <c r="AA318" s="100"/>
      <c r="AB318" s="100"/>
      <c r="AC318" s="100"/>
      <c r="AD318" s="100"/>
      <c r="AE318" s="100"/>
      <c r="AF318" s="100"/>
      <c r="AG318" s="100"/>
      <c r="AH318" s="100"/>
      <c r="AI318" s="100"/>
      <c r="AJ318" s="100"/>
      <c r="AK318" s="100"/>
      <c r="AL318" s="100"/>
      <c r="AM318" s="100"/>
      <c r="AN318" s="100"/>
      <c r="AO318" s="100"/>
      <c r="AP318" s="100"/>
      <c r="AQ318" s="100"/>
      <c r="AR318" s="100"/>
    </row>
    <row r="319" spans="1:44" s="281" customFormat="1" ht="12" customHeight="1">
      <c r="A319" s="100"/>
      <c r="P319" s="153"/>
      <c r="X319" s="100"/>
      <c r="Y319" s="100"/>
      <c r="Z319" s="1380"/>
      <c r="AA319" s="100"/>
      <c r="AB319" s="100"/>
      <c r="AC319" s="100"/>
      <c r="AD319" s="100"/>
      <c r="AE319" s="100"/>
      <c r="AF319" s="100"/>
      <c r="AG319" s="100"/>
      <c r="AH319" s="100"/>
      <c r="AI319" s="100"/>
      <c r="AJ319" s="100"/>
      <c r="AK319" s="100"/>
      <c r="AL319" s="100"/>
      <c r="AM319" s="100"/>
      <c r="AN319" s="100"/>
      <c r="AO319" s="100"/>
      <c r="AP319" s="100"/>
      <c r="AQ319" s="100"/>
      <c r="AR319" s="100"/>
    </row>
    <row r="320" spans="1:44" s="281" customFormat="1" ht="12" customHeight="1">
      <c r="A320" s="100"/>
      <c r="P320" s="153"/>
      <c r="X320" s="100"/>
      <c r="Y320" s="100"/>
      <c r="Z320" s="1380"/>
      <c r="AA320" s="100"/>
      <c r="AB320" s="100"/>
      <c r="AC320" s="100"/>
      <c r="AD320" s="100"/>
      <c r="AE320" s="100"/>
      <c r="AF320" s="100"/>
      <c r="AG320" s="100"/>
      <c r="AH320" s="100"/>
      <c r="AI320" s="100"/>
      <c r="AJ320" s="100"/>
      <c r="AK320" s="100"/>
      <c r="AL320" s="100"/>
      <c r="AM320" s="100"/>
      <c r="AN320" s="100"/>
      <c r="AO320" s="100"/>
      <c r="AP320" s="100"/>
      <c r="AQ320" s="100"/>
      <c r="AR320" s="100"/>
    </row>
    <row r="321" spans="1:44" s="281" customFormat="1" ht="12" customHeight="1">
      <c r="A321" s="100"/>
      <c r="P321" s="307"/>
      <c r="X321" s="100"/>
      <c r="Y321" s="100"/>
      <c r="Z321" s="1380"/>
      <c r="AA321" s="100"/>
      <c r="AB321" s="100"/>
      <c r="AC321" s="100"/>
      <c r="AD321" s="100"/>
      <c r="AE321" s="100"/>
      <c r="AF321" s="100"/>
      <c r="AG321" s="100"/>
      <c r="AH321" s="100"/>
      <c r="AI321" s="100"/>
      <c r="AJ321" s="100"/>
      <c r="AK321" s="100"/>
      <c r="AL321" s="100"/>
      <c r="AM321" s="100"/>
      <c r="AN321" s="100"/>
      <c r="AO321" s="100"/>
      <c r="AP321" s="100"/>
      <c r="AQ321" s="100"/>
      <c r="AR321" s="100"/>
    </row>
    <row r="322" spans="1:44" s="281" customFormat="1" ht="12" customHeight="1">
      <c r="A322" s="100"/>
      <c r="P322" s="153"/>
      <c r="X322" s="100"/>
      <c r="Y322" s="100"/>
      <c r="Z322" s="1380"/>
      <c r="AA322" s="100"/>
      <c r="AB322" s="100"/>
      <c r="AC322" s="100"/>
      <c r="AD322" s="100"/>
      <c r="AE322" s="100"/>
      <c r="AF322" s="100"/>
      <c r="AG322" s="100"/>
      <c r="AH322" s="100"/>
      <c r="AI322" s="100"/>
      <c r="AJ322" s="100"/>
      <c r="AK322" s="100"/>
      <c r="AL322" s="100"/>
      <c r="AM322" s="100"/>
      <c r="AN322" s="100"/>
      <c r="AO322" s="100"/>
      <c r="AP322" s="100"/>
      <c r="AQ322" s="100"/>
      <c r="AR322" s="100"/>
    </row>
    <row r="323" spans="1:44" s="281" customFormat="1" ht="12" customHeight="1">
      <c r="A323" s="100"/>
      <c r="P323" s="307"/>
      <c r="X323" s="100"/>
      <c r="Y323" s="100"/>
      <c r="Z323" s="1380"/>
      <c r="AA323" s="100"/>
      <c r="AB323" s="100"/>
      <c r="AC323" s="100"/>
      <c r="AD323" s="100"/>
      <c r="AE323" s="100"/>
      <c r="AF323" s="100"/>
      <c r="AG323" s="100"/>
      <c r="AH323" s="100"/>
      <c r="AI323" s="100"/>
      <c r="AJ323" s="100"/>
      <c r="AK323" s="100"/>
      <c r="AL323" s="100"/>
      <c r="AM323" s="100"/>
      <c r="AN323" s="100"/>
      <c r="AO323" s="100"/>
      <c r="AP323" s="100"/>
      <c r="AQ323" s="100"/>
      <c r="AR323" s="100"/>
    </row>
    <row r="324" spans="1:44" s="281" customFormat="1" ht="12" customHeight="1">
      <c r="A324" s="100"/>
      <c r="P324" s="153"/>
      <c r="X324" s="100"/>
      <c r="Y324" s="100"/>
      <c r="Z324" s="1380"/>
      <c r="AA324" s="100"/>
      <c r="AB324" s="100"/>
      <c r="AC324" s="100"/>
      <c r="AD324" s="100"/>
      <c r="AE324" s="100"/>
      <c r="AF324" s="100"/>
      <c r="AG324" s="100"/>
      <c r="AH324" s="100"/>
      <c r="AI324" s="100"/>
      <c r="AJ324" s="100"/>
      <c r="AK324" s="100"/>
      <c r="AL324" s="100"/>
      <c r="AM324" s="100"/>
      <c r="AN324" s="100"/>
      <c r="AO324" s="100"/>
      <c r="AP324" s="100"/>
      <c r="AQ324" s="100"/>
      <c r="AR324" s="100"/>
    </row>
    <row r="325" spans="1:44" s="281" customFormat="1" ht="12" customHeight="1">
      <c r="A325" s="100"/>
      <c r="P325" s="307"/>
      <c r="X325" s="100"/>
      <c r="Y325" s="100"/>
      <c r="Z325" s="1380"/>
      <c r="AA325" s="100"/>
      <c r="AB325" s="100"/>
      <c r="AC325" s="100"/>
      <c r="AD325" s="100"/>
      <c r="AE325" s="100"/>
      <c r="AF325" s="100"/>
      <c r="AG325" s="100"/>
      <c r="AH325" s="100"/>
      <c r="AI325" s="100"/>
      <c r="AJ325" s="100"/>
      <c r="AK325" s="100"/>
      <c r="AL325" s="100"/>
      <c r="AM325" s="100"/>
      <c r="AN325" s="100"/>
      <c r="AO325" s="100"/>
      <c r="AP325" s="100"/>
      <c r="AQ325" s="100"/>
      <c r="AR325" s="100"/>
    </row>
    <row r="326" spans="1:44" s="281" customFormat="1" ht="12" customHeight="1">
      <c r="A326" s="100"/>
      <c r="P326" s="153"/>
      <c r="X326" s="100"/>
      <c r="Y326" s="100"/>
      <c r="Z326" s="1380"/>
      <c r="AA326" s="100"/>
      <c r="AB326" s="100"/>
      <c r="AC326" s="100"/>
      <c r="AD326" s="100"/>
      <c r="AE326" s="100"/>
      <c r="AF326" s="100"/>
      <c r="AG326" s="100"/>
      <c r="AH326" s="100"/>
      <c r="AI326" s="100"/>
      <c r="AJ326" s="100"/>
      <c r="AK326" s="100"/>
      <c r="AL326" s="100"/>
      <c r="AM326" s="100"/>
      <c r="AN326" s="100"/>
      <c r="AO326" s="100"/>
      <c r="AP326" s="100"/>
      <c r="AQ326" s="100"/>
      <c r="AR326" s="100"/>
    </row>
    <row r="327" spans="1:44" s="281" customFormat="1" ht="12" customHeight="1">
      <c r="A327" s="100"/>
      <c r="P327" s="153"/>
      <c r="X327" s="100"/>
      <c r="Y327" s="100"/>
      <c r="Z327" s="1380"/>
      <c r="AA327" s="100"/>
      <c r="AB327" s="100"/>
      <c r="AC327" s="100"/>
      <c r="AD327" s="100"/>
      <c r="AE327" s="100"/>
      <c r="AF327" s="100"/>
      <c r="AG327" s="100"/>
      <c r="AH327" s="100"/>
      <c r="AI327" s="100"/>
      <c r="AJ327" s="100"/>
      <c r="AK327" s="100"/>
      <c r="AL327" s="100"/>
      <c r="AM327" s="100"/>
      <c r="AN327" s="100"/>
      <c r="AO327" s="100"/>
      <c r="AP327" s="100"/>
      <c r="AQ327" s="100"/>
      <c r="AR327" s="100"/>
    </row>
    <row r="328" spans="1:44" s="281" customFormat="1" ht="12" customHeight="1">
      <c r="A328" s="100"/>
      <c r="P328" s="153"/>
      <c r="X328" s="100"/>
      <c r="Y328" s="100"/>
      <c r="Z328" s="1380"/>
      <c r="AA328" s="100"/>
      <c r="AB328" s="100"/>
      <c r="AC328" s="100"/>
      <c r="AD328" s="100"/>
      <c r="AE328" s="100"/>
      <c r="AF328" s="100"/>
      <c r="AG328" s="100"/>
      <c r="AH328" s="100"/>
      <c r="AI328" s="100"/>
      <c r="AJ328" s="100"/>
      <c r="AK328" s="100"/>
      <c r="AL328" s="100"/>
      <c r="AM328" s="100"/>
      <c r="AN328" s="100"/>
      <c r="AO328" s="100"/>
      <c r="AP328" s="100"/>
      <c r="AQ328" s="100"/>
      <c r="AR328" s="100"/>
    </row>
    <row r="329" spans="1:44" s="281" customFormat="1" ht="12" customHeight="1">
      <c r="A329" s="100"/>
      <c r="P329" s="153"/>
      <c r="X329" s="100"/>
      <c r="Y329" s="100"/>
      <c r="Z329" s="1380"/>
      <c r="AA329" s="100"/>
      <c r="AB329" s="100"/>
      <c r="AC329" s="100"/>
      <c r="AD329" s="100"/>
      <c r="AE329" s="100"/>
      <c r="AF329" s="100"/>
      <c r="AG329" s="100"/>
      <c r="AH329" s="100"/>
      <c r="AI329" s="100"/>
      <c r="AJ329" s="100"/>
      <c r="AK329" s="100"/>
      <c r="AL329" s="100"/>
      <c r="AM329" s="100"/>
      <c r="AN329" s="100"/>
      <c r="AO329" s="100"/>
      <c r="AP329" s="100"/>
      <c r="AQ329" s="100"/>
      <c r="AR329" s="100"/>
    </row>
    <row r="330" spans="1:44" s="281" customFormat="1" ht="12" customHeight="1">
      <c r="A330" s="100"/>
      <c r="P330" s="153"/>
      <c r="X330" s="100"/>
      <c r="Y330" s="100"/>
      <c r="Z330" s="1380"/>
      <c r="AA330" s="100"/>
      <c r="AB330" s="100"/>
      <c r="AC330" s="100"/>
      <c r="AD330" s="100"/>
      <c r="AE330" s="100"/>
      <c r="AF330" s="100"/>
      <c r="AG330" s="100"/>
      <c r="AH330" s="100"/>
      <c r="AI330" s="100"/>
      <c r="AJ330" s="100"/>
      <c r="AK330" s="100"/>
      <c r="AL330" s="100"/>
      <c r="AM330" s="100"/>
      <c r="AN330" s="100"/>
      <c r="AO330" s="100"/>
      <c r="AP330" s="100"/>
      <c r="AQ330" s="100"/>
      <c r="AR330" s="100"/>
    </row>
    <row r="331" spans="1:44" s="281" customFormat="1" ht="12" customHeight="1">
      <c r="A331" s="100"/>
      <c r="P331" s="153"/>
      <c r="X331" s="100"/>
      <c r="Y331" s="100"/>
      <c r="Z331" s="1380"/>
      <c r="AA331" s="100"/>
      <c r="AB331" s="100"/>
      <c r="AC331" s="100"/>
      <c r="AD331" s="100"/>
      <c r="AE331" s="100"/>
      <c r="AF331" s="100"/>
      <c r="AG331" s="100"/>
      <c r="AH331" s="100"/>
      <c r="AI331" s="100"/>
      <c r="AJ331" s="100"/>
      <c r="AK331" s="100"/>
      <c r="AL331" s="100"/>
      <c r="AM331" s="100"/>
      <c r="AN331" s="100"/>
      <c r="AO331" s="100"/>
      <c r="AP331" s="100"/>
      <c r="AQ331" s="100"/>
      <c r="AR331" s="100"/>
    </row>
    <row r="332" spans="1:44" s="281" customFormat="1" ht="12" customHeight="1">
      <c r="A332" s="100"/>
      <c r="P332" s="153"/>
      <c r="X332" s="100"/>
      <c r="Y332" s="100"/>
      <c r="Z332" s="1380"/>
      <c r="AA332" s="100"/>
      <c r="AB332" s="100"/>
      <c r="AC332" s="100"/>
      <c r="AD332" s="100"/>
      <c r="AE332" s="100"/>
      <c r="AF332" s="100"/>
      <c r="AG332" s="100"/>
      <c r="AH332" s="100"/>
      <c r="AI332" s="100"/>
      <c r="AJ332" s="100"/>
      <c r="AK332" s="100"/>
      <c r="AL332" s="100"/>
      <c r="AM332" s="100"/>
      <c r="AN332" s="100"/>
      <c r="AO332" s="100"/>
      <c r="AP332" s="100"/>
      <c r="AQ332" s="100"/>
      <c r="AR332" s="100"/>
    </row>
    <row r="333" spans="1:44" s="281" customFormat="1" ht="12" customHeight="1">
      <c r="A333" s="100"/>
      <c r="P333" s="153"/>
      <c r="X333" s="100"/>
      <c r="Y333" s="100"/>
      <c r="Z333" s="1380"/>
      <c r="AA333" s="100"/>
      <c r="AB333" s="100"/>
      <c r="AC333" s="100"/>
      <c r="AD333" s="100"/>
      <c r="AE333" s="100"/>
      <c r="AF333" s="100"/>
      <c r="AG333" s="100"/>
      <c r="AH333" s="100"/>
      <c r="AI333" s="100"/>
      <c r="AJ333" s="100"/>
      <c r="AK333" s="100"/>
      <c r="AL333" s="100"/>
      <c r="AM333" s="100"/>
      <c r="AN333" s="100"/>
      <c r="AO333" s="100"/>
      <c r="AP333" s="100"/>
      <c r="AQ333" s="100"/>
      <c r="AR333" s="100"/>
    </row>
    <row r="334" spans="1:44" s="281" customFormat="1" ht="12" customHeight="1">
      <c r="A334" s="100"/>
      <c r="P334" s="153"/>
      <c r="X334" s="100"/>
      <c r="Y334" s="100"/>
      <c r="Z334" s="1380"/>
      <c r="AA334" s="100"/>
      <c r="AB334" s="100"/>
      <c r="AC334" s="100"/>
      <c r="AD334" s="100"/>
      <c r="AE334" s="100"/>
      <c r="AF334" s="100"/>
      <c r="AG334" s="100"/>
      <c r="AH334" s="100"/>
      <c r="AI334" s="100"/>
      <c r="AJ334" s="100"/>
      <c r="AK334" s="100"/>
      <c r="AL334" s="100"/>
      <c r="AM334" s="100"/>
      <c r="AN334" s="100"/>
      <c r="AO334" s="100"/>
      <c r="AP334" s="100"/>
      <c r="AQ334" s="100"/>
      <c r="AR334" s="100"/>
    </row>
    <row r="335" spans="1:44" s="281" customFormat="1" ht="12" customHeight="1">
      <c r="A335" s="100"/>
      <c r="P335" s="153"/>
      <c r="X335" s="100"/>
      <c r="Y335" s="100"/>
      <c r="Z335" s="1380"/>
      <c r="AA335" s="100"/>
      <c r="AB335" s="100"/>
      <c r="AC335" s="100"/>
      <c r="AD335" s="100"/>
      <c r="AE335" s="100"/>
      <c r="AF335" s="100"/>
      <c r="AG335" s="100"/>
      <c r="AH335" s="100"/>
      <c r="AI335" s="100"/>
      <c r="AJ335" s="100"/>
      <c r="AK335" s="100"/>
      <c r="AL335" s="100"/>
      <c r="AM335" s="100"/>
      <c r="AN335" s="100"/>
      <c r="AO335" s="100"/>
      <c r="AP335" s="100"/>
      <c r="AQ335" s="100"/>
      <c r="AR335" s="100"/>
    </row>
    <row r="336" spans="1:44" s="281" customFormat="1" ht="12" customHeight="1">
      <c r="A336" s="100"/>
      <c r="P336" s="153"/>
      <c r="X336" s="100"/>
      <c r="Y336" s="100"/>
      <c r="Z336" s="1380"/>
      <c r="AA336" s="100"/>
      <c r="AB336" s="100"/>
      <c r="AC336" s="100"/>
      <c r="AD336" s="100"/>
      <c r="AE336" s="100"/>
      <c r="AF336" s="100"/>
      <c r="AG336" s="100"/>
      <c r="AH336" s="100"/>
      <c r="AI336" s="100"/>
      <c r="AJ336" s="100"/>
      <c r="AK336" s="100"/>
      <c r="AL336" s="100"/>
      <c r="AM336" s="100"/>
      <c r="AN336" s="100"/>
      <c r="AO336" s="100"/>
      <c r="AP336" s="100"/>
      <c r="AQ336" s="100"/>
      <c r="AR336" s="100"/>
    </row>
    <row r="337" spans="1:44" s="281" customFormat="1" ht="12" customHeight="1">
      <c r="A337" s="100"/>
      <c r="P337" s="153"/>
      <c r="X337" s="100"/>
      <c r="Y337" s="100"/>
      <c r="Z337" s="1380"/>
      <c r="AA337" s="100"/>
      <c r="AB337" s="100"/>
      <c r="AC337" s="100"/>
      <c r="AD337" s="100"/>
      <c r="AE337" s="100"/>
      <c r="AF337" s="100"/>
      <c r="AG337" s="100"/>
      <c r="AH337" s="100"/>
      <c r="AI337" s="100"/>
      <c r="AJ337" s="100"/>
      <c r="AK337" s="100"/>
      <c r="AL337" s="100"/>
      <c r="AM337" s="100"/>
      <c r="AN337" s="100"/>
      <c r="AO337" s="100"/>
      <c r="AP337" s="100"/>
      <c r="AQ337" s="100"/>
      <c r="AR337" s="100"/>
    </row>
    <row r="338" spans="1:44" s="281" customFormat="1" ht="12" customHeight="1">
      <c r="A338" s="100"/>
      <c r="P338" s="153"/>
      <c r="X338" s="100"/>
      <c r="Y338" s="100"/>
      <c r="Z338" s="1380"/>
      <c r="AA338" s="100"/>
      <c r="AB338" s="100"/>
      <c r="AC338" s="100"/>
      <c r="AD338" s="100"/>
      <c r="AE338" s="100"/>
      <c r="AF338" s="100"/>
      <c r="AG338" s="100"/>
      <c r="AH338" s="100"/>
      <c r="AI338" s="100"/>
      <c r="AJ338" s="100"/>
      <c r="AK338" s="100"/>
      <c r="AL338" s="100"/>
      <c r="AM338" s="100"/>
      <c r="AN338" s="100"/>
      <c r="AO338" s="100"/>
      <c r="AP338" s="100"/>
      <c r="AQ338" s="100"/>
      <c r="AR338" s="100"/>
    </row>
    <row r="339" spans="1:44" s="281" customFormat="1" ht="12" customHeight="1">
      <c r="A339" s="100"/>
      <c r="P339" s="153"/>
      <c r="X339" s="100"/>
      <c r="Y339" s="100"/>
      <c r="Z339" s="1380"/>
      <c r="AA339" s="100"/>
      <c r="AB339" s="100"/>
      <c r="AC339" s="100"/>
      <c r="AD339" s="100"/>
      <c r="AE339" s="100"/>
      <c r="AF339" s="100"/>
      <c r="AG339" s="100"/>
      <c r="AH339" s="100"/>
      <c r="AI339" s="100"/>
      <c r="AJ339" s="100"/>
      <c r="AK339" s="100"/>
      <c r="AL339" s="100"/>
      <c r="AM339" s="100"/>
      <c r="AN339" s="100"/>
      <c r="AO339" s="100"/>
      <c r="AP339" s="100"/>
      <c r="AQ339" s="100"/>
      <c r="AR339" s="100"/>
    </row>
    <row r="340" spans="1:44" s="281" customFormat="1" ht="12" customHeight="1">
      <c r="A340" s="100"/>
      <c r="P340" s="153"/>
      <c r="X340" s="100"/>
      <c r="Y340" s="100"/>
      <c r="Z340" s="1380"/>
      <c r="AA340" s="100"/>
      <c r="AB340" s="100"/>
      <c r="AC340" s="100"/>
      <c r="AD340" s="100"/>
      <c r="AE340" s="100"/>
      <c r="AF340" s="100"/>
      <c r="AG340" s="100"/>
      <c r="AH340" s="100"/>
      <c r="AI340" s="100"/>
      <c r="AJ340" s="100"/>
      <c r="AK340" s="100"/>
      <c r="AL340" s="100"/>
      <c r="AM340" s="100"/>
      <c r="AN340" s="100"/>
      <c r="AO340" s="100"/>
      <c r="AP340" s="100"/>
      <c r="AQ340" s="100"/>
      <c r="AR340" s="100"/>
    </row>
    <row r="341" spans="1:44" s="281" customFormat="1" ht="12" customHeight="1">
      <c r="A341" s="100"/>
      <c r="P341" s="307"/>
      <c r="X341" s="100"/>
      <c r="Y341" s="100"/>
      <c r="Z341" s="1380"/>
      <c r="AA341" s="100"/>
      <c r="AB341" s="100"/>
      <c r="AC341" s="100"/>
      <c r="AD341" s="100"/>
      <c r="AE341" s="100"/>
      <c r="AF341" s="100"/>
      <c r="AG341" s="100"/>
      <c r="AH341" s="100"/>
      <c r="AI341" s="100"/>
      <c r="AJ341" s="100"/>
      <c r="AK341" s="100"/>
      <c r="AL341" s="100"/>
      <c r="AM341" s="100"/>
      <c r="AN341" s="100"/>
      <c r="AO341" s="100"/>
      <c r="AP341" s="100"/>
      <c r="AQ341" s="100"/>
      <c r="AR341" s="100"/>
    </row>
    <row r="342" spans="1:44" s="281" customFormat="1" ht="12" customHeight="1">
      <c r="A342" s="100"/>
      <c r="P342" s="153"/>
      <c r="X342" s="100"/>
      <c r="Y342" s="100"/>
      <c r="Z342" s="1380"/>
      <c r="AA342" s="100"/>
      <c r="AB342" s="100"/>
      <c r="AC342" s="100"/>
      <c r="AD342" s="100"/>
      <c r="AE342" s="100"/>
      <c r="AF342" s="100"/>
      <c r="AG342" s="100"/>
      <c r="AH342" s="100"/>
      <c r="AI342" s="100"/>
      <c r="AJ342" s="100"/>
      <c r="AK342" s="100"/>
      <c r="AL342" s="100"/>
      <c r="AM342" s="100"/>
      <c r="AN342" s="100"/>
      <c r="AO342" s="100"/>
      <c r="AP342" s="100"/>
      <c r="AQ342" s="100"/>
      <c r="AR342" s="100"/>
    </row>
    <row r="343" spans="1:44" s="281" customFormat="1" ht="12" customHeight="1">
      <c r="A343" s="100"/>
      <c r="P343" s="153"/>
      <c r="X343" s="100"/>
      <c r="Y343" s="100"/>
      <c r="Z343" s="1380"/>
      <c r="AA343" s="100"/>
      <c r="AB343" s="100"/>
      <c r="AC343" s="100"/>
      <c r="AD343" s="100"/>
      <c r="AE343" s="100"/>
      <c r="AF343" s="100"/>
      <c r="AG343" s="100"/>
      <c r="AH343" s="100"/>
      <c r="AI343" s="100"/>
      <c r="AJ343" s="100"/>
      <c r="AK343" s="100"/>
      <c r="AL343" s="100"/>
      <c r="AM343" s="100"/>
      <c r="AN343" s="100"/>
      <c r="AO343" s="100"/>
      <c r="AP343" s="100"/>
      <c r="AQ343" s="100"/>
      <c r="AR343" s="100"/>
    </row>
    <row r="344" spans="1:44" s="281" customFormat="1" ht="12" customHeight="1">
      <c r="A344" s="100"/>
      <c r="P344" s="153"/>
      <c r="X344" s="100"/>
      <c r="Y344" s="100"/>
      <c r="Z344" s="1380"/>
      <c r="AA344" s="100"/>
      <c r="AB344" s="100"/>
      <c r="AC344" s="100"/>
      <c r="AD344" s="100"/>
      <c r="AE344" s="100"/>
      <c r="AF344" s="100"/>
      <c r="AG344" s="100"/>
      <c r="AH344" s="100"/>
      <c r="AI344" s="100"/>
      <c r="AJ344" s="100"/>
      <c r="AK344" s="100"/>
      <c r="AL344" s="100"/>
      <c r="AM344" s="100"/>
      <c r="AN344" s="100"/>
      <c r="AO344" s="100"/>
      <c r="AP344" s="100"/>
      <c r="AQ344" s="100"/>
      <c r="AR344" s="100"/>
    </row>
    <row r="345" spans="1:44" s="281" customFormat="1" ht="12" customHeight="1">
      <c r="A345" s="100"/>
      <c r="P345" s="153"/>
      <c r="X345" s="100"/>
      <c r="Y345" s="100"/>
      <c r="Z345" s="1380"/>
      <c r="AA345" s="100"/>
      <c r="AB345" s="100"/>
      <c r="AC345" s="100"/>
      <c r="AD345" s="100"/>
      <c r="AE345" s="100"/>
      <c r="AF345" s="100"/>
      <c r="AG345" s="100"/>
      <c r="AH345" s="100"/>
      <c r="AI345" s="100"/>
      <c r="AJ345" s="100"/>
      <c r="AK345" s="100"/>
      <c r="AL345" s="100"/>
      <c r="AM345" s="100"/>
      <c r="AN345" s="100"/>
      <c r="AO345" s="100"/>
      <c r="AP345" s="100"/>
      <c r="AQ345" s="100"/>
      <c r="AR345" s="100"/>
    </row>
    <row r="346" spans="1:44" s="281" customFormat="1" ht="12" customHeight="1">
      <c r="A346" s="100"/>
      <c r="P346" s="153"/>
      <c r="X346" s="100"/>
      <c r="Y346" s="100"/>
      <c r="Z346" s="1380"/>
      <c r="AA346" s="100"/>
      <c r="AB346" s="100"/>
      <c r="AC346" s="100"/>
      <c r="AD346" s="100"/>
      <c r="AE346" s="100"/>
      <c r="AF346" s="100"/>
      <c r="AG346" s="100"/>
      <c r="AH346" s="100"/>
      <c r="AI346" s="100"/>
      <c r="AJ346" s="100"/>
      <c r="AK346" s="100"/>
      <c r="AL346" s="100"/>
      <c r="AM346" s="100"/>
      <c r="AN346" s="100"/>
      <c r="AO346" s="100"/>
      <c r="AP346" s="100"/>
      <c r="AQ346" s="100"/>
      <c r="AR346" s="100"/>
    </row>
    <row r="347" spans="1:44" s="281" customFormat="1" ht="12" customHeight="1">
      <c r="A347" s="100"/>
      <c r="P347" s="153"/>
      <c r="X347" s="100"/>
      <c r="Y347" s="100"/>
      <c r="Z347" s="1380"/>
      <c r="AA347" s="100"/>
      <c r="AB347" s="100"/>
      <c r="AC347" s="100"/>
      <c r="AD347" s="100"/>
      <c r="AE347" s="100"/>
      <c r="AF347" s="100"/>
      <c r="AG347" s="100"/>
      <c r="AH347" s="100"/>
      <c r="AI347" s="100"/>
      <c r="AJ347" s="100"/>
      <c r="AK347" s="100"/>
      <c r="AL347" s="100"/>
      <c r="AM347" s="100"/>
      <c r="AN347" s="100"/>
      <c r="AO347" s="100"/>
      <c r="AP347" s="100"/>
      <c r="AQ347" s="100"/>
      <c r="AR347" s="100"/>
    </row>
    <row r="348" spans="1:44" s="281" customFormat="1" ht="12" customHeight="1">
      <c r="A348" s="100"/>
      <c r="P348" s="153"/>
      <c r="X348" s="100"/>
      <c r="Y348" s="100"/>
      <c r="Z348" s="1380"/>
      <c r="AA348" s="100"/>
      <c r="AB348" s="100"/>
      <c r="AC348" s="100"/>
      <c r="AD348" s="100"/>
      <c r="AE348" s="100"/>
      <c r="AF348" s="100"/>
      <c r="AG348" s="100"/>
      <c r="AH348" s="100"/>
      <c r="AI348" s="100"/>
      <c r="AJ348" s="100"/>
      <c r="AK348" s="100"/>
      <c r="AL348" s="100"/>
      <c r="AM348" s="100"/>
      <c r="AN348" s="100"/>
      <c r="AO348" s="100"/>
      <c r="AP348" s="100"/>
      <c r="AQ348" s="100"/>
      <c r="AR348" s="100"/>
    </row>
    <row r="349" spans="1:44" s="281" customFormat="1" ht="12" customHeight="1">
      <c r="A349" s="100"/>
      <c r="P349" s="153"/>
      <c r="X349" s="100"/>
      <c r="Y349" s="100"/>
      <c r="Z349" s="1380"/>
      <c r="AA349" s="100"/>
      <c r="AB349" s="100"/>
      <c r="AC349" s="100"/>
      <c r="AD349" s="100"/>
      <c r="AE349" s="100"/>
      <c r="AF349" s="100"/>
      <c r="AG349" s="100"/>
      <c r="AH349" s="100"/>
      <c r="AI349" s="100"/>
      <c r="AJ349" s="100"/>
      <c r="AK349" s="100"/>
      <c r="AL349" s="100"/>
      <c r="AM349" s="100"/>
      <c r="AN349" s="100"/>
      <c r="AO349" s="100"/>
      <c r="AP349" s="100"/>
      <c r="AQ349" s="100"/>
      <c r="AR349" s="100"/>
    </row>
    <row r="350" spans="1:44" s="281" customFormat="1" ht="12" customHeight="1">
      <c r="A350" s="100"/>
      <c r="P350" s="307"/>
      <c r="X350" s="100"/>
      <c r="Y350" s="100"/>
      <c r="Z350" s="1380"/>
      <c r="AA350" s="100"/>
      <c r="AB350" s="100"/>
      <c r="AC350" s="100"/>
      <c r="AD350" s="100"/>
      <c r="AE350" s="100"/>
      <c r="AF350" s="100"/>
      <c r="AG350" s="100"/>
      <c r="AH350" s="100"/>
      <c r="AI350" s="100"/>
      <c r="AJ350" s="100"/>
      <c r="AK350" s="100"/>
      <c r="AL350" s="100"/>
      <c r="AM350" s="100"/>
      <c r="AN350" s="100"/>
      <c r="AO350" s="100"/>
      <c r="AP350" s="100"/>
      <c r="AQ350" s="100"/>
      <c r="AR350" s="100"/>
    </row>
    <row r="351" spans="1:44" s="281" customFormat="1" ht="12" customHeight="1">
      <c r="A351" s="100"/>
      <c r="P351" s="307"/>
      <c r="X351" s="100"/>
      <c r="Y351" s="100"/>
      <c r="Z351" s="1380"/>
      <c r="AA351" s="100"/>
      <c r="AB351" s="100"/>
      <c r="AC351" s="100"/>
      <c r="AD351" s="100"/>
      <c r="AE351" s="100"/>
      <c r="AF351" s="100"/>
      <c r="AG351" s="100"/>
      <c r="AH351" s="100"/>
      <c r="AI351" s="100"/>
      <c r="AJ351" s="100"/>
      <c r="AK351" s="100"/>
      <c r="AL351" s="100"/>
      <c r="AM351" s="100"/>
      <c r="AN351" s="100"/>
      <c r="AO351" s="100"/>
      <c r="AP351" s="100"/>
      <c r="AQ351" s="100"/>
      <c r="AR351" s="100"/>
    </row>
    <row r="352" spans="1:44" s="281" customFormat="1" ht="12" customHeight="1">
      <c r="A352" s="100"/>
      <c r="P352" s="153"/>
      <c r="X352" s="100"/>
      <c r="Y352" s="100"/>
      <c r="Z352" s="1380"/>
      <c r="AA352" s="100"/>
      <c r="AB352" s="100"/>
      <c r="AC352" s="100"/>
      <c r="AD352" s="100"/>
      <c r="AE352" s="100"/>
      <c r="AF352" s="100"/>
      <c r="AG352" s="100"/>
      <c r="AH352" s="100"/>
      <c r="AI352" s="100"/>
      <c r="AJ352" s="100"/>
      <c r="AK352" s="100"/>
      <c r="AL352" s="100"/>
      <c r="AM352" s="100"/>
      <c r="AN352" s="100"/>
      <c r="AO352" s="100"/>
      <c r="AP352" s="100"/>
      <c r="AQ352" s="100"/>
      <c r="AR352" s="100"/>
    </row>
    <row r="353" spans="1:44" s="281" customFormat="1" ht="12" customHeight="1">
      <c r="A353" s="100"/>
      <c r="P353" s="153"/>
      <c r="X353" s="100"/>
      <c r="Y353" s="100"/>
      <c r="Z353" s="1380"/>
      <c r="AA353" s="100"/>
      <c r="AB353" s="100"/>
      <c r="AC353" s="100"/>
      <c r="AD353" s="100"/>
      <c r="AE353" s="100"/>
      <c r="AF353" s="100"/>
      <c r="AG353" s="100"/>
      <c r="AH353" s="100"/>
      <c r="AI353" s="100"/>
      <c r="AJ353" s="100"/>
      <c r="AK353" s="100"/>
      <c r="AL353" s="100"/>
      <c r="AM353" s="100"/>
      <c r="AN353" s="100"/>
      <c r="AO353" s="100"/>
      <c r="AP353" s="100"/>
      <c r="AQ353" s="100"/>
      <c r="AR353" s="100"/>
    </row>
    <row r="354" spans="1:44" s="281" customFormat="1" ht="12" customHeight="1">
      <c r="A354" s="100"/>
      <c r="P354" s="153"/>
      <c r="X354" s="100"/>
      <c r="Y354" s="100"/>
      <c r="Z354" s="1380"/>
      <c r="AA354" s="100"/>
      <c r="AB354" s="100"/>
      <c r="AC354" s="100"/>
      <c r="AD354" s="100"/>
      <c r="AE354" s="100"/>
      <c r="AF354" s="100"/>
      <c r="AG354" s="100"/>
      <c r="AH354" s="100"/>
      <c r="AI354" s="100"/>
      <c r="AJ354" s="100"/>
      <c r="AK354" s="100"/>
      <c r="AL354" s="100"/>
      <c r="AM354" s="100"/>
      <c r="AN354" s="100"/>
      <c r="AO354" s="100"/>
      <c r="AP354" s="100"/>
      <c r="AQ354" s="100"/>
      <c r="AR354" s="100"/>
    </row>
    <row r="355" spans="1:44" s="281" customFormat="1" ht="12" customHeight="1">
      <c r="A355" s="100"/>
      <c r="P355" s="153"/>
      <c r="X355" s="100"/>
      <c r="Y355" s="100"/>
      <c r="Z355" s="1380"/>
      <c r="AA355" s="100"/>
      <c r="AB355" s="100"/>
      <c r="AC355" s="100"/>
      <c r="AD355" s="100"/>
      <c r="AE355" s="100"/>
      <c r="AF355" s="100"/>
      <c r="AG355" s="100"/>
      <c r="AH355" s="100"/>
      <c r="AI355" s="100"/>
      <c r="AJ355" s="100"/>
      <c r="AK355" s="100"/>
      <c r="AL355" s="100"/>
      <c r="AM355" s="100"/>
      <c r="AN355" s="100"/>
      <c r="AO355" s="100"/>
      <c r="AP355" s="100"/>
      <c r="AQ355" s="100"/>
      <c r="AR355" s="100"/>
    </row>
    <row r="356" spans="1:44" s="281" customFormat="1" ht="12" customHeight="1">
      <c r="A356" s="100"/>
      <c r="P356" s="153"/>
      <c r="X356" s="100"/>
      <c r="Y356" s="100"/>
      <c r="Z356" s="1380"/>
      <c r="AA356" s="100"/>
      <c r="AB356" s="100"/>
      <c r="AC356" s="100"/>
      <c r="AD356" s="100"/>
      <c r="AE356" s="100"/>
      <c r="AF356" s="100"/>
      <c r="AG356" s="100"/>
      <c r="AH356" s="100"/>
      <c r="AI356" s="100"/>
      <c r="AJ356" s="100"/>
      <c r="AK356" s="100"/>
      <c r="AL356" s="100"/>
      <c r="AM356" s="100"/>
      <c r="AN356" s="100"/>
      <c r="AO356" s="100"/>
      <c r="AP356" s="100"/>
      <c r="AQ356" s="100"/>
      <c r="AR356" s="100"/>
    </row>
    <row r="357" spans="1:44" s="281" customFormat="1" ht="12" customHeight="1">
      <c r="A357" s="100"/>
      <c r="P357" s="153"/>
      <c r="X357" s="100"/>
      <c r="Y357" s="100"/>
      <c r="Z357" s="1380"/>
      <c r="AA357" s="100"/>
      <c r="AB357" s="100"/>
      <c r="AC357" s="100"/>
      <c r="AD357" s="100"/>
      <c r="AE357" s="100"/>
      <c r="AF357" s="100"/>
      <c r="AG357" s="100"/>
      <c r="AH357" s="100"/>
      <c r="AI357" s="100"/>
      <c r="AJ357" s="100"/>
      <c r="AK357" s="100"/>
      <c r="AL357" s="100"/>
      <c r="AM357" s="100"/>
      <c r="AN357" s="100"/>
      <c r="AO357" s="100"/>
      <c r="AP357" s="100"/>
      <c r="AQ357" s="100"/>
      <c r="AR357" s="100"/>
    </row>
    <row r="358" spans="1:44" s="281" customFormat="1" ht="12" customHeight="1">
      <c r="A358" s="100"/>
      <c r="P358" s="153"/>
      <c r="X358" s="100"/>
      <c r="Y358" s="100"/>
      <c r="Z358" s="1380"/>
      <c r="AA358" s="100"/>
      <c r="AB358" s="100"/>
      <c r="AC358" s="100"/>
      <c r="AD358" s="100"/>
      <c r="AE358" s="100"/>
      <c r="AF358" s="100"/>
      <c r="AG358" s="100"/>
      <c r="AH358" s="100"/>
      <c r="AI358" s="100"/>
      <c r="AJ358" s="100"/>
      <c r="AK358" s="100"/>
      <c r="AL358" s="100"/>
      <c r="AM358" s="100"/>
      <c r="AN358" s="100"/>
      <c r="AO358" s="100"/>
      <c r="AP358" s="100"/>
      <c r="AQ358" s="100"/>
      <c r="AR358" s="100"/>
    </row>
    <row r="359" spans="1:44" s="281" customFormat="1" ht="12" customHeight="1">
      <c r="A359" s="100"/>
      <c r="P359" s="153"/>
      <c r="X359" s="100"/>
      <c r="Y359" s="100"/>
      <c r="Z359" s="1380"/>
      <c r="AA359" s="100"/>
      <c r="AB359" s="100"/>
      <c r="AC359" s="100"/>
      <c r="AD359" s="100"/>
      <c r="AE359" s="100"/>
      <c r="AF359" s="100"/>
      <c r="AG359" s="100"/>
      <c r="AH359" s="100"/>
      <c r="AI359" s="100"/>
      <c r="AJ359" s="100"/>
      <c r="AK359" s="100"/>
      <c r="AL359" s="100"/>
      <c r="AM359" s="100"/>
      <c r="AN359" s="100"/>
      <c r="AO359" s="100"/>
      <c r="AP359" s="100"/>
      <c r="AQ359" s="100"/>
      <c r="AR359" s="100"/>
    </row>
    <row r="360" spans="1:44" s="281" customFormat="1" ht="12" customHeight="1">
      <c r="A360" s="100"/>
      <c r="P360" s="153"/>
      <c r="X360" s="100"/>
      <c r="Y360" s="100"/>
      <c r="Z360" s="1380"/>
      <c r="AA360" s="100"/>
      <c r="AB360" s="100"/>
      <c r="AC360" s="100"/>
      <c r="AD360" s="100"/>
      <c r="AE360" s="100"/>
      <c r="AF360" s="100"/>
      <c r="AG360" s="100"/>
      <c r="AH360" s="100"/>
      <c r="AI360" s="100"/>
      <c r="AJ360" s="100"/>
      <c r="AK360" s="100"/>
      <c r="AL360" s="100"/>
      <c r="AM360" s="100"/>
      <c r="AN360" s="100"/>
      <c r="AO360" s="100"/>
      <c r="AP360" s="100"/>
      <c r="AQ360" s="100"/>
      <c r="AR360" s="100"/>
    </row>
    <row r="361" spans="1:44" s="281" customFormat="1" ht="12" customHeight="1">
      <c r="A361" s="100"/>
      <c r="P361" s="307"/>
      <c r="X361" s="100"/>
      <c r="Y361" s="100"/>
      <c r="Z361" s="1380"/>
      <c r="AA361" s="100"/>
      <c r="AB361" s="100"/>
      <c r="AC361" s="100"/>
      <c r="AD361" s="100"/>
      <c r="AE361" s="100"/>
      <c r="AF361" s="100"/>
      <c r="AG361" s="100"/>
      <c r="AH361" s="100"/>
      <c r="AI361" s="100"/>
      <c r="AJ361" s="100"/>
      <c r="AK361" s="100"/>
      <c r="AL361" s="100"/>
      <c r="AM361" s="100"/>
      <c r="AN361" s="100"/>
      <c r="AO361" s="100"/>
      <c r="AP361" s="100"/>
      <c r="AQ361" s="100"/>
      <c r="AR361" s="100"/>
    </row>
    <row r="362" spans="1:44" s="281" customFormat="1" ht="12" customHeight="1">
      <c r="A362" s="100"/>
      <c r="P362" s="153"/>
      <c r="X362" s="100"/>
      <c r="Y362" s="100"/>
      <c r="Z362" s="1380"/>
      <c r="AA362" s="100"/>
      <c r="AB362" s="100"/>
      <c r="AC362" s="100"/>
      <c r="AD362" s="100"/>
      <c r="AE362" s="100"/>
      <c r="AF362" s="100"/>
      <c r="AG362" s="100"/>
      <c r="AH362" s="100"/>
      <c r="AI362" s="100"/>
      <c r="AJ362" s="100"/>
      <c r="AK362" s="100"/>
      <c r="AL362" s="100"/>
      <c r="AM362" s="100"/>
      <c r="AN362" s="100"/>
      <c r="AO362" s="100"/>
      <c r="AP362" s="100"/>
      <c r="AQ362" s="100"/>
      <c r="AR362" s="100"/>
    </row>
    <row r="363" spans="1:44" s="281" customFormat="1" ht="12" customHeight="1">
      <c r="A363" s="100"/>
      <c r="P363" s="307"/>
      <c r="X363" s="100"/>
      <c r="Y363" s="100"/>
      <c r="Z363" s="1380"/>
      <c r="AA363" s="100"/>
      <c r="AB363" s="100"/>
      <c r="AC363" s="100"/>
      <c r="AD363" s="100"/>
      <c r="AE363" s="100"/>
      <c r="AF363" s="100"/>
      <c r="AG363" s="100"/>
      <c r="AH363" s="100"/>
      <c r="AI363" s="100"/>
      <c r="AJ363" s="100"/>
      <c r="AK363" s="100"/>
      <c r="AL363" s="100"/>
      <c r="AM363" s="100"/>
      <c r="AN363" s="100"/>
      <c r="AO363" s="100"/>
      <c r="AP363" s="100"/>
      <c r="AQ363" s="100"/>
      <c r="AR363" s="100"/>
    </row>
    <row r="364" spans="1:44" s="281" customFormat="1" ht="12" customHeight="1">
      <c r="A364" s="100"/>
      <c r="P364" s="307"/>
      <c r="X364" s="100"/>
      <c r="Y364" s="100"/>
      <c r="Z364" s="1380"/>
      <c r="AA364" s="100"/>
      <c r="AB364" s="100"/>
      <c r="AC364" s="100"/>
      <c r="AD364" s="100"/>
      <c r="AE364" s="100"/>
      <c r="AF364" s="100"/>
      <c r="AG364" s="100"/>
      <c r="AH364" s="100"/>
      <c r="AI364" s="100"/>
      <c r="AJ364" s="100"/>
      <c r="AK364" s="100"/>
      <c r="AL364" s="100"/>
      <c r="AM364" s="100"/>
      <c r="AN364" s="100"/>
      <c r="AO364" s="100"/>
      <c r="AP364" s="100"/>
      <c r="AQ364" s="100"/>
      <c r="AR364" s="100"/>
    </row>
    <row r="365" spans="1:44" s="281" customFormat="1" ht="12" customHeight="1">
      <c r="A365" s="100"/>
      <c r="P365" s="153"/>
      <c r="X365" s="100"/>
      <c r="Y365" s="100"/>
      <c r="Z365" s="1380"/>
      <c r="AA365" s="100"/>
      <c r="AB365" s="100"/>
      <c r="AC365" s="100"/>
      <c r="AD365" s="100"/>
      <c r="AE365" s="100"/>
      <c r="AF365" s="100"/>
      <c r="AG365" s="100"/>
      <c r="AH365" s="100"/>
      <c r="AI365" s="100"/>
      <c r="AJ365" s="100"/>
      <c r="AK365" s="100"/>
      <c r="AL365" s="100"/>
      <c r="AM365" s="100"/>
      <c r="AN365" s="100"/>
      <c r="AO365" s="100"/>
      <c r="AP365" s="100"/>
      <c r="AQ365" s="100"/>
      <c r="AR365" s="100"/>
    </row>
    <row r="366" spans="1:44" s="281" customFormat="1" ht="12" customHeight="1">
      <c r="A366" s="100"/>
      <c r="P366" s="153"/>
      <c r="X366" s="100"/>
      <c r="Y366" s="100"/>
      <c r="Z366" s="1380"/>
      <c r="AA366" s="100"/>
      <c r="AB366" s="100"/>
      <c r="AC366" s="100"/>
      <c r="AD366" s="100"/>
      <c r="AE366" s="100"/>
      <c r="AF366" s="100"/>
      <c r="AG366" s="100"/>
      <c r="AH366" s="100"/>
      <c r="AI366" s="100"/>
      <c r="AJ366" s="100"/>
      <c r="AK366" s="100"/>
      <c r="AL366" s="100"/>
      <c r="AM366" s="100"/>
      <c r="AN366" s="100"/>
      <c r="AO366" s="100"/>
      <c r="AP366" s="100"/>
      <c r="AQ366" s="100"/>
      <c r="AR366" s="100"/>
    </row>
    <row r="367" spans="1:44" s="281" customFormat="1" ht="12" customHeight="1">
      <c r="A367" s="100"/>
      <c r="P367" s="153"/>
      <c r="X367" s="100"/>
      <c r="Y367" s="100"/>
      <c r="Z367" s="1380"/>
      <c r="AA367" s="100"/>
      <c r="AB367" s="100"/>
      <c r="AC367" s="100"/>
      <c r="AD367" s="100"/>
      <c r="AE367" s="100"/>
      <c r="AF367" s="100"/>
      <c r="AG367" s="100"/>
      <c r="AH367" s="100"/>
      <c r="AI367" s="100"/>
      <c r="AJ367" s="100"/>
      <c r="AK367" s="100"/>
      <c r="AL367" s="100"/>
      <c r="AM367" s="100"/>
      <c r="AN367" s="100"/>
      <c r="AO367" s="100"/>
      <c r="AP367" s="100"/>
      <c r="AQ367" s="100"/>
      <c r="AR367" s="100"/>
    </row>
    <row r="368" spans="1:44" s="281" customFormat="1" ht="12" customHeight="1">
      <c r="A368" s="100"/>
      <c r="P368" s="153"/>
      <c r="X368" s="100"/>
      <c r="Y368" s="100"/>
      <c r="Z368" s="1380"/>
      <c r="AA368" s="100"/>
      <c r="AB368" s="100"/>
      <c r="AC368" s="100"/>
      <c r="AD368" s="100"/>
      <c r="AE368" s="100"/>
      <c r="AF368" s="100"/>
      <c r="AG368" s="100"/>
      <c r="AH368" s="100"/>
      <c r="AI368" s="100"/>
      <c r="AJ368" s="100"/>
      <c r="AK368" s="100"/>
      <c r="AL368" s="100"/>
      <c r="AM368" s="100"/>
      <c r="AN368" s="100"/>
      <c r="AO368" s="100"/>
      <c r="AP368" s="100"/>
      <c r="AQ368" s="100"/>
      <c r="AR368" s="100"/>
    </row>
    <row r="369" spans="1:44" s="281" customFormat="1" ht="12" customHeight="1">
      <c r="A369" s="100"/>
      <c r="P369" s="153"/>
      <c r="X369" s="100"/>
      <c r="Y369" s="100"/>
      <c r="Z369" s="1380"/>
      <c r="AA369" s="100"/>
      <c r="AB369" s="100"/>
      <c r="AC369" s="100"/>
      <c r="AD369" s="100"/>
      <c r="AE369" s="100"/>
      <c r="AF369" s="100"/>
      <c r="AG369" s="100"/>
      <c r="AH369" s="100"/>
      <c r="AI369" s="100"/>
      <c r="AJ369" s="100"/>
      <c r="AK369" s="100"/>
      <c r="AL369" s="100"/>
      <c r="AM369" s="100"/>
      <c r="AN369" s="100"/>
      <c r="AO369" s="100"/>
      <c r="AP369" s="100"/>
      <c r="AQ369" s="100"/>
      <c r="AR369" s="100"/>
    </row>
    <row r="370" spans="1:44" s="281" customFormat="1" ht="12" customHeight="1">
      <c r="A370" s="100"/>
      <c r="P370" s="153"/>
      <c r="X370" s="100"/>
      <c r="Y370" s="100"/>
      <c r="Z370" s="1380"/>
      <c r="AA370" s="100"/>
      <c r="AB370" s="100"/>
      <c r="AC370" s="100"/>
      <c r="AD370" s="100"/>
      <c r="AE370" s="100"/>
      <c r="AF370" s="100"/>
      <c r="AG370" s="100"/>
      <c r="AH370" s="100"/>
      <c r="AI370" s="100"/>
      <c r="AJ370" s="100"/>
      <c r="AK370" s="100"/>
      <c r="AL370" s="100"/>
      <c r="AM370" s="100"/>
      <c r="AN370" s="100"/>
      <c r="AO370" s="100"/>
      <c r="AP370" s="100"/>
      <c r="AQ370" s="100"/>
      <c r="AR370" s="100"/>
    </row>
    <row r="371" spans="1:44" s="281" customFormat="1" ht="12" customHeight="1">
      <c r="A371" s="100"/>
      <c r="P371" s="153"/>
      <c r="X371" s="100"/>
      <c r="Y371" s="100"/>
      <c r="Z371" s="1380"/>
      <c r="AA371" s="100"/>
      <c r="AB371" s="100"/>
      <c r="AC371" s="100"/>
      <c r="AD371" s="100"/>
      <c r="AE371" s="100"/>
      <c r="AF371" s="100"/>
      <c r="AG371" s="100"/>
      <c r="AH371" s="100"/>
      <c r="AI371" s="100"/>
      <c r="AJ371" s="100"/>
      <c r="AK371" s="100"/>
      <c r="AL371" s="100"/>
      <c r="AM371" s="100"/>
      <c r="AN371" s="100"/>
      <c r="AO371" s="100"/>
      <c r="AP371" s="100"/>
      <c r="AQ371" s="100"/>
      <c r="AR371" s="100"/>
    </row>
    <row r="372" spans="1:44" s="281" customFormat="1" ht="12" customHeight="1">
      <c r="A372" s="100"/>
      <c r="P372" s="153"/>
      <c r="X372" s="100"/>
      <c r="Y372" s="100"/>
      <c r="Z372" s="1380"/>
      <c r="AA372" s="100"/>
      <c r="AB372" s="100"/>
      <c r="AC372" s="100"/>
      <c r="AD372" s="100"/>
      <c r="AE372" s="100"/>
      <c r="AF372" s="100"/>
      <c r="AG372" s="100"/>
      <c r="AH372" s="100"/>
      <c r="AI372" s="100"/>
      <c r="AJ372" s="100"/>
      <c r="AK372" s="100"/>
      <c r="AL372" s="100"/>
      <c r="AM372" s="100"/>
      <c r="AN372" s="100"/>
      <c r="AO372" s="100"/>
      <c r="AP372" s="100"/>
      <c r="AQ372" s="100"/>
      <c r="AR372" s="100"/>
    </row>
    <row r="373" spans="1:44" s="281" customFormat="1" ht="12" customHeight="1">
      <c r="A373" s="100"/>
      <c r="P373" s="153"/>
      <c r="X373" s="100"/>
      <c r="Y373" s="100"/>
      <c r="Z373" s="1380"/>
      <c r="AA373" s="100"/>
      <c r="AB373" s="100"/>
      <c r="AC373" s="100"/>
      <c r="AD373" s="100"/>
      <c r="AE373" s="100"/>
      <c r="AF373" s="100"/>
      <c r="AG373" s="100"/>
      <c r="AH373" s="100"/>
      <c r="AI373" s="100"/>
      <c r="AJ373" s="100"/>
      <c r="AK373" s="100"/>
      <c r="AL373" s="100"/>
      <c r="AM373" s="100"/>
      <c r="AN373" s="100"/>
      <c r="AO373" s="100"/>
      <c r="AP373" s="100"/>
      <c r="AQ373" s="100"/>
      <c r="AR373" s="100"/>
    </row>
    <row r="374" spans="1:44" s="281" customFormat="1" ht="12" customHeight="1">
      <c r="A374" s="100"/>
      <c r="P374" s="153"/>
      <c r="X374" s="100"/>
      <c r="Y374" s="100"/>
      <c r="Z374" s="1380"/>
      <c r="AA374" s="100"/>
      <c r="AB374" s="100"/>
      <c r="AC374" s="100"/>
      <c r="AD374" s="100"/>
      <c r="AE374" s="100"/>
      <c r="AF374" s="100"/>
      <c r="AG374" s="100"/>
      <c r="AH374" s="100"/>
      <c r="AI374" s="100"/>
      <c r="AJ374" s="100"/>
      <c r="AK374" s="100"/>
      <c r="AL374" s="100"/>
      <c r="AM374" s="100"/>
      <c r="AN374" s="100"/>
      <c r="AO374" s="100"/>
      <c r="AP374" s="100"/>
      <c r="AQ374" s="100"/>
      <c r="AR374" s="100"/>
    </row>
    <row r="375" spans="1:44" s="281" customFormat="1" ht="12" customHeight="1">
      <c r="A375" s="100"/>
      <c r="P375" s="153"/>
      <c r="X375" s="100"/>
      <c r="Y375" s="100"/>
      <c r="Z375" s="1380"/>
      <c r="AA375" s="100"/>
      <c r="AB375" s="100"/>
      <c r="AC375" s="100"/>
      <c r="AD375" s="100"/>
      <c r="AE375" s="100"/>
      <c r="AF375" s="100"/>
      <c r="AG375" s="100"/>
      <c r="AH375" s="100"/>
      <c r="AI375" s="100"/>
      <c r="AJ375" s="100"/>
      <c r="AK375" s="100"/>
      <c r="AL375" s="100"/>
      <c r="AM375" s="100"/>
      <c r="AN375" s="100"/>
      <c r="AO375" s="100"/>
      <c r="AP375" s="100"/>
      <c r="AQ375" s="100"/>
      <c r="AR375" s="100"/>
    </row>
    <row r="376" spans="1:44" s="281" customFormat="1" ht="12" customHeight="1">
      <c r="A376" s="100"/>
      <c r="P376" s="153"/>
      <c r="X376" s="100"/>
      <c r="Y376" s="100"/>
      <c r="Z376" s="1380"/>
      <c r="AA376" s="100"/>
      <c r="AB376" s="100"/>
      <c r="AC376" s="100"/>
      <c r="AD376" s="100"/>
      <c r="AE376" s="100"/>
      <c r="AF376" s="100"/>
      <c r="AG376" s="100"/>
      <c r="AH376" s="100"/>
      <c r="AI376" s="100"/>
      <c r="AJ376" s="100"/>
      <c r="AK376" s="100"/>
      <c r="AL376" s="100"/>
      <c r="AM376" s="100"/>
      <c r="AN376" s="100"/>
      <c r="AO376" s="100"/>
      <c r="AP376" s="100"/>
      <c r="AQ376" s="100"/>
      <c r="AR376" s="100"/>
    </row>
    <row r="377" spans="1:44" s="281" customFormat="1" ht="12" customHeight="1">
      <c r="A377" s="100"/>
      <c r="P377" s="153"/>
      <c r="X377" s="100"/>
      <c r="Y377" s="100"/>
      <c r="Z377" s="1380"/>
      <c r="AA377" s="100"/>
      <c r="AB377" s="100"/>
      <c r="AC377" s="100"/>
      <c r="AD377" s="100"/>
      <c r="AE377" s="100"/>
      <c r="AF377" s="100"/>
      <c r="AG377" s="100"/>
      <c r="AH377" s="100"/>
      <c r="AI377" s="100"/>
      <c r="AJ377" s="100"/>
      <c r="AK377" s="100"/>
      <c r="AL377" s="100"/>
      <c r="AM377" s="100"/>
      <c r="AN377" s="100"/>
      <c r="AO377" s="100"/>
      <c r="AP377" s="100"/>
      <c r="AQ377" s="100"/>
      <c r="AR377" s="100"/>
    </row>
    <row r="378" spans="1:44" s="281" customFormat="1" ht="12" customHeight="1">
      <c r="A378" s="100"/>
      <c r="P378" s="153"/>
      <c r="X378" s="100"/>
      <c r="Y378" s="100"/>
      <c r="Z378" s="1380"/>
      <c r="AA378" s="100"/>
      <c r="AB378" s="100"/>
      <c r="AC378" s="100"/>
      <c r="AD378" s="100"/>
      <c r="AE378" s="100"/>
      <c r="AF378" s="100"/>
      <c r="AG378" s="100"/>
      <c r="AH378" s="100"/>
      <c r="AI378" s="100"/>
      <c r="AJ378" s="100"/>
      <c r="AK378" s="100"/>
      <c r="AL378" s="100"/>
      <c r="AM378" s="100"/>
      <c r="AN378" s="100"/>
      <c r="AO378" s="100"/>
      <c r="AP378" s="100"/>
      <c r="AQ378" s="100"/>
      <c r="AR378" s="100"/>
    </row>
    <row r="379" spans="1:44" s="281" customFormat="1" ht="12" customHeight="1">
      <c r="A379" s="100"/>
      <c r="P379" s="307"/>
      <c r="X379" s="100"/>
      <c r="Y379" s="100"/>
      <c r="Z379" s="1380"/>
      <c r="AA379" s="100"/>
      <c r="AB379" s="100"/>
      <c r="AC379" s="100"/>
      <c r="AD379" s="100"/>
      <c r="AE379" s="100"/>
      <c r="AF379" s="100"/>
      <c r="AG379" s="100"/>
      <c r="AH379" s="100"/>
      <c r="AI379" s="100"/>
      <c r="AJ379" s="100"/>
      <c r="AK379" s="100"/>
      <c r="AL379" s="100"/>
      <c r="AM379" s="100"/>
      <c r="AN379" s="100"/>
      <c r="AO379" s="100"/>
      <c r="AP379" s="100"/>
      <c r="AQ379" s="100"/>
      <c r="AR379" s="100"/>
    </row>
    <row r="380" spans="1:44" s="281" customFormat="1" ht="12" customHeight="1">
      <c r="A380" s="100"/>
      <c r="P380" s="153"/>
      <c r="X380" s="100"/>
      <c r="Y380" s="100"/>
      <c r="Z380" s="1380"/>
      <c r="AA380" s="100"/>
      <c r="AB380" s="100"/>
      <c r="AC380" s="100"/>
      <c r="AD380" s="100"/>
      <c r="AE380" s="100"/>
      <c r="AF380" s="100"/>
      <c r="AG380" s="100"/>
      <c r="AH380" s="100"/>
      <c r="AI380" s="100"/>
      <c r="AJ380" s="100"/>
      <c r="AK380" s="100"/>
      <c r="AL380" s="100"/>
      <c r="AM380" s="100"/>
      <c r="AN380" s="100"/>
      <c r="AO380" s="100"/>
      <c r="AP380" s="100"/>
      <c r="AQ380" s="100"/>
      <c r="AR380" s="100"/>
    </row>
    <row r="381" spans="1:44" s="281" customFormat="1" ht="12" customHeight="1">
      <c r="A381" s="100"/>
      <c r="P381" s="153"/>
      <c r="X381" s="100"/>
      <c r="Y381" s="100"/>
      <c r="Z381" s="1380"/>
      <c r="AA381" s="100"/>
      <c r="AB381" s="100"/>
      <c r="AC381" s="100"/>
      <c r="AD381" s="100"/>
      <c r="AE381" s="100"/>
      <c r="AF381" s="100"/>
      <c r="AG381" s="100"/>
      <c r="AH381" s="100"/>
      <c r="AI381" s="100"/>
      <c r="AJ381" s="100"/>
      <c r="AK381" s="100"/>
      <c r="AL381" s="100"/>
      <c r="AM381" s="100"/>
      <c r="AN381" s="100"/>
      <c r="AO381" s="100"/>
      <c r="AP381" s="100"/>
      <c r="AQ381" s="100"/>
      <c r="AR381" s="100"/>
    </row>
    <row r="382" spans="1:44" s="281" customFormat="1" ht="12" customHeight="1">
      <c r="A382" s="100"/>
      <c r="P382" s="153"/>
      <c r="X382" s="100"/>
      <c r="Y382" s="100"/>
      <c r="Z382" s="1380"/>
      <c r="AA382" s="100"/>
      <c r="AB382" s="100"/>
      <c r="AC382" s="100"/>
      <c r="AD382" s="100"/>
      <c r="AE382" s="100"/>
      <c r="AF382" s="100"/>
      <c r="AG382" s="100"/>
      <c r="AH382" s="100"/>
      <c r="AI382" s="100"/>
      <c r="AJ382" s="100"/>
      <c r="AK382" s="100"/>
      <c r="AL382" s="100"/>
      <c r="AM382" s="100"/>
      <c r="AN382" s="100"/>
      <c r="AO382" s="100"/>
      <c r="AP382" s="100"/>
      <c r="AQ382" s="100"/>
      <c r="AR382" s="100"/>
    </row>
    <row r="383" spans="1:44" s="281" customFormat="1" ht="12" customHeight="1">
      <c r="A383" s="100"/>
      <c r="P383" s="153"/>
      <c r="X383" s="100"/>
      <c r="Y383" s="100"/>
      <c r="Z383" s="1380"/>
      <c r="AA383" s="100"/>
      <c r="AB383" s="100"/>
      <c r="AC383" s="100"/>
      <c r="AD383" s="100"/>
      <c r="AE383" s="100"/>
      <c r="AF383" s="100"/>
      <c r="AG383" s="100"/>
      <c r="AH383" s="100"/>
      <c r="AI383" s="100"/>
      <c r="AJ383" s="100"/>
      <c r="AK383" s="100"/>
      <c r="AL383" s="100"/>
      <c r="AM383" s="100"/>
      <c r="AN383" s="100"/>
      <c r="AO383" s="100"/>
      <c r="AP383" s="100"/>
      <c r="AQ383" s="100"/>
      <c r="AR383" s="100"/>
    </row>
    <row r="384" spans="1:44" s="281" customFormat="1" ht="12" customHeight="1">
      <c r="A384" s="100"/>
      <c r="P384" s="153"/>
      <c r="X384" s="100"/>
      <c r="Y384" s="100"/>
      <c r="Z384" s="1380"/>
      <c r="AA384" s="100"/>
      <c r="AB384" s="100"/>
      <c r="AC384" s="100"/>
      <c r="AD384" s="100"/>
      <c r="AE384" s="100"/>
      <c r="AF384" s="100"/>
      <c r="AG384" s="100"/>
      <c r="AH384" s="100"/>
      <c r="AI384" s="100"/>
      <c r="AJ384" s="100"/>
      <c r="AK384" s="100"/>
      <c r="AL384" s="100"/>
      <c r="AM384" s="100"/>
      <c r="AN384" s="100"/>
      <c r="AO384" s="100"/>
      <c r="AP384" s="100"/>
      <c r="AQ384" s="100"/>
      <c r="AR384" s="100"/>
    </row>
    <row r="385" spans="1:44" s="281" customFormat="1" ht="12" customHeight="1">
      <c r="A385" s="100"/>
      <c r="P385" s="153"/>
      <c r="X385" s="100"/>
      <c r="Y385" s="100"/>
      <c r="Z385" s="1380"/>
      <c r="AA385" s="100"/>
      <c r="AB385" s="100"/>
      <c r="AC385" s="100"/>
      <c r="AD385" s="100"/>
      <c r="AE385" s="100"/>
      <c r="AF385" s="100"/>
      <c r="AG385" s="100"/>
      <c r="AH385" s="100"/>
      <c r="AI385" s="100"/>
      <c r="AJ385" s="100"/>
      <c r="AK385" s="100"/>
      <c r="AL385" s="100"/>
      <c r="AM385" s="100"/>
      <c r="AN385" s="100"/>
      <c r="AO385" s="100"/>
      <c r="AP385" s="100"/>
      <c r="AQ385" s="100"/>
      <c r="AR385" s="100"/>
    </row>
    <row r="386" spans="1:44" s="281" customFormat="1" ht="12" customHeight="1">
      <c r="A386" s="100"/>
      <c r="P386" s="153"/>
      <c r="X386" s="100"/>
      <c r="Y386" s="100"/>
      <c r="Z386" s="1380"/>
      <c r="AA386" s="100"/>
      <c r="AB386" s="100"/>
      <c r="AC386" s="100"/>
      <c r="AD386" s="100"/>
      <c r="AE386" s="100"/>
      <c r="AF386" s="100"/>
      <c r="AG386" s="100"/>
      <c r="AH386" s="100"/>
      <c r="AI386" s="100"/>
      <c r="AJ386" s="100"/>
      <c r="AK386" s="100"/>
      <c r="AL386" s="100"/>
      <c r="AM386" s="100"/>
      <c r="AN386" s="100"/>
      <c r="AO386" s="100"/>
      <c r="AP386" s="100"/>
      <c r="AQ386" s="100"/>
      <c r="AR386" s="100"/>
    </row>
    <row r="387" spans="1:44" s="281" customFormat="1" ht="12" customHeight="1">
      <c r="A387" s="100"/>
      <c r="P387" s="153"/>
      <c r="X387" s="100"/>
      <c r="Y387" s="100"/>
      <c r="Z387" s="1380"/>
      <c r="AA387" s="100"/>
      <c r="AB387" s="100"/>
      <c r="AC387" s="100"/>
      <c r="AD387" s="100"/>
      <c r="AE387" s="100"/>
      <c r="AF387" s="100"/>
      <c r="AG387" s="100"/>
      <c r="AH387" s="100"/>
      <c r="AI387" s="100"/>
      <c r="AJ387" s="100"/>
      <c r="AK387" s="100"/>
      <c r="AL387" s="100"/>
      <c r="AM387" s="100"/>
      <c r="AN387" s="100"/>
      <c r="AO387" s="100"/>
      <c r="AP387" s="100"/>
      <c r="AQ387" s="100"/>
      <c r="AR387" s="100"/>
    </row>
    <row r="388" spans="1:44" s="281" customFormat="1" ht="12" customHeight="1">
      <c r="A388" s="100"/>
      <c r="P388" s="307"/>
      <c r="X388" s="100"/>
      <c r="Y388" s="100"/>
      <c r="Z388" s="1380"/>
      <c r="AA388" s="100"/>
      <c r="AB388" s="100"/>
      <c r="AC388" s="100"/>
      <c r="AD388" s="100"/>
      <c r="AE388" s="100"/>
      <c r="AF388" s="100"/>
      <c r="AG388" s="100"/>
      <c r="AH388" s="100"/>
      <c r="AI388" s="100"/>
      <c r="AJ388" s="100"/>
      <c r="AK388" s="100"/>
      <c r="AL388" s="100"/>
      <c r="AM388" s="100"/>
      <c r="AN388" s="100"/>
      <c r="AO388" s="100"/>
      <c r="AP388" s="100"/>
      <c r="AQ388" s="100"/>
      <c r="AR388" s="100"/>
    </row>
    <row r="389" spans="1:44" s="281" customFormat="1" ht="12" customHeight="1">
      <c r="A389" s="100"/>
      <c r="P389" s="153"/>
      <c r="X389" s="100"/>
      <c r="Y389" s="100"/>
      <c r="Z389" s="1380"/>
      <c r="AA389" s="100"/>
      <c r="AB389" s="100"/>
      <c r="AC389" s="100"/>
      <c r="AD389" s="100"/>
      <c r="AE389" s="100"/>
      <c r="AF389" s="100"/>
      <c r="AG389" s="100"/>
      <c r="AH389" s="100"/>
      <c r="AI389" s="100"/>
      <c r="AJ389" s="100"/>
      <c r="AK389" s="100"/>
      <c r="AL389" s="100"/>
      <c r="AM389" s="100"/>
      <c r="AN389" s="100"/>
      <c r="AO389" s="100"/>
      <c r="AP389" s="100"/>
      <c r="AQ389" s="100"/>
      <c r="AR389" s="100"/>
    </row>
    <row r="390" spans="1:44" s="281" customFormat="1" ht="12" customHeight="1">
      <c r="A390" s="100"/>
      <c r="P390" s="153"/>
      <c r="X390" s="100"/>
      <c r="Y390" s="100"/>
      <c r="Z390" s="1380"/>
      <c r="AA390" s="100"/>
      <c r="AB390" s="100"/>
      <c r="AC390" s="100"/>
      <c r="AD390" s="100"/>
      <c r="AE390" s="100"/>
      <c r="AF390" s="100"/>
      <c r="AG390" s="100"/>
      <c r="AH390" s="100"/>
      <c r="AI390" s="100"/>
      <c r="AJ390" s="100"/>
      <c r="AK390" s="100"/>
      <c r="AL390" s="100"/>
      <c r="AM390" s="100"/>
      <c r="AN390" s="100"/>
      <c r="AO390" s="100"/>
      <c r="AP390" s="100"/>
      <c r="AQ390" s="100"/>
      <c r="AR390" s="100"/>
    </row>
    <row r="391" spans="1:44" s="281" customFormat="1" ht="12" customHeight="1">
      <c r="A391" s="100"/>
      <c r="P391" s="153"/>
      <c r="X391" s="100"/>
      <c r="Y391" s="100"/>
      <c r="Z391" s="1380"/>
      <c r="AA391" s="100"/>
      <c r="AB391" s="100"/>
      <c r="AC391" s="100"/>
      <c r="AD391" s="100"/>
      <c r="AE391" s="100"/>
      <c r="AF391" s="100"/>
      <c r="AG391" s="100"/>
      <c r="AH391" s="100"/>
      <c r="AI391" s="100"/>
      <c r="AJ391" s="100"/>
      <c r="AK391" s="100"/>
      <c r="AL391" s="100"/>
      <c r="AM391" s="100"/>
      <c r="AN391" s="100"/>
      <c r="AO391" s="100"/>
      <c r="AP391" s="100"/>
      <c r="AQ391" s="100"/>
      <c r="AR391" s="100"/>
    </row>
    <row r="392" spans="1:44" s="281" customFormat="1" ht="12" customHeight="1">
      <c r="A392" s="100"/>
      <c r="P392" s="153"/>
      <c r="X392" s="100"/>
      <c r="Y392" s="100"/>
      <c r="Z392" s="1380"/>
      <c r="AA392" s="100"/>
      <c r="AB392" s="100"/>
      <c r="AC392" s="100"/>
      <c r="AD392" s="100"/>
      <c r="AE392" s="100"/>
      <c r="AF392" s="100"/>
      <c r="AG392" s="100"/>
      <c r="AH392" s="100"/>
      <c r="AI392" s="100"/>
      <c r="AJ392" s="100"/>
      <c r="AK392" s="100"/>
      <c r="AL392" s="100"/>
      <c r="AM392" s="100"/>
      <c r="AN392" s="100"/>
      <c r="AO392" s="100"/>
      <c r="AP392" s="100"/>
      <c r="AQ392" s="100"/>
      <c r="AR392" s="100"/>
    </row>
    <row r="393" spans="1:44" s="281" customFormat="1" ht="12" customHeight="1">
      <c r="A393" s="100"/>
      <c r="P393" s="153"/>
      <c r="X393" s="100"/>
      <c r="Y393" s="100"/>
      <c r="Z393" s="1380"/>
      <c r="AA393" s="100"/>
      <c r="AB393" s="100"/>
      <c r="AC393" s="100"/>
      <c r="AD393" s="100"/>
      <c r="AE393" s="100"/>
      <c r="AF393" s="100"/>
      <c r="AG393" s="100"/>
      <c r="AH393" s="100"/>
      <c r="AI393" s="100"/>
      <c r="AJ393" s="100"/>
      <c r="AK393" s="100"/>
      <c r="AL393" s="100"/>
      <c r="AM393" s="100"/>
      <c r="AN393" s="100"/>
      <c r="AO393" s="100"/>
      <c r="AP393" s="100"/>
      <c r="AQ393" s="100"/>
      <c r="AR393" s="100"/>
    </row>
    <row r="394" spans="1:44" s="281" customFormat="1" ht="12" customHeight="1">
      <c r="A394" s="100"/>
      <c r="P394" s="153"/>
      <c r="X394" s="100"/>
      <c r="Y394" s="100"/>
      <c r="Z394" s="1380"/>
      <c r="AA394" s="100"/>
      <c r="AB394" s="100"/>
      <c r="AC394" s="100"/>
      <c r="AD394" s="100"/>
      <c r="AE394" s="100"/>
      <c r="AF394" s="100"/>
      <c r="AG394" s="100"/>
      <c r="AH394" s="100"/>
      <c r="AI394" s="100"/>
      <c r="AJ394" s="100"/>
      <c r="AK394" s="100"/>
      <c r="AL394" s="100"/>
      <c r="AM394" s="100"/>
      <c r="AN394" s="100"/>
      <c r="AO394" s="100"/>
      <c r="AP394" s="100"/>
      <c r="AQ394" s="100"/>
      <c r="AR394" s="100"/>
    </row>
    <row r="395" spans="1:44" s="281" customFormat="1" ht="12" customHeight="1">
      <c r="A395" s="100"/>
      <c r="P395" s="153"/>
      <c r="X395" s="100"/>
      <c r="Y395" s="100"/>
      <c r="Z395" s="1380"/>
      <c r="AA395" s="100"/>
      <c r="AB395" s="100"/>
      <c r="AC395" s="100"/>
      <c r="AD395" s="100"/>
      <c r="AE395" s="100"/>
      <c r="AF395" s="100"/>
      <c r="AG395" s="100"/>
      <c r="AH395" s="100"/>
      <c r="AI395" s="100"/>
      <c r="AJ395" s="100"/>
      <c r="AK395" s="100"/>
      <c r="AL395" s="100"/>
      <c r="AM395" s="100"/>
      <c r="AN395" s="100"/>
      <c r="AO395" s="100"/>
      <c r="AP395" s="100"/>
      <c r="AQ395" s="100"/>
      <c r="AR395" s="100"/>
    </row>
    <row r="396" spans="1:44" s="281" customFormat="1" ht="12" customHeight="1">
      <c r="A396" s="100"/>
      <c r="P396" s="153"/>
      <c r="X396" s="100"/>
      <c r="Y396" s="100"/>
      <c r="Z396" s="1380"/>
      <c r="AA396" s="100"/>
      <c r="AB396" s="100"/>
      <c r="AC396" s="100"/>
      <c r="AD396" s="100"/>
      <c r="AE396" s="100"/>
      <c r="AF396" s="100"/>
      <c r="AG396" s="100"/>
      <c r="AH396" s="100"/>
      <c r="AI396" s="100"/>
      <c r="AJ396" s="100"/>
      <c r="AK396" s="100"/>
      <c r="AL396" s="100"/>
      <c r="AM396" s="100"/>
      <c r="AN396" s="100"/>
      <c r="AO396" s="100"/>
      <c r="AP396" s="100"/>
      <c r="AQ396" s="100"/>
      <c r="AR396" s="100"/>
    </row>
    <row r="397" spans="1:44" s="281" customFormat="1" ht="12" customHeight="1">
      <c r="A397" s="100"/>
      <c r="P397" s="153"/>
      <c r="X397" s="100"/>
      <c r="Y397" s="100"/>
      <c r="Z397" s="1380"/>
      <c r="AA397" s="100"/>
      <c r="AB397" s="100"/>
      <c r="AC397" s="100"/>
      <c r="AD397" s="100"/>
      <c r="AE397" s="100"/>
      <c r="AF397" s="100"/>
      <c r="AG397" s="100"/>
      <c r="AH397" s="100"/>
      <c r="AI397" s="100"/>
      <c r="AJ397" s="100"/>
      <c r="AK397" s="100"/>
      <c r="AL397" s="100"/>
      <c r="AM397" s="100"/>
      <c r="AN397" s="100"/>
      <c r="AO397" s="100"/>
      <c r="AP397" s="100"/>
      <c r="AQ397" s="100"/>
      <c r="AR397" s="100"/>
    </row>
    <row r="398" spans="1:44" s="281" customFormat="1" ht="12" customHeight="1">
      <c r="A398" s="100"/>
      <c r="P398" s="153"/>
      <c r="X398" s="100"/>
      <c r="Y398" s="100"/>
      <c r="Z398" s="1380"/>
      <c r="AA398" s="100"/>
      <c r="AB398" s="100"/>
      <c r="AC398" s="100"/>
      <c r="AD398" s="100"/>
      <c r="AE398" s="100"/>
      <c r="AF398" s="100"/>
      <c r="AG398" s="100"/>
      <c r="AH398" s="100"/>
      <c r="AI398" s="100"/>
      <c r="AJ398" s="100"/>
      <c r="AK398" s="100"/>
      <c r="AL398" s="100"/>
      <c r="AM398" s="100"/>
      <c r="AN398" s="100"/>
      <c r="AO398" s="100"/>
      <c r="AP398" s="100"/>
      <c r="AQ398" s="100"/>
      <c r="AR398" s="100"/>
    </row>
    <row r="399" spans="1:44" s="281" customFormat="1" ht="12" customHeight="1">
      <c r="A399" s="100"/>
      <c r="P399" s="153"/>
      <c r="X399" s="100"/>
      <c r="Y399" s="100"/>
      <c r="Z399" s="1380"/>
      <c r="AA399" s="100"/>
      <c r="AB399" s="100"/>
      <c r="AC399" s="100"/>
      <c r="AD399" s="100"/>
      <c r="AE399" s="100"/>
      <c r="AF399" s="100"/>
      <c r="AG399" s="100"/>
      <c r="AH399" s="100"/>
      <c r="AI399" s="100"/>
      <c r="AJ399" s="100"/>
      <c r="AK399" s="100"/>
      <c r="AL399" s="100"/>
      <c r="AM399" s="100"/>
      <c r="AN399" s="100"/>
      <c r="AO399" s="100"/>
      <c r="AP399" s="100"/>
      <c r="AQ399" s="100"/>
      <c r="AR399" s="100"/>
    </row>
    <row r="400" spans="1:44" s="281" customFormat="1" ht="12" customHeight="1">
      <c r="A400" s="100"/>
      <c r="P400" s="153"/>
      <c r="X400" s="100"/>
      <c r="Y400" s="100"/>
      <c r="Z400" s="1380"/>
      <c r="AA400" s="100"/>
      <c r="AB400" s="100"/>
      <c r="AC400" s="100"/>
      <c r="AD400" s="100"/>
      <c r="AE400" s="100"/>
      <c r="AF400" s="100"/>
      <c r="AG400" s="100"/>
      <c r="AH400" s="100"/>
      <c r="AI400" s="100"/>
      <c r="AJ400" s="100"/>
      <c r="AK400" s="100"/>
      <c r="AL400" s="100"/>
      <c r="AM400" s="100"/>
      <c r="AN400" s="100"/>
      <c r="AO400" s="100"/>
      <c r="AP400" s="100"/>
      <c r="AQ400" s="100"/>
      <c r="AR400" s="100"/>
    </row>
    <row r="401" spans="1:44" s="281" customFormat="1" ht="12" customHeight="1">
      <c r="A401" s="100"/>
      <c r="P401" s="153"/>
      <c r="X401" s="100"/>
      <c r="Y401" s="100"/>
      <c r="Z401" s="1380"/>
      <c r="AA401" s="100"/>
      <c r="AB401" s="100"/>
      <c r="AC401" s="100"/>
      <c r="AD401" s="100"/>
      <c r="AE401" s="100"/>
      <c r="AF401" s="100"/>
      <c r="AG401" s="100"/>
      <c r="AH401" s="100"/>
      <c r="AI401" s="100"/>
      <c r="AJ401" s="100"/>
      <c r="AK401" s="100"/>
      <c r="AL401" s="100"/>
      <c r="AM401" s="100"/>
      <c r="AN401" s="100"/>
      <c r="AO401" s="100"/>
      <c r="AP401" s="100"/>
      <c r="AQ401" s="100"/>
      <c r="AR401" s="100"/>
    </row>
    <row r="402" spans="1:44" s="281" customFormat="1" ht="12" customHeight="1">
      <c r="A402" s="100"/>
      <c r="P402" s="153"/>
      <c r="X402" s="100"/>
      <c r="Y402" s="100"/>
      <c r="Z402" s="1380"/>
      <c r="AA402" s="100"/>
      <c r="AB402" s="100"/>
      <c r="AC402" s="100"/>
      <c r="AD402" s="100"/>
      <c r="AE402" s="100"/>
      <c r="AF402" s="100"/>
      <c r="AG402" s="100"/>
      <c r="AH402" s="100"/>
      <c r="AI402" s="100"/>
      <c r="AJ402" s="100"/>
      <c r="AK402" s="100"/>
      <c r="AL402" s="100"/>
      <c r="AM402" s="100"/>
      <c r="AN402" s="100"/>
      <c r="AO402" s="100"/>
      <c r="AP402" s="100"/>
      <c r="AQ402" s="100"/>
      <c r="AR402" s="100"/>
    </row>
    <row r="403" spans="1:44" s="281" customFormat="1" ht="12" customHeight="1">
      <c r="A403" s="100"/>
      <c r="P403" s="153"/>
      <c r="X403" s="100"/>
      <c r="Y403" s="100"/>
      <c r="Z403" s="1380"/>
      <c r="AA403" s="100"/>
      <c r="AB403" s="100"/>
      <c r="AC403" s="100"/>
      <c r="AD403" s="100"/>
      <c r="AE403" s="100"/>
      <c r="AF403" s="100"/>
      <c r="AG403" s="100"/>
      <c r="AH403" s="100"/>
      <c r="AI403" s="100"/>
      <c r="AJ403" s="100"/>
      <c r="AK403" s="100"/>
      <c r="AL403" s="100"/>
      <c r="AM403" s="100"/>
      <c r="AN403" s="100"/>
      <c r="AO403" s="100"/>
      <c r="AP403" s="100"/>
      <c r="AQ403" s="100"/>
      <c r="AR403" s="100"/>
    </row>
    <row r="404" spans="1:44" s="281" customFormat="1" ht="12" customHeight="1">
      <c r="A404" s="100"/>
      <c r="P404" s="153"/>
      <c r="X404" s="100"/>
      <c r="Y404" s="100"/>
      <c r="Z404" s="1380"/>
      <c r="AA404" s="100"/>
      <c r="AB404" s="100"/>
      <c r="AC404" s="100"/>
      <c r="AD404" s="100"/>
      <c r="AE404" s="100"/>
      <c r="AF404" s="100"/>
      <c r="AG404" s="100"/>
      <c r="AH404" s="100"/>
      <c r="AI404" s="100"/>
      <c r="AJ404" s="100"/>
      <c r="AK404" s="100"/>
      <c r="AL404" s="100"/>
      <c r="AM404" s="100"/>
      <c r="AN404" s="100"/>
      <c r="AO404" s="100"/>
      <c r="AP404" s="100"/>
      <c r="AQ404" s="100"/>
      <c r="AR404" s="100"/>
    </row>
    <row r="405" spans="1:44" s="281" customFormat="1" ht="12" customHeight="1">
      <c r="A405" s="100"/>
      <c r="P405" s="153"/>
      <c r="X405" s="100"/>
      <c r="Y405" s="100"/>
      <c r="Z405" s="1380"/>
      <c r="AA405" s="100"/>
      <c r="AB405" s="100"/>
      <c r="AC405" s="100"/>
      <c r="AD405" s="100"/>
      <c r="AE405" s="100"/>
      <c r="AF405" s="100"/>
      <c r="AG405" s="100"/>
      <c r="AH405" s="100"/>
      <c r="AI405" s="100"/>
      <c r="AJ405" s="100"/>
      <c r="AK405" s="100"/>
      <c r="AL405" s="100"/>
      <c r="AM405" s="100"/>
      <c r="AN405" s="100"/>
      <c r="AO405" s="100"/>
      <c r="AP405" s="100"/>
      <c r="AQ405" s="100"/>
      <c r="AR405" s="100"/>
    </row>
    <row r="406" spans="1:44" s="281" customFormat="1" ht="12" customHeight="1">
      <c r="A406" s="100"/>
      <c r="P406" s="307"/>
      <c r="X406" s="100"/>
      <c r="Y406" s="100"/>
      <c r="Z406" s="1380"/>
      <c r="AA406" s="100"/>
      <c r="AB406" s="100"/>
      <c r="AC406" s="100"/>
      <c r="AD406" s="100"/>
      <c r="AE406" s="100"/>
      <c r="AF406" s="100"/>
      <c r="AG406" s="100"/>
      <c r="AH406" s="100"/>
      <c r="AI406" s="100"/>
      <c r="AJ406" s="100"/>
      <c r="AK406" s="100"/>
      <c r="AL406" s="100"/>
      <c r="AM406" s="100"/>
      <c r="AN406" s="100"/>
      <c r="AO406" s="100"/>
      <c r="AP406" s="100"/>
      <c r="AQ406" s="100"/>
      <c r="AR406" s="100"/>
    </row>
    <row r="407" spans="1:44" s="281" customFormat="1" ht="12" customHeight="1">
      <c r="A407" s="100"/>
      <c r="P407" s="153"/>
      <c r="X407" s="100"/>
      <c r="Y407" s="100"/>
      <c r="Z407" s="1380"/>
      <c r="AA407" s="100"/>
      <c r="AB407" s="100"/>
      <c r="AC407" s="100"/>
      <c r="AD407" s="100"/>
      <c r="AE407" s="100"/>
      <c r="AF407" s="100"/>
      <c r="AG407" s="100"/>
      <c r="AH407" s="100"/>
      <c r="AI407" s="100"/>
      <c r="AJ407" s="100"/>
      <c r="AK407" s="100"/>
      <c r="AL407" s="100"/>
      <c r="AM407" s="100"/>
      <c r="AN407" s="100"/>
      <c r="AO407" s="100"/>
      <c r="AP407" s="100"/>
      <c r="AQ407" s="100"/>
      <c r="AR407" s="100"/>
    </row>
    <row r="408" spans="1:44" s="281" customFormat="1" ht="12" customHeight="1">
      <c r="A408" s="100"/>
      <c r="P408" s="153"/>
      <c r="X408" s="100"/>
      <c r="Y408" s="100"/>
      <c r="Z408" s="1380"/>
      <c r="AA408" s="100"/>
      <c r="AB408" s="100"/>
      <c r="AC408" s="100"/>
      <c r="AD408" s="100"/>
      <c r="AE408" s="100"/>
      <c r="AF408" s="100"/>
      <c r="AG408" s="100"/>
      <c r="AH408" s="100"/>
      <c r="AI408" s="100"/>
      <c r="AJ408" s="100"/>
      <c r="AK408" s="100"/>
      <c r="AL408" s="100"/>
      <c r="AM408" s="100"/>
      <c r="AN408" s="100"/>
      <c r="AO408" s="100"/>
      <c r="AP408" s="100"/>
      <c r="AQ408" s="100"/>
      <c r="AR408" s="100"/>
    </row>
    <row r="409" spans="1:44" s="281" customFormat="1" ht="12" customHeight="1">
      <c r="A409" s="100"/>
      <c r="P409" s="153"/>
      <c r="X409" s="100"/>
      <c r="Y409" s="100"/>
      <c r="Z409" s="1380"/>
      <c r="AA409" s="100"/>
      <c r="AB409" s="100"/>
      <c r="AC409" s="100"/>
      <c r="AD409" s="100"/>
      <c r="AE409" s="100"/>
      <c r="AF409" s="100"/>
      <c r="AG409" s="100"/>
      <c r="AH409" s="100"/>
      <c r="AI409" s="100"/>
      <c r="AJ409" s="100"/>
      <c r="AK409" s="100"/>
      <c r="AL409" s="100"/>
      <c r="AM409" s="100"/>
      <c r="AN409" s="100"/>
      <c r="AO409" s="100"/>
      <c r="AP409" s="100"/>
      <c r="AQ409" s="100"/>
      <c r="AR409" s="100"/>
    </row>
    <row r="410" spans="1:44" s="281" customFormat="1" ht="12" customHeight="1">
      <c r="A410" s="100"/>
      <c r="P410" s="153"/>
      <c r="X410" s="100"/>
      <c r="Y410" s="100"/>
      <c r="Z410" s="1380"/>
      <c r="AA410" s="100"/>
      <c r="AB410" s="100"/>
      <c r="AC410" s="100"/>
      <c r="AD410" s="100"/>
      <c r="AE410" s="100"/>
      <c r="AF410" s="100"/>
      <c r="AG410" s="100"/>
      <c r="AH410" s="100"/>
      <c r="AI410" s="100"/>
      <c r="AJ410" s="100"/>
      <c r="AK410" s="100"/>
      <c r="AL410" s="100"/>
      <c r="AM410" s="100"/>
      <c r="AN410" s="100"/>
      <c r="AO410" s="100"/>
      <c r="AP410" s="100"/>
      <c r="AQ410" s="100"/>
      <c r="AR410" s="100"/>
    </row>
    <row r="411" spans="1:44" s="281" customFormat="1" ht="12" customHeight="1">
      <c r="A411" s="100"/>
      <c r="P411" s="307"/>
      <c r="X411" s="100"/>
      <c r="Y411" s="100"/>
      <c r="Z411" s="1380"/>
      <c r="AA411" s="100"/>
      <c r="AB411" s="100"/>
      <c r="AC411" s="100"/>
      <c r="AD411" s="100"/>
      <c r="AE411" s="100"/>
      <c r="AF411" s="100"/>
      <c r="AG411" s="100"/>
      <c r="AH411" s="100"/>
      <c r="AI411" s="100"/>
      <c r="AJ411" s="100"/>
      <c r="AK411" s="100"/>
      <c r="AL411" s="100"/>
      <c r="AM411" s="100"/>
      <c r="AN411" s="100"/>
      <c r="AO411" s="100"/>
      <c r="AP411" s="100"/>
      <c r="AQ411" s="100"/>
      <c r="AR411" s="100"/>
    </row>
    <row r="412" spans="1:44" s="281" customFormat="1" ht="12" customHeight="1">
      <c r="A412" s="100"/>
      <c r="P412" s="153"/>
      <c r="X412" s="100"/>
      <c r="Y412" s="100"/>
      <c r="Z412" s="1380"/>
      <c r="AA412" s="100"/>
      <c r="AB412" s="100"/>
      <c r="AC412" s="100"/>
      <c r="AD412" s="100"/>
      <c r="AE412" s="100"/>
      <c r="AF412" s="100"/>
      <c r="AG412" s="100"/>
      <c r="AH412" s="100"/>
      <c r="AI412" s="100"/>
      <c r="AJ412" s="100"/>
      <c r="AK412" s="100"/>
      <c r="AL412" s="100"/>
      <c r="AM412" s="100"/>
      <c r="AN412" s="100"/>
      <c r="AO412" s="100"/>
      <c r="AP412" s="100"/>
      <c r="AQ412" s="100"/>
      <c r="AR412" s="100"/>
    </row>
    <row r="413" spans="1:44" s="281" customFormat="1" ht="12" customHeight="1">
      <c r="A413" s="100"/>
      <c r="P413" s="153"/>
      <c r="X413" s="100"/>
      <c r="Y413" s="100"/>
      <c r="Z413" s="1380"/>
      <c r="AA413" s="100"/>
      <c r="AB413" s="100"/>
      <c r="AC413" s="100"/>
      <c r="AD413" s="100"/>
      <c r="AE413" s="100"/>
      <c r="AF413" s="100"/>
      <c r="AG413" s="100"/>
      <c r="AH413" s="100"/>
      <c r="AI413" s="100"/>
      <c r="AJ413" s="100"/>
      <c r="AK413" s="100"/>
      <c r="AL413" s="100"/>
      <c r="AM413" s="100"/>
      <c r="AN413" s="100"/>
      <c r="AO413" s="100"/>
      <c r="AP413" s="100"/>
      <c r="AQ413" s="100"/>
      <c r="AR413" s="100"/>
    </row>
    <row r="414" spans="1:44" s="281" customFormat="1" ht="12" customHeight="1">
      <c r="A414" s="100"/>
      <c r="P414" s="307"/>
      <c r="X414" s="100"/>
      <c r="Y414" s="100"/>
      <c r="Z414" s="1380"/>
      <c r="AA414" s="100"/>
      <c r="AB414" s="100"/>
      <c r="AC414" s="100"/>
      <c r="AD414" s="100"/>
      <c r="AE414" s="100"/>
      <c r="AF414" s="100"/>
      <c r="AG414" s="100"/>
      <c r="AH414" s="100"/>
      <c r="AI414" s="100"/>
      <c r="AJ414" s="100"/>
      <c r="AK414" s="100"/>
      <c r="AL414" s="100"/>
      <c r="AM414" s="100"/>
      <c r="AN414" s="100"/>
      <c r="AO414" s="100"/>
      <c r="AP414" s="100"/>
      <c r="AQ414" s="100"/>
      <c r="AR414" s="100"/>
    </row>
    <row r="415" spans="1:44" s="281" customFormat="1" ht="12" customHeight="1">
      <c r="A415" s="100"/>
      <c r="P415" s="153"/>
      <c r="X415" s="100"/>
      <c r="Y415" s="100"/>
      <c r="Z415" s="1380"/>
      <c r="AA415" s="100"/>
      <c r="AB415" s="100"/>
      <c r="AC415" s="100"/>
      <c r="AD415" s="100"/>
      <c r="AE415" s="100"/>
      <c r="AF415" s="100"/>
      <c r="AG415" s="100"/>
      <c r="AH415" s="100"/>
      <c r="AI415" s="100"/>
      <c r="AJ415" s="100"/>
      <c r="AK415" s="100"/>
      <c r="AL415" s="100"/>
      <c r="AM415" s="100"/>
      <c r="AN415" s="100"/>
      <c r="AO415" s="100"/>
      <c r="AP415" s="100"/>
      <c r="AQ415" s="100"/>
      <c r="AR415" s="100"/>
    </row>
    <row r="416" spans="1:44" s="281" customFormat="1" ht="12" customHeight="1">
      <c r="A416" s="100"/>
      <c r="P416" s="153"/>
      <c r="X416" s="100"/>
      <c r="Y416" s="100"/>
      <c r="Z416" s="1380"/>
      <c r="AA416" s="100"/>
      <c r="AB416" s="100"/>
      <c r="AC416" s="100"/>
      <c r="AD416" s="100"/>
      <c r="AE416" s="100"/>
      <c r="AF416" s="100"/>
      <c r="AG416" s="100"/>
      <c r="AH416" s="100"/>
      <c r="AI416" s="100"/>
      <c r="AJ416" s="100"/>
      <c r="AK416" s="100"/>
      <c r="AL416" s="100"/>
      <c r="AM416" s="100"/>
      <c r="AN416" s="100"/>
      <c r="AO416" s="100"/>
      <c r="AP416" s="100"/>
      <c r="AQ416" s="100"/>
      <c r="AR416" s="100"/>
    </row>
    <row r="417" spans="1:44" s="281" customFormat="1" ht="12" customHeight="1">
      <c r="A417" s="100"/>
      <c r="P417" s="153"/>
      <c r="X417" s="100"/>
      <c r="Y417" s="100"/>
      <c r="Z417" s="1380"/>
      <c r="AA417" s="100"/>
      <c r="AB417" s="100"/>
      <c r="AC417" s="100"/>
      <c r="AD417" s="100"/>
      <c r="AE417" s="100"/>
      <c r="AF417" s="100"/>
      <c r="AG417" s="100"/>
      <c r="AH417" s="100"/>
      <c r="AI417" s="100"/>
      <c r="AJ417" s="100"/>
      <c r="AK417" s="100"/>
      <c r="AL417" s="100"/>
      <c r="AM417" s="100"/>
      <c r="AN417" s="100"/>
      <c r="AO417" s="100"/>
      <c r="AP417" s="100"/>
      <c r="AQ417" s="100"/>
      <c r="AR417" s="100"/>
    </row>
    <row r="418" spans="1:44" s="281" customFormat="1" ht="12" customHeight="1">
      <c r="A418" s="100"/>
      <c r="P418" s="153"/>
      <c r="X418" s="100"/>
      <c r="Y418" s="100"/>
      <c r="Z418" s="1380"/>
      <c r="AA418" s="100"/>
      <c r="AB418" s="100"/>
      <c r="AC418" s="100"/>
      <c r="AD418" s="100"/>
      <c r="AE418" s="100"/>
      <c r="AF418" s="100"/>
      <c r="AG418" s="100"/>
      <c r="AH418" s="100"/>
      <c r="AI418" s="100"/>
      <c r="AJ418" s="100"/>
      <c r="AK418" s="100"/>
      <c r="AL418" s="100"/>
      <c r="AM418" s="100"/>
      <c r="AN418" s="100"/>
      <c r="AO418" s="100"/>
      <c r="AP418" s="100"/>
      <c r="AQ418" s="100"/>
      <c r="AR418" s="100"/>
    </row>
    <row r="419" spans="1:44" s="281" customFormat="1" ht="12" customHeight="1">
      <c r="A419" s="100"/>
      <c r="P419" s="153"/>
      <c r="X419" s="100"/>
      <c r="Y419" s="100"/>
      <c r="Z419" s="1380"/>
      <c r="AA419" s="100"/>
      <c r="AB419" s="100"/>
      <c r="AC419" s="100"/>
      <c r="AD419" s="100"/>
      <c r="AE419" s="100"/>
      <c r="AF419" s="100"/>
      <c r="AG419" s="100"/>
      <c r="AH419" s="100"/>
      <c r="AI419" s="100"/>
      <c r="AJ419" s="100"/>
      <c r="AK419" s="100"/>
      <c r="AL419" s="100"/>
      <c r="AM419" s="100"/>
      <c r="AN419" s="100"/>
      <c r="AO419" s="100"/>
      <c r="AP419" s="100"/>
      <c r="AQ419" s="100"/>
      <c r="AR419" s="100"/>
    </row>
    <row r="420" spans="1:44" s="281" customFormat="1" ht="12" customHeight="1">
      <c r="A420" s="100"/>
      <c r="P420" s="153"/>
      <c r="X420" s="100"/>
      <c r="Y420" s="100"/>
      <c r="Z420" s="1380"/>
      <c r="AA420" s="100"/>
      <c r="AB420" s="100"/>
      <c r="AC420" s="100"/>
      <c r="AD420" s="100"/>
      <c r="AE420" s="100"/>
      <c r="AF420" s="100"/>
      <c r="AG420" s="100"/>
      <c r="AH420" s="100"/>
      <c r="AI420" s="100"/>
      <c r="AJ420" s="100"/>
      <c r="AK420" s="100"/>
      <c r="AL420" s="100"/>
      <c r="AM420" s="100"/>
      <c r="AN420" s="100"/>
      <c r="AO420" s="100"/>
      <c r="AP420" s="100"/>
      <c r="AQ420" s="100"/>
      <c r="AR420" s="100"/>
    </row>
    <row r="421" spans="1:44" s="281" customFormat="1" ht="12" customHeight="1">
      <c r="A421" s="100"/>
      <c r="P421" s="153"/>
      <c r="X421" s="100"/>
      <c r="Y421" s="100"/>
      <c r="Z421" s="1380"/>
      <c r="AA421" s="100"/>
      <c r="AB421" s="100"/>
      <c r="AC421" s="100"/>
      <c r="AD421" s="100"/>
      <c r="AE421" s="100"/>
      <c r="AF421" s="100"/>
      <c r="AG421" s="100"/>
      <c r="AH421" s="100"/>
      <c r="AI421" s="100"/>
      <c r="AJ421" s="100"/>
      <c r="AK421" s="100"/>
      <c r="AL421" s="100"/>
      <c r="AM421" s="100"/>
      <c r="AN421" s="100"/>
      <c r="AO421" s="100"/>
      <c r="AP421" s="100"/>
      <c r="AQ421" s="100"/>
      <c r="AR421" s="100"/>
    </row>
    <row r="422" spans="1:44" s="281" customFormat="1" ht="12" customHeight="1">
      <c r="A422" s="100"/>
      <c r="P422" s="153"/>
      <c r="X422" s="100"/>
      <c r="Y422" s="100"/>
      <c r="Z422" s="1380"/>
      <c r="AA422" s="100"/>
      <c r="AB422" s="100"/>
      <c r="AC422" s="100"/>
      <c r="AD422" s="100"/>
      <c r="AE422" s="100"/>
      <c r="AF422" s="100"/>
      <c r="AG422" s="100"/>
      <c r="AH422" s="100"/>
      <c r="AI422" s="100"/>
      <c r="AJ422" s="100"/>
      <c r="AK422" s="100"/>
      <c r="AL422" s="100"/>
      <c r="AM422" s="100"/>
      <c r="AN422" s="100"/>
      <c r="AO422" s="100"/>
      <c r="AP422" s="100"/>
      <c r="AQ422" s="100"/>
      <c r="AR422" s="100"/>
    </row>
    <row r="423" spans="1:44" s="281" customFormat="1" ht="12" customHeight="1">
      <c r="A423" s="100"/>
      <c r="P423" s="153"/>
      <c r="X423" s="100"/>
      <c r="Y423" s="100"/>
      <c r="Z423" s="1380"/>
      <c r="AA423" s="100"/>
      <c r="AB423" s="100"/>
      <c r="AC423" s="100"/>
      <c r="AD423" s="100"/>
      <c r="AE423" s="100"/>
      <c r="AF423" s="100"/>
      <c r="AG423" s="100"/>
      <c r="AH423" s="100"/>
      <c r="AI423" s="100"/>
      <c r="AJ423" s="100"/>
      <c r="AK423" s="100"/>
      <c r="AL423" s="100"/>
      <c r="AM423" s="100"/>
      <c r="AN423" s="100"/>
      <c r="AO423" s="100"/>
      <c r="AP423" s="100"/>
      <c r="AQ423" s="100"/>
      <c r="AR423" s="100"/>
    </row>
    <row r="424" spans="1:44" s="281" customFormat="1" ht="12" customHeight="1">
      <c r="A424" s="100"/>
      <c r="P424" s="153"/>
      <c r="X424" s="100"/>
      <c r="Y424" s="100"/>
      <c r="Z424" s="1380"/>
      <c r="AA424" s="100"/>
      <c r="AB424" s="100"/>
      <c r="AC424" s="100"/>
      <c r="AD424" s="100"/>
      <c r="AE424" s="100"/>
      <c r="AF424" s="100"/>
      <c r="AG424" s="100"/>
      <c r="AH424" s="100"/>
      <c r="AI424" s="100"/>
      <c r="AJ424" s="100"/>
      <c r="AK424" s="100"/>
      <c r="AL424" s="100"/>
      <c r="AM424" s="100"/>
      <c r="AN424" s="100"/>
      <c r="AO424" s="100"/>
      <c r="AP424" s="100"/>
      <c r="AQ424" s="100"/>
      <c r="AR424" s="100"/>
    </row>
    <row r="425" spans="1:44" s="281" customFormat="1" ht="12" customHeight="1">
      <c r="A425" s="100"/>
      <c r="P425" s="153"/>
      <c r="X425" s="100"/>
      <c r="Y425" s="100"/>
      <c r="Z425" s="1380"/>
      <c r="AA425" s="100"/>
      <c r="AB425" s="100"/>
      <c r="AC425" s="100"/>
      <c r="AD425" s="100"/>
      <c r="AE425" s="100"/>
      <c r="AF425" s="100"/>
      <c r="AG425" s="100"/>
      <c r="AH425" s="100"/>
      <c r="AI425" s="100"/>
      <c r="AJ425" s="100"/>
      <c r="AK425" s="100"/>
      <c r="AL425" s="100"/>
      <c r="AM425" s="100"/>
      <c r="AN425" s="100"/>
      <c r="AO425" s="100"/>
      <c r="AP425" s="100"/>
      <c r="AQ425" s="100"/>
      <c r="AR425" s="100"/>
    </row>
    <row r="426" spans="1:44" s="281" customFormat="1" ht="12" customHeight="1">
      <c r="A426" s="100"/>
      <c r="P426" s="307"/>
      <c r="X426" s="100"/>
      <c r="Y426" s="100"/>
      <c r="Z426" s="1380"/>
      <c r="AA426" s="100"/>
      <c r="AB426" s="100"/>
      <c r="AC426" s="100"/>
      <c r="AD426" s="100"/>
      <c r="AE426" s="100"/>
      <c r="AF426" s="100"/>
      <c r="AG426" s="100"/>
      <c r="AH426" s="100"/>
      <c r="AI426" s="100"/>
      <c r="AJ426" s="100"/>
      <c r="AK426" s="100"/>
      <c r="AL426" s="100"/>
      <c r="AM426" s="100"/>
      <c r="AN426" s="100"/>
      <c r="AO426" s="100"/>
      <c r="AP426" s="100"/>
      <c r="AQ426" s="100"/>
      <c r="AR426" s="100"/>
    </row>
    <row r="427" spans="1:44" s="281" customFormat="1" ht="12" customHeight="1">
      <c r="A427" s="100"/>
      <c r="P427" s="153"/>
      <c r="X427" s="100"/>
      <c r="Y427" s="100"/>
      <c r="Z427" s="1380"/>
      <c r="AA427" s="100"/>
      <c r="AB427" s="100"/>
      <c r="AC427" s="100"/>
      <c r="AD427" s="100"/>
      <c r="AE427" s="100"/>
      <c r="AF427" s="100"/>
      <c r="AG427" s="100"/>
      <c r="AH427" s="100"/>
      <c r="AI427" s="100"/>
      <c r="AJ427" s="100"/>
      <c r="AK427" s="100"/>
      <c r="AL427" s="100"/>
      <c r="AM427" s="100"/>
      <c r="AN427" s="100"/>
      <c r="AO427" s="100"/>
      <c r="AP427" s="100"/>
      <c r="AQ427" s="100"/>
      <c r="AR427" s="100"/>
    </row>
    <row r="428" spans="1:44" s="281" customFormat="1" ht="12" customHeight="1">
      <c r="A428" s="100"/>
      <c r="P428" s="153"/>
      <c r="X428" s="100"/>
      <c r="Y428" s="100"/>
      <c r="Z428" s="1380"/>
      <c r="AA428" s="100"/>
      <c r="AB428" s="100"/>
      <c r="AC428" s="100"/>
      <c r="AD428" s="100"/>
      <c r="AE428" s="100"/>
      <c r="AF428" s="100"/>
      <c r="AG428" s="100"/>
      <c r="AH428" s="100"/>
      <c r="AI428" s="100"/>
      <c r="AJ428" s="100"/>
      <c r="AK428" s="100"/>
      <c r="AL428" s="100"/>
      <c r="AM428" s="100"/>
      <c r="AN428" s="100"/>
      <c r="AO428" s="100"/>
      <c r="AP428" s="100"/>
      <c r="AQ428" s="100"/>
      <c r="AR428" s="100"/>
    </row>
    <row r="429" spans="1:44" s="281" customFormat="1" ht="12" customHeight="1">
      <c r="A429" s="100"/>
      <c r="P429" s="307"/>
      <c r="X429" s="100"/>
      <c r="Y429" s="100"/>
      <c r="Z429" s="1380"/>
      <c r="AA429" s="100"/>
      <c r="AB429" s="100"/>
      <c r="AC429" s="100"/>
      <c r="AD429" s="100"/>
      <c r="AE429" s="100"/>
      <c r="AF429" s="100"/>
      <c r="AG429" s="100"/>
      <c r="AH429" s="100"/>
      <c r="AI429" s="100"/>
      <c r="AJ429" s="100"/>
      <c r="AK429" s="100"/>
      <c r="AL429" s="100"/>
      <c r="AM429" s="100"/>
      <c r="AN429" s="100"/>
      <c r="AO429" s="100"/>
      <c r="AP429" s="100"/>
      <c r="AQ429" s="100"/>
      <c r="AR429" s="100"/>
    </row>
    <row r="430" spans="1:44" s="281" customFormat="1" ht="12" customHeight="1">
      <c r="A430" s="100"/>
      <c r="P430" s="153"/>
      <c r="X430" s="100"/>
      <c r="Y430" s="100"/>
      <c r="Z430" s="1380"/>
      <c r="AA430" s="100"/>
      <c r="AB430" s="100"/>
      <c r="AC430" s="100"/>
      <c r="AD430" s="100"/>
      <c r="AE430" s="100"/>
      <c r="AF430" s="100"/>
      <c r="AG430" s="100"/>
      <c r="AH430" s="100"/>
      <c r="AI430" s="100"/>
      <c r="AJ430" s="100"/>
      <c r="AK430" s="100"/>
      <c r="AL430" s="100"/>
      <c r="AM430" s="100"/>
      <c r="AN430" s="100"/>
      <c r="AO430" s="100"/>
      <c r="AP430" s="100"/>
      <c r="AQ430" s="100"/>
      <c r="AR430" s="100"/>
    </row>
    <row r="431" spans="1:44" s="281" customFormat="1" ht="12" customHeight="1">
      <c r="A431" s="100"/>
      <c r="P431" s="153"/>
      <c r="X431" s="100"/>
      <c r="Y431" s="100"/>
      <c r="Z431" s="1380"/>
      <c r="AA431" s="100"/>
      <c r="AB431" s="100"/>
      <c r="AC431" s="100"/>
      <c r="AD431" s="100"/>
      <c r="AE431" s="100"/>
      <c r="AF431" s="100"/>
      <c r="AG431" s="100"/>
      <c r="AH431" s="100"/>
      <c r="AI431" s="100"/>
      <c r="AJ431" s="100"/>
      <c r="AK431" s="100"/>
      <c r="AL431" s="100"/>
      <c r="AM431" s="100"/>
      <c r="AN431" s="100"/>
      <c r="AO431" s="100"/>
      <c r="AP431" s="100"/>
      <c r="AQ431" s="100"/>
      <c r="AR431" s="100"/>
    </row>
    <row r="432" spans="1:44" s="281" customFormat="1" ht="12" customHeight="1">
      <c r="A432" s="100"/>
      <c r="P432" s="153"/>
      <c r="X432" s="100"/>
      <c r="Y432" s="100"/>
      <c r="Z432" s="1380"/>
      <c r="AA432" s="100"/>
      <c r="AB432" s="100"/>
      <c r="AC432" s="100"/>
      <c r="AD432" s="100"/>
      <c r="AE432" s="100"/>
      <c r="AF432" s="100"/>
      <c r="AG432" s="100"/>
      <c r="AH432" s="100"/>
      <c r="AI432" s="100"/>
      <c r="AJ432" s="100"/>
      <c r="AK432" s="100"/>
      <c r="AL432" s="100"/>
      <c r="AM432" s="100"/>
      <c r="AN432" s="100"/>
      <c r="AO432" s="100"/>
      <c r="AP432" s="100"/>
      <c r="AQ432" s="100"/>
      <c r="AR432" s="100"/>
    </row>
    <row r="433" spans="1:44" s="281" customFormat="1" ht="12" customHeight="1">
      <c r="A433" s="100"/>
      <c r="P433" s="153"/>
      <c r="X433" s="100"/>
      <c r="Y433" s="100"/>
      <c r="Z433" s="1380"/>
      <c r="AA433" s="100"/>
      <c r="AB433" s="100"/>
      <c r="AC433" s="100"/>
      <c r="AD433" s="100"/>
      <c r="AE433" s="100"/>
      <c r="AF433" s="100"/>
      <c r="AG433" s="100"/>
      <c r="AH433" s="100"/>
      <c r="AI433" s="100"/>
      <c r="AJ433" s="100"/>
      <c r="AK433" s="100"/>
      <c r="AL433" s="100"/>
      <c r="AM433" s="100"/>
      <c r="AN433" s="100"/>
      <c r="AO433" s="100"/>
      <c r="AP433" s="100"/>
      <c r="AQ433" s="100"/>
      <c r="AR433" s="100"/>
    </row>
    <row r="434" spans="1:44" s="281" customFormat="1" ht="12" customHeight="1">
      <c r="A434" s="100"/>
      <c r="P434" s="153"/>
      <c r="X434" s="100"/>
      <c r="Y434" s="100"/>
      <c r="Z434" s="1380"/>
      <c r="AA434" s="100"/>
      <c r="AB434" s="100"/>
      <c r="AC434" s="100"/>
      <c r="AD434" s="100"/>
      <c r="AE434" s="100"/>
      <c r="AF434" s="100"/>
      <c r="AG434" s="100"/>
      <c r="AH434" s="100"/>
      <c r="AI434" s="100"/>
      <c r="AJ434" s="100"/>
      <c r="AK434" s="100"/>
      <c r="AL434" s="100"/>
      <c r="AM434" s="100"/>
      <c r="AN434" s="100"/>
      <c r="AO434" s="100"/>
      <c r="AP434" s="100"/>
      <c r="AQ434" s="100"/>
      <c r="AR434" s="100"/>
    </row>
    <row r="435" spans="1:44" s="281" customFormat="1" ht="12" customHeight="1">
      <c r="A435" s="100"/>
      <c r="P435" s="153"/>
      <c r="X435" s="100"/>
      <c r="Y435" s="100"/>
      <c r="Z435" s="1380"/>
      <c r="AA435" s="100"/>
      <c r="AB435" s="100"/>
      <c r="AC435" s="100"/>
      <c r="AD435" s="100"/>
      <c r="AE435" s="100"/>
      <c r="AF435" s="100"/>
      <c r="AG435" s="100"/>
      <c r="AH435" s="100"/>
      <c r="AI435" s="100"/>
      <c r="AJ435" s="100"/>
      <c r="AK435" s="100"/>
      <c r="AL435" s="100"/>
      <c r="AM435" s="100"/>
      <c r="AN435" s="100"/>
      <c r="AO435" s="100"/>
      <c r="AP435" s="100"/>
      <c r="AQ435" s="100"/>
      <c r="AR435" s="100"/>
    </row>
    <row r="436" spans="1:44" s="281" customFormat="1" ht="12" customHeight="1">
      <c r="A436" s="100"/>
      <c r="P436" s="153"/>
      <c r="X436" s="100"/>
      <c r="Y436" s="100"/>
      <c r="Z436" s="1380"/>
      <c r="AA436" s="100"/>
      <c r="AB436" s="100"/>
      <c r="AC436" s="100"/>
      <c r="AD436" s="100"/>
      <c r="AE436" s="100"/>
      <c r="AF436" s="100"/>
      <c r="AG436" s="100"/>
      <c r="AH436" s="100"/>
      <c r="AI436" s="100"/>
      <c r="AJ436" s="100"/>
      <c r="AK436" s="100"/>
      <c r="AL436" s="100"/>
      <c r="AM436" s="100"/>
      <c r="AN436" s="100"/>
      <c r="AO436" s="100"/>
      <c r="AP436" s="100"/>
      <c r="AQ436" s="100"/>
      <c r="AR436" s="100"/>
    </row>
    <row r="437" spans="1:44" s="281" customFormat="1" ht="12" customHeight="1">
      <c r="A437" s="100"/>
      <c r="P437" s="153"/>
      <c r="X437" s="100"/>
      <c r="Y437" s="100"/>
      <c r="Z437" s="1380"/>
      <c r="AA437" s="100"/>
      <c r="AB437" s="100"/>
      <c r="AC437" s="100"/>
      <c r="AD437" s="100"/>
      <c r="AE437" s="100"/>
      <c r="AF437" s="100"/>
      <c r="AG437" s="100"/>
      <c r="AH437" s="100"/>
      <c r="AI437" s="100"/>
      <c r="AJ437" s="100"/>
      <c r="AK437" s="100"/>
      <c r="AL437" s="100"/>
      <c r="AM437" s="100"/>
      <c r="AN437" s="100"/>
      <c r="AO437" s="100"/>
      <c r="AP437" s="100"/>
      <c r="AQ437" s="100"/>
      <c r="AR437" s="100"/>
    </row>
    <row r="438" spans="1:44" s="281" customFormat="1" ht="12" customHeight="1">
      <c r="A438" s="100"/>
      <c r="P438" s="153"/>
      <c r="X438" s="100"/>
      <c r="Y438" s="100"/>
      <c r="Z438" s="1380"/>
      <c r="AA438" s="100"/>
      <c r="AB438" s="100"/>
      <c r="AC438" s="100"/>
      <c r="AD438" s="100"/>
      <c r="AE438" s="100"/>
      <c r="AF438" s="100"/>
      <c r="AG438" s="100"/>
      <c r="AH438" s="100"/>
      <c r="AI438" s="100"/>
      <c r="AJ438" s="100"/>
      <c r="AK438" s="100"/>
      <c r="AL438" s="100"/>
      <c r="AM438" s="100"/>
      <c r="AN438" s="100"/>
      <c r="AO438" s="100"/>
      <c r="AP438" s="100"/>
      <c r="AQ438" s="100"/>
      <c r="AR438" s="100"/>
    </row>
    <row r="439" spans="1:44" s="281" customFormat="1" ht="12" customHeight="1">
      <c r="A439" s="100"/>
      <c r="P439" s="307"/>
      <c r="X439" s="100"/>
      <c r="Y439" s="100"/>
      <c r="Z439" s="1380"/>
      <c r="AA439" s="100"/>
      <c r="AB439" s="100"/>
      <c r="AC439" s="100"/>
      <c r="AD439" s="100"/>
      <c r="AE439" s="100"/>
      <c r="AF439" s="100"/>
      <c r="AG439" s="100"/>
      <c r="AH439" s="100"/>
      <c r="AI439" s="100"/>
      <c r="AJ439" s="100"/>
      <c r="AK439" s="100"/>
      <c r="AL439" s="100"/>
      <c r="AM439" s="100"/>
      <c r="AN439" s="100"/>
      <c r="AO439" s="100"/>
      <c r="AP439" s="100"/>
      <c r="AQ439" s="100"/>
      <c r="AR439" s="100"/>
    </row>
    <row r="440" spans="1:44" s="281" customFormat="1" ht="12" customHeight="1">
      <c r="A440" s="100"/>
      <c r="P440" s="307"/>
      <c r="X440" s="100"/>
      <c r="Y440" s="100"/>
      <c r="Z440" s="1380"/>
      <c r="AA440" s="100"/>
      <c r="AB440" s="100"/>
      <c r="AC440" s="100"/>
      <c r="AD440" s="100"/>
      <c r="AE440" s="100"/>
      <c r="AF440" s="100"/>
      <c r="AG440" s="100"/>
      <c r="AH440" s="100"/>
      <c r="AI440" s="100"/>
      <c r="AJ440" s="100"/>
      <c r="AK440" s="100"/>
      <c r="AL440" s="100"/>
      <c r="AM440" s="100"/>
      <c r="AN440" s="100"/>
      <c r="AO440" s="100"/>
      <c r="AP440" s="100"/>
      <c r="AQ440" s="100"/>
      <c r="AR440" s="100"/>
    </row>
    <row r="441" spans="1:44" s="281" customFormat="1" ht="12" customHeight="1">
      <c r="A441" s="100"/>
      <c r="P441" s="307"/>
      <c r="X441" s="100"/>
      <c r="Y441" s="100"/>
      <c r="Z441" s="1380"/>
      <c r="AA441" s="100"/>
      <c r="AB441" s="100"/>
      <c r="AC441" s="100"/>
      <c r="AD441" s="100"/>
      <c r="AE441" s="100"/>
      <c r="AF441" s="100"/>
      <c r="AG441" s="100"/>
      <c r="AH441" s="100"/>
      <c r="AI441" s="100"/>
      <c r="AJ441" s="100"/>
      <c r="AK441" s="100"/>
      <c r="AL441" s="100"/>
      <c r="AM441" s="100"/>
      <c r="AN441" s="100"/>
      <c r="AO441" s="100"/>
      <c r="AP441" s="100"/>
      <c r="AQ441" s="100"/>
      <c r="AR441" s="100"/>
    </row>
    <row r="442" spans="1:44" s="281" customFormat="1" ht="12" customHeight="1">
      <c r="A442" s="100"/>
      <c r="P442" s="153"/>
      <c r="X442" s="100"/>
      <c r="Y442" s="100"/>
      <c r="Z442" s="1380"/>
      <c r="AA442" s="100"/>
      <c r="AB442" s="100"/>
      <c r="AC442" s="100"/>
      <c r="AD442" s="100"/>
      <c r="AE442" s="100"/>
      <c r="AF442" s="100"/>
      <c r="AG442" s="100"/>
      <c r="AH442" s="100"/>
      <c r="AI442" s="100"/>
      <c r="AJ442" s="100"/>
      <c r="AK442" s="100"/>
      <c r="AL442" s="100"/>
      <c r="AM442" s="100"/>
      <c r="AN442" s="100"/>
      <c r="AO442" s="100"/>
      <c r="AP442" s="100"/>
      <c r="AQ442" s="100"/>
      <c r="AR442" s="100"/>
    </row>
    <row r="443" spans="1:44" s="281" customFormat="1" ht="12" customHeight="1">
      <c r="A443" s="100"/>
      <c r="P443" s="153"/>
      <c r="X443" s="100"/>
      <c r="Y443" s="100"/>
      <c r="Z443" s="1380"/>
      <c r="AA443" s="100"/>
      <c r="AB443" s="100"/>
      <c r="AC443" s="100"/>
      <c r="AD443" s="100"/>
      <c r="AE443" s="100"/>
      <c r="AF443" s="100"/>
      <c r="AG443" s="100"/>
      <c r="AH443" s="100"/>
      <c r="AI443" s="100"/>
      <c r="AJ443" s="100"/>
      <c r="AK443" s="100"/>
      <c r="AL443" s="100"/>
      <c r="AM443" s="100"/>
      <c r="AN443" s="100"/>
      <c r="AO443" s="100"/>
      <c r="AP443" s="100"/>
      <c r="AQ443" s="100"/>
      <c r="AR443" s="100"/>
    </row>
    <row r="444" spans="1:44" s="281" customFormat="1" ht="12" customHeight="1">
      <c r="A444" s="100"/>
      <c r="P444" s="153"/>
      <c r="X444" s="100"/>
      <c r="Y444" s="100"/>
      <c r="Z444" s="1380"/>
      <c r="AA444" s="100"/>
      <c r="AB444" s="100"/>
      <c r="AC444" s="100"/>
      <c r="AD444" s="100"/>
      <c r="AE444" s="100"/>
      <c r="AF444" s="100"/>
      <c r="AG444" s="100"/>
      <c r="AH444" s="100"/>
      <c r="AI444" s="100"/>
      <c r="AJ444" s="100"/>
      <c r="AK444" s="100"/>
      <c r="AL444" s="100"/>
      <c r="AM444" s="100"/>
      <c r="AN444" s="100"/>
      <c r="AO444" s="100"/>
      <c r="AP444" s="100"/>
      <c r="AQ444" s="100"/>
      <c r="AR444" s="100"/>
    </row>
    <row r="445" spans="1:44" s="281" customFormat="1" ht="12" customHeight="1">
      <c r="A445" s="100"/>
      <c r="P445" s="153"/>
      <c r="X445" s="100"/>
      <c r="Y445" s="100"/>
      <c r="Z445" s="1380"/>
      <c r="AA445" s="100"/>
      <c r="AB445" s="100"/>
      <c r="AC445" s="100"/>
      <c r="AD445" s="100"/>
      <c r="AE445" s="100"/>
      <c r="AF445" s="100"/>
      <c r="AG445" s="100"/>
      <c r="AH445" s="100"/>
      <c r="AI445" s="100"/>
      <c r="AJ445" s="100"/>
      <c r="AK445" s="100"/>
      <c r="AL445" s="100"/>
      <c r="AM445" s="100"/>
      <c r="AN445" s="100"/>
      <c r="AO445" s="100"/>
      <c r="AP445" s="100"/>
      <c r="AQ445" s="100"/>
      <c r="AR445" s="100"/>
    </row>
    <row r="446" spans="1:44" s="281" customFormat="1" ht="12" customHeight="1">
      <c r="A446" s="100"/>
      <c r="P446" s="153"/>
      <c r="X446" s="100"/>
      <c r="Y446" s="100"/>
      <c r="Z446" s="1380"/>
      <c r="AA446" s="100"/>
      <c r="AB446" s="100"/>
      <c r="AC446" s="100"/>
      <c r="AD446" s="100"/>
      <c r="AE446" s="100"/>
      <c r="AF446" s="100"/>
      <c r="AG446" s="100"/>
      <c r="AH446" s="100"/>
      <c r="AI446" s="100"/>
      <c r="AJ446" s="100"/>
      <c r="AK446" s="100"/>
      <c r="AL446" s="100"/>
      <c r="AM446" s="100"/>
      <c r="AN446" s="100"/>
      <c r="AO446" s="100"/>
      <c r="AP446" s="100"/>
      <c r="AQ446" s="100"/>
      <c r="AR446" s="100"/>
    </row>
    <row r="447" spans="1:44" s="281" customFormat="1" ht="12" customHeight="1">
      <c r="A447" s="100"/>
      <c r="P447" s="153"/>
      <c r="X447" s="100"/>
      <c r="Y447" s="100"/>
      <c r="Z447" s="1380"/>
      <c r="AA447" s="100"/>
      <c r="AB447" s="100"/>
      <c r="AC447" s="100"/>
      <c r="AD447" s="100"/>
      <c r="AE447" s="100"/>
      <c r="AF447" s="100"/>
      <c r="AG447" s="100"/>
      <c r="AH447" s="100"/>
      <c r="AI447" s="100"/>
      <c r="AJ447" s="100"/>
      <c r="AK447" s="100"/>
      <c r="AL447" s="100"/>
      <c r="AM447" s="100"/>
      <c r="AN447" s="100"/>
      <c r="AO447" s="100"/>
      <c r="AP447" s="100"/>
      <c r="AQ447" s="100"/>
      <c r="AR447" s="100"/>
    </row>
    <row r="448" spans="1:44" s="281" customFormat="1" ht="12" customHeight="1">
      <c r="A448" s="100"/>
      <c r="P448" s="153"/>
      <c r="X448" s="100"/>
      <c r="Y448" s="100"/>
      <c r="Z448" s="1380"/>
      <c r="AA448" s="100"/>
      <c r="AB448" s="100"/>
      <c r="AC448" s="100"/>
      <c r="AD448" s="100"/>
      <c r="AE448" s="100"/>
      <c r="AF448" s="100"/>
      <c r="AG448" s="100"/>
      <c r="AH448" s="100"/>
      <c r="AI448" s="100"/>
      <c r="AJ448" s="100"/>
      <c r="AK448" s="100"/>
      <c r="AL448" s="100"/>
      <c r="AM448" s="100"/>
      <c r="AN448" s="100"/>
      <c r="AO448" s="100"/>
      <c r="AP448" s="100"/>
      <c r="AQ448" s="100"/>
      <c r="AR448" s="100"/>
    </row>
    <row r="449" spans="1:44" s="281" customFormat="1" ht="12" customHeight="1">
      <c r="A449" s="100"/>
      <c r="P449" s="153"/>
      <c r="X449" s="100"/>
      <c r="Y449" s="100"/>
      <c r="Z449" s="1380"/>
      <c r="AA449" s="100"/>
      <c r="AB449" s="100"/>
      <c r="AC449" s="100"/>
      <c r="AD449" s="100"/>
      <c r="AE449" s="100"/>
      <c r="AF449" s="100"/>
      <c r="AG449" s="100"/>
      <c r="AH449" s="100"/>
      <c r="AI449" s="100"/>
      <c r="AJ449" s="100"/>
      <c r="AK449" s="100"/>
      <c r="AL449" s="100"/>
      <c r="AM449" s="100"/>
      <c r="AN449" s="100"/>
      <c r="AO449" s="100"/>
      <c r="AP449" s="100"/>
      <c r="AQ449" s="100"/>
      <c r="AR449" s="100"/>
    </row>
    <row r="450" spans="1:44" s="281" customFormat="1" ht="12" customHeight="1">
      <c r="A450" s="100"/>
      <c r="P450" s="153"/>
      <c r="X450" s="100"/>
      <c r="Y450" s="100"/>
      <c r="Z450" s="1380"/>
      <c r="AA450" s="100"/>
      <c r="AB450" s="100"/>
      <c r="AC450" s="100"/>
      <c r="AD450" s="100"/>
      <c r="AE450" s="100"/>
      <c r="AF450" s="100"/>
      <c r="AG450" s="100"/>
      <c r="AH450" s="100"/>
      <c r="AI450" s="100"/>
      <c r="AJ450" s="100"/>
      <c r="AK450" s="100"/>
      <c r="AL450" s="100"/>
      <c r="AM450" s="100"/>
      <c r="AN450" s="100"/>
      <c r="AO450" s="100"/>
      <c r="AP450" s="100"/>
      <c r="AQ450" s="100"/>
      <c r="AR450" s="100"/>
    </row>
    <row r="451" spans="1:44" s="281" customFormat="1" ht="12" customHeight="1">
      <c r="A451" s="100"/>
      <c r="P451" s="153"/>
      <c r="X451" s="100"/>
      <c r="Y451" s="100"/>
      <c r="Z451" s="1380"/>
      <c r="AA451" s="100"/>
      <c r="AB451" s="100"/>
      <c r="AC451" s="100"/>
      <c r="AD451" s="100"/>
      <c r="AE451" s="100"/>
      <c r="AF451" s="100"/>
      <c r="AG451" s="100"/>
      <c r="AH451" s="100"/>
      <c r="AI451" s="100"/>
      <c r="AJ451" s="100"/>
      <c r="AK451" s="100"/>
      <c r="AL451" s="100"/>
      <c r="AM451" s="100"/>
      <c r="AN451" s="100"/>
      <c r="AO451" s="100"/>
      <c r="AP451" s="100"/>
      <c r="AQ451" s="100"/>
      <c r="AR451" s="100"/>
    </row>
    <row r="452" spans="1:44" s="281" customFormat="1" ht="12" customHeight="1">
      <c r="A452" s="100"/>
      <c r="P452" s="153"/>
      <c r="X452" s="100"/>
      <c r="Y452" s="100"/>
      <c r="Z452" s="1380"/>
      <c r="AA452" s="100"/>
      <c r="AB452" s="100"/>
      <c r="AC452" s="100"/>
      <c r="AD452" s="100"/>
      <c r="AE452" s="100"/>
      <c r="AF452" s="100"/>
      <c r="AG452" s="100"/>
      <c r="AH452" s="100"/>
      <c r="AI452" s="100"/>
      <c r="AJ452" s="100"/>
      <c r="AK452" s="100"/>
      <c r="AL452" s="100"/>
      <c r="AM452" s="100"/>
      <c r="AN452" s="100"/>
      <c r="AO452" s="100"/>
      <c r="AP452" s="100"/>
      <c r="AQ452" s="100"/>
      <c r="AR452" s="100"/>
    </row>
    <row r="453" spans="1:44" s="281" customFormat="1" ht="12" customHeight="1">
      <c r="A453" s="100"/>
      <c r="P453" s="153"/>
      <c r="X453" s="100"/>
      <c r="Y453" s="100"/>
      <c r="Z453" s="1380"/>
      <c r="AA453" s="100"/>
      <c r="AB453" s="100"/>
      <c r="AC453" s="100"/>
      <c r="AD453" s="100"/>
      <c r="AE453" s="100"/>
      <c r="AF453" s="100"/>
      <c r="AG453" s="100"/>
      <c r="AH453" s="100"/>
      <c r="AI453" s="100"/>
      <c r="AJ453" s="100"/>
      <c r="AK453" s="100"/>
      <c r="AL453" s="100"/>
      <c r="AM453" s="100"/>
      <c r="AN453" s="100"/>
      <c r="AO453" s="100"/>
      <c r="AP453" s="100"/>
      <c r="AQ453" s="100"/>
      <c r="AR453" s="100"/>
    </row>
    <row r="454" spans="1:44" s="281" customFormat="1" ht="12" customHeight="1">
      <c r="A454" s="100"/>
      <c r="P454" s="307"/>
      <c r="X454" s="100"/>
      <c r="Y454" s="100"/>
      <c r="Z454" s="1380"/>
      <c r="AA454" s="100"/>
      <c r="AB454" s="100"/>
      <c r="AC454" s="100"/>
      <c r="AD454" s="100"/>
      <c r="AE454" s="100"/>
      <c r="AF454" s="100"/>
      <c r="AG454" s="100"/>
      <c r="AH454" s="100"/>
      <c r="AI454" s="100"/>
      <c r="AJ454" s="100"/>
      <c r="AK454" s="100"/>
      <c r="AL454" s="100"/>
      <c r="AM454" s="100"/>
      <c r="AN454" s="100"/>
      <c r="AO454" s="100"/>
      <c r="AP454" s="100"/>
      <c r="AQ454" s="100"/>
      <c r="AR454" s="100"/>
    </row>
    <row r="455" spans="1:44" s="281" customFormat="1" ht="12" customHeight="1">
      <c r="A455" s="100"/>
      <c r="P455" s="153"/>
      <c r="X455" s="100"/>
      <c r="Y455" s="100"/>
      <c r="Z455" s="1380"/>
      <c r="AA455" s="100"/>
      <c r="AB455" s="100"/>
      <c r="AC455" s="100"/>
      <c r="AD455" s="100"/>
      <c r="AE455" s="100"/>
      <c r="AF455" s="100"/>
      <c r="AG455" s="100"/>
      <c r="AH455" s="100"/>
      <c r="AI455" s="100"/>
      <c r="AJ455" s="100"/>
      <c r="AK455" s="100"/>
      <c r="AL455" s="100"/>
      <c r="AM455" s="100"/>
      <c r="AN455" s="100"/>
      <c r="AO455" s="100"/>
      <c r="AP455" s="100"/>
      <c r="AQ455" s="100"/>
      <c r="AR455" s="100"/>
    </row>
    <row r="456" spans="1:44" s="281" customFormat="1" ht="12" customHeight="1">
      <c r="A456" s="100"/>
      <c r="P456" s="153"/>
      <c r="X456" s="100"/>
      <c r="Y456" s="100"/>
      <c r="Z456" s="1380"/>
      <c r="AA456" s="100"/>
      <c r="AB456" s="100"/>
      <c r="AC456" s="100"/>
      <c r="AD456" s="100"/>
      <c r="AE456" s="100"/>
      <c r="AF456" s="100"/>
      <c r="AG456" s="100"/>
      <c r="AH456" s="100"/>
      <c r="AI456" s="100"/>
      <c r="AJ456" s="100"/>
      <c r="AK456" s="100"/>
      <c r="AL456" s="100"/>
      <c r="AM456" s="100"/>
      <c r="AN456" s="100"/>
      <c r="AO456" s="100"/>
      <c r="AP456" s="100"/>
      <c r="AQ456" s="100"/>
      <c r="AR456" s="100"/>
    </row>
    <row r="457" spans="1:44" s="281" customFormat="1" ht="12" customHeight="1">
      <c r="A457" s="100"/>
      <c r="P457" s="153"/>
      <c r="X457" s="100"/>
      <c r="Y457" s="100"/>
      <c r="Z457" s="1380"/>
      <c r="AA457" s="100"/>
      <c r="AB457" s="100"/>
      <c r="AC457" s="100"/>
      <c r="AD457" s="100"/>
      <c r="AE457" s="100"/>
      <c r="AF457" s="100"/>
      <c r="AG457" s="100"/>
      <c r="AH457" s="100"/>
      <c r="AI457" s="100"/>
      <c r="AJ457" s="100"/>
      <c r="AK457" s="100"/>
      <c r="AL457" s="100"/>
      <c r="AM457" s="100"/>
      <c r="AN457" s="100"/>
      <c r="AO457" s="100"/>
      <c r="AP457" s="100"/>
      <c r="AQ457" s="100"/>
      <c r="AR457" s="100"/>
    </row>
    <row r="458" spans="1:44" s="281" customFormat="1" ht="12" customHeight="1">
      <c r="A458" s="100"/>
      <c r="P458" s="153"/>
      <c r="X458" s="100"/>
      <c r="Y458" s="100"/>
      <c r="Z458" s="1380"/>
      <c r="AA458" s="100"/>
      <c r="AB458" s="100"/>
      <c r="AC458" s="100"/>
      <c r="AD458" s="100"/>
      <c r="AE458" s="100"/>
      <c r="AF458" s="100"/>
      <c r="AG458" s="100"/>
      <c r="AH458" s="100"/>
      <c r="AI458" s="100"/>
      <c r="AJ458" s="100"/>
      <c r="AK458" s="100"/>
      <c r="AL458" s="100"/>
      <c r="AM458" s="100"/>
      <c r="AN458" s="100"/>
      <c r="AO458" s="100"/>
      <c r="AP458" s="100"/>
      <c r="AQ458" s="100"/>
      <c r="AR458" s="100"/>
    </row>
    <row r="459" spans="1:44" s="281" customFormat="1" ht="12" customHeight="1">
      <c r="A459" s="100"/>
      <c r="P459" s="307"/>
      <c r="X459" s="100"/>
      <c r="Y459" s="100"/>
      <c r="Z459" s="1380"/>
      <c r="AA459" s="100"/>
      <c r="AB459" s="100"/>
      <c r="AC459" s="100"/>
      <c r="AD459" s="100"/>
      <c r="AE459" s="100"/>
      <c r="AF459" s="100"/>
      <c r="AG459" s="100"/>
      <c r="AH459" s="100"/>
      <c r="AI459" s="100"/>
      <c r="AJ459" s="100"/>
      <c r="AK459" s="100"/>
      <c r="AL459" s="100"/>
      <c r="AM459" s="100"/>
      <c r="AN459" s="100"/>
      <c r="AO459" s="100"/>
      <c r="AP459" s="100"/>
      <c r="AQ459" s="100"/>
      <c r="AR459" s="100"/>
    </row>
    <row r="460" spans="1:44" s="281" customFormat="1" ht="12" customHeight="1">
      <c r="A460" s="100"/>
      <c r="P460" s="153"/>
      <c r="X460" s="100"/>
      <c r="Y460" s="100"/>
      <c r="Z460" s="1380"/>
      <c r="AA460" s="100"/>
      <c r="AB460" s="100"/>
      <c r="AC460" s="100"/>
      <c r="AD460" s="100"/>
      <c r="AE460" s="100"/>
      <c r="AF460" s="100"/>
      <c r="AG460" s="100"/>
      <c r="AH460" s="100"/>
      <c r="AI460" s="100"/>
      <c r="AJ460" s="100"/>
      <c r="AK460" s="100"/>
      <c r="AL460" s="100"/>
      <c r="AM460" s="100"/>
      <c r="AN460" s="100"/>
      <c r="AO460" s="100"/>
      <c r="AP460" s="100"/>
      <c r="AQ460" s="100"/>
      <c r="AR460" s="100"/>
    </row>
    <row r="461" spans="1:44" s="281" customFormat="1" ht="12" customHeight="1">
      <c r="A461" s="100"/>
      <c r="P461" s="153"/>
      <c r="X461" s="100"/>
      <c r="Y461" s="100"/>
      <c r="Z461" s="1380"/>
      <c r="AA461" s="100"/>
      <c r="AB461" s="100"/>
      <c r="AC461" s="100"/>
      <c r="AD461" s="100"/>
      <c r="AE461" s="100"/>
      <c r="AF461" s="100"/>
      <c r="AG461" s="100"/>
      <c r="AH461" s="100"/>
      <c r="AI461" s="100"/>
      <c r="AJ461" s="100"/>
      <c r="AK461" s="100"/>
      <c r="AL461" s="100"/>
      <c r="AM461" s="100"/>
      <c r="AN461" s="100"/>
      <c r="AO461" s="100"/>
      <c r="AP461" s="100"/>
      <c r="AQ461" s="100"/>
      <c r="AR461" s="100"/>
    </row>
    <row r="462" spans="1:44" s="281" customFormat="1" ht="12" customHeight="1">
      <c r="A462" s="100"/>
      <c r="P462" s="153"/>
      <c r="X462" s="100"/>
      <c r="Y462" s="100"/>
      <c r="Z462" s="1380"/>
      <c r="AA462" s="100"/>
      <c r="AB462" s="100"/>
      <c r="AC462" s="100"/>
      <c r="AD462" s="100"/>
      <c r="AE462" s="100"/>
      <c r="AF462" s="100"/>
      <c r="AG462" s="100"/>
      <c r="AH462" s="100"/>
      <c r="AI462" s="100"/>
      <c r="AJ462" s="100"/>
      <c r="AK462" s="100"/>
      <c r="AL462" s="100"/>
      <c r="AM462" s="100"/>
      <c r="AN462" s="100"/>
      <c r="AO462" s="100"/>
      <c r="AP462" s="100"/>
      <c r="AQ462" s="100"/>
      <c r="AR462" s="100"/>
    </row>
    <row r="463" spans="1:44" s="281" customFormat="1" ht="12" customHeight="1">
      <c r="A463" s="100"/>
      <c r="P463" s="153"/>
      <c r="X463" s="100"/>
      <c r="Y463" s="100"/>
      <c r="Z463" s="1380"/>
      <c r="AA463" s="100"/>
      <c r="AB463" s="100"/>
      <c r="AC463" s="100"/>
      <c r="AD463" s="100"/>
      <c r="AE463" s="100"/>
      <c r="AF463" s="100"/>
      <c r="AG463" s="100"/>
      <c r="AH463" s="100"/>
      <c r="AI463" s="100"/>
      <c r="AJ463" s="100"/>
      <c r="AK463" s="100"/>
      <c r="AL463" s="100"/>
      <c r="AM463" s="100"/>
      <c r="AN463" s="100"/>
      <c r="AO463" s="100"/>
      <c r="AP463" s="100"/>
      <c r="AQ463" s="100"/>
      <c r="AR463" s="100"/>
    </row>
    <row r="464" spans="1:44" s="281" customFormat="1" ht="12" customHeight="1">
      <c r="A464" s="100"/>
      <c r="P464" s="153"/>
      <c r="X464" s="100"/>
      <c r="Y464" s="100"/>
      <c r="Z464" s="1380"/>
      <c r="AA464" s="100"/>
      <c r="AB464" s="100"/>
      <c r="AC464" s="100"/>
      <c r="AD464" s="100"/>
      <c r="AE464" s="100"/>
      <c r="AF464" s="100"/>
      <c r="AG464" s="100"/>
      <c r="AH464" s="100"/>
      <c r="AI464" s="100"/>
      <c r="AJ464" s="100"/>
      <c r="AK464" s="100"/>
      <c r="AL464" s="100"/>
      <c r="AM464" s="100"/>
      <c r="AN464" s="100"/>
      <c r="AO464" s="100"/>
      <c r="AP464" s="100"/>
      <c r="AQ464" s="100"/>
      <c r="AR464" s="100"/>
    </row>
    <row r="465" spans="1:44" s="281" customFormat="1" ht="12" customHeight="1">
      <c r="A465" s="100"/>
      <c r="P465" s="153"/>
      <c r="X465" s="100"/>
      <c r="Y465" s="100"/>
      <c r="Z465" s="1380"/>
      <c r="AA465" s="100"/>
      <c r="AB465" s="100"/>
      <c r="AC465" s="100"/>
      <c r="AD465" s="100"/>
      <c r="AE465" s="100"/>
      <c r="AF465" s="100"/>
      <c r="AG465" s="100"/>
      <c r="AH465" s="100"/>
      <c r="AI465" s="100"/>
      <c r="AJ465" s="100"/>
      <c r="AK465" s="100"/>
      <c r="AL465" s="100"/>
      <c r="AM465" s="100"/>
      <c r="AN465" s="100"/>
      <c r="AO465" s="100"/>
      <c r="AP465" s="100"/>
      <c r="AQ465" s="100"/>
      <c r="AR465" s="100"/>
    </row>
    <row r="466" spans="1:44" s="281" customFormat="1" ht="12" customHeight="1">
      <c r="A466" s="100"/>
      <c r="P466" s="153"/>
      <c r="X466" s="100"/>
      <c r="Y466" s="100"/>
      <c r="Z466" s="1380"/>
      <c r="AA466" s="100"/>
      <c r="AB466" s="100"/>
      <c r="AC466" s="100"/>
      <c r="AD466" s="100"/>
      <c r="AE466" s="100"/>
      <c r="AF466" s="100"/>
      <c r="AG466" s="100"/>
      <c r="AH466" s="100"/>
      <c r="AI466" s="100"/>
      <c r="AJ466" s="100"/>
      <c r="AK466" s="100"/>
      <c r="AL466" s="100"/>
      <c r="AM466" s="100"/>
      <c r="AN466" s="100"/>
      <c r="AO466" s="100"/>
      <c r="AP466" s="100"/>
      <c r="AQ466" s="100"/>
      <c r="AR466" s="100"/>
    </row>
    <row r="467" spans="1:44" s="281" customFormat="1" ht="12" customHeight="1">
      <c r="A467" s="100"/>
      <c r="P467" s="153"/>
      <c r="X467" s="100"/>
      <c r="Y467" s="100"/>
      <c r="Z467" s="1380"/>
      <c r="AA467" s="100"/>
      <c r="AB467" s="100"/>
      <c r="AC467" s="100"/>
      <c r="AD467" s="100"/>
      <c r="AE467" s="100"/>
      <c r="AF467" s="100"/>
      <c r="AG467" s="100"/>
      <c r="AH467" s="100"/>
      <c r="AI467" s="100"/>
      <c r="AJ467" s="100"/>
      <c r="AK467" s="100"/>
      <c r="AL467" s="100"/>
      <c r="AM467" s="100"/>
      <c r="AN467" s="100"/>
      <c r="AO467" s="100"/>
      <c r="AP467" s="100"/>
      <c r="AQ467" s="100"/>
      <c r="AR467" s="100"/>
    </row>
    <row r="468" spans="1:44" s="281" customFormat="1" ht="12" customHeight="1">
      <c r="A468" s="100"/>
      <c r="P468" s="153"/>
      <c r="R468" s="301" t="s">
        <v>89</v>
      </c>
      <c r="S468" s="301" t="s">
        <v>90</v>
      </c>
      <c r="T468" s="301" t="s">
        <v>91</v>
      </c>
      <c r="X468" s="100"/>
      <c r="Y468" s="100"/>
      <c r="Z468" s="1380"/>
      <c r="AA468" s="100"/>
      <c r="AB468" s="100"/>
      <c r="AC468" s="100"/>
      <c r="AD468" s="100"/>
      <c r="AE468" s="100"/>
      <c r="AF468" s="100"/>
      <c r="AG468" s="100"/>
      <c r="AH468" s="100"/>
      <c r="AI468" s="100"/>
      <c r="AJ468" s="100"/>
      <c r="AK468" s="100"/>
      <c r="AL468" s="100"/>
      <c r="AM468" s="100"/>
      <c r="AN468" s="100"/>
      <c r="AO468" s="100"/>
      <c r="AP468" s="100"/>
      <c r="AQ468" s="100"/>
      <c r="AR468" s="100"/>
    </row>
    <row r="469" spans="1:44" s="281" customFormat="1" ht="12" customHeight="1">
      <c r="A469" s="100"/>
      <c r="P469" s="153"/>
      <c r="R469" s="301" t="s">
        <v>92</v>
      </c>
      <c r="S469" s="301" t="s">
        <v>93</v>
      </c>
      <c r="T469" s="302" t="s">
        <v>94</v>
      </c>
      <c r="X469" s="100"/>
      <c r="Y469" s="100"/>
      <c r="Z469" s="1380"/>
      <c r="AA469" s="100"/>
      <c r="AB469" s="100"/>
      <c r="AC469" s="100"/>
      <c r="AD469" s="100"/>
      <c r="AE469" s="100"/>
      <c r="AF469" s="100"/>
      <c r="AG469" s="100"/>
      <c r="AH469" s="100"/>
      <c r="AI469" s="100"/>
      <c r="AJ469" s="100"/>
      <c r="AK469" s="100"/>
      <c r="AL469" s="100"/>
      <c r="AM469" s="100"/>
      <c r="AN469" s="100"/>
      <c r="AO469" s="100"/>
      <c r="AP469" s="100"/>
      <c r="AQ469" s="100"/>
      <c r="AR469" s="100"/>
    </row>
    <row r="470" spans="1:44" s="281" customFormat="1" ht="12" customHeight="1">
      <c r="A470" s="100"/>
      <c r="P470" s="307"/>
      <c r="R470" s="301" t="s">
        <v>95</v>
      </c>
      <c r="S470" s="301" t="s">
        <v>96</v>
      </c>
      <c r="T470" s="302" t="s">
        <v>94</v>
      </c>
      <c r="X470" s="100"/>
      <c r="Y470" s="100"/>
      <c r="Z470" s="1380"/>
      <c r="AA470" s="100"/>
      <c r="AB470" s="100"/>
      <c r="AC470" s="100"/>
      <c r="AD470" s="100"/>
      <c r="AE470" s="100"/>
      <c r="AF470" s="100"/>
      <c r="AG470" s="100"/>
      <c r="AH470" s="100"/>
      <c r="AI470" s="100"/>
      <c r="AJ470" s="100"/>
      <c r="AK470" s="100"/>
      <c r="AL470" s="100"/>
      <c r="AM470" s="100"/>
      <c r="AN470" s="100"/>
      <c r="AO470" s="100"/>
      <c r="AP470" s="100"/>
      <c r="AQ470" s="100"/>
      <c r="AR470" s="100"/>
    </row>
    <row r="471" spans="1:44" s="281" customFormat="1" ht="12" customHeight="1">
      <c r="A471" s="100"/>
      <c r="P471" s="153"/>
      <c r="R471" s="301" t="s">
        <v>97</v>
      </c>
      <c r="S471" s="301" t="s">
        <v>98</v>
      </c>
      <c r="T471" s="302" t="s">
        <v>94</v>
      </c>
      <c r="X471" s="100"/>
      <c r="Y471" s="100"/>
      <c r="Z471" s="1380"/>
      <c r="AA471" s="100"/>
      <c r="AB471" s="100"/>
      <c r="AC471" s="100"/>
      <c r="AD471" s="100"/>
      <c r="AE471" s="100"/>
      <c r="AF471" s="100"/>
      <c r="AG471" s="100"/>
      <c r="AH471" s="100"/>
      <c r="AI471" s="100"/>
      <c r="AJ471" s="100"/>
      <c r="AK471" s="100"/>
      <c r="AL471" s="100"/>
      <c r="AM471" s="100"/>
      <c r="AN471" s="100"/>
      <c r="AO471" s="100"/>
      <c r="AP471" s="100"/>
      <c r="AQ471" s="100"/>
      <c r="AR471" s="100"/>
    </row>
    <row r="472" spans="1:44" s="281" customFormat="1" ht="12" customHeight="1">
      <c r="A472" s="100"/>
      <c r="P472" s="153"/>
      <c r="R472" s="301" t="s">
        <v>99</v>
      </c>
      <c r="S472" s="301"/>
      <c r="T472" s="302" t="s">
        <v>94</v>
      </c>
      <c r="X472" s="100"/>
      <c r="Y472" s="100"/>
      <c r="Z472" s="1380"/>
      <c r="AA472" s="100"/>
      <c r="AB472" s="100"/>
      <c r="AC472" s="100"/>
      <c r="AD472" s="100"/>
      <c r="AE472" s="100"/>
      <c r="AF472" s="100"/>
      <c r="AG472" s="100"/>
      <c r="AH472" s="100"/>
      <c r="AI472" s="100"/>
      <c r="AJ472" s="100"/>
      <c r="AK472" s="100"/>
      <c r="AL472" s="100"/>
      <c r="AM472" s="100"/>
      <c r="AN472" s="100"/>
      <c r="AO472" s="100"/>
      <c r="AP472" s="100"/>
      <c r="AQ472" s="100"/>
      <c r="AR472" s="100"/>
    </row>
    <row r="473" spans="1:44" s="281" customFormat="1" ht="12" customHeight="1">
      <c r="A473" s="100"/>
      <c r="P473" s="153"/>
      <c r="R473" s="301" t="s">
        <v>100</v>
      </c>
      <c r="S473" s="301" t="s">
        <v>101</v>
      </c>
      <c r="T473" s="302" t="s">
        <v>94</v>
      </c>
      <c r="X473" s="100"/>
      <c r="Y473" s="100"/>
      <c r="Z473" s="1380"/>
      <c r="AA473" s="100"/>
      <c r="AB473" s="100"/>
      <c r="AC473" s="100"/>
      <c r="AD473" s="100"/>
      <c r="AE473" s="100"/>
      <c r="AF473" s="100"/>
      <c r="AG473" s="100"/>
      <c r="AH473" s="100"/>
      <c r="AI473" s="100"/>
      <c r="AJ473" s="100"/>
      <c r="AK473" s="100"/>
      <c r="AL473" s="100"/>
      <c r="AM473" s="100"/>
      <c r="AN473" s="100"/>
      <c r="AO473" s="100"/>
      <c r="AP473" s="100"/>
      <c r="AQ473" s="100"/>
      <c r="AR473" s="100"/>
    </row>
    <row r="474" spans="1:44" s="281" customFormat="1" ht="12" customHeight="1">
      <c r="A474" s="100"/>
      <c r="P474" s="153"/>
      <c r="R474" s="301" t="s">
        <v>102</v>
      </c>
      <c r="S474" s="301" t="s">
        <v>98</v>
      </c>
      <c r="T474" s="302" t="s">
        <v>94</v>
      </c>
      <c r="X474" s="100"/>
      <c r="Y474" s="100"/>
      <c r="Z474" s="1380"/>
      <c r="AA474" s="100"/>
      <c r="AB474" s="100"/>
      <c r="AC474" s="100"/>
      <c r="AD474" s="100"/>
      <c r="AE474" s="100"/>
      <c r="AF474" s="100"/>
      <c r="AG474" s="100"/>
      <c r="AH474" s="100"/>
      <c r="AI474" s="100"/>
      <c r="AJ474" s="100"/>
      <c r="AK474" s="100"/>
      <c r="AL474" s="100"/>
      <c r="AM474" s="100"/>
      <c r="AN474" s="100"/>
      <c r="AO474" s="100"/>
      <c r="AP474" s="100"/>
      <c r="AQ474" s="100"/>
      <c r="AR474" s="100"/>
    </row>
    <row r="475" spans="1:44" s="281" customFormat="1" ht="12" customHeight="1">
      <c r="A475" s="100"/>
      <c r="P475" s="153"/>
      <c r="R475" s="301" t="s">
        <v>103</v>
      </c>
      <c r="S475" s="301" t="s">
        <v>104</v>
      </c>
      <c r="T475" s="302" t="s">
        <v>94</v>
      </c>
      <c r="X475" s="100"/>
      <c r="Y475" s="100"/>
      <c r="Z475" s="1380"/>
      <c r="AA475" s="100"/>
      <c r="AB475" s="100"/>
      <c r="AC475" s="100"/>
      <c r="AD475" s="100"/>
      <c r="AE475" s="100"/>
      <c r="AF475" s="100"/>
      <c r="AG475" s="100"/>
      <c r="AH475" s="100"/>
      <c r="AI475" s="100"/>
      <c r="AJ475" s="100"/>
      <c r="AK475" s="100"/>
      <c r="AL475" s="100"/>
      <c r="AM475" s="100"/>
      <c r="AN475" s="100"/>
      <c r="AO475" s="100"/>
      <c r="AP475" s="100"/>
      <c r="AQ475" s="100"/>
      <c r="AR475" s="100"/>
    </row>
    <row r="476" spans="1:44" s="281" customFormat="1" ht="12" customHeight="1">
      <c r="A476" s="100"/>
      <c r="P476" s="153"/>
      <c r="R476" s="301" t="s">
        <v>105</v>
      </c>
      <c r="S476" s="301" t="s">
        <v>106</v>
      </c>
      <c r="T476" s="302" t="s">
        <v>94</v>
      </c>
      <c r="X476" s="100"/>
      <c r="Y476" s="100"/>
      <c r="Z476" s="1380"/>
      <c r="AA476" s="100"/>
      <c r="AB476" s="100"/>
      <c r="AC476" s="100"/>
      <c r="AD476" s="100"/>
      <c r="AE476" s="100"/>
      <c r="AF476" s="100"/>
      <c r="AG476" s="100"/>
      <c r="AH476" s="100"/>
      <c r="AI476" s="100"/>
      <c r="AJ476" s="100"/>
      <c r="AK476" s="100"/>
      <c r="AL476" s="100"/>
      <c r="AM476" s="100"/>
      <c r="AN476" s="100"/>
      <c r="AO476" s="100"/>
      <c r="AP476" s="100"/>
      <c r="AQ476" s="100"/>
      <c r="AR476" s="100"/>
    </row>
    <row r="477" spans="1:44" s="281" customFormat="1" ht="12" customHeight="1">
      <c r="A477" s="100"/>
      <c r="P477" s="153"/>
      <c r="R477" s="301" t="s">
        <v>107</v>
      </c>
      <c r="S477" s="301" t="s">
        <v>108</v>
      </c>
      <c r="T477" s="302" t="s">
        <v>94</v>
      </c>
      <c r="X477" s="100"/>
      <c r="Y477" s="100"/>
      <c r="Z477" s="1380"/>
      <c r="AA477" s="100"/>
      <c r="AB477" s="100"/>
      <c r="AC477" s="100"/>
      <c r="AD477" s="100"/>
      <c r="AE477" s="100"/>
      <c r="AF477" s="100"/>
      <c r="AG477" s="100"/>
      <c r="AH477" s="100"/>
      <c r="AI477" s="100"/>
      <c r="AJ477" s="100"/>
      <c r="AK477" s="100"/>
      <c r="AL477" s="100"/>
      <c r="AM477" s="100"/>
      <c r="AN477" s="100"/>
      <c r="AO477" s="100"/>
      <c r="AP477" s="100"/>
      <c r="AQ477" s="100"/>
      <c r="AR477" s="100"/>
    </row>
    <row r="478" spans="1:44" s="281" customFormat="1" ht="12" customHeight="1">
      <c r="A478" s="100"/>
      <c r="P478" s="153"/>
      <c r="R478" s="301" t="s">
        <v>109</v>
      </c>
      <c r="S478" s="301" t="s">
        <v>93</v>
      </c>
      <c r="T478" s="302" t="s">
        <v>94</v>
      </c>
      <c r="X478" s="100"/>
      <c r="Y478" s="100"/>
      <c r="Z478" s="1380"/>
      <c r="AA478" s="100"/>
      <c r="AB478" s="100"/>
      <c r="AC478" s="100"/>
      <c r="AD478" s="100"/>
      <c r="AE478" s="100"/>
      <c r="AF478" s="100"/>
      <c r="AG478" s="100"/>
      <c r="AH478" s="100"/>
      <c r="AI478" s="100"/>
      <c r="AJ478" s="100"/>
      <c r="AK478" s="100"/>
      <c r="AL478" s="100"/>
      <c r="AM478" s="100"/>
      <c r="AN478" s="100"/>
      <c r="AO478" s="100"/>
      <c r="AP478" s="100"/>
      <c r="AQ478" s="100"/>
      <c r="AR478" s="100"/>
    </row>
    <row r="479" spans="1:44" s="281" customFormat="1" ht="12" customHeight="1">
      <c r="A479" s="100"/>
      <c r="P479" s="153"/>
      <c r="R479" s="301" t="s">
        <v>110</v>
      </c>
      <c r="S479" s="301" t="s">
        <v>111</v>
      </c>
      <c r="T479" s="302" t="s">
        <v>94</v>
      </c>
      <c r="X479" s="100"/>
      <c r="Y479" s="100"/>
      <c r="Z479" s="1380"/>
      <c r="AA479" s="100"/>
      <c r="AB479" s="100"/>
      <c r="AC479" s="100"/>
      <c r="AD479" s="100"/>
      <c r="AE479" s="100"/>
      <c r="AF479" s="100"/>
      <c r="AG479" s="100"/>
      <c r="AH479" s="100"/>
      <c r="AI479" s="100"/>
      <c r="AJ479" s="100"/>
      <c r="AK479" s="100"/>
      <c r="AL479" s="100"/>
      <c r="AM479" s="100"/>
      <c r="AN479" s="100"/>
      <c r="AO479" s="100"/>
      <c r="AP479" s="100"/>
      <c r="AQ479" s="100"/>
      <c r="AR479" s="100"/>
    </row>
    <row r="480" spans="1:44" s="281" customFormat="1" ht="12" customHeight="1">
      <c r="A480" s="100"/>
      <c r="P480" s="153"/>
      <c r="R480" s="301" t="s">
        <v>112</v>
      </c>
      <c r="S480" s="301" t="s">
        <v>113</v>
      </c>
      <c r="T480" s="302" t="s">
        <v>94</v>
      </c>
      <c r="X480" s="100"/>
      <c r="Y480" s="100"/>
      <c r="Z480" s="1380"/>
      <c r="AA480" s="100"/>
      <c r="AB480" s="100"/>
      <c r="AC480" s="100"/>
      <c r="AD480" s="100"/>
      <c r="AE480" s="100"/>
      <c r="AF480" s="100"/>
      <c r="AG480" s="100"/>
      <c r="AH480" s="100"/>
      <c r="AI480" s="100"/>
      <c r="AJ480" s="100"/>
      <c r="AK480" s="100"/>
      <c r="AL480" s="100"/>
      <c r="AM480" s="100"/>
      <c r="AN480" s="100"/>
      <c r="AO480" s="100"/>
      <c r="AP480" s="100"/>
      <c r="AQ480" s="100"/>
      <c r="AR480" s="100"/>
    </row>
    <row r="481" spans="1:44" s="281" customFormat="1" ht="12" customHeight="1">
      <c r="A481" s="100"/>
      <c r="P481" s="153"/>
      <c r="R481" s="301" t="s">
        <v>114</v>
      </c>
      <c r="S481" s="301" t="s">
        <v>115</v>
      </c>
      <c r="T481" s="302" t="s">
        <v>94</v>
      </c>
      <c r="X481" s="100"/>
      <c r="Y481" s="100"/>
      <c r="Z481" s="1380"/>
      <c r="AA481" s="100"/>
      <c r="AB481" s="100"/>
      <c r="AC481" s="100"/>
      <c r="AD481" s="100"/>
      <c r="AE481" s="100"/>
      <c r="AF481" s="100"/>
      <c r="AG481" s="100"/>
      <c r="AH481" s="100"/>
      <c r="AI481" s="100"/>
      <c r="AJ481" s="100"/>
      <c r="AK481" s="100"/>
      <c r="AL481" s="100"/>
      <c r="AM481" s="100"/>
      <c r="AN481" s="100"/>
      <c r="AO481" s="100"/>
      <c r="AP481" s="100"/>
      <c r="AQ481" s="100"/>
      <c r="AR481" s="100"/>
    </row>
    <row r="482" spans="1:44" s="281" customFormat="1" ht="12" customHeight="1">
      <c r="A482" s="100"/>
      <c r="P482" s="153"/>
      <c r="R482" s="301" t="s">
        <v>116</v>
      </c>
      <c r="S482" s="301" t="s">
        <v>111</v>
      </c>
      <c r="T482" s="302" t="s">
        <v>94</v>
      </c>
      <c r="X482" s="100"/>
      <c r="Y482" s="100"/>
      <c r="Z482" s="1380"/>
      <c r="AA482" s="100"/>
      <c r="AB482" s="100"/>
      <c r="AC482" s="100"/>
      <c r="AD482" s="100"/>
      <c r="AE482" s="100"/>
      <c r="AF482" s="100"/>
      <c r="AG482" s="100"/>
      <c r="AH482" s="100"/>
      <c r="AI482" s="100"/>
      <c r="AJ482" s="100"/>
      <c r="AK482" s="100"/>
      <c r="AL482" s="100"/>
      <c r="AM482" s="100"/>
      <c r="AN482" s="100"/>
      <c r="AO482" s="100"/>
      <c r="AP482" s="100"/>
      <c r="AQ482" s="100"/>
      <c r="AR482" s="100"/>
    </row>
    <row r="483" spans="1:44" s="281" customFormat="1" ht="12" customHeight="1">
      <c r="A483" s="100"/>
      <c r="P483" s="153"/>
      <c r="R483" s="301" t="s">
        <v>117</v>
      </c>
      <c r="S483" s="301" t="s">
        <v>118</v>
      </c>
      <c r="T483" s="302" t="s">
        <v>94</v>
      </c>
      <c r="X483" s="100"/>
      <c r="Y483" s="100"/>
      <c r="Z483" s="1380"/>
      <c r="AA483" s="100"/>
      <c r="AB483" s="100"/>
      <c r="AC483" s="100"/>
      <c r="AD483" s="100"/>
      <c r="AE483" s="100"/>
      <c r="AF483" s="100"/>
      <c r="AG483" s="100"/>
      <c r="AH483" s="100"/>
      <c r="AI483" s="100"/>
      <c r="AJ483" s="100"/>
      <c r="AK483" s="100"/>
      <c r="AL483" s="100"/>
      <c r="AM483" s="100"/>
      <c r="AN483" s="100"/>
      <c r="AO483" s="100"/>
      <c r="AP483" s="100"/>
      <c r="AQ483" s="100"/>
      <c r="AR483" s="100"/>
    </row>
    <row r="484" spans="1:44" s="281" customFormat="1" ht="12" customHeight="1">
      <c r="A484" s="100"/>
      <c r="P484" s="307"/>
      <c r="R484" s="301" t="s">
        <v>119</v>
      </c>
      <c r="S484" s="301" t="s">
        <v>101</v>
      </c>
      <c r="T484" s="302" t="s">
        <v>94</v>
      </c>
      <c r="X484" s="100"/>
      <c r="Y484" s="100"/>
      <c r="Z484" s="1380"/>
      <c r="AA484" s="100"/>
      <c r="AB484" s="100"/>
      <c r="AC484" s="100"/>
      <c r="AD484" s="100"/>
      <c r="AE484" s="100"/>
      <c r="AF484" s="100"/>
      <c r="AG484" s="100"/>
      <c r="AH484" s="100"/>
      <c r="AI484" s="100"/>
      <c r="AJ484" s="100"/>
      <c r="AK484" s="100"/>
      <c r="AL484" s="100"/>
      <c r="AM484" s="100"/>
      <c r="AN484" s="100"/>
      <c r="AO484" s="100"/>
      <c r="AP484" s="100"/>
      <c r="AQ484" s="100"/>
      <c r="AR484" s="100"/>
    </row>
    <row r="485" spans="1:44" s="281" customFormat="1" ht="12" customHeight="1">
      <c r="A485" s="100"/>
      <c r="P485" s="153"/>
      <c r="R485" s="301" t="s">
        <v>120</v>
      </c>
      <c r="S485" s="301" t="s">
        <v>121</v>
      </c>
      <c r="T485" s="302" t="s">
        <v>94</v>
      </c>
      <c r="X485" s="100"/>
      <c r="Y485" s="100"/>
      <c r="Z485" s="1380"/>
      <c r="AA485" s="100"/>
      <c r="AB485" s="100"/>
      <c r="AC485" s="100"/>
      <c r="AD485" s="100"/>
      <c r="AE485" s="100"/>
      <c r="AF485" s="100"/>
      <c r="AG485" s="100"/>
      <c r="AH485" s="100"/>
      <c r="AI485" s="100"/>
      <c r="AJ485" s="100"/>
      <c r="AK485" s="100"/>
      <c r="AL485" s="100"/>
      <c r="AM485" s="100"/>
      <c r="AN485" s="100"/>
      <c r="AO485" s="100"/>
      <c r="AP485" s="100"/>
      <c r="AQ485" s="100"/>
      <c r="AR485" s="100"/>
    </row>
    <row r="486" spans="1:44" s="281" customFormat="1" ht="12" customHeight="1">
      <c r="A486" s="100"/>
      <c r="P486" s="307"/>
      <c r="R486" s="301" t="s">
        <v>122</v>
      </c>
      <c r="S486" s="301" t="s">
        <v>123</v>
      </c>
      <c r="T486" s="302" t="s">
        <v>94</v>
      </c>
      <c r="X486" s="100"/>
      <c r="Y486" s="100"/>
      <c r="Z486" s="1380"/>
      <c r="AA486" s="100"/>
      <c r="AB486" s="100"/>
      <c r="AC486" s="100"/>
      <c r="AD486" s="100"/>
      <c r="AE486" s="100"/>
      <c r="AF486" s="100"/>
      <c r="AG486" s="100"/>
      <c r="AH486" s="100"/>
      <c r="AI486" s="100"/>
      <c r="AJ486" s="100"/>
      <c r="AK486" s="100"/>
      <c r="AL486" s="100"/>
      <c r="AM486" s="100"/>
      <c r="AN486" s="100"/>
      <c r="AO486" s="100"/>
      <c r="AP486" s="100"/>
      <c r="AQ486" s="100"/>
      <c r="AR486" s="100"/>
    </row>
    <row r="487" spans="1:44" s="281" customFormat="1" ht="12" customHeight="1">
      <c r="A487" s="100"/>
      <c r="P487" s="153"/>
      <c r="R487" s="301" t="s">
        <v>124</v>
      </c>
      <c r="S487" s="301" t="s">
        <v>93</v>
      </c>
      <c r="T487" s="302" t="s">
        <v>94</v>
      </c>
      <c r="X487" s="100"/>
      <c r="Y487" s="100"/>
      <c r="Z487" s="1380"/>
      <c r="AA487" s="100"/>
      <c r="AB487" s="100"/>
      <c r="AC487" s="100"/>
      <c r="AD487" s="100"/>
      <c r="AE487" s="100"/>
      <c r="AF487" s="100"/>
      <c r="AG487" s="100"/>
      <c r="AH487" s="100"/>
      <c r="AI487" s="100"/>
      <c r="AJ487" s="100"/>
      <c r="AK487" s="100"/>
      <c r="AL487" s="100"/>
      <c r="AM487" s="100"/>
      <c r="AN487" s="100"/>
      <c r="AO487" s="100"/>
      <c r="AP487" s="100"/>
      <c r="AQ487" s="100"/>
      <c r="AR487" s="100"/>
    </row>
    <row r="488" spans="1:44" s="281" customFormat="1" ht="12" customHeight="1">
      <c r="A488" s="100"/>
      <c r="P488" s="153"/>
      <c r="R488" s="301" t="s">
        <v>125</v>
      </c>
      <c r="S488" s="301" t="s">
        <v>126</v>
      </c>
      <c r="T488" s="302" t="s">
        <v>94</v>
      </c>
      <c r="X488" s="100"/>
      <c r="Y488" s="100"/>
      <c r="Z488" s="1380"/>
      <c r="AA488" s="100"/>
      <c r="AB488" s="100"/>
      <c r="AC488" s="100"/>
      <c r="AD488" s="100"/>
      <c r="AE488" s="100"/>
      <c r="AF488" s="100"/>
      <c r="AG488" s="100"/>
      <c r="AH488" s="100"/>
      <c r="AI488" s="100"/>
      <c r="AJ488" s="100"/>
      <c r="AK488" s="100"/>
      <c r="AL488" s="100"/>
      <c r="AM488" s="100"/>
      <c r="AN488" s="100"/>
      <c r="AO488" s="100"/>
      <c r="AP488" s="100"/>
      <c r="AQ488" s="100"/>
      <c r="AR488" s="100"/>
    </row>
    <row r="489" spans="1:44" s="281" customFormat="1" ht="12" customHeight="1">
      <c r="A489" s="100"/>
      <c r="P489" s="307"/>
      <c r="R489" s="301" t="s">
        <v>127</v>
      </c>
      <c r="S489" s="301" t="s">
        <v>128</v>
      </c>
      <c r="T489" s="302" t="s">
        <v>94</v>
      </c>
      <c r="X489" s="100"/>
      <c r="Y489" s="100"/>
      <c r="Z489" s="1380"/>
      <c r="AA489" s="100"/>
      <c r="AB489" s="100"/>
      <c r="AC489" s="100"/>
      <c r="AD489" s="100"/>
      <c r="AE489" s="100"/>
      <c r="AF489" s="100"/>
      <c r="AG489" s="100"/>
      <c r="AH489" s="100"/>
      <c r="AI489" s="100"/>
      <c r="AJ489" s="100"/>
      <c r="AK489" s="100"/>
      <c r="AL489" s="100"/>
      <c r="AM489" s="100"/>
      <c r="AN489" s="100"/>
      <c r="AO489" s="100"/>
      <c r="AP489" s="100"/>
      <c r="AQ489" s="100"/>
      <c r="AR489" s="100"/>
    </row>
    <row r="490" spans="1:44" s="281" customFormat="1" ht="12" customHeight="1">
      <c r="A490" s="100"/>
      <c r="P490" s="153"/>
      <c r="R490" s="301" t="s">
        <v>129</v>
      </c>
      <c r="S490" s="301" t="s">
        <v>130</v>
      </c>
      <c r="T490" s="302" t="s">
        <v>94</v>
      </c>
      <c r="X490" s="100"/>
      <c r="Y490" s="100"/>
      <c r="Z490" s="1380"/>
      <c r="AA490" s="100"/>
      <c r="AB490" s="100"/>
      <c r="AC490" s="100"/>
      <c r="AD490" s="100"/>
      <c r="AE490" s="100"/>
      <c r="AF490" s="100"/>
      <c r="AG490" s="100"/>
      <c r="AH490" s="100"/>
      <c r="AI490" s="100"/>
      <c r="AJ490" s="100"/>
      <c r="AK490" s="100"/>
      <c r="AL490" s="100"/>
      <c r="AM490" s="100"/>
      <c r="AN490" s="100"/>
      <c r="AO490" s="100"/>
      <c r="AP490" s="100"/>
      <c r="AQ490" s="100"/>
      <c r="AR490" s="100"/>
    </row>
    <row r="491" spans="1:44" s="281" customFormat="1" ht="12" customHeight="1">
      <c r="A491" s="100"/>
      <c r="P491" s="153"/>
      <c r="Q491" s="301"/>
      <c r="R491" s="301" t="s">
        <v>131</v>
      </c>
      <c r="S491" s="301" t="s">
        <v>132</v>
      </c>
      <c r="T491" s="302" t="s">
        <v>94</v>
      </c>
      <c r="X491" s="100"/>
      <c r="Y491" s="100"/>
      <c r="Z491" s="1380"/>
      <c r="AA491" s="100"/>
      <c r="AB491" s="100"/>
      <c r="AC491" s="100"/>
      <c r="AD491" s="100"/>
      <c r="AE491" s="100"/>
      <c r="AF491" s="100"/>
      <c r="AG491" s="100"/>
      <c r="AH491" s="100"/>
      <c r="AI491" s="100"/>
      <c r="AJ491" s="100"/>
      <c r="AK491" s="100"/>
      <c r="AL491" s="100"/>
      <c r="AM491" s="100"/>
      <c r="AN491" s="100"/>
      <c r="AO491" s="100"/>
      <c r="AP491" s="100"/>
      <c r="AQ491" s="100"/>
      <c r="AR491" s="100"/>
    </row>
    <row r="492" spans="1:44" s="281" customFormat="1" ht="12" customHeight="1">
      <c r="A492" s="100"/>
      <c r="P492" s="153"/>
      <c r="R492" s="301" t="s">
        <v>133</v>
      </c>
      <c r="S492" s="301" t="s">
        <v>98</v>
      </c>
      <c r="T492" s="302" t="s">
        <v>94</v>
      </c>
      <c r="X492" s="100"/>
      <c r="Y492" s="100"/>
      <c r="Z492" s="1380"/>
      <c r="AA492" s="100"/>
      <c r="AB492" s="100"/>
      <c r="AC492" s="100"/>
      <c r="AD492" s="100"/>
      <c r="AE492" s="100"/>
      <c r="AF492" s="100"/>
      <c r="AG492" s="100"/>
      <c r="AH492" s="100"/>
      <c r="AI492" s="100"/>
      <c r="AJ492" s="100"/>
      <c r="AK492" s="100"/>
      <c r="AL492" s="100"/>
      <c r="AM492" s="100"/>
      <c r="AN492" s="100"/>
      <c r="AO492" s="100"/>
      <c r="AP492" s="100"/>
      <c r="AQ492" s="100"/>
      <c r="AR492" s="100"/>
    </row>
    <row r="493" spans="1:44" s="281" customFormat="1" ht="12" customHeight="1">
      <c r="A493" s="100"/>
      <c r="P493" s="307"/>
      <c r="R493" s="301" t="s">
        <v>134</v>
      </c>
      <c r="S493" s="301" t="s">
        <v>135</v>
      </c>
      <c r="T493" s="302" t="s">
        <v>94</v>
      </c>
      <c r="X493" s="100"/>
      <c r="Y493" s="100"/>
      <c r="Z493" s="1380"/>
      <c r="AA493" s="100"/>
      <c r="AB493" s="100"/>
      <c r="AC493" s="100"/>
      <c r="AD493" s="100"/>
      <c r="AE493" s="100"/>
      <c r="AF493" s="100"/>
      <c r="AG493" s="100"/>
      <c r="AH493" s="100"/>
      <c r="AI493" s="100"/>
      <c r="AJ493" s="100"/>
      <c r="AK493" s="100"/>
      <c r="AL493" s="100"/>
      <c r="AM493" s="100"/>
      <c r="AN493" s="100"/>
      <c r="AO493" s="100"/>
      <c r="AP493" s="100"/>
      <c r="AQ493" s="100"/>
      <c r="AR493" s="100"/>
    </row>
    <row r="494" spans="1:44" s="281" customFormat="1" ht="12" customHeight="1">
      <c r="A494" s="100"/>
      <c r="P494" s="307"/>
      <c r="R494" s="301" t="s">
        <v>136</v>
      </c>
      <c r="S494" s="301" t="s">
        <v>137</v>
      </c>
      <c r="T494" s="302" t="s">
        <v>94</v>
      </c>
      <c r="X494" s="100"/>
      <c r="Y494" s="100"/>
      <c r="Z494" s="1380"/>
      <c r="AA494" s="100"/>
      <c r="AB494" s="100"/>
      <c r="AC494" s="100"/>
      <c r="AD494" s="100"/>
      <c r="AE494" s="100"/>
      <c r="AF494" s="100"/>
      <c r="AG494" s="100"/>
      <c r="AH494" s="100"/>
      <c r="AI494" s="100"/>
      <c r="AJ494" s="100"/>
      <c r="AK494" s="100"/>
      <c r="AL494" s="100"/>
      <c r="AM494" s="100"/>
      <c r="AN494" s="100"/>
      <c r="AO494" s="100"/>
      <c r="AP494" s="100"/>
      <c r="AQ494" s="100"/>
      <c r="AR494" s="100"/>
    </row>
    <row r="495" spans="1:44" s="281" customFormat="1" ht="12" customHeight="1">
      <c r="A495" s="100"/>
      <c r="P495" s="153"/>
      <c r="R495" s="301" t="s">
        <v>138</v>
      </c>
      <c r="S495" s="301" t="s">
        <v>132</v>
      </c>
      <c r="T495" s="302" t="s">
        <v>94</v>
      </c>
      <c r="X495" s="100"/>
      <c r="Y495" s="100"/>
      <c r="Z495" s="1380"/>
      <c r="AA495" s="100"/>
      <c r="AB495" s="100"/>
      <c r="AC495" s="100"/>
      <c r="AD495" s="100"/>
      <c r="AE495" s="100"/>
      <c r="AF495" s="100"/>
      <c r="AG495" s="100"/>
      <c r="AH495" s="100"/>
      <c r="AI495" s="100"/>
      <c r="AJ495" s="100"/>
      <c r="AK495" s="100"/>
      <c r="AL495" s="100"/>
      <c r="AM495" s="100"/>
      <c r="AN495" s="100"/>
      <c r="AO495" s="100"/>
      <c r="AP495" s="100"/>
      <c r="AQ495" s="100"/>
      <c r="AR495" s="100"/>
    </row>
    <row r="496" spans="1:44" s="281" customFormat="1" ht="12" customHeight="1">
      <c r="A496" s="100"/>
      <c r="P496" s="153"/>
      <c r="R496" s="301" t="s">
        <v>139</v>
      </c>
      <c r="S496" s="301" t="s">
        <v>140</v>
      </c>
      <c r="T496" s="302" t="s">
        <v>94</v>
      </c>
      <c r="X496" s="100"/>
      <c r="Y496" s="100"/>
      <c r="Z496" s="1380"/>
      <c r="AA496" s="100"/>
      <c r="AB496" s="100"/>
      <c r="AC496" s="100"/>
      <c r="AD496" s="100"/>
      <c r="AE496" s="100"/>
      <c r="AF496" s="100"/>
      <c r="AG496" s="100"/>
      <c r="AH496" s="100"/>
      <c r="AI496" s="100"/>
      <c r="AJ496" s="100"/>
      <c r="AK496" s="100"/>
      <c r="AL496" s="100"/>
      <c r="AM496" s="100"/>
      <c r="AN496" s="100"/>
      <c r="AO496" s="100"/>
      <c r="AP496" s="100"/>
      <c r="AQ496" s="100"/>
      <c r="AR496" s="100"/>
    </row>
    <row r="497" spans="1:44" s="281" customFormat="1" ht="12" customHeight="1">
      <c r="A497" s="100"/>
      <c r="P497" s="153"/>
      <c r="R497" s="301" t="s">
        <v>141</v>
      </c>
      <c r="S497" s="301" t="s">
        <v>128</v>
      </c>
      <c r="T497" s="302" t="s">
        <v>94</v>
      </c>
      <c r="X497" s="100"/>
      <c r="Y497" s="100"/>
      <c r="Z497" s="1380"/>
      <c r="AA497" s="100"/>
      <c r="AB497" s="100"/>
      <c r="AC497" s="100"/>
      <c r="AD497" s="100"/>
      <c r="AE497" s="100"/>
      <c r="AF497" s="100"/>
      <c r="AG497" s="100"/>
      <c r="AH497" s="100"/>
      <c r="AI497" s="100"/>
      <c r="AJ497" s="100"/>
      <c r="AK497" s="100"/>
      <c r="AL497" s="100"/>
      <c r="AM497" s="100"/>
      <c r="AN497" s="100"/>
      <c r="AO497" s="100"/>
      <c r="AP497" s="100"/>
      <c r="AQ497" s="100"/>
      <c r="AR497" s="100"/>
    </row>
    <row r="498" spans="1:44" s="281" customFormat="1" ht="12" customHeight="1">
      <c r="A498" s="100"/>
      <c r="P498" s="153"/>
      <c r="R498" s="282" t="s">
        <v>142</v>
      </c>
      <c r="S498" s="282" t="s">
        <v>143</v>
      </c>
      <c r="T498" s="302" t="s">
        <v>94</v>
      </c>
      <c r="X498" s="100"/>
      <c r="Y498" s="100"/>
      <c r="Z498" s="1380"/>
      <c r="AA498" s="100"/>
      <c r="AB498" s="100"/>
      <c r="AC498" s="100"/>
      <c r="AD498" s="100"/>
      <c r="AE498" s="100"/>
      <c r="AF498" s="100"/>
      <c r="AG498" s="100"/>
      <c r="AH498" s="100"/>
      <c r="AI498" s="100"/>
      <c r="AJ498" s="100"/>
      <c r="AK498" s="100"/>
      <c r="AL498" s="100"/>
      <c r="AM498" s="100"/>
      <c r="AN498" s="100"/>
      <c r="AO498" s="100"/>
      <c r="AP498" s="100"/>
      <c r="AQ498" s="100"/>
      <c r="AR498" s="100"/>
    </row>
    <row r="499" spans="1:44" s="281" customFormat="1" ht="12" customHeight="1">
      <c r="A499" s="100"/>
      <c r="P499" s="153"/>
      <c r="R499" s="301" t="s">
        <v>144</v>
      </c>
      <c r="S499" s="301" t="s">
        <v>118</v>
      </c>
      <c r="T499" s="302" t="s">
        <v>94</v>
      </c>
      <c r="X499" s="100"/>
      <c r="Y499" s="100"/>
      <c r="Z499" s="1380"/>
      <c r="AA499" s="100"/>
      <c r="AB499" s="100"/>
      <c r="AC499" s="100"/>
      <c r="AD499" s="100"/>
      <c r="AE499" s="100"/>
      <c r="AF499" s="100"/>
      <c r="AG499" s="100"/>
      <c r="AH499" s="100"/>
      <c r="AI499" s="100"/>
      <c r="AJ499" s="100"/>
      <c r="AK499" s="100"/>
      <c r="AL499" s="100"/>
      <c r="AM499" s="100"/>
      <c r="AN499" s="100"/>
      <c r="AO499" s="100"/>
      <c r="AP499" s="100"/>
      <c r="AQ499" s="100"/>
      <c r="AR499" s="100"/>
    </row>
    <row r="500" spans="1:44" s="281" customFormat="1" ht="12" customHeight="1">
      <c r="A500" s="100"/>
      <c r="P500" s="153"/>
      <c r="R500" s="301" t="s">
        <v>145</v>
      </c>
      <c r="S500" s="301" t="s">
        <v>115</v>
      </c>
      <c r="T500" s="302" t="s">
        <v>94</v>
      </c>
      <c r="X500" s="100"/>
      <c r="Y500" s="100"/>
      <c r="Z500" s="1380"/>
      <c r="AA500" s="100"/>
      <c r="AB500" s="100"/>
      <c r="AC500" s="100"/>
      <c r="AD500" s="100"/>
      <c r="AE500" s="100"/>
      <c r="AF500" s="100"/>
      <c r="AG500" s="100"/>
      <c r="AH500" s="100"/>
      <c r="AI500" s="100"/>
      <c r="AJ500" s="100"/>
      <c r="AK500" s="100"/>
      <c r="AL500" s="100"/>
      <c r="AM500" s="100"/>
      <c r="AN500" s="100"/>
      <c r="AO500" s="100"/>
      <c r="AP500" s="100"/>
      <c r="AQ500" s="100"/>
      <c r="AR500" s="100"/>
    </row>
    <row r="501" spans="1:44" s="281" customFormat="1" ht="12" customHeight="1">
      <c r="A501" s="100"/>
      <c r="P501" s="153"/>
      <c r="R501" s="301" t="s">
        <v>146</v>
      </c>
      <c r="S501" s="301"/>
      <c r="T501" s="302" t="s">
        <v>94</v>
      </c>
      <c r="X501" s="100"/>
      <c r="Y501" s="100"/>
      <c r="Z501" s="1380"/>
      <c r="AA501" s="100"/>
      <c r="AB501" s="100"/>
      <c r="AC501" s="100"/>
      <c r="AD501" s="100"/>
      <c r="AE501" s="100"/>
      <c r="AF501" s="100"/>
      <c r="AG501" s="100"/>
      <c r="AH501" s="100"/>
      <c r="AI501" s="100"/>
      <c r="AJ501" s="100"/>
      <c r="AK501" s="100"/>
      <c r="AL501" s="100"/>
      <c r="AM501" s="100"/>
      <c r="AN501" s="100"/>
      <c r="AO501" s="100"/>
      <c r="AP501" s="100"/>
      <c r="AQ501" s="100"/>
      <c r="AR501" s="100"/>
    </row>
    <row r="502" spans="1:44" s="281" customFormat="1" ht="12" customHeight="1">
      <c r="A502" s="100"/>
      <c r="P502" s="153"/>
      <c r="R502" s="301" t="s">
        <v>147</v>
      </c>
      <c r="S502" s="301" t="s">
        <v>135</v>
      </c>
      <c r="T502" s="302" t="s">
        <v>94</v>
      </c>
      <c r="X502" s="100"/>
      <c r="Y502" s="100"/>
      <c r="Z502" s="1380"/>
      <c r="AA502" s="100"/>
      <c r="AB502" s="100"/>
      <c r="AC502" s="100"/>
      <c r="AD502" s="100"/>
      <c r="AE502" s="100"/>
      <c r="AF502" s="100"/>
      <c r="AG502" s="100"/>
      <c r="AH502" s="100"/>
      <c r="AI502" s="100"/>
      <c r="AJ502" s="100"/>
      <c r="AK502" s="100"/>
      <c r="AL502" s="100"/>
      <c r="AM502" s="100"/>
      <c r="AN502" s="100"/>
      <c r="AO502" s="100"/>
      <c r="AP502" s="100"/>
      <c r="AQ502" s="100"/>
      <c r="AR502" s="100"/>
    </row>
    <row r="503" spans="1:44" s="281" customFormat="1" ht="12" customHeight="1">
      <c r="A503" s="100"/>
      <c r="P503" s="153"/>
      <c r="R503" s="301" t="s">
        <v>148</v>
      </c>
      <c r="S503" s="301" t="s">
        <v>149</v>
      </c>
      <c r="T503" s="302" t="s">
        <v>94</v>
      </c>
      <c r="X503" s="100"/>
      <c r="Y503" s="100"/>
      <c r="Z503" s="1380"/>
      <c r="AA503" s="100"/>
      <c r="AB503" s="100"/>
      <c r="AC503" s="100"/>
      <c r="AD503" s="100"/>
      <c r="AE503" s="100"/>
      <c r="AF503" s="100"/>
      <c r="AG503" s="100"/>
      <c r="AH503" s="100"/>
      <c r="AI503" s="100"/>
      <c r="AJ503" s="100"/>
      <c r="AK503" s="100"/>
      <c r="AL503" s="100"/>
      <c r="AM503" s="100"/>
      <c r="AN503" s="100"/>
      <c r="AO503" s="100"/>
      <c r="AP503" s="100"/>
      <c r="AQ503" s="100"/>
      <c r="AR503" s="100"/>
    </row>
    <row r="504" spans="1:44" s="281" customFormat="1" ht="12" customHeight="1">
      <c r="A504" s="100"/>
      <c r="P504" s="153"/>
      <c r="R504" s="301" t="s">
        <v>150</v>
      </c>
      <c r="S504" s="301" t="s">
        <v>151</v>
      </c>
      <c r="T504" s="302" t="s">
        <v>94</v>
      </c>
      <c r="X504" s="100"/>
      <c r="Y504" s="100"/>
      <c r="Z504" s="1380"/>
      <c r="AA504" s="100"/>
      <c r="AB504" s="100"/>
      <c r="AC504" s="100"/>
      <c r="AD504" s="100"/>
      <c r="AE504" s="100"/>
      <c r="AF504" s="100"/>
      <c r="AG504" s="100"/>
      <c r="AH504" s="100"/>
      <c r="AI504" s="100"/>
      <c r="AJ504" s="100"/>
      <c r="AK504" s="100"/>
      <c r="AL504" s="100"/>
      <c r="AM504" s="100"/>
      <c r="AN504" s="100"/>
      <c r="AO504" s="100"/>
      <c r="AP504" s="100"/>
      <c r="AQ504" s="100"/>
      <c r="AR504" s="100"/>
    </row>
    <row r="505" spans="1:44" s="281" customFormat="1" ht="12" customHeight="1">
      <c r="A505" s="100"/>
      <c r="P505" s="153"/>
      <c r="R505" s="301" t="s">
        <v>152</v>
      </c>
      <c r="S505" s="301" t="s">
        <v>93</v>
      </c>
      <c r="T505" s="302" t="s">
        <v>94</v>
      </c>
      <c r="X505" s="100"/>
      <c r="Y505" s="100"/>
      <c r="Z505" s="1380"/>
      <c r="AA505" s="100"/>
      <c r="AB505" s="100"/>
      <c r="AC505" s="100"/>
      <c r="AD505" s="100"/>
      <c r="AE505" s="100"/>
      <c r="AF505" s="100"/>
      <c r="AG505" s="100"/>
      <c r="AH505" s="100"/>
      <c r="AI505" s="100"/>
      <c r="AJ505" s="100"/>
      <c r="AK505" s="100"/>
      <c r="AL505" s="100"/>
      <c r="AM505" s="100"/>
      <c r="AN505" s="100"/>
      <c r="AO505" s="100"/>
      <c r="AP505" s="100"/>
      <c r="AQ505" s="100"/>
      <c r="AR505" s="100"/>
    </row>
    <row r="506" spans="1:44" s="281" customFormat="1" ht="12" customHeight="1">
      <c r="A506" s="100"/>
      <c r="P506" s="153"/>
      <c r="R506" s="301" t="s">
        <v>153</v>
      </c>
      <c r="S506" s="301" t="s">
        <v>93</v>
      </c>
      <c r="T506" s="302" t="s">
        <v>94</v>
      </c>
      <c r="X506" s="100"/>
      <c r="Y506" s="100"/>
      <c r="Z506" s="1380"/>
      <c r="AA506" s="100"/>
      <c r="AB506" s="100"/>
      <c r="AC506" s="100"/>
      <c r="AD506" s="100"/>
      <c r="AE506" s="100"/>
      <c r="AF506" s="100"/>
      <c r="AG506" s="100"/>
      <c r="AH506" s="100"/>
      <c r="AI506" s="100"/>
      <c r="AJ506" s="100"/>
      <c r="AK506" s="100"/>
      <c r="AL506" s="100"/>
      <c r="AM506" s="100"/>
      <c r="AN506" s="100"/>
      <c r="AO506" s="100"/>
      <c r="AP506" s="100"/>
      <c r="AQ506" s="100"/>
      <c r="AR506" s="100"/>
    </row>
    <row r="507" spans="1:44" s="281" customFormat="1" ht="12" customHeight="1">
      <c r="A507" s="100"/>
      <c r="P507" s="153"/>
      <c r="R507" s="301" t="s">
        <v>154</v>
      </c>
      <c r="S507" s="301" t="s">
        <v>93</v>
      </c>
      <c r="T507" s="302" t="s">
        <v>94</v>
      </c>
      <c r="X507" s="100"/>
      <c r="Y507" s="100"/>
      <c r="Z507" s="1380"/>
      <c r="AA507" s="100"/>
      <c r="AB507" s="100"/>
      <c r="AC507" s="100"/>
      <c r="AD507" s="100"/>
      <c r="AE507" s="100"/>
      <c r="AF507" s="100"/>
      <c r="AG507" s="100"/>
      <c r="AH507" s="100"/>
      <c r="AI507" s="100"/>
      <c r="AJ507" s="100"/>
      <c r="AK507" s="100"/>
      <c r="AL507" s="100"/>
      <c r="AM507" s="100"/>
      <c r="AN507" s="100"/>
      <c r="AO507" s="100"/>
      <c r="AP507" s="100"/>
      <c r="AQ507" s="100"/>
      <c r="AR507" s="100"/>
    </row>
    <row r="508" spans="1:44" s="281" customFormat="1" ht="12" customHeight="1">
      <c r="A508" s="100"/>
      <c r="P508" s="153"/>
      <c r="R508" s="301" t="s">
        <v>155</v>
      </c>
      <c r="S508" s="301" t="s">
        <v>93</v>
      </c>
      <c r="T508" s="302" t="s">
        <v>94</v>
      </c>
      <c r="X508" s="100"/>
      <c r="Y508" s="100"/>
      <c r="Z508" s="1380"/>
      <c r="AA508" s="100"/>
      <c r="AB508" s="100"/>
      <c r="AC508" s="100"/>
      <c r="AD508" s="100"/>
      <c r="AE508" s="100"/>
      <c r="AF508" s="100"/>
      <c r="AG508" s="100"/>
      <c r="AH508" s="100"/>
      <c r="AI508" s="100"/>
      <c r="AJ508" s="100"/>
      <c r="AK508" s="100"/>
      <c r="AL508" s="100"/>
      <c r="AM508" s="100"/>
      <c r="AN508" s="100"/>
      <c r="AO508" s="100"/>
      <c r="AP508" s="100"/>
      <c r="AQ508" s="100"/>
      <c r="AR508" s="100"/>
    </row>
    <row r="509" spans="1:44" s="281" customFormat="1" ht="12" customHeight="1">
      <c r="A509" s="100"/>
      <c r="P509" s="153"/>
      <c r="R509" s="301" t="s">
        <v>156</v>
      </c>
      <c r="S509" s="301" t="s">
        <v>157</v>
      </c>
      <c r="T509" s="302" t="s">
        <v>94</v>
      </c>
      <c r="X509" s="100"/>
      <c r="Y509" s="100"/>
      <c r="Z509" s="1380"/>
      <c r="AA509" s="100"/>
      <c r="AB509" s="100"/>
      <c r="AC509" s="100"/>
      <c r="AD509" s="100"/>
      <c r="AE509" s="100"/>
      <c r="AF509" s="100"/>
      <c r="AG509" s="100"/>
      <c r="AH509" s="100"/>
      <c r="AI509" s="100"/>
      <c r="AJ509" s="100"/>
      <c r="AK509" s="100"/>
      <c r="AL509" s="100"/>
      <c r="AM509" s="100"/>
      <c r="AN509" s="100"/>
      <c r="AO509" s="100"/>
      <c r="AP509" s="100"/>
      <c r="AQ509" s="100"/>
      <c r="AR509" s="100"/>
    </row>
    <row r="510" spans="1:44" s="281" customFormat="1" ht="12" customHeight="1">
      <c r="A510" s="100"/>
      <c r="P510" s="153"/>
      <c r="R510" s="301" t="s">
        <v>158</v>
      </c>
      <c r="S510" s="301" t="s">
        <v>159</v>
      </c>
      <c r="T510" s="302" t="s">
        <v>94</v>
      </c>
      <c r="X510" s="100"/>
      <c r="Y510" s="100"/>
      <c r="Z510" s="1380"/>
      <c r="AA510" s="100"/>
      <c r="AB510" s="100"/>
      <c r="AC510" s="100"/>
      <c r="AD510" s="100"/>
      <c r="AE510" s="100"/>
      <c r="AF510" s="100"/>
      <c r="AG510" s="100"/>
      <c r="AH510" s="100"/>
      <c r="AI510" s="100"/>
      <c r="AJ510" s="100"/>
      <c r="AK510" s="100"/>
      <c r="AL510" s="100"/>
      <c r="AM510" s="100"/>
      <c r="AN510" s="100"/>
      <c r="AO510" s="100"/>
      <c r="AP510" s="100"/>
      <c r="AQ510" s="100"/>
      <c r="AR510" s="100"/>
    </row>
    <row r="511" spans="1:44" s="281" customFormat="1" ht="12" customHeight="1">
      <c r="A511" s="100"/>
      <c r="P511" s="153"/>
      <c r="R511" s="301" t="s">
        <v>160</v>
      </c>
      <c r="S511" s="301" t="s">
        <v>161</v>
      </c>
      <c r="T511" s="302" t="s">
        <v>94</v>
      </c>
      <c r="X511" s="100"/>
      <c r="Y511" s="100"/>
      <c r="Z511" s="1380"/>
      <c r="AA511" s="100"/>
      <c r="AB511" s="100"/>
      <c r="AC511" s="100"/>
      <c r="AD511" s="100"/>
      <c r="AE511" s="100"/>
      <c r="AF511" s="100"/>
      <c r="AG511" s="100"/>
      <c r="AH511" s="100"/>
      <c r="AI511" s="100"/>
      <c r="AJ511" s="100"/>
      <c r="AK511" s="100"/>
      <c r="AL511" s="100"/>
      <c r="AM511" s="100"/>
      <c r="AN511" s="100"/>
      <c r="AO511" s="100"/>
      <c r="AP511" s="100"/>
      <c r="AQ511" s="100"/>
      <c r="AR511" s="100"/>
    </row>
    <row r="512" spans="1:44" s="281" customFormat="1" ht="12" customHeight="1">
      <c r="A512" s="100"/>
      <c r="P512" s="307"/>
      <c r="R512" s="301" t="s">
        <v>162</v>
      </c>
      <c r="S512" s="301" t="s">
        <v>93</v>
      </c>
      <c r="T512" s="302" t="s">
        <v>94</v>
      </c>
      <c r="X512" s="100"/>
      <c r="Y512" s="100"/>
      <c r="Z512" s="1380"/>
      <c r="AA512" s="100"/>
      <c r="AB512" s="100"/>
      <c r="AC512" s="100"/>
      <c r="AD512" s="100"/>
      <c r="AE512" s="100"/>
      <c r="AF512" s="100"/>
      <c r="AG512" s="100"/>
      <c r="AH512" s="100"/>
      <c r="AI512" s="100"/>
      <c r="AJ512" s="100"/>
      <c r="AK512" s="100"/>
      <c r="AL512" s="100"/>
      <c r="AM512" s="100"/>
      <c r="AN512" s="100"/>
      <c r="AO512" s="100"/>
      <c r="AP512" s="100"/>
      <c r="AQ512" s="100"/>
      <c r="AR512" s="100"/>
    </row>
    <row r="513" spans="1:44" s="281" customFormat="1" ht="12" customHeight="1">
      <c r="A513" s="100"/>
      <c r="P513" s="153"/>
      <c r="R513" s="301" t="s">
        <v>163</v>
      </c>
      <c r="S513" s="301" t="s">
        <v>164</v>
      </c>
      <c r="T513" s="302" t="s">
        <v>94</v>
      </c>
      <c r="X513" s="100"/>
      <c r="Y513" s="100"/>
      <c r="Z513" s="1380"/>
      <c r="AA513" s="100"/>
      <c r="AB513" s="100"/>
      <c r="AC513" s="100"/>
      <c r="AD513" s="100"/>
      <c r="AE513" s="100"/>
      <c r="AF513" s="100"/>
      <c r="AG513" s="100"/>
      <c r="AH513" s="100"/>
      <c r="AI513" s="100"/>
      <c r="AJ513" s="100"/>
      <c r="AK513" s="100"/>
      <c r="AL513" s="100"/>
      <c r="AM513" s="100"/>
      <c r="AN513" s="100"/>
      <c r="AO513" s="100"/>
      <c r="AP513" s="100"/>
      <c r="AQ513" s="100"/>
      <c r="AR513" s="100"/>
    </row>
    <row r="514" spans="1:44" s="281" customFormat="1" ht="12" customHeight="1">
      <c r="A514" s="100"/>
      <c r="P514" s="153"/>
      <c r="R514" s="301" t="s">
        <v>165</v>
      </c>
      <c r="S514" s="301" t="s">
        <v>166</v>
      </c>
      <c r="T514" s="302" t="s">
        <v>94</v>
      </c>
      <c r="X514" s="100"/>
      <c r="Y514" s="100"/>
      <c r="Z514" s="1380"/>
      <c r="AA514" s="100"/>
      <c r="AB514" s="100"/>
      <c r="AC514" s="100"/>
      <c r="AD514" s="100"/>
      <c r="AE514" s="100"/>
      <c r="AF514" s="100"/>
      <c r="AG514" s="100"/>
      <c r="AH514" s="100"/>
      <c r="AI514" s="100"/>
      <c r="AJ514" s="100"/>
      <c r="AK514" s="100"/>
      <c r="AL514" s="100"/>
      <c r="AM514" s="100"/>
      <c r="AN514" s="100"/>
      <c r="AO514" s="100"/>
      <c r="AP514" s="100"/>
      <c r="AQ514" s="100"/>
      <c r="AR514" s="100"/>
    </row>
    <row r="515" spans="1:44" s="281" customFormat="1" ht="12" customHeight="1">
      <c r="A515" s="100"/>
      <c r="P515" s="153"/>
      <c r="R515" s="301" t="s">
        <v>167</v>
      </c>
      <c r="S515" s="301" t="s">
        <v>168</v>
      </c>
      <c r="T515" s="302" t="s">
        <v>94</v>
      </c>
      <c r="X515" s="100"/>
      <c r="Y515" s="100"/>
      <c r="Z515" s="1380"/>
      <c r="AA515" s="100"/>
      <c r="AB515" s="100"/>
      <c r="AC515" s="100"/>
      <c r="AD515" s="100"/>
      <c r="AE515" s="100"/>
      <c r="AF515" s="100"/>
      <c r="AG515" s="100"/>
      <c r="AH515" s="100"/>
      <c r="AI515" s="100"/>
      <c r="AJ515" s="100"/>
      <c r="AK515" s="100"/>
      <c r="AL515" s="100"/>
      <c r="AM515" s="100"/>
      <c r="AN515" s="100"/>
      <c r="AO515" s="100"/>
      <c r="AP515" s="100"/>
      <c r="AQ515" s="100"/>
      <c r="AR515" s="100"/>
    </row>
    <row r="516" spans="1:44" s="281" customFormat="1" ht="12" customHeight="1">
      <c r="A516" s="100"/>
      <c r="P516" s="153"/>
      <c r="R516" s="301" t="s">
        <v>169</v>
      </c>
      <c r="S516" s="301" t="s">
        <v>108</v>
      </c>
      <c r="T516" s="302" t="s">
        <v>94</v>
      </c>
      <c r="X516" s="100"/>
      <c r="Y516" s="100"/>
      <c r="Z516" s="1380"/>
      <c r="AA516" s="100"/>
      <c r="AB516" s="100"/>
      <c r="AC516" s="100"/>
      <c r="AD516" s="100"/>
      <c r="AE516" s="100"/>
      <c r="AF516" s="100"/>
      <c r="AG516" s="100"/>
      <c r="AH516" s="100"/>
      <c r="AI516" s="100"/>
      <c r="AJ516" s="100"/>
      <c r="AK516" s="100"/>
      <c r="AL516" s="100"/>
      <c r="AM516" s="100"/>
      <c r="AN516" s="100"/>
      <c r="AO516" s="100"/>
      <c r="AP516" s="100"/>
      <c r="AQ516" s="100"/>
      <c r="AR516" s="100"/>
    </row>
    <row r="517" spans="1:44" s="281" customFormat="1" ht="12" customHeight="1">
      <c r="A517" s="100"/>
      <c r="P517" s="153"/>
      <c r="R517" s="301" t="s">
        <v>170</v>
      </c>
      <c r="S517" s="301" t="s">
        <v>132</v>
      </c>
      <c r="T517" s="302" t="s">
        <v>94</v>
      </c>
      <c r="X517" s="100"/>
      <c r="Y517" s="100"/>
      <c r="Z517" s="1380"/>
      <c r="AA517" s="100"/>
      <c r="AB517" s="100"/>
      <c r="AC517" s="100"/>
      <c r="AD517" s="100"/>
      <c r="AE517" s="100"/>
      <c r="AF517" s="100"/>
      <c r="AG517" s="100"/>
      <c r="AH517" s="100"/>
      <c r="AI517" s="100"/>
      <c r="AJ517" s="100"/>
      <c r="AK517" s="100"/>
      <c r="AL517" s="100"/>
      <c r="AM517" s="100"/>
      <c r="AN517" s="100"/>
      <c r="AO517" s="100"/>
      <c r="AP517" s="100"/>
      <c r="AQ517" s="100"/>
      <c r="AR517" s="100"/>
    </row>
    <row r="518" spans="1:44" s="281" customFormat="1" ht="12" customHeight="1">
      <c r="A518" s="100"/>
      <c r="P518" s="153"/>
      <c r="R518" s="301" t="s">
        <v>171</v>
      </c>
      <c r="S518" s="301" t="s">
        <v>93</v>
      </c>
      <c r="T518" s="302" t="s">
        <v>94</v>
      </c>
      <c r="X518" s="100"/>
      <c r="Y518" s="100"/>
      <c r="Z518" s="1380"/>
      <c r="AA518" s="100"/>
      <c r="AB518" s="100"/>
      <c r="AC518" s="100"/>
      <c r="AD518" s="100"/>
      <c r="AE518" s="100"/>
      <c r="AF518" s="100"/>
      <c r="AG518" s="100"/>
      <c r="AH518" s="100"/>
      <c r="AI518" s="100"/>
      <c r="AJ518" s="100"/>
      <c r="AK518" s="100"/>
      <c r="AL518" s="100"/>
      <c r="AM518" s="100"/>
      <c r="AN518" s="100"/>
      <c r="AO518" s="100"/>
      <c r="AP518" s="100"/>
      <c r="AQ518" s="100"/>
      <c r="AR518" s="100"/>
    </row>
    <row r="519" spans="1:44" s="281" customFormat="1" ht="12" customHeight="1">
      <c r="A519" s="100"/>
      <c r="P519" s="153"/>
      <c r="R519" s="301" t="s">
        <v>172</v>
      </c>
      <c r="S519" s="301" t="s">
        <v>173</v>
      </c>
      <c r="T519" s="302" t="s">
        <v>94</v>
      </c>
      <c r="X519" s="100"/>
      <c r="Y519" s="100"/>
      <c r="Z519" s="1380"/>
      <c r="AA519" s="100"/>
      <c r="AB519" s="100"/>
      <c r="AC519" s="100"/>
      <c r="AD519" s="100"/>
      <c r="AE519" s="100"/>
      <c r="AF519" s="100"/>
      <c r="AG519" s="100"/>
      <c r="AH519" s="100"/>
      <c r="AI519" s="100"/>
      <c r="AJ519" s="100"/>
      <c r="AK519" s="100"/>
      <c r="AL519" s="100"/>
      <c r="AM519" s="100"/>
      <c r="AN519" s="100"/>
      <c r="AO519" s="100"/>
      <c r="AP519" s="100"/>
      <c r="AQ519" s="100"/>
      <c r="AR519" s="100"/>
    </row>
    <row r="520" spans="1:44" s="281" customFormat="1" ht="12" customHeight="1">
      <c r="A520" s="100"/>
      <c r="P520" s="153"/>
      <c r="R520" s="301" t="s">
        <v>174</v>
      </c>
      <c r="S520" s="301" t="s">
        <v>135</v>
      </c>
      <c r="T520" s="302" t="s">
        <v>94</v>
      </c>
      <c r="X520" s="100"/>
      <c r="Y520" s="100"/>
      <c r="Z520" s="1380"/>
      <c r="AA520" s="100"/>
      <c r="AB520" s="100"/>
      <c r="AC520" s="100"/>
      <c r="AD520" s="100"/>
      <c r="AE520" s="100"/>
      <c r="AF520" s="100"/>
      <c r="AG520" s="100"/>
      <c r="AH520" s="100"/>
      <c r="AI520" s="100"/>
      <c r="AJ520" s="100"/>
      <c r="AK520" s="100"/>
      <c r="AL520" s="100"/>
      <c r="AM520" s="100"/>
      <c r="AN520" s="100"/>
      <c r="AO520" s="100"/>
      <c r="AP520" s="100"/>
      <c r="AQ520" s="100"/>
      <c r="AR520" s="100"/>
    </row>
    <row r="521" spans="1:44" s="281" customFormat="1" ht="12" customHeight="1">
      <c r="A521" s="100"/>
      <c r="P521" s="307"/>
      <c r="R521" s="301" t="s">
        <v>175</v>
      </c>
      <c r="S521" s="301" t="s">
        <v>126</v>
      </c>
      <c r="T521" s="302" t="s">
        <v>94</v>
      </c>
      <c r="X521" s="100"/>
      <c r="Y521" s="100"/>
      <c r="Z521" s="1380"/>
      <c r="AA521" s="100"/>
      <c r="AB521" s="100"/>
      <c r="AC521" s="100"/>
      <c r="AD521" s="100"/>
      <c r="AE521" s="100"/>
      <c r="AF521" s="100"/>
      <c r="AG521" s="100"/>
      <c r="AH521" s="100"/>
      <c r="AI521" s="100"/>
      <c r="AJ521" s="100"/>
      <c r="AK521" s="100"/>
      <c r="AL521" s="100"/>
      <c r="AM521" s="100"/>
      <c r="AN521" s="100"/>
      <c r="AO521" s="100"/>
      <c r="AP521" s="100"/>
      <c r="AQ521" s="100"/>
      <c r="AR521" s="100"/>
    </row>
    <row r="522" spans="1:44" s="281" customFormat="1" ht="12" customHeight="1">
      <c r="A522" s="100"/>
      <c r="P522" s="307"/>
      <c r="R522" s="301" t="s">
        <v>176</v>
      </c>
      <c r="S522" s="301" t="s">
        <v>128</v>
      </c>
      <c r="T522" s="302" t="s">
        <v>94</v>
      </c>
      <c r="X522" s="100"/>
      <c r="Y522" s="100"/>
      <c r="Z522" s="1380"/>
      <c r="AA522" s="100"/>
      <c r="AB522" s="100"/>
      <c r="AC522" s="100"/>
      <c r="AD522" s="100"/>
      <c r="AE522" s="100"/>
      <c r="AF522" s="100"/>
      <c r="AG522" s="100"/>
      <c r="AH522" s="100"/>
      <c r="AI522" s="100"/>
      <c r="AJ522" s="100"/>
      <c r="AK522" s="100"/>
      <c r="AL522" s="100"/>
      <c r="AM522" s="100"/>
      <c r="AN522" s="100"/>
      <c r="AO522" s="100"/>
      <c r="AP522" s="100"/>
      <c r="AQ522" s="100"/>
      <c r="AR522" s="100"/>
    </row>
    <row r="523" spans="1:44" s="281" customFormat="1" ht="12" customHeight="1">
      <c r="A523" s="100"/>
      <c r="P523" s="153"/>
      <c r="R523" s="301" t="s">
        <v>177</v>
      </c>
      <c r="S523" s="301" t="s">
        <v>93</v>
      </c>
      <c r="T523" s="302" t="s">
        <v>94</v>
      </c>
      <c r="X523" s="100"/>
      <c r="Y523" s="100"/>
      <c r="Z523" s="1380"/>
      <c r="AA523" s="100"/>
      <c r="AB523" s="100"/>
      <c r="AC523" s="100"/>
      <c r="AD523" s="100"/>
      <c r="AE523" s="100"/>
      <c r="AF523" s="100"/>
      <c r="AG523" s="100"/>
      <c r="AH523" s="100"/>
      <c r="AI523" s="100"/>
      <c r="AJ523" s="100"/>
      <c r="AK523" s="100"/>
      <c r="AL523" s="100"/>
      <c r="AM523" s="100"/>
      <c r="AN523" s="100"/>
      <c r="AO523" s="100"/>
      <c r="AP523" s="100"/>
      <c r="AQ523" s="100"/>
      <c r="AR523" s="100"/>
    </row>
    <row r="524" spans="1:44" s="281" customFormat="1" ht="12" customHeight="1">
      <c r="A524" s="100"/>
      <c r="P524" s="153"/>
      <c r="R524" s="301" t="s">
        <v>178</v>
      </c>
      <c r="S524" s="301" t="s">
        <v>157</v>
      </c>
      <c r="T524" s="302" t="s">
        <v>94</v>
      </c>
      <c r="X524" s="100"/>
      <c r="Y524" s="100"/>
      <c r="Z524" s="1380"/>
      <c r="AA524" s="100"/>
      <c r="AB524" s="100"/>
      <c r="AC524" s="100"/>
      <c r="AD524" s="100"/>
      <c r="AE524" s="100"/>
      <c r="AF524" s="100"/>
      <c r="AG524" s="100"/>
      <c r="AH524" s="100"/>
      <c r="AI524" s="100"/>
      <c r="AJ524" s="100"/>
      <c r="AK524" s="100"/>
      <c r="AL524" s="100"/>
      <c r="AM524" s="100"/>
      <c r="AN524" s="100"/>
      <c r="AO524" s="100"/>
      <c r="AP524" s="100"/>
      <c r="AQ524" s="100"/>
      <c r="AR524" s="100"/>
    </row>
    <row r="525" spans="1:44" s="281" customFormat="1" ht="12" customHeight="1">
      <c r="A525" s="100"/>
      <c r="P525" s="307"/>
      <c r="R525" s="301" t="s">
        <v>179</v>
      </c>
      <c r="S525" s="301" t="s">
        <v>118</v>
      </c>
      <c r="T525" s="302" t="s">
        <v>94</v>
      </c>
      <c r="X525" s="100"/>
      <c r="Y525" s="100"/>
      <c r="Z525" s="1380"/>
      <c r="AA525" s="100"/>
      <c r="AB525" s="100"/>
      <c r="AC525" s="100"/>
      <c r="AD525" s="100"/>
      <c r="AE525" s="100"/>
      <c r="AF525" s="100"/>
      <c r="AG525" s="100"/>
      <c r="AH525" s="100"/>
      <c r="AI525" s="100"/>
      <c r="AJ525" s="100"/>
      <c r="AK525" s="100"/>
      <c r="AL525" s="100"/>
      <c r="AM525" s="100"/>
      <c r="AN525" s="100"/>
      <c r="AO525" s="100"/>
      <c r="AP525" s="100"/>
      <c r="AQ525" s="100"/>
      <c r="AR525" s="100"/>
    </row>
    <row r="526" spans="1:44" s="281" customFormat="1" ht="12" customHeight="1">
      <c r="A526" s="100"/>
      <c r="P526" s="153"/>
      <c r="R526" s="301" t="s">
        <v>180</v>
      </c>
      <c r="S526" s="301" t="s">
        <v>135</v>
      </c>
      <c r="T526" s="302" t="s">
        <v>94</v>
      </c>
      <c r="X526" s="100"/>
      <c r="Y526" s="100"/>
      <c r="Z526" s="1380"/>
      <c r="AA526" s="100"/>
      <c r="AB526" s="100"/>
      <c r="AC526" s="100"/>
      <c r="AD526" s="100"/>
      <c r="AE526" s="100"/>
      <c r="AF526" s="100"/>
      <c r="AG526" s="100"/>
      <c r="AH526" s="100"/>
      <c r="AI526" s="100"/>
      <c r="AJ526" s="100"/>
      <c r="AK526" s="100"/>
      <c r="AL526" s="100"/>
      <c r="AM526" s="100"/>
      <c r="AN526" s="100"/>
      <c r="AO526" s="100"/>
      <c r="AP526" s="100"/>
      <c r="AQ526" s="100"/>
      <c r="AR526" s="100"/>
    </row>
    <row r="527" spans="1:44" s="281" customFormat="1" ht="12" customHeight="1">
      <c r="A527" s="100"/>
      <c r="P527" s="153"/>
      <c r="R527" s="301" t="s">
        <v>181</v>
      </c>
      <c r="S527" s="301" t="s">
        <v>135</v>
      </c>
      <c r="T527" s="302" t="s">
        <v>94</v>
      </c>
      <c r="X527" s="100"/>
      <c r="Y527" s="100"/>
      <c r="Z527" s="1380"/>
      <c r="AA527" s="100"/>
      <c r="AB527" s="100"/>
      <c r="AC527" s="100"/>
      <c r="AD527" s="100"/>
      <c r="AE527" s="100"/>
      <c r="AF527" s="100"/>
      <c r="AG527" s="100"/>
      <c r="AH527" s="100"/>
      <c r="AI527" s="100"/>
      <c r="AJ527" s="100"/>
      <c r="AK527" s="100"/>
      <c r="AL527" s="100"/>
      <c r="AM527" s="100"/>
      <c r="AN527" s="100"/>
      <c r="AO527" s="100"/>
      <c r="AP527" s="100"/>
      <c r="AQ527" s="100"/>
      <c r="AR527" s="100"/>
    </row>
    <row r="528" spans="1:44" s="281" customFormat="1" ht="12" customHeight="1">
      <c r="A528" s="100"/>
      <c r="P528" s="153"/>
      <c r="X528" s="100"/>
      <c r="Y528" s="100"/>
      <c r="Z528" s="1380"/>
      <c r="AA528" s="100"/>
      <c r="AB528" s="100"/>
      <c r="AC528" s="100"/>
      <c r="AD528" s="100"/>
      <c r="AE528" s="100"/>
      <c r="AF528" s="100"/>
      <c r="AG528" s="100"/>
      <c r="AH528" s="100"/>
      <c r="AI528" s="100"/>
      <c r="AJ528" s="100"/>
      <c r="AK528" s="100"/>
      <c r="AL528" s="100"/>
      <c r="AM528" s="100"/>
      <c r="AN528" s="100"/>
      <c r="AO528" s="100"/>
      <c r="AP528" s="100"/>
      <c r="AQ528" s="100"/>
      <c r="AR528" s="100"/>
    </row>
    <row r="529" spans="1:44" s="281" customFormat="1" ht="12" customHeight="1">
      <c r="A529" s="100"/>
      <c r="P529" s="153"/>
      <c r="X529" s="100"/>
      <c r="Y529" s="100"/>
      <c r="Z529" s="1380"/>
      <c r="AA529" s="100"/>
      <c r="AB529" s="100"/>
      <c r="AC529" s="100"/>
      <c r="AD529" s="100"/>
      <c r="AE529" s="100"/>
      <c r="AF529" s="100"/>
      <c r="AG529" s="100"/>
      <c r="AH529" s="100"/>
      <c r="AI529" s="100"/>
      <c r="AJ529" s="100"/>
      <c r="AK529" s="100"/>
      <c r="AL529" s="100"/>
      <c r="AM529" s="100"/>
      <c r="AN529" s="100"/>
      <c r="AO529" s="100"/>
      <c r="AP529" s="100"/>
      <c r="AQ529" s="100"/>
      <c r="AR529" s="100"/>
    </row>
    <row r="530" spans="1:44" s="281" customFormat="1" ht="12" customHeight="1">
      <c r="A530" s="100"/>
      <c r="P530" s="153"/>
      <c r="X530" s="100"/>
      <c r="Y530" s="100"/>
      <c r="Z530" s="1380"/>
      <c r="AA530" s="100"/>
      <c r="AB530" s="100"/>
      <c r="AC530" s="100"/>
      <c r="AD530" s="100"/>
      <c r="AE530" s="100"/>
      <c r="AF530" s="100"/>
      <c r="AG530" s="100"/>
      <c r="AH530" s="100"/>
      <c r="AI530" s="100"/>
      <c r="AJ530" s="100"/>
      <c r="AK530" s="100"/>
      <c r="AL530" s="100"/>
      <c r="AM530" s="100"/>
      <c r="AN530" s="100"/>
      <c r="AO530" s="100"/>
      <c r="AP530" s="100"/>
      <c r="AQ530" s="100"/>
      <c r="AR530" s="100"/>
    </row>
    <row r="531" spans="1:44" s="281" customFormat="1" ht="12" customHeight="1">
      <c r="A531" s="100"/>
      <c r="P531" s="153"/>
      <c r="X531" s="100"/>
      <c r="Y531" s="100"/>
      <c r="Z531" s="1380"/>
      <c r="AA531" s="100"/>
      <c r="AB531" s="100"/>
      <c r="AC531" s="100"/>
      <c r="AD531" s="100"/>
      <c r="AE531" s="100"/>
      <c r="AF531" s="100"/>
      <c r="AG531" s="100"/>
      <c r="AH531" s="100"/>
      <c r="AI531" s="100"/>
      <c r="AJ531" s="100"/>
      <c r="AK531" s="100"/>
      <c r="AL531" s="100"/>
      <c r="AM531" s="100"/>
      <c r="AN531" s="100"/>
      <c r="AO531" s="100"/>
      <c r="AP531" s="100"/>
      <c r="AQ531" s="100"/>
      <c r="AR531" s="100"/>
    </row>
    <row r="532" spans="1:44" s="281" customFormat="1" ht="12" customHeight="1">
      <c r="A532" s="100"/>
      <c r="P532" s="153"/>
      <c r="X532" s="100"/>
      <c r="Y532" s="100"/>
      <c r="Z532" s="1380"/>
      <c r="AA532" s="100"/>
      <c r="AB532" s="100"/>
      <c r="AC532" s="100"/>
      <c r="AD532" s="100"/>
      <c r="AE532" s="100"/>
      <c r="AF532" s="100"/>
      <c r="AG532" s="100"/>
      <c r="AH532" s="100"/>
      <c r="AI532" s="100"/>
      <c r="AJ532" s="100"/>
      <c r="AK532" s="100"/>
      <c r="AL532" s="100"/>
      <c r="AM532" s="100"/>
      <c r="AN532" s="100"/>
      <c r="AO532" s="100"/>
      <c r="AP532" s="100"/>
      <c r="AQ532" s="100"/>
      <c r="AR532" s="100"/>
    </row>
    <row r="533" spans="1:44" s="281" customFormat="1" ht="12" customHeight="1">
      <c r="A533" s="100"/>
      <c r="P533" s="307"/>
      <c r="X533" s="100"/>
      <c r="Y533" s="100"/>
      <c r="Z533" s="1380"/>
      <c r="AA533" s="100"/>
      <c r="AB533" s="100"/>
      <c r="AC533" s="100"/>
      <c r="AD533" s="100"/>
      <c r="AE533" s="100"/>
      <c r="AF533" s="100"/>
      <c r="AG533" s="100"/>
      <c r="AH533" s="100"/>
      <c r="AI533" s="100"/>
      <c r="AJ533" s="100"/>
      <c r="AK533" s="100"/>
      <c r="AL533" s="100"/>
      <c r="AM533" s="100"/>
      <c r="AN533" s="100"/>
      <c r="AO533" s="100"/>
      <c r="AP533" s="100"/>
      <c r="AQ533" s="100"/>
      <c r="AR533" s="100"/>
    </row>
    <row r="534" spans="1:44" s="281" customFormat="1" ht="12" customHeight="1">
      <c r="A534" s="100"/>
      <c r="P534" s="153"/>
      <c r="X534" s="100"/>
      <c r="Y534" s="100"/>
      <c r="Z534" s="1380"/>
      <c r="AA534" s="100"/>
      <c r="AB534" s="100"/>
      <c r="AC534" s="100"/>
      <c r="AD534" s="100"/>
      <c r="AE534" s="100"/>
      <c r="AF534" s="100"/>
      <c r="AG534" s="100"/>
      <c r="AH534" s="100"/>
      <c r="AI534" s="100"/>
      <c r="AJ534" s="100"/>
      <c r="AK534" s="100"/>
      <c r="AL534" s="100"/>
      <c r="AM534" s="100"/>
      <c r="AN534" s="100"/>
      <c r="AO534" s="100"/>
      <c r="AP534" s="100"/>
      <c r="AQ534" s="100"/>
      <c r="AR534" s="100"/>
    </row>
    <row r="535" spans="1:44" s="281" customFormat="1" ht="12" customHeight="1">
      <c r="A535" s="100"/>
      <c r="P535" s="153"/>
      <c r="X535" s="100"/>
      <c r="Y535" s="100"/>
      <c r="Z535" s="1380"/>
      <c r="AA535" s="100"/>
      <c r="AB535" s="100"/>
      <c r="AC535" s="100"/>
      <c r="AD535" s="100"/>
      <c r="AE535" s="100"/>
      <c r="AF535" s="100"/>
      <c r="AG535" s="100"/>
      <c r="AH535" s="100"/>
      <c r="AI535" s="100"/>
      <c r="AJ535" s="100"/>
      <c r="AK535" s="100"/>
      <c r="AL535" s="100"/>
      <c r="AM535" s="100"/>
      <c r="AN535" s="100"/>
      <c r="AO535" s="100"/>
      <c r="AP535" s="100"/>
      <c r="AQ535" s="100"/>
      <c r="AR535" s="100"/>
    </row>
    <row r="536" spans="1:44" s="281" customFormat="1" ht="12" customHeight="1">
      <c r="A536" s="100"/>
      <c r="P536" s="153"/>
      <c r="X536" s="100"/>
      <c r="Y536" s="100"/>
      <c r="Z536" s="1380"/>
      <c r="AA536" s="100"/>
      <c r="AB536" s="100"/>
      <c r="AC536" s="100"/>
      <c r="AD536" s="100"/>
      <c r="AE536" s="100"/>
      <c r="AF536" s="100"/>
      <c r="AG536" s="100"/>
      <c r="AH536" s="100"/>
      <c r="AI536" s="100"/>
      <c r="AJ536" s="100"/>
      <c r="AK536" s="100"/>
      <c r="AL536" s="100"/>
      <c r="AM536" s="100"/>
      <c r="AN536" s="100"/>
      <c r="AO536" s="100"/>
      <c r="AP536" s="100"/>
      <c r="AQ536" s="100"/>
      <c r="AR536" s="100"/>
    </row>
    <row r="537" spans="1:44" s="281" customFormat="1" ht="12" customHeight="1">
      <c r="A537" s="100"/>
      <c r="P537" s="153"/>
      <c r="X537" s="100"/>
      <c r="Y537" s="100"/>
      <c r="Z537" s="1380"/>
      <c r="AA537" s="100"/>
      <c r="AB537" s="100"/>
      <c r="AC537" s="100"/>
      <c r="AD537" s="100"/>
      <c r="AE537" s="100"/>
      <c r="AF537" s="100"/>
      <c r="AG537" s="100"/>
      <c r="AH537" s="100"/>
      <c r="AI537" s="100"/>
      <c r="AJ537" s="100"/>
      <c r="AK537" s="100"/>
      <c r="AL537" s="100"/>
      <c r="AM537" s="100"/>
      <c r="AN537" s="100"/>
      <c r="AO537" s="100"/>
      <c r="AP537" s="100"/>
      <c r="AQ537" s="100"/>
      <c r="AR537" s="100"/>
    </row>
    <row r="538" spans="1:44" s="281" customFormat="1" ht="12" customHeight="1">
      <c r="A538" s="100"/>
      <c r="P538" s="307"/>
      <c r="X538" s="100"/>
      <c r="Y538" s="100"/>
      <c r="Z538" s="1380"/>
      <c r="AA538" s="100"/>
      <c r="AB538" s="100"/>
      <c r="AC538" s="100"/>
      <c r="AD538" s="100"/>
      <c r="AE538" s="100"/>
      <c r="AF538" s="100"/>
      <c r="AG538" s="100"/>
      <c r="AH538" s="100"/>
      <c r="AI538" s="100"/>
      <c r="AJ538" s="100"/>
      <c r="AK538" s="100"/>
      <c r="AL538" s="100"/>
      <c r="AM538" s="100"/>
      <c r="AN538" s="100"/>
      <c r="AO538" s="100"/>
      <c r="AP538" s="100"/>
      <c r="AQ538" s="100"/>
      <c r="AR538" s="100"/>
    </row>
    <row r="539" spans="1:44" s="281" customFormat="1" ht="12" customHeight="1">
      <c r="A539" s="100"/>
      <c r="P539" s="153"/>
      <c r="X539" s="100"/>
      <c r="Y539" s="100"/>
      <c r="Z539" s="1380"/>
      <c r="AA539" s="100"/>
      <c r="AB539" s="100"/>
      <c r="AC539" s="100"/>
      <c r="AD539" s="100"/>
      <c r="AE539" s="100"/>
      <c r="AF539" s="100"/>
      <c r="AG539" s="100"/>
      <c r="AH539" s="100"/>
      <c r="AI539" s="100"/>
      <c r="AJ539" s="100"/>
      <c r="AK539" s="100"/>
      <c r="AL539" s="100"/>
      <c r="AM539" s="100"/>
      <c r="AN539" s="100"/>
      <c r="AO539" s="100"/>
      <c r="AP539" s="100"/>
      <c r="AQ539" s="100"/>
      <c r="AR539" s="100"/>
    </row>
    <row r="540" spans="1:44" s="281" customFormat="1" ht="12" customHeight="1">
      <c r="A540" s="100"/>
      <c r="P540" s="153"/>
      <c r="X540" s="100"/>
      <c r="Y540" s="100"/>
      <c r="Z540" s="1380"/>
      <c r="AA540" s="100"/>
      <c r="AB540" s="100"/>
      <c r="AC540" s="100"/>
      <c r="AD540" s="100"/>
      <c r="AE540" s="100"/>
      <c r="AF540" s="100"/>
      <c r="AG540" s="100"/>
      <c r="AH540" s="100"/>
      <c r="AI540" s="100"/>
      <c r="AJ540" s="100"/>
      <c r="AK540" s="100"/>
      <c r="AL540" s="100"/>
      <c r="AM540" s="100"/>
      <c r="AN540" s="100"/>
      <c r="AO540" s="100"/>
      <c r="AP540" s="100"/>
      <c r="AQ540" s="100"/>
      <c r="AR540" s="100"/>
    </row>
    <row r="541" spans="1:44" s="281" customFormat="1" ht="12" customHeight="1">
      <c r="A541" s="100"/>
      <c r="P541" s="153"/>
      <c r="X541" s="100"/>
      <c r="Y541" s="100"/>
      <c r="Z541" s="1380"/>
      <c r="AA541" s="100"/>
      <c r="AB541" s="100"/>
      <c r="AC541" s="100"/>
      <c r="AD541" s="100"/>
      <c r="AE541" s="100"/>
      <c r="AF541" s="100"/>
      <c r="AG541" s="100"/>
      <c r="AH541" s="100"/>
      <c r="AI541" s="100"/>
      <c r="AJ541" s="100"/>
      <c r="AK541" s="100"/>
      <c r="AL541" s="100"/>
      <c r="AM541" s="100"/>
      <c r="AN541" s="100"/>
      <c r="AO541" s="100"/>
      <c r="AP541" s="100"/>
      <c r="AQ541" s="100"/>
      <c r="AR541" s="100"/>
    </row>
    <row r="542" spans="1:44" s="281" customFormat="1" ht="12" customHeight="1">
      <c r="A542" s="100"/>
      <c r="P542" s="153"/>
      <c r="X542" s="100"/>
      <c r="Y542" s="100"/>
      <c r="Z542" s="1380"/>
      <c r="AA542" s="100"/>
      <c r="AB542" s="100"/>
      <c r="AC542" s="100"/>
      <c r="AD542" s="100"/>
      <c r="AE542" s="100"/>
      <c r="AF542" s="100"/>
      <c r="AG542" s="100"/>
      <c r="AH542" s="100"/>
      <c r="AI542" s="100"/>
      <c r="AJ542" s="100"/>
      <c r="AK542" s="100"/>
      <c r="AL542" s="100"/>
      <c r="AM542" s="100"/>
      <c r="AN542" s="100"/>
      <c r="AO542" s="100"/>
      <c r="AP542" s="100"/>
      <c r="AQ542" s="100"/>
      <c r="AR542" s="100"/>
    </row>
    <row r="543" spans="1:44" s="281" customFormat="1" ht="12" customHeight="1">
      <c r="A543" s="100"/>
      <c r="P543" s="153"/>
      <c r="X543" s="100"/>
      <c r="Y543" s="100"/>
      <c r="Z543" s="1380"/>
      <c r="AA543" s="100"/>
      <c r="AB543" s="100"/>
      <c r="AC543" s="100"/>
      <c r="AD543" s="100"/>
      <c r="AE543" s="100"/>
      <c r="AF543" s="100"/>
      <c r="AG543" s="100"/>
      <c r="AH543" s="100"/>
      <c r="AI543" s="100"/>
      <c r="AJ543" s="100"/>
      <c r="AK543" s="100"/>
      <c r="AL543" s="100"/>
      <c r="AM543" s="100"/>
      <c r="AN543" s="100"/>
      <c r="AO543" s="100"/>
      <c r="AP543" s="100"/>
      <c r="AQ543" s="100"/>
      <c r="AR543" s="100"/>
    </row>
    <row r="544" spans="1:44" s="281" customFormat="1" ht="12" customHeight="1">
      <c r="A544" s="100"/>
      <c r="P544" s="307"/>
      <c r="X544" s="100"/>
      <c r="Y544" s="100"/>
      <c r="Z544" s="1380"/>
      <c r="AA544" s="100"/>
      <c r="AB544" s="100"/>
      <c r="AC544" s="100"/>
      <c r="AD544" s="100"/>
      <c r="AE544" s="100"/>
      <c r="AF544" s="100"/>
      <c r="AG544" s="100"/>
      <c r="AH544" s="100"/>
      <c r="AI544" s="100"/>
      <c r="AJ544" s="100"/>
      <c r="AK544" s="100"/>
      <c r="AL544" s="100"/>
      <c r="AM544" s="100"/>
      <c r="AN544" s="100"/>
      <c r="AO544" s="100"/>
      <c r="AP544" s="100"/>
      <c r="AQ544" s="100"/>
      <c r="AR544" s="100"/>
    </row>
    <row r="545" spans="1:44" s="281" customFormat="1" ht="12" customHeight="1">
      <c r="A545" s="100"/>
      <c r="P545" s="153"/>
      <c r="X545" s="100"/>
      <c r="Y545" s="100"/>
      <c r="Z545" s="1380"/>
      <c r="AA545" s="100"/>
      <c r="AB545" s="100"/>
      <c r="AC545" s="100"/>
      <c r="AD545" s="100"/>
      <c r="AE545" s="100"/>
      <c r="AF545" s="100"/>
      <c r="AG545" s="100"/>
      <c r="AH545" s="100"/>
      <c r="AI545" s="100"/>
      <c r="AJ545" s="100"/>
      <c r="AK545" s="100"/>
      <c r="AL545" s="100"/>
      <c r="AM545" s="100"/>
      <c r="AN545" s="100"/>
      <c r="AO545" s="100"/>
      <c r="AP545" s="100"/>
      <c r="AQ545" s="100"/>
      <c r="AR545" s="100"/>
    </row>
    <row r="546" spans="1:44" s="281" customFormat="1" ht="12" customHeight="1">
      <c r="A546" s="100"/>
      <c r="P546" s="153"/>
      <c r="X546" s="100"/>
      <c r="Y546" s="100"/>
      <c r="Z546" s="1380"/>
      <c r="AA546" s="100"/>
      <c r="AB546" s="100"/>
      <c r="AC546" s="100"/>
      <c r="AD546" s="100"/>
      <c r="AE546" s="100"/>
      <c r="AF546" s="100"/>
      <c r="AG546" s="100"/>
      <c r="AH546" s="100"/>
      <c r="AI546" s="100"/>
      <c r="AJ546" s="100"/>
      <c r="AK546" s="100"/>
      <c r="AL546" s="100"/>
      <c r="AM546" s="100"/>
      <c r="AN546" s="100"/>
      <c r="AO546" s="100"/>
      <c r="AP546" s="100"/>
      <c r="AQ546" s="100"/>
      <c r="AR546" s="100"/>
    </row>
    <row r="547" spans="1:44" s="281" customFormat="1" ht="12" customHeight="1">
      <c r="A547" s="100"/>
      <c r="P547" s="153"/>
      <c r="X547" s="100"/>
      <c r="Y547" s="100"/>
      <c r="Z547" s="1380"/>
      <c r="AA547" s="100"/>
      <c r="AB547" s="100"/>
      <c r="AC547" s="100"/>
      <c r="AD547" s="100"/>
      <c r="AE547" s="100"/>
      <c r="AF547" s="100"/>
      <c r="AG547" s="100"/>
      <c r="AH547" s="100"/>
      <c r="AI547" s="100"/>
      <c r="AJ547" s="100"/>
      <c r="AK547" s="100"/>
      <c r="AL547" s="100"/>
      <c r="AM547" s="100"/>
      <c r="AN547" s="100"/>
      <c r="AO547" s="100"/>
      <c r="AP547" s="100"/>
      <c r="AQ547" s="100"/>
      <c r="AR547" s="100"/>
    </row>
    <row r="548" spans="1:44" s="281" customFormat="1" ht="12" customHeight="1">
      <c r="A548" s="100"/>
      <c r="P548" s="153"/>
      <c r="X548" s="100"/>
      <c r="Y548" s="100"/>
      <c r="Z548" s="1380"/>
      <c r="AA548" s="100"/>
      <c r="AB548" s="100"/>
      <c r="AC548" s="100"/>
      <c r="AD548" s="100"/>
      <c r="AE548" s="100"/>
      <c r="AF548" s="100"/>
      <c r="AG548" s="100"/>
      <c r="AH548" s="100"/>
      <c r="AI548" s="100"/>
      <c r="AJ548" s="100"/>
      <c r="AK548" s="100"/>
      <c r="AL548" s="100"/>
      <c r="AM548" s="100"/>
      <c r="AN548" s="100"/>
      <c r="AO548" s="100"/>
      <c r="AP548" s="100"/>
      <c r="AQ548" s="100"/>
      <c r="AR548" s="100"/>
    </row>
    <row r="549" spans="1:44" s="281" customFormat="1" ht="12" customHeight="1">
      <c r="A549" s="100"/>
      <c r="P549" s="153"/>
      <c r="X549" s="100"/>
      <c r="Y549" s="100"/>
      <c r="Z549" s="1380"/>
      <c r="AA549" s="100"/>
      <c r="AB549" s="100"/>
      <c r="AC549" s="100"/>
      <c r="AD549" s="100"/>
      <c r="AE549" s="100"/>
      <c r="AF549" s="100"/>
      <c r="AG549" s="100"/>
      <c r="AH549" s="100"/>
      <c r="AI549" s="100"/>
      <c r="AJ549" s="100"/>
      <c r="AK549" s="100"/>
      <c r="AL549" s="100"/>
      <c r="AM549" s="100"/>
      <c r="AN549" s="100"/>
      <c r="AO549" s="100"/>
      <c r="AP549" s="100"/>
      <c r="AQ549" s="100"/>
      <c r="AR549" s="100"/>
    </row>
    <row r="550" spans="1:44" s="281" customFormat="1" ht="12" customHeight="1">
      <c r="A550" s="100"/>
      <c r="P550" s="153"/>
      <c r="X550" s="100"/>
      <c r="Y550" s="100"/>
      <c r="Z550" s="1380"/>
      <c r="AA550" s="100"/>
      <c r="AB550" s="100"/>
      <c r="AC550" s="100"/>
      <c r="AD550" s="100"/>
      <c r="AE550" s="100"/>
      <c r="AF550" s="100"/>
      <c r="AG550" s="100"/>
      <c r="AH550" s="100"/>
      <c r="AI550" s="100"/>
      <c r="AJ550" s="100"/>
      <c r="AK550" s="100"/>
      <c r="AL550" s="100"/>
      <c r="AM550" s="100"/>
      <c r="AN550" s="100"/>
      <c r="AO550" s="100"/>
      <c r="AP550" s="100"/>
      <c r="AQ550" s="100"/>
      <c r="AR550" s="100"/>
    </row>
    <row r="551" spans="1:44" s="281" customFormat="1" ht="12" customHeight="1">
      <c r="A551" s="100"/>
      <c r="P551" s="153"/>
      <c r="X551" s="100"/>
      <c r="Y551" s="100"/>
      <c r="Z551" s="1380"/>
      <c r="AA551" s="100"/>
      <c r="AB551" s="100"/>
      <c r="AC551" s="100"/>
      <c r="AD551" s="100"/>
      <c r="AE551" s="100"/>
      <c r="AF551" s="100"/>
      <c r="AG551" s="100"/>
      <c r="AH551" s="100"/>
      <c r="AI551" s="100"/>
      <c r="AJ551" s="100"/>
      <c r="AK551" s="100"/>
      <c r="AL551" s="100"/>
      <c r="AM551" s="100"/>
      <c r="AN551" s="100"/>
      <c r="AO551" s="100"/>
      <c r="AP551" s="100"/>
      <c r="AQ551" s="100"/>
      <c r="AR551" s="100"/>
    </row>
    <row r="552" spans="1:44" s="281" customFormat="1" ht="12" customHeight="1">
      <c r="A552" s="100"/>
      <c r="P552" s="153"/>
      <c r="X552" s="100"/>
      <c r="Y552" s="100"/>
      <c r="Z552" s="1380"/>
      <c r="AA552" s="100"/>
      <c r="AB552" s="100"/>
      <c r="AC552" s="100"/>
      <c r="AD552" s="100"/>
      <c r="AE552" s="100"/>
      <c r="AF552" s="100"/>
      <c r="AG552" s="100"/>
      <c r="AH552" s="100"/>
      <c r="AI552" s="100"/>
      <c r="AJ552" s="100"/>
      <c r="AK552" s="100"/>
      <c r="AL552" s="100"/>
      <c r="AM552" s="100"/>
      <c r="AN552" s="100"/>
      <c r="AO552" s="100"/>
      <c r="AP552" s="100"/>
      <c r="AQ552" s="100"/>
      <c r="AR552" s="100"/>
    </row>
    <row r="553" spans="1:44" s="281" customFormat="1" ht="12" customHeight="1">
      <c r="A553" s="100"/>
      <c r="P553" s="153"/>
      <c r="X553" s="100"/>
      <c r="Y553" s="100"/>
      <c r="Z553" s="1380"/>
      <c r="AA553" s="100"/>
      <c r="AB553" s="100"/>
      <c r="AC553" s="100"/>
      <c r="AD553" s="100"/>
      <c r="AE553" s="100"/>
      <c r="AF553" s="100"/>
      <c r="AG553" s="100"/>
      <c r="AH553" s="100"/>
      <c r="AI553" s="100"/>
      <c r="AJ553" s="100"/>
      <c r="AK553" s="100"/>
      <c r="AL553" s="100"/>
      <c r="AM553" s="100"/>
      <c r="AN553" s="100"/>
      <c r="AO553" s="100"/>
      <c r="AP553" s="100"/>
      <c r="AQ553" s="100"/>
      <c r="AR553" s="100"/>
    </row>
    <row r="554" spans="1:44" s="281" customFormat="1" ht="12" customHeight="1">
      <c r="A554" s="100"/>
      <c r="P554" s="153"/>
      <c r="X554" s="100"/>
      <c r="Y554" s="100"/>
      <c r="Z554" s="1380"/>
      <c r="AA554" s="100"/>
      <c r="AB554" s="100"/>
      <c r="AC554" s="100"/>
      <c r="AD554" s="100"/>
      <c r="AE554" s="100"/>
      <c r="AF554" s="100"/>
      <c r="AG554" s="100"/>
      <c r="AH554" s="100"/>
      <c r="AI554" s="100"/>
      <c r="AJ554" s="100"/>
      <c r="AK554" s="100"/>
      <c r="AL554" s="100"/>
      <c r="AM554" s="100"/>
      <c r="AN554" s="100"/>
      <c r="AO554" s="100"/>
      <c r="AP554" s="100"/>
      <c r="AQ554" s="100"/>
      <c r="AR554" s="100"/>
    </row>
    <row r="555" spans="1:44" s="281" customFormat="1" ht="12" customHeight="1">
      <c r="A555" s="100"/>
      <c r="P555" s="307"/>
      <c r="X555" s="100"/>
      <c r="Y555" s="100"/>
      <c r="Z555" s="1380"/>
      <c r="AA555" s="100"/>
      <c r="AB555" s="100"/>
      <c r="AC555" s="100"/>
      <c r="AD555" s="100"/>
      <c r="AE555" s="100"/>
      <c r="AF555" s="100"/>
      <c r="AG555" s="100"/>
      <c r="AH555" s="100"/>
      <c r="AI555" s="100"/>
      <c r="AJ555" s="100"/>
      <c r="AK555" s="100"/>
      <c r="AL555" s="100"/>
      <c r="AM555" s="100"/>
      <c r="AN555" s="100"/>
      <c r="AO555" s="100"/>
      <c r="AP555" s="100"/>
      <c r="AQ555" s="100"/>
      <c r="AR555" s="100"/>
    </row>
    <row r="556" spans="1:44" s="281" customFormat="1" ht="12" customHeight="1">
      <c r="A556" s="100"/>
      <c r="P556" s="153"/>
      <c r="X556" s="100"/>
      <c r="Y556" s="100"/>
      <c r="Z556" s="1380"/>
      <c r="AA556" s="100"/>
      <c r="AB556" s="100"/>
      <c r="AC556" s="100"/>
      <c r="AD556" s="100"/>
      <c r="AE556" s="100"/>
      <c r="AF556" s="100"/>
      <c r="AG556" s="100"/>
      <c r="AH556" s="100"/>
      <c r="AI556" s="100"/>
      <c r="AJ556" s="100"/>
      <c r="AK556" s="100"/>
      <c r="AL556" s="100"/>
      <c r="AM556" s="100"/>
      <c r="AN556" s="100"/>
      <c r="AO556" s="100"/>
      <c r="AP556" s="100"/>
      <c r="AQ556" s="100"/>
      <c r="AR556" s="100"/>
    </row>
    <row r="557" spans="1:44" s="281" customFormat="1" ht="12" customHeight="1">
      <c r="A557" s="100"/>
      <c r="P557" s="153"/>
      <c r="X557" s="100"/>
      <c r="Y557" s="100"/>
      <c r="Z557" s="1380"/>
      <c r="AA557" s="100"/>
      <c r="AB557" s="100"/>
      <c r="AC557" s="100"/>
      <c r="AD557" s="100"/>
      <c r="AE557" s="100"/>
      <c r="AF557" s="100"/>
      <c r="AG557" s="100"/>
      <c r="AH557" s="100"/>
      <c r="AI557" s="100"/>
      <c r="AJ557" s="100"/>
      <c r="AK557" s="100"/>
      <c r="AL557" s="100"/>
      <c r="AM557" s="100"/>
      <c r="AN557" s="100"/>
      <c r="AO557" s="100"/>
      <c r="AP557" s="100"/>
      <c r="AQ557" s="100"/>
      <c r="AR557" s="100"/>
    </row>
    <row r="558" spans="1:44" s="281" customFormat="1" ht="12" customHeight="1">
      <c r="A558" s="100"/>
      <c r="P558" s="153"/>
      <c r="X558" s="100"/>
      <c r="Y558" s="100"/>
      <c r="Z558" s="1380"/>
      <c r="AA558" s="100"/>
      <c r="AB558" s="100"/>
      <c r="AC558" s="100"/>
      <c r="AD558" s="100"/>
      <c r="AE558" s="100"/>
      <c r="AF558" s="100"/>
      <c r="AG558" s="100"/>
      <c r="AH558" s="100"/>
      <c r="AI558" s="100"/>
      <c r="AJ558" s="100"/>
      <c r="AK558" s="100"/>
      <c r="AL558" s="100"/>
      <c r="AM558" s="100"/>
      <c r="AN558" s="100"/>
      <c r="AO558" s="100"/>
      <c r="AP558" s="100"/>
      <c r="AQ558" s="100"/>
      <c r="AR558" s="100"/>
    </row>
    <row r="559" spans="1:44" s="281" customFormat="1" ht="12" customHeight="1">
      <c r="A559" s="100"/>
      <c r="P559" s="153"/>
      <c r="X559" s="100"/>
      <c r="Y559" s="100"/>
      <c r="Z559" s="1380"/>
      <c r="AA559" s="100"/>
      <c r="AB559" s="100"/>
      <c r="AC559" s="100"/>
      <c r="AD559" s="100"/>
      <c r="AE559" s="100"/>
      <c r="AF559" s="100"/>
      <c r="AG559" s="100"/>
      <c r="AH559" s="100"/>
      <c r="AI559" s="100"/>
      <c r="AJ559" s="100"/>
      <c r="AK559" s="100"/>
      <c r="AL559" s="100"/>
      <c r="AM559" s="100"/>
      <c r="AN559" s="100"/>
      <c r="AO559" s="100"/>
      <c r="AP559" s="100"/>
      <c r="AQ559" s="100"/>
      <c r="AR559" s="100"/>
    </row>
    <row r="560" spans="1:44" s="281" customFormat="1" ht="12" customHeight="1">
      <c r="A560" s="100"/>
      <c r="P560" s="153"/>
      <c r="X560" s="100"/>
      <c r="Y560" s="100"/>
      <c r="Z560" s="1380"/>
      <c r="AA560" s="100"/>
      <c r="AB560" s="100"/>
      <c r="AC560" s="100"/>
      <c r="AD560" s="100"/>
      <c r="AE560" s="100"/>
      <c r="AF560" s="100"/>
      <c r="AG560" s="100"/>
      <c r="AH560" s="100"/>
      <c r="AI560" s="100"/>
      <c r="AJ560" s="100"/>
      <c r="AK560" s="100"/>
      <c r="AL560" s="100"/>
      <c r="AM560" s="100"/>
      <c r="AN560" s="100"/>
      <c r="AO560" s="100"/>
      <c r="AP560" s="100"/>
      <c r="AQ560" s="100"/>
      <c r="AR560" s="100"/>
    </row>
    <row r="561" spans="1:44" s="281" customFormat="1" ht="12" customHeight="1">
      <c r="A561" s="100"/>
      <c r="P561" s="153"/>
      <c r="X561" s="100"/>
      <c r="Y561" s="100"/>
      <c r="Z561" s="1380"/>
      <c r="AA561" s="100"/>
      <c r="AB561" s="100"/>
      <c r="AC561" s="100"/>
      <c r="AD561" s="100"/>
      <c r="AE561" s="100"/>
      <c r="AF561" s="100"/>
      <c r="AG561" s="100"/>
      <c r="AH561" s="100"/>
      <c r="AI561" s="100"/>
      <c r="AJ561" s="100"/>
      <c r="AK561" s="100"/>
      <c r="AL561" s="100"/>
      <c r="AM561" s="100"/>
      <c r="AN561" s="100"/>
      <c r="AO561" s="100"/>
      <c r="AP561" s="100"/>
      <c r="AQ561" s="100"/>
      <c r="AR561" s="100"/>
    </row>
    <row r="562" spans="1:44" s="281" customFormat="1" ht="12" customHeight="1">
      <c r="A562" s="100"/>
      <c r="P562" s="153"/>
      <c r="X562" s="100"/>
      <c r="Y562" s="100"/>
      <c r="Z562" s="1380"/>
      <c r="AA562" s="100"/>
      <c r="AB562" s="100"/>
      <c r="AC562" s="100"/>
      <c r="AD562" s="100"/>
      <c r="AE562" s="100"/>
      <c r="AF562" s="100"/>
      <c r="AG562" s="100"/>
      <c r="AH562" s="100"/>
      <c r="AI562" s="100"/>
      <c r="AJ562" s="100"/>
      <c r="AK562" s="100"/>
      <c r="AL562" s="100"/>
      <c r="AM562" s="100"/>
      <c r="AN562" s="100"/>
      <c r="AO562" s="100"/>
      <c r="AP562" s="100"/>
      <c r="AQ562" s="100"/>
      <c r="AR562" s="100"/>
    </row>
    <row r="563" spans="1:44" s="281" customFormat="1" ht="12" customHeight="1">
      <c r="A563" s="100"/>
      <c r="P563" s="153"/>
      <c r="X563" s="100"/>
      <c r="Y563" s="100"/>
      <c r="Z563" s="1380"/>
      <c r="AA563" s="100"/>
      <c r="AB563" s="100"/>
      <c r="AC563" s="100"/>
      <c r="AD563" s="100"/>
      <c r="AE563" s="100"/>
      <c r="AF563" s="100"/>
      <c r="AG563" s="100"/>
      <c r="AH563" s="100"/>
      <c r="AI563" s="100"/>
      <c r="AJ563" s="100"/>
      <c r="AK563" s="100"/>
      <c r="AL563" s="100"/>
      <c r="AM563" s="100"/>
      <c r="AN563" s="100"/>
      <c r="AO563" s="100"/>
      <c r="AP563" s="100"/>
      <c r="AQ563" s="100"/>
      <c r="AR563" s="100"/>
    </row>
    <row r="564" spans="1:44" s="281" customFormat="1" ht="12" customHeight="1">
      <c r="A564" s="100"/>
      <c r="P564" s="153"/>
      <c r="X564" s="100"/>
      <c r="Y564" s="100"/>
      <c r="Z564" s="1380"/>
      <c r="AA564" s="100"/>
      <c r="AB564" s="100"/>
      <c r="AC564" s="100"/>
      <c r="AD564" s="100"/>
      <c r="AE564" s="100"/>
      <c r="AF564" s="100"/>
      <c r="AG564" s="100"/>
      <c r="AH564" s="100"/>
      <c r="AI564" s="100"/>
      <c r="AJ564" s="100"/>
      <c r="AK564" s="100"/>
      <c r="AL564" s="100"/>
      <c r="AM564" s="100"/>
      <c r="AN564" s="100"/>
      <c r="AO564" s="100"/>
      <c r="AP564" s="100"/>
      <c r="AQ564" s="100"/>
      <c r="AR564" s="100"/>
    </row>
    <row r="565" spans="1:44" s="281" customFormat="1" ht="12" customHeight="1">
      <c r="A565" s="100"/>
      <c r="P565" s="153"/>
      <c r="X565" s="100"/>
      <c r="Y565" s="100"/>
      <c r="Z565" s="1380"/>
      <c r="AA565" s="100"/>
      <c r="AB565" s="100"/>
      <c r="AC565" s="100"/>
      <c r="AD565" s="100"/>
      <c r="AE565" s="100"/>
      <c r="AF565" s="100"/>
      <c r="AG565" s="100"/>
      <c r="AH565" s="100"/>
      <c r="AI565" s="100"/>
      <c r="AJ565" s="100"/>
      <c r="AK565" s="100"/>
      <c r="AL565" s="100"/>
      <c r="AM565" s="100"/>
      <c r="AN565" s="100"/>
      <c r="AO565" s="100"/>
      <c r="AP565" s="100"/>
      <c r="AQ565" s="100"/>
      <c r="AR565" s="100"/>
    </row>
    <row r="566" spans="1:44" s="281" customFormat="1" ht="12" customHeight="1">
      <c r="A566" s="100"/>
      <c r="P566" s="153"/>
      <c r="X566" s="100"/>
      <c r="Y566" s="100"/>
      <c r="Z566" s="1380"/>
      <c r="AA566" s="100"/>
      <c r="AB566" s="100"/>
      <c r="AC566" s="100"/>
      <c r="AD566" s="100"/>
      <c r="AE566" s="100"/>
      <c r="AF566" s="100"/>
      <c r="AG566" s="100"/>
      <c r="AH566" s="100"/>
      <c r="AI566" s="100"/>
      <c r="AJ566" s="100"/>
      <c r="AK566" s="100"/>
      <c r="AL566" s="100"/>
      <c r="AM566" s="100"/>
      <c r="AN566" s="100"/>
      <c r="AO566" s="100"/>
      <c r="AP566" s="100"/>
      <c r="AQ566" s="100"/>
      <c r="AR566" s="100"/>
    </row>
    <row r="567" spans="1:44" s="281" customFormat="1" ht="12" customHeight="1">
      <c r="A567" s="100"/>
      <c r="P567" s="307"/>
      <c r="X567" s="100"/>
      <c r="Y567" s="100"/>
      <c r="Z567" s="1380"/>
      <c r="AA567" s="100"/>
      <c r="AB567" s="100"/>
      <c r="AC567" s="100"/>
      <c r="AD567" s="100"/>
      <c r="AE567" s="100"/>
      <c r="AF567" s="100"/>
      <c r="AG567" s="100"/>
      <c r="AH567" s="100"/>
      <c r="AI567" s="100"/>
      <c r="AJ567" s="100"/>
      <c r="AK567" s="100"/>
      <c r="AL567" s="100"/>
      <c r="AM567" s="100"/>
      <c r="AN567" s="100"/>
      <c r="AO567" s="100"/>
      <c r="AP567" s="100"/>
      <c r="AQ567" s="100"/>
      <c r="AR567" s="100"/>
    </row>
    <row r="568" spans="1:44" s="281" customFormat="1" ht="12" customHeight="1">
      <c r="A568" s="100"/>
      <c r="P568" s="307"/>
      <c r="X568" s="100"/>
      <c r="Y568" s="100"/>
      <c r="Z568" s="1380"/>
      <c r="AA568" s="100"/>
      <c r="AB568" s="100"/>
      <c r="AC568" s="100"/>
      <c r="AD568" s="100"/>
      <c r="AE568" s="100"/>
      <c r="AF568" s="100"/>
      <c r="AG568" s="100"/>
      <c r="AH568" s="100"/>
      <c r="AI568" s="100"/>
      <c r="AJ568" s="100"/>
      <c r="AK568" s="100"/>
      <c r="AL568" s="100"/>
      <c r="AM568" s="100"/>
      <c r="AN568" s="100"/>
      <c r="AO568" s="100"/>
      <c r="AP568" s="100"/>
      <c r="AQ568" s="100"/>
      <c r="AR568" s="100"/>
    </row>
    <row r="569" spans="1:44" s="281" customFormat="1" ht="12" customHeight="1">
      <c r="A569" s="100"/>
      <c r="P569" s="153"/>
      <c r="X569" s="100"/>
      <c r="Y569" s="100"/>
      <c r="Z569" s="1380"/>
      <c r="AA569" s="100"/>
      <c r="AB569" s="100"/>
      <c r="AC569" s="100"/>
      <c r="AD569" s="100"/>
      <c r="AE569" s="100"/>
      <c r="AF569" s="100"/>
      <c r="AG569" s="100"/>
      <c r="AH569" s="100"/>
      <c r="AI569" s="100"/>
      <c r="AJ569" s="100"/>
      <c r="AK569" s="100"/>
      <c r="AL569" s="100"/>
      <c r="AM569" s="100"/>
      <c r="AN569" s="100"/>
      <c r="AO569" s="100"/>
      <c r="AP569" s="100"/>
      <c r="AQ569" s="100"/>
      <c r="AR569" s="100"/>
    </row>
    <row r="570" spans="1:44" s="281" customFormat="1" ht="12" customHeight="1">
      <c r="A570" s="100"/>
      <c r="P570" s="153"/>
      <c r="X570" s="100"/>
      <c r="Y570" s="100"/>
      <c r="Z570" s="1380"/>
      <c r="AA570" s="100"/>
      <c r="AB570" s="100"/>
      <c r="AC570" s="100"/>
      <c r="AD570" s="100"/>
      <c r="AE570" s="100"/>
      <c r="AF570" s="100"/>
      <c r="AG570" s="100"/>
      <c r="AH570" s="100"/>
      <c r="AI570" s="100"/>
      <c r="AJ570" s="100"/>
      <c r="AK570" s="100"/>
      <c r="AL570" s="100"/>
      <c r="AM570" s="100"/>
      <c r="AN570" s="100"/>
      <c r="AO570" s="100"/>
      <c r="AP570" s="100"/>
      <c r="AQ570" s="100"/>
      <c r="AR570" s="100"/>
    </row>
    <row r="571" spans="1:44" s="281" customFormat="1" ht="12" customHeight="1">
      <c r="A571" s="100"/>
      <c r="P571" s="153"/>
      <c r="X571" s="100"/>
      <c r="Y571" s="100"/>
      <c r="Z571" s="1380"/>
      <c r="AA571" s="100"/>
      <c r="AB571" s="100"/>
      <c r="AC571" s="100"/>
      <c r="AD571" s="100"/>
      <c r="AE571" s="100"/>
      <c r="AF571" s="100"/>
      <c r="AG571" s="100"/>
      <c r="AH571" s="100"/>
      <c r="AI571" s="100"/>
      <c r="AJ571" s="100"/>
      <c r="AK571" s="100"/>
      <c r="AL571" s="100"/>
      <c r="AM571" s="100"/>
      <c r="AN571" s="100"/>
      <c r="AO571" s="100"/>
      <c r="AP571" s="100"/>
      <c r="AQ571" s="100"/>
      <c r="AR571" s="100"/>
    </row>
    <row r="572" spans="1:44" s="281" customFormat="1" ht="12" customHeight="1">
      <c r="A572" s="100"/>
      <c r="P572" s="153"/>
      <c r="X572" s="100"/>
      <c r="Y572" s="100"/>
      <c r="Z572" s="1380"/>
      <c r="AA572" s="100"/>
      <c r="AB572" s="100"/>
      <c r="AC572" s="100"/>
      <c r="AD572" s="100"/>
      <c r="AE572" s="100"/>
      <c r="AF572" s="100"/>
      <c r="AG572" s="100"/>
      <c r="AH572" s="100"/>
      <c r="AI572" s="100"/>
      <c r="AJ572" s="100"/>
      <c r="AK572" s="100"/>
      <c r="AL572" s="100"/>
      <c r="AM572" s="100"/>
      <c r="AN572" s="100"/>
      <c r="AO572" s="100"/>
      <c r="AP572" s="100"/>
      <c r="AQ572" s="100"/>
      <c r="AR572" s="100"/>
    </row>
    <row r="573" spans="1:44" s="281" customFormat="1" ht="12" customHeight="1">
      <c r="A573" s="100"/>
      <c r="P573" s="153"/>
      <c r="X573" s="100"/>
      <c r="Y573" s="100"/>
      <c r="Z573" s="1380"/>
      <c r="AA573" s="100"/>
      <c r="AB573" s="100"/>
      <c r="AC573" s="100"/>
      <c r="AD573" s="100"/>
      <c r="AE573" s="100"/>
      <c r="AF573" s="100"/>
      <c r="AG573" s="100"/>
      <c r="AH573" s="100"/>
      <c r="AI573" s="100"/>
      <c r="AJ573" s="100"/>
      <c r="AK573" s="100"/>
      <c r="AL573" s="100"/>
      <c r="AM573" s="100"/>
      <c r="AN573" s="100"/>
      <c r="AO573" s="100"/>
      <c r="AP573" s="100"/>
      <c r="AQ573" s="100"/>
      <c r="AR573" s="100"/>
    </row>
    <row r="574" spans="1:44" s="281" customFormat="1" ht="12" customHeight="1">
      <c r="A574" s="100"/>
      <c r="P574" s="153"/>
      <c r="X574" s="100"/>
      <c r="Y574" s="100"/>
      <c r="Z574" s="1380"/>
      <c r="AA574" s="100"/>
      <c r="AB574" s="100"/>
      <c r="AC574" s="100"/>
      <c r="AD574" s="100"/>
      <c r="AE574" s="100"/>
      <c r="AF574" s="100"/>
      <c r="AG574" s="100"/>
      <c r="AH574" s="100"/>
      <c r="AI574" s="100"/>
      <c r="AJ574" s="100"/>
      <c r="AK574" s="100"/>
      <c r="AL574" s="100"/>
      <c r="AM574" s="100"/>
      <c r="AN574" s="100"/>
      <c r="AO574" s="100"/>
      <c r="AP574" s="100"/>
      <c r="AQ574" s="100"/>
      <c r="AR574" s="100"/>
    </row>
    <row r="575" spans="1:44" s="281" customFormat="1" ht="12" customHeight="1">
      <c r="A575" s="100"/>
      <c r="P575" s="153"/>
      <c r="X575" s="100"/>
      <c r="Y575" s="100"/>
      <c r="Z575" s="1380"/>
      <c r="AA575" s="100"/>
      <c r="AB575" s="100"/>
      <c r="AC575" s="100"/>
      <c r="AD575" s="100"/>
      <c r="AE575" s="100"/>
      <c r="AF575" s="100"/>
      <c r="AG575" s="100"/>
      <c r="AH575" s="100"/>
      <c r="AI575" s="100"/>
      <c r="AJ575" s="100"/>
      <c r="AK575" s="100"/>
      <c r="AL575" s="100"/>
      <c r="AM575" s="100"/>
      <c r="AN575" s="100"/>
      <c r="AO575" s="100"/>
      <c r="AP575" s="100"/>
      <c r="AQ575" s="100"/>
      <c r="AR575" s="100"/>
    </row>
    <row r="576" spans="1:44" s="281" customFormat="1" ht="12" customHeight="1">
      <c r="A576" s="100"/>
      <c r="P576" s="153"/>
      <c r="X576" s="100"/>
      <c r="Y576" s="100"/>
      <c r="Z576" s="1380"/>
      <c r="AA576" s="100"/>
      <c r="AB576" s="100"/>
      <c r="AC576" s="100"/>
      <c r="AD576" s="100"/>
      <c r="AE576" s="100"/>
      <c r="AF576" s="100"/>
      <c r="AG576" s="100"/>
      <c r="AH576" s="100"/>
      <c r="AI576" s="100"/>
      <c r="AJ576" s="100"/>
      <c r="AK576" s="100"/>
      <c r="AL576" s="100"/>
      <c r="AM576" s="100"/>
      <c r="AN576" s="100"/>
      <c r="AO576" s="100"/>
      <c r="AP576" s="100"/>
      <c r="AQ576" s="100"/>
      <c r="AR576" s="100"/>
    </row>
    <row r="577" spans="1:44" s="281" customFormat="1" ht="12" customHeight="1">
      <c r="A577" s="100"/>
      <c r="P577" s="153"/>
      <c r="X577" s="100"/>
      <c r="Y577" s="100"/>
      <c r="Z577" s="1380"/>
      <c r="AA577" s="100"/>
      <c r="AB577" s="100"/>
      <c r="AC577" s="100"/>
      <c r="AD577" s="100"/>
      <c r="AE577" s="100"/>
      <c r="AF577" s="100"/>
      <c r="AG577" s="100"/>
      <c r="AH577" s="100"/>
      <c r="AI577" s="100"/>
      <c r="AJ577" s="100"/>
      <c r="AK577" s="100"/>
      <c r="AL577" s="100"/>
      <c r="AM577" s="100"/>
      <c r="AN577" s="100"/>
      <c r="AO577" s="100"/>
      <c r="AP577" s="100"/>
      <c r="AQ577" s="100"/>
      <c r="AR577" s="100"/>
    </row>
    <row r="578" spans="1:44" s="281" customFormat="1" ht="12" customHeight="1">
      <c r="A578" s="100"/>
      <c r="P578" s="153"/>
      <c r="X578" s="100"/>
      <c r="Y578" s="100"/>
      <c r="Z578" s="1380"/>
      <c r="AA578" s="100"/>
      <c r="AB578" s="100"/>
      <c r="AC578" s="100"/>
      <c r="AD578" s="100"/>
      <c r="AE578" s="100"/>
      <c r="AF578" s="100"/>
      <c r="AG578" s="100"/>
      <c r="AH578" s="100"/>
      <c r="AI578" s="100"/>
      <c r="AJ578" s="100"/>
      <c r="AK578" s="100"/>
      <c r="AL578" s="100"/>
      <c r="AM578" s="100"/>
      <c r="AN578" s="100"/>
      <c r="AO578" s="100"/>
      <c r="AP578" s="100"/>
      <c r="AQ578" s="100"/>
      <c r="AR578" s="100"/>
    </row>
    <row r="579" spans="1:44" s="281" customFormat="1" ht="12" customHeight="1">
      <c r="A579" s="100"/>
      <c r="P579" s="153"/>
      <c r="Q579" s="301"/>
      <c r="X579" s="100"/>
      <c r="Y579" s="100"/>
      <c r="Z579" s="1380"/>
      <c r="AA579" s="100"/>
      <c r="AB579" s="100"/>
      <c r="AC579" s="100"/>
      <c r="AD579" s="100"/>
      <c r="AE579" s="100"/>
      <c r="AF579" s="100"/>
      <c r="AG579" s="100"/>
      <c r="AH579" s="100"/>
      <c r="AI579" s="100"/>
      <c r="AJ579" s="100"/>
      <c r="AK579" s="100"/>
      <c r="AL579" s="100"/>
      <c r="AM579" s="100"/>
      <c r="AN579" s="100"/>
      <c r="AO579" s="100"/>
      <c r="AP579" s="100"/>
      <c r="AQ579" s="100"/>
      <c r="AR579" s="100"/>
    </row>
    <row r="580" spans="1:44" s="281" customFormat="1" ht="12" customHeight="1">
      <c r="A580" s="100"/>
      <c r="P580" s="153"/>
      <c r="X580" s="100"/>
      <c r="Y580" s="100"/>
      <c r="Z580" s="1380"/>
      <c r="AA580" s="100"/>
      <c r="AB580" s="100"/>
      <c r="AC580" s="100"/>
      <c r="AD580" s="100"/>
      <c r="AE580" s="100"/>
      <c r="AF580" s="100"/>
      <c r="AG580" s="100"/>
      <c r="AH580" s="100"/>
      <c r="AI580" s="100"/>
      <c r="AJ580" s="100"/>
      <c r="AK580" s="100"/>
      <c r="AL580" s="100"/>
      <c r="AM580" s="100"/>
      <c r="AN580" s="100"/>
      <c r="AO580" s="100"/>
      <c r="AP580" s="100"/>
      <c r="AQ580" s="100"/>
      <c r="AR580" s="100"/>
    </row>
    <row r="581" spans="1:44" s="281" customFormat="1" ht="12" customHeight="1">
      <c r="A581" s="100"/>
      <c r="P581" s="153"/>
      <c r="X581" s="100"/>
      <c r="Y581" s="100"/>
      <c r="Z581" s="1380"/>
      <c r="AA581" s="100"/>
      <c r="AB581" s="100"/>
      <c r="AC581" s="100"/>
      <c r="AD581" s="100"/>
      <c r="AE581" s="100"/>
      <c r="AF581" s="100"/>
      <c r="AG581" s="100"/>
      <c r="AH581" s="100"/>
      <c r="AI581" s="100"/>
      <c r="AJ581" s="100"/>
      <c r="AK581" s="100"/>
      <c r="AL581" s="100"/>
      <c r="AM581" s="100"/>
      <c r="AN581" s="100"/>
      <c r="AO581" s="100"/>
      <c r="AP581" s="100"/>
      <c r="AQ581" s="100"/>
      <c r="AR581" s="100"/>
    </row>
    <row r="582" spans="1:44" s="281" customFormat="1" ht="12" customHeight="1">
      <c r="A582" s="100"/>
      <c r="P582" s="153"/>
      <c r="X582" s="100"/>
      <c r="Y582" s="100"/>
      <c r="Z582" s="1380"/>
      <c r="AA582" s="100"/>
      <c r="AB582" s="100"/>
      <c r="AC582" s="100"/>
      <c r="AD582" s="100"/>
      <c r="AE582" s="100"/>
      <c r="AF582" s="100"/>
      <c r="AG582" s="100"/>
      <c r="AH582" s="100"/>
      <c r="AI582" s="100"/>
      <c r="AJ582" s="100"/>
      <c r="AK582" s="100"/>
      <c r="AL582" s="100"/>
      <c r="AM582" s="100"/>
      <c r="AN582" s="100"/>
      <c r="AO582" s="100"/>
      <c r="AP582" s="100"/>
      <c r="AQ582" s="100"/>
      <c r="AR582" s="100"/>
    </row>
    <row r="583" spans="1:44" s="281" customFormat="1" ht="12" customHeight="1">
      <c r="A583" s="100"/>
      <c r="P583" s="153"/>
      <c r="X583" s="100"/>
      <c r="Y583" s="100"/>
      <c r="Z583" s="1380"/>
      <c r="AA583" s="100"/>
      <c r="AB583" s="100"/>
      <c r="AC583" s="100"/>
      <c r="AD583" s="100"/>
      <c r="AE583" s="100"/>
      <c r="AF583" s="100"/>
      <c r="AG583" s="100"/>
      <c r="AH583" s="100"/>
      <c r="AI583" s="100"/>
      <c r="AJ583" s="100"/>
      <c r="AK583" s="100"/>
      <c r="AL583" s="100"/>
      <c r="AM583" s="100"/>
      <c r="AN583" s="100"/>
      <c r="AO583" s="100"/>
      <c r="AP583" s="100"/>
      <c r="AQ583" s="100"/>
      <c r="AR583" s="100"/>
    </row>
    <row r="584" spans="1:44" s="281" customFormat="1" ht="12" customHeight="1">
      <c r="A584" s="100"/>
      <c r="P584" s="307"/>
      <c r="X584" s="100"/>
      <c r="Y584" s="100"/>
      <c r="Z584" s="1380"/>
      <c r="AA584" s="100"/>
      <c r="AB584" s="100"/>
      <c r="AC584" s="100"/>
      <c r="AD584" s="100"/>
      <c r="AE584" s="100"/>
      <c r="AF584" s="100"/>
      <c r="AG584" s="100"/>
      <c r="AH584" s="100"/>
      <c r="AI584" s="100"/>
      <c r="AJ584" s="100"/>
      <c r="AK584" s="100"/>
      <c r="AL584" s="100"/>
      <c r="AM584" s="100"/>
      <c r="AN584" s="100"/>
      <c r="AO584" s="100"/>
      <c r="AP584" s="100"/>
      <c r="AQ584" s="100"/>
      <c r="AR584" s="100"/>
    </row>
    <row r="585" spans="1:44" s="281" customFormat="1" ht="12" customHeight="1">
      <c r="A585" s="100"/>
      <c r="P585" s="153"/>
      <c r="X585" s="100"/>
      <c r="Y585" s="100"/>
      <c r="Z585" s="1380"/>
      <c r="AA585" s="100"/>
      <c r="AB585" s="100"/>
      <c r="AC585" s="100"/>
      <c r="AD585" s="100"/>
      <c r="AE585" s="100"/>
      <c r="AF585" s="100"/>
      <c r="AG585" s="100"/>
      <c r="AH585" s="100"/>
      <c r="AI585" s="100"/>
      <c r="AJ585" s="100"/>
      <c r="AK585" s="100"/>
      <c r="AL585" s="100"/>
      <c r="AM585" s="100"/>
      <c r="AN585" s="100"/>
      <c r="AO585" s="100"/>
      <c r="AP585" s="100"/>
      <c r="AQ585" s="100"/>
      <c r="AR585" s="100"/>
    </row>
    <row r="586" spans="1:44" s="281" customFormat="1" ht="12" customHeight="1">
      <c r="A586" s="100"/>
      <c r="P586" s="153"/>
      <c r="X586" s="100"/>
      <c r="Y586" s="100"/>
      <c r="Z586" s="1380"/>
      <c r="AA586" s="100"/>
      <c r="AB586" s="100"/>
      <c r="AC586" s="100"/>
      <c r="AD586" s="100"/>
      <c r="AE586" s="100"/>
      <c r="AF586" s="100"/>
      <c r="AG586" s="100"/>
      <c r="AH586" s="100"/>
      <c r="AI586" s="100"/>
      <c r="AJ586" s="100"/>
      <c r="AK586" s="100"/>
      <c r="AL586" s="100"/>
      <c r="AM586" s="100"/>
      <c r="AN586" s="100"/>
      <c r="AO586" s="100"/>
      <c r="AP586" s="100"/>
      <c r="AQ586" s="100"/>
      <c r="AR586" s="100"/>
    </row>
    <row r="587" spans="1:44" s="281" customFormat="1" ht="12" customHeight="1">
      <c r="A587" s="100"/>
      <c r="P587" s="153"/>
      <c r="X587" s="100"/>
      <c r="Y587" s="100"/>
      <c r="Z587" s="1380"/>
      <c r="AA587" s="100"/>
      <c r="AB587" s="100"/>
      <c r="AC587" s="100"/>
      <c r="AD587" s="100"/>
      <c r="AE587" s="100"/>
      <c r="AF587" s="100"/>
      <c r="AG587" s="100"/>
      <c r="AH587" s="100"/>
      <c r="AI587" s="100"/>
      <c r="AJ587" s="100"/>
      <c r="AK587" s="100"/>
      <c r="AL587" s="100"/>
      <c r="AM587" s="100"/>
      <c r="AN587" s="100"/>
      <c r="AO587" s="100"/>
      <c r="AP587" s="100"/>
      <c r="AQ587" s="100"/>
      <c r="AR587" s="100"/>
    </row>
    <row r="588" spans="1:44" s="281" customFormat="1" ht="12" customHeight="1">
      <c r="A588" s="100"/>
      <c r="P588" s="153"/>
      <c r="X588" s="100"/>
      <c r="Y588" s="100"/>
      <c r="Z588" s="1380"/>
      <c r="AA588" s="100"/>
      <c r="AB588" s="100"/>
      <c r="AC588" s="100"/>
      <c r="AD588" s="100"/>
      <c r="AE588" s="100"/>
      <c r="AF588" s="100"/>
      <c r="AG588" s="100"/>
      <c r="AH588" s="100"/>
      <c r="AI588" s="100"/>
      <c r="AJ588" s="100"/>
      <c r="AK588" s="100"/>
      <c r="AL588" s="100"/>
      <c r="AM588" s="100"/>
      <c r="AN588" s="100"/>
      <c r="AO588" s="100"/>
      <c r="AP588" s="100"/>
      <c r="AQ588" s="100"/>
      <c r="AR588" s="100"/>
    </row>
    <row r="589" spans="1:44" s="281" customFormat="1" ht="12" customHeight="1">
      <c r="A589" s="100"/>
      <c r="P589" s="153"/>
      <c r="X589" s="100"/>
      <c r="Y589" s="100"/>
      <c r="Z589" s="1380"/>
      <c r="AA589" s="100"/>
      <c r="AB589" s="100"/>
      <c r="AC589" s="100"/>
      <c r="AD589" s="100"/>
      <c r="AE589" s="100"/>
      <c r="AF589" s="100"/>
      <c r="AG589" s="100"/>
      <c r="AH589" s="100"/>
      <c r="AI589" s="100"/>
      <c r="AJ589" s="100"/>
      <c r="AK589" s="100"/>
      <c r="AL589" s="100"/>
      <c r="AM589" s="100"/>
      <c r="AN589" s="100"/>
      <c r="AO589" s="100"/>
      <c r="AP589" s="100"/>
      <c r="AQ589" s="100"/>
      <c r="AR589" s="100"/>
    </row>
    <row r="590" spans="1:44" s="281" customFormat="1" ht="12" customHeight="1">
      <c r="A590" s="100"/>
      <c r="P590" s="153"/>
      <c r="X590" s="100"/>
      <c r="Y590" s="100"/>
      <c r="Z590" s="1380"/>
      <c r="AA590" s="100"/>
      <c r="AB590" s="100"/>
      <c r="AC590" s="100"/>
      <c r="AD590" s="100"/>
      <c r="AE590" s="100"/>
      <c r="AF590" s="100"/>
      <c r="AG590" s="100"/>
      <c r="AH590" s="100"/>
      <c r="AI590" s="100"/>
      <c r="AJ590" s="100"/>
      <c r="AK590" s="100"/>
      <c r="AL590" s="100"/>
      <c r="AM590" s="100"/>
      <c r="AN590" s="100"/>
      <c r="AO590" s="100"/>
      <c r="AP590" s="100"/>
      <c r="AQ590" s="100"/>
      <c r="AR590" s="100"/>
    </row>
    <row r="591" spans="1:44" s="281" customFormat="1" ht="12" customHeight="1">
      <c r="A591" s="100"/>
      <c r="P591" s="153"/>
      <c r="X591" s="100"/>
      <c r="Y591" s="100"/>
      <c r="Z591" s="1380"/>
      <c r="AA591" s="100"/>
      <c r="AB591" s="100"/>
      <c r="AC591" s="100"/>
      <c r="AD591" s="100"/>
      <c r="AE591" s="100"/>
      <c r="AF591" s="100"/>
      <c r="AG591" s="100"/>
      <c r="AH591" s="100"/>
      <c r="AI591" s="100"/>
      <c r="AJ591" s="100"/>
      <c r="AK591" s="100"/>
      <c r="AL591" s="100"/>
      <c r="AM591" s="100"/>
      <c r="AN591" s="100"/>
      <c r="AO591" s="100"/>
      <c r="AP591" s="100"/>
      <c r="AQ591" s="100"/>
      <c r="AR591" s="100"/>
    </row>
    <row r="592" spans="1:44" s="281" customFormat="1" ht="12" customHeight="1">
      <c r="A592" s="100"/>
      <c r="P592" s="153"/>
      <c r="X592" s="100"/>
      <c r="Y592" s="100"/>
      <c r="Z592" s="1380"/>
      <c r="AA592" s="100"/>
      <c r="AB592" s="100"/>
      <c r="AC592" s="100"/>
      <c r="AD592" s="100"/>
      <c r="AE592" s="100"/>
      <c r="AF592" s="100"/>
      <c r="AG592" s="100"/>
      <c r="AH592" s="100"/>
      <c r="AI592" s="100"/>
      <c r="AJ592" s="100"/>
      <c r="AK592" s="100"/>
      <c r="AL592" s="100"/>
      <c r="AM592" s="100"/>
      <c r="AN592" s="100"/>
      <c r="AO592" s="100"/>
      <c r="AP592" s="100"/>
      <c r="AQ592" s="100"/>
      <c r="AR592" s="100"/>
    </row>
    <row r="593" spans="1:44" s="281" customFormat="1" ht="12" customHeight="1">
      <c r="A593" s="100"/>
      <c r="P593" s="153"/>
      <c r="X593" s="100"/>
      <c r="Y593" s="100"/>
      <c r="Z593" s="1380"/>
      <c r="AA593" s="100"/>
      <c r="AB593" s="100"/>
      <c r="AC593" s="100"/>
      <c r="AD593" s="100"/>
      <c r="AE593" s="100"/>
      <c r="AF593" s="100"/>
      <c r="AG593" s="100"/>
      <c r="AH593" s="100"/>
      <c r="AI593" s="100"/>
      <c r="AJ593" s="100"/>
      <c r="AK593" s="100"/>
      <c r="AL593" s="100"/>
      <c r="AM593" s="100"/>
      <c r="AN593" s="100"/>
      <c r="AO593" s="100"/>
      <c r="AP593" s="100"/>
      <c r="AQ593" s="100"/>
      <c r="AR593" s="100"/>
    </row>
    <row r="594" spans="1:44" s="281" customFormat="1" ht="12" customHeight="1">
      <c r="A594" s="100"/>
      <c r="P594" s="153"/>
      <c r="X594" s="100"/>
      <c r="Y594" s="100"/>
      <c r="Z594" s="1380"/>
      <c r="AA594" s="100"/>
      <c r="AB594" s="100"/>
      <c r="AC594" s="100"/>
      <c r="AD594" s="100"/>
      <c r="AE594" s="100"/>
      <c r="AF594" s="100"/>
      <c r="AG594" s="100"/>
      <c r="AH594" s="100"/>
      <c r="AI594" s="100"/>
      <c r="AJ594" s="100"/>
      <c r="AK594" s="100"/>
      <c r="AL594" s="100"/>
      <c r="AM594" s="100"/>
      <c r="AN594" s="100"/>
      <c r="AO594" s="100"/>
      <c r="AP594" s="100"/>
      <c r="AQ594" s="100"/>
      <c r="AR594" s="100"/>
    </row>
    <row r="595" spans="1:44" s="281" customFormat="1" ht="12" customHeight="1">
      <c r="A595" s="100"/>
      <c r="P595" s="153"/>
      <c r="X595" s="100"/>
      <c r="Y595" s="100"/>
      <c r="Z595" s="1380"/>
      <c r="AA595" s="100"/>
      <c r="AB595" s="100"/>
      <c r="AC595" s="100"/>
      <c r="AD595" s="100"/>
      <c r="AE595" s="100"/>
      <c r="AF595" s="100"/>
      <c r="AG595" s="100"/>
      <c r="AH595" s="100"/>
      <c r="AI595" s="100"/>
      <c r="AJ595" s="100"/>
      <c r="AK595" s="100"/>
      <c r="AL595" s="100"/>
      <c r="AM595" s="100"/>
      <c r="AN595" s="100"/>
      <c r="AO595" s="100"/>
      <c r="AP595" s="100"/>
      <c r="AQ595" s="100"/>
      <c r="AR595" s="100"/>
    </row>
    <row r="596" spans="1:44" s="281" customFormat="1" ht="12" customHeight="1">
      <c r="A596" s="100"/>
      <c r="P596" s="307"/>
      <c r="X596" s="100"/>
      <c r="Y596" s="100"/>
      <c r="Z596" s="1380"/>
      <c r="AA596" s="100"/>
      <c r="AB596" s="100"/>
      <c r="AC596" s="100"/>
      <c r="AD596" s="100"/>
      <c r="AE596" s="100"/>
      <c r="AF596" s="100"/>
      <c r="AG596" s="100"/>
      <c r="AH596" s="100"/>
      <c r="AI596" s="100"/>
      <c r="AJ596" s="100"/>
      <c r="AK596" s="100"/>
      <c r="AL596" s="100"/>
      <c r="AM596" s="100"/>
      <c r="AN596" s="100"/>
      <c r="AO596" s="100"/>
      <c r="AP596" s="100"/>
      <c r="AQ596" s="100"/>
      <c r="AR596" s="100"/>
    </row>
    <row r="597" spans="1:44" s="281" customFormat="1" ht="12" customHeight="1">
      <c r="A597" s="100"/>
      <c r="P597" s="153"/>
      <c r="X597" s="100"/>
      <c r="Y597" s="100"/>
      <c r="Z597" s="1380"/>
      <c r="AA597" s="100"/>
      <c r="AB597" s="100"/>
      <c r="AC597" s="100"/>
      <c r="AD597" s="100"/>
      <c r="AE597" s="100"/>
      <c r="AF597" s="100"/>
      <c r="AG597" s="100"/>
      <c r="AH597" s="100"/>
      <c r="AI597" s="100"/>
      <c r="AJ597" s="100"/>
      <c r="AK597" s="100"/>
      <c r="AL597" s="100"/>
      <c r="AM597" s="100"/>
      <c r="AN597" s="100"/>
      <c r="AO597" s="100"/>
      <c r="AP597" s="100"/>
      <c r="AQ597" s="100"/>
      <c r="AR597" s="100"/>
    </row>
    <row r="598" spans="1:44" s="281" customFormat="1" ht="12" customHeight="1">
      <c r="A598" s="100"/>
      <c r="P598" s="153"/>
      <c r="X598" s="100"/>
      <c r="Y598" s="100"/>
      <c r="Z598" s="1380"/>
      <c r="AA598" s="100"/>
      <c r="AB598" s="100"/>
      <c r="AC598" s="100"/>
      <c r="AD598" s="100"/>
      <c r="AE598" s="100"/>
      <c r="AF598" s="100"/>
      <c r="AG598" s="100"/>
      <c r="AH598" s="100"/>
      <c r="AI598" s="100"/>
      <c r="AJ598" s="100"/>
      <c r="AK598" s="100"/>
      <c r="AL598" s="100"/>
      <c r="AM598" s="100"/>
      <c r="AN598" s="100"/>
      <c r="AO598" s="100"/>
      <c r="AP598" s="100"/>
      <c r="AQ598" s="100"/>
      <c r="AR598" s="100"/>
    </row>
    <row r="599" spans="1:44" s="281" customFormat="1" ht="12" customHeight="1">
      <c r="A599" s="100"/>
      <c r="P599" s="153"/>
      <c r="X599" s="100"/>
      <c r="Y599" s="100"/>
      <c r="Z599" s="1380"/>
      <c r="AA599" s="100"/>
      <c r="AB599" s="100"/>
      <c r="AC599" s="100"/>
      <c r="AD599" s="100"/>
      <c r="AE599" s="100"/>
      <c r="AF599" s="100"/>
      <c r="AG599" s="100"/>
      <c r="AH599" s="100"/>
      <c r="AI599" s="100"/>
      <c r="AJ599" s="100"/>
      <c r="AK599" s="100"/>
      <c r="AL599" s="100"/>
      <c r="AM599" s="100"/>
      <c r="AN599" s="100"/>
      <c r="AO599" s="100"/>
      <c r="AP599" s="100"/>
      <c r="AQ599" s="100"/>
      <c r="AR599" s="100"/>
    </row>
    <row r="600" spans="1:44" s="281" customFormat="1" ht="12" customHeight="1">
      <c r="A600" s="100"/>
      <c r="P600" s="153"/>
      <c r="X600" s="100"/>
      <c r="Y600" s="100"/>
      <c r="Z600" s="1380"/>
      <c r="AA600" s="100"/>
      <c r="AB600" s="100"/>
      <c r="AC600" s="100"/>
      <c r="AD600" s="100"/>
      <c r="AE600" s="100"/>
      <c r="AF600" s="100"/>
      <c r="AG600" s="100"/>
      <c r="AH600" s="100"/>
      <c r="AI600" s="100"/>
      <c r="AJ600" s="100"/>
      <c r="AK600" s="100"/>
      <c r="AL600" s="100"/>
      <c r="AM600" s="100"/>
      <c r="AN600" s="100"/>
      <c r="AO600" s="100"/>
      <c r="AP600" s="100"/>
      <c r="AQ600" s="100"/>
      <c r="AR600" s="100"/>
    </row>
    <row r="601" spans="1:44" s="281" customFormat="1" ht="12" customHeight="1">
      <c r="A601" s="100"/>
      <c r="P601" s="153"/>
      <c r="X601" s="100"/>
      <c r="Y601" s="100"/>
      <c r="Z601" s="1380"/>
      <c r="AA601" s="100"/>
      <c r="AB601" s="100"/>
      <c r="AC601" s="100"/>
      <c r="AD601" s="100"/>
      <c r="AE601" s="100"/>
      <c r="AF601" s="100"/>
      <c r="AG601" s="100"/>
      <c r="AH601" s="100"/>
      <c r="AI601" s="100"/>
      <c r="AJ601" s="100"/>
      <c r="AK601" s="100"/>
      <c r="AL601" s="100"/>
      <c r="AM601" s="100"/>
      <c r="AN601" s="100"/>
      <c r="AO601" s="100"/>
      <c r="AP601" s="100"/>
      <c r="AQ601" s="100"/>
      <c r="AR601" s="100"/>
    </row>
    <row r="602" spans="1:44" s="281" customFormat="1" ht="12" customHeight="1">
      <c r="A602" s="100"/>
      <c r="P602" s="153"/>
      <c r="X602" s="100"/>
      <c r="Y602" s="100"/>
      <c r="Z602" s="1380"/>
      <c r="AA602" s="100"/>
      <c r="AB602" s="100"/>
      <c r="AC602" s="100"/>
      <c r="AD602" s="100"/>
      <c r="AE602" s="100"/>
      <c r="AF602" s="100"/>
      <c r="AG602" s="100"/>
      <c r="AH602" s="100"/>
      <c r="AI602" s="100"/>
      <c r="AJ602" s="100"/>
      <c r="AK602" s="100"/>
      <c r="AL602" s="100"/>
      <c r="AM602" s="100"/>
      <c r="AN602" s="100"/>
      <c r="AO602" s="100"/>
      <c r="AP602" s="100"/>
      <c r="AQ602" s="100"/>
      <c r="AR602" s="100"/>
    </row>
    <row r="603" spans="1:44" s="281" customFormat="1" ht="12" customHeight="1">
      <c r="A603" s="100"/>
      <c r="P603" s="153"/>
      <c r="X603" s="100"/>
      <c r="Y603" s="100"/>
      <c r="Z603" s="1380"/>
      <c r="AA603" s="100"/>
      <c r="AB603" s="100"/>
      <c r="AC603" s="100"/>
      <c r="AD603" s="100"/>
      <c r="AE603" s="100"/>
      <c r="AF603" s="100"/>
      <c r="AG603" s="100"/>
      <c r="AH603" s="100"/>
      <c r="AI603" s="100"/>
      <c r="AJ603" s="100"/>
      <c r="AK603" s="100"/>
      <c r="AL603" s="100"/>
      <c r="AM603" s="100"/>
      <c r="AN603" s="100"/>
      <c r="AO603" s="100"/>
      <c r="AP603" s="100"/>
      <c r="AQ603" s="100"/>
      <c r="AR603" s="100"/>
    </row>
    <row r="604" spans="1:44" s="281" customFormat="1" ht="12" customHeight="1">
      <c r="A604" s="100"/>
      <c r="P604" s="153"/>
      <c r="X604" s="100"/>
      <c r="Y604" s="100"/>
      <c r="Z604" s="1380"/>
      <c r="AA604" s="100"/>
      <c r="AB604" s="100"/>
      <c r="AC604" s="100"/>
      <c r="AD604" s="100"/>
      <c r="AE604" s="100"/>
      <c r="AF604" s="100"/>
      <c r="AG604" s="100"/>
      <c r="AH604" s="100"/>
      <c r="AI604" s="100"/>
      <c r="AJ604" s="100"/>
      <c r="AK604" s="100"/>
      <c r="AL604" s="100"/>
      <c r="AM604" s="100"/>
      <c r="AN604" s="100"/>
      <c r="AO604" s="100"/>
      <c r="AP604" s="100"/>
      <c r="AQ604" s="100"/>
      <c r="AR604" s="100"/>
    </row>
    <row r="605" spans="1:44" s="281" customFormat="1" ht="12" customHeight="1">
      <c r="A605" s="100"/>
      <c r="P605" s="153"/>
      <c r="X605" s="100"/>
      <c r="Y605" s="100"/>
      <c r="Z605" s="1380"/>
      <c r="AA605" s="100"/>
      <c r="AB605" s="100"/>
      <c r="AC605" s="100"/>
      <c r="AD605" s="100"/>
      <c r="AE605" s="100"/>
      <c r="AF605" s="100"/>
      <c r="AG605" s="100"/>
      <c r="AH605" s="100"/>
      <c r="AI605" s="100"/>
      <c r="AJ605" s="100"/>
      <c r="AK605" s="100"/>
      <c r="AL605" s="100"/>
      <c r="AM605" s="100"/>
      <c r="AN605" s="100"/>
      <c r="AO605" s="100"/>
      <c r="AP605" s="100"/>
      <c r="AQ605" s="100"/>
      <c r="AR605" s="100"/>
    </row>
    <row r="606" spans="1:44" s="281" customFormat="1" ht="12" customHeight="1">
      <c r="A606" s="100"/>
      <c r="P606" s="307"/>
      <c r="X606" s="100"/>
      <c r="Y606" s="100"/>
      <c r="Z606" s="1380"/>
      <c r="AA606" s="100"/>
      <c r="AB606" s="100"/>
      <c r="AC606" s="100"/>
      <c r="AD606" s="100"/>
      <c r="AE606" s="100"/>
      <c r="AF606" s="100"/>
      <c r="AG606" s="100"/>
      <c r="AH606" s="100"/>
      <c r="AI606" s="100"/>
      <c r="AJ606" s="100"/>
      <c r="AK606" s="100"/>
      <c r="AL606" s="100"/>
      <c r="AM606" s="100"/>
      <c r="AN606" s="100"/>
      <c r="AO606" s="100"/>
      <c r="AP606" s="100"/>
      <c r="AQ606" s="100"/>
      <c r="AR606" s="100"/>
    </row>
    <row r="607" spans="1:44" s="281" customFormat="1" ht="12" customHeight="1">
      <c r="A607" s="100"/>
      <c r="P607" s="153"/>
      <c r="X607" s="100"/>
      <c r="Y607" s="100"/>
      <c r="Z607" s="1380"/>
      <c r="AA607" s="100"/>
      <c r="AB607" s="100"/>
      <c r="AC607" s="100"/>
      <c r="AD607" s="100"/>
      <c r="AE607" s="100"/>
      <c r="AF607" s="100"/>
      <c r="AG607" s="100"/>
      <c r="AH607" s="100"/>
      <c r="AI607" s="100"/>
      <c r="AJ607" s="100"/>
      <c r="AK607" s="100"/>
      <c r="AL607" s="100"/>
      <c r="AM607" s="100"/>
      <c r="AN607" s="100"/>
      <c r="AO607" s="100"/>
      <c r="AP607" s="100"/>
      <c r="AQ607" s="100"/>
      <c r="AR607" s="100"/>
    </row>
    <row r="608" spans="1:44" s="281" customFormat="1" ht="12" customHeight="1">
      <c r="A608" s="100"/>
      <c r="P608" s="153"/>
      <c r="X608" s="100"/>
      <c r="Y608" s="100"/>
      <c r="Z608" s="1380"/>
      <c r="AA608" s="100"/>
      <c r="AB608" s="100"/>
      <c r="AC608" s="100"/>
      <c r="AD608" s="100"/>
      <c r="AE608" s="100"/>
      <c r="AF608" s="100"/>
      <c r="AG608" s="100"/>
      <c r="AH608" s="100"/>
      <c r="AI608" s="100"/>
      <c r="AJ608" s="100"/>
      <c r="AK608" s="100"/>
      <c r="AL608" s="100"/>
      <c r="AM608" s="100"/>
      <c r="AN608" s="100"/>
      <c r="AO608" s="100"/>
      <c r="AP608" s="100"/>
      <c r="AQ608" s="100"/>
      <c r="AR608" s="100"/>
    </row>
    <row r="609" spans="1:44" s="281" customFormat="1" ht="12" customHeight="1">
      <c r="A609" s="100"/>
      <c r="P609" s="153"/>
      <c r="X609" s="100"/>
      <c r="Y609" s="100"/>
      <c r="Z609" s="1380"/>
      <c r="AA609" s="100"/>
      <c r="AB609" s="100"/>
      <c r="AC609" s="100"/>
      <c r="AD609" s="100"/>
      <c r="AE609" s="100"/>
      <c r="AF609" s="100"/>
      <c r="AG609" s="100"/>
      <c r="AH609" s="100"/>
      <c r="AI609" s="100"/>
      <c r="AJ609" s="100"/>
      <c r="AK609" s="100"/>
      <c r="AL609" s="100"/>
      <c r="AM609" s="100"/>
      <c r="AN609" s="100"/>
      <c r="AO609" s="100"/>
      <c r="AP609" s="100"/>
      <c r="AQ609" s="100"/>
      <c r="AR609" s="100"/>
    </row>
    <row r="610" spans="1:44" s="281" customFormat="1" ht="12" customHeight="1">
      <c r="A610" s="100"/>
      <c r="P610" s="153"/>
      <c r="X610" s="100"/>
      <c r="Y610" s="100"/>
      <c r="Z610" s="1380"/>
      <c r="AA610" s="100"/>
      <c r="AB610" s="100"/>
      <c r="AC610" s="100"/>
      <c r="AD610" s="100"/>
      <c r="AE610" s="100"/>
      <c r="AF610" s="100"/>
      <c r="AG610" s="100"/>
      <c r="AH610" s="100"/>
      <c r="AI610" s="100"/>
      <c r="AJ610" s="100"/>
      <c r="AK610" s="100"/>
      <c r="AL610" s="100"/>
      <c r="AM610" s="100"/>
      <c r="AN610" s="100"/>
      <c r="AO610" s="100"/>
      <c r="AP610" s="100"/>
      <c r="AQ610" s="100"/>
      <c r="AR610" s="100"/>
    </row>
    <row r="611" spans="1:44" s="281" customFormat="1" ht="12" customHeight="1">
      <c r="A611" s="100"/>
      <c r="P611" s="153"/>
      <c r="X611" s="100"/>
      <c r="Y611" s="100"/>
      <c r="Z611" s="1380"/>
      <c r="AA611" s="100"/>
      <c r="AB611" s="100"/>
      <c r="AC611" s="100"/>
      <c r="AD611" s="100"/>
      <c r="AE611" s="100"/>
      <c r="AF611" s="100"/>
      <c r="AG611" s="100"/>
      <c r="AH611" s="100"/>
      <c r="AI611" s="100"/>
      <c r="AJ611" s="100"/>
      <c r="AK611" s="100"/>
      <c r="AL611" s="100"/>
      <c r="AM611" s="100"/>
      <c r="AN611" s="100"/>
      <c r="AO611" s="100"/>
      <c r="AP611" s="100"/>
      <c r="AQ611" s="100"/>
      <c r="AR611" s="100"/>
    </row>
    <row r="612" spans="1:44" s="281" customFormat="1" ht="12" customHeight="1">
      <c r="A612" s="100"/>
      <c r="P612" s="307"/>
      <c r="X612" s="100"/>
      <c r="Y612" s="100"/>
      <c r="Z612" s="1380"/>
      <c r="AA612" s="100"/>
      <c r="AB612" s="100"/>
      <c r="AC612" s="100"/>
      <c r="AD612" s="100"/>
      <c r="AE612" s="100"/>
      <c r="AF612" s="100"/>
      <c r="AG612" s="100"/>
      <c r="AH612" s="100"/>
      <c r="AI612" s="100"/>
      <c r="AJ612" s="100"/>
      <c r="AK612" s="100"/>
      <c r="AL612" s="100"/>
      <c r="AM612" s="100"/>
      <c r="AN612" s="100"/>
      <c r="AO612" s="100"/>
      <c r="AP612" s="100"/>
      <c r="AQ612" s="100"/>
      <c r="AR612" s="100"/>
    </row>
    <row r="613" spans="1:44" s="281" customFormat="1" ht="12" customHeight="1">
      <c r="A613" s="100"/>
      <c r="P613" s="153"/>
      <c r="X613" s="100"/>
      <c r="Y613" s="100"/>
      <c r="Z613" s="1380"/>
      <c r="AA613" s="100"/>
      <c r="AB613" s="100"/>
      <c r="AC613" s="100"/>
      <c r="AD613" s="100"/>
      <c r="AE613" s="100"/>
      <c r="AF613" s="100"/>
      <c r="AG613" s="100"/>
      <c r="AH613" s="100"/>
      <c r="AI613" s="100"/>
      <c r="AJ613" s="100"/>
      <c r="AK613" s="100"/>
      <c r="AL613" s="100"/>
      <c r="AM613" s="100"/>
      <c r="AN613" s="100"/>
      <c r="AO613" s="100"/>
      <c r="AP613" s="100"/>
      <c r="AQ613" s="100"/>
      <c r="AR613" s="100"/>
    </row>
    <row r="614" spans="1:44" s="281" customFormat="1" ht="12" customHeight="1">
      <c r="A614" s="100"/>
      <c r="P614" s="153"/>
      <c r="X614" s="100"/>
      <c r="Y614" s="100"/>
      <c r="Z614" s="1380"/>
      <c r="AA614" s="100"/>
      <c r="AB614" s="100"/>
      <c r="AC614" s="100"/>
      <c r="AD614" s="100"/>
      <c r="AE614" s="100"/>
      <c r="AF614" s="100"/>
      <c r="AG614" s="100"/>
      <c r="AH614" s="100"/>
      <c r="AI614" s="100"/>
      <c r="AJ614" s="100"/>
      <c r="AK614" s="100"/>
      <c r="AL614" s="100"/>
      <c r="AM614" s="100"/>
      <c r="AN614" s="100"/>
      <c r="AO614" s="100"/>
      <c r="AP614" s="100"/>
      <c r="AQ614" s="100"/>
      <c r="AR614" s="100"/>
    </row>
    <row r="615" spans="1:44" s="281" customFormat="1" ht="12" customHeight="1">
      <c r="A615" s="100"/>
      <c r="P615" s="307"/>
      <c r="X615" s="100"/>
      <c r="Y615" s="100"/>
      <c r="Z615" s="1380"/>
      <c r="AA615" s="100"/>
      <c r="AB615" s="100"/>
      <c r="AC615" s="100"/>
      <c r="AD615" s="100"/>
      <c r="AE615" s="100"/>
      <c r="AF615" s="100"/>
      <c r="AG615" s="100"/>
      <c r="AH615" s="100"/>
      <c r="AI615" s="100"/>
      <c r="AJ615" s="100"/>
      <c r="AK615" s="100"/>
      <c r="AL615" s="100"/>
      <c r="AM615" s="100"/>
      <c r="AN615" s="100"/>
      <c r="AO615" s="100"/>
      <c r="AP615" s="100"/>
      <c r="AQ615" s="100"/>
      <c r="AR615" s="100"/>
    </row>
    <row r="616" spans="1:44" s="281" customFormat="1" ht="12" customHeight="1">
      <c r="A616" s="100"/>
      <c r="P616" s="153"/>
      <c r="X616" s="100"/>
      <c r="Y616" s="100"/>
      <c r="Z616" s="1380"/>
      <c r="AA616" s="100"/>
      <c r="AB616" s="100"/>
      <c r="AC616" s="100"/>
      <c r="AD616" s="100"/>
      <c r="AE616" s="100"/>
      <c r="AF616" s="100"/>
      <c r="AG616" s="100"/>
      <c r="AH616" s="100"/>
      <c r="AI616" s="100"/>
      <c r="AJ616" s="100"/>
      <c r="AK616" s="100"/>
      <c r="AL616" s="100"/>
      <c r="AM616" s="100"/>
      <c r="AN616" s="100"/>
      <c r="AO616" s="100"/>
      <c r="AP616" s="100"/>
      <c r="AQ616" s="100"/>
      <c r="AR616" s="100"/>
    </row>
    <row r="617" spans="1:44" s="281" customFormat="1" ht="12" customHeight="1">
      <c r="A617" s="100"/>
      <c r="P617" s="153"/>
      <c r="X617" s="100"/>
      <c r="Y617" s="100"/>
      <c r="Z617" s="1380"/>
      <c r="AA617" s="100"/>
      <c r="AB617" s="100"/>
      <c r="AC617" s="100"/>
      <c r="AD617" s="100"/>
      <c r="AE617" s="100"/>
      <c r="AF617" s="100"/>
      <c r="AG617" s="100"/>
      <c r="AH617" s="100"/>
      <c r="AI617" s="100"/>
      <c r="AJ617" s="100"/>
      <c r="AK617" s="100"/>
      <c r="AL617" s="100"/>
      <c r="AM617" s="100"/>
      <c r="AN617" s="100"/>
      <c r="AO617" s="100"/>
      <c r="AP617" s="100"/>
      <c r="AQ617" s="100"/>
      <c r="AR617" s="100"/>
    </row>
    <row r="618" spans="1:44" s="281" customFormat="1" ht="12" customHeight="1">
      <c r="A618" s="100"/>
      <c r="P618" s="153"/>
      <c r="X618" s="100"/>
      <c r="Y618" s="100"/>
      <c r="Z618" s="1380"/>
      <c r="AA618" s="100"/>
      <c r="AB618" s="100"/>
      <c r="AC618" s="100"/>
      <c r="AD618" s="100"/>
      <c r="AE618" s="100"/>
      <c r="AF618" s="100"/>
      <c r="AG618" s="100"/>
      <c r="AH618" s="100"/>
      <c r="AI618" s="100"/>
      <c r="AJ618" s="100"/>
      <c r="AK618" s="100"/>
      <c r="AL618" s="100"/>
      <c r="AM618" s="100"/>
      <c r="AN618" s="100"/>
      <c r="AO618" s="100"/>
      <c r="AP618" s="100"/>
      <c r="AQ618" s="100"/>
      <c r="AR618" s="100"/>
    </row>
    <row r="619" spans="1:44" s="281" customFormat="1" ht="12" customHeight="1">
      <c r="A619" s="100"/>
      <c r="P619" s="153"/>
      <c r="X619" s="100"/>
      <c r="Y619" s="100"/>
      <c r="Z619" s="1380"/>
      <c r="AA619" s="100"/>
      <c r="AB619" s="100"/>
      <c r="AC619" s="100"/>
      <c r="AD619" s="100"/>
      <c r="AE619" s="100"/>
      <c r="AF619" s="100"/>
      <c r="AG619" s="100"/>
      <c r="AH619" s="100"/>
      <c r="AI619" s="100"/>
      <c r="AJ619" s="100"/>
      <c r="AK619" s="100"/>
      <c r="AL619" s="100"/>
      <c r="AM619" s="100"/>
      <c r="AN619" s="100"/>
      <c r="AO619" s="100"/>
      <c r="AP619" s="100"/>
      <c r="AQ619" s="100"/>
      <c r="AR619" s="100"/>
    </row>
    <row r="620" spans="1:44" s="281" customFormat="1" ht="12" customHeight="1">
      <c r="A620" s="100"/>
      <c r="P620" s="153"/>
      <c r="X620" s="100"/>
      <c r="Y620" s="100"/>
      <c r="Z620" s="1380"/>
      <c r="AA620" s="100"/>
      <c r="AB620" s="100"/>
      <c r="AC620" s="100"/>
      <c r="AD620" s="100"/>
      <c r="AE620" s="100"/>
      <c r="AF620" s="100"/>
      <c r="AG620" s="100"/>
      <c r="AH620" s="100"/>
      <c r="AI620" s="100"/>
      <c r="AJ620" s="100"/>
      <c r="AK620" s="100"/>
      <c r="AL620" s="100"/>
      <c r="AM620" s="100"/>
      <c r="AN620" s="100"/>
      <c r="AO620" s="100"/>
      <c r="AP620" s="100"/>
      <c r="AQ620" s="100"/>
      <c r="AR620" s="100"/>
    </row>
    <row r="621" spans="1:44" s="281" customFormat="1" ht="12" customHeight="1">
      <c r="A621" s="100"/>
      <c r="P621" s="153"/>
      <c r="X621" s="100"/>
      <c r="Y621" s="100"/>
      <c r="Z621" s="1380"/>
      <c r="AA621" s="100"/>
      <c r="AB621" s="100"/>
      <c r="AC621" s="100"/>
      <c r="AD621" s="100"/>
      <c r="AE621" s="100"/>
      <c r="AF621" s="100"/>
      <c r="AG621" s="100"/>
      <c r="AH621" s="100"/>
      <c r="AI621" s="100"/>
      <c r="AJ621" s="100"/>
      <c r="AK621" s="100"/>
      <c r="AL621" s="100"/>
      <c r="AM621" s="100"/>
      <c r="AN621" s="100"/>
      <c r="AO621" s="100"/>
      <c r="AP621" s="100"/>
      <c r="AQ621" s="100"/>
      <c r="AR621" s="100"/>
    </row>
    <row r="622" spans="1:44" s="281" customFormat="1" ht="12" customHeight="1">
      <c r="A622" s="100"/>
      <c r="P622" s="153"/>
      <c r="X622" s="100"/>
      <c r="Y622" s="100"/>
      <c r="Z622" s="1380"/>
      <c r="AA622" s="100"/>
      <c r="AB622" s="100"/>
      <c r="AC622" s="100"/>
      <c r="AD622" s="100"/>
      <c r="AE622" s="100"/>
      <c r="AF622" s="100"/>
      <c r="AG622" s="100"/>
      <c r="AH622" s="100"/>
      <c r="AI622" s="100"/>
      <c r="AJ622" s="100"/>
      <c r="AK622" s="100"/>
      <c r="AL622" s="100"/>
      <c r="AM622" s="100"/>
      <c r="AN622" s="100"/>
      <c r="AO622" s="100"/>
      <c r="AP622" s="100"/>
      <c r="AQ622" s="100"/>
      <c r="AR622" s="100"/>
    </row>
    <row r="623" spans="1:44" s="281" customFormat="1" ht="12" customHeight="1">
      <c r="A623" s="100"/>
      <c r="P623" s="153"/>
      <c r="X623" s="100"/>
      <c r="Y623" s="100"/>
      <c r="Z623" s="1380"/>
      <c r="AA623" s="100"/>
      <c r="AB623" s="100"/>
      <c r="AC623" s="100"/>
      <c r="AD623" s="100"/>
      <c r="AE623" s="100"/>
      <c r="AF623" s="100"/>
      <c r="AG623" s="100"/>
      <c r="AH623" s="100"/>
      <c r="AI623" s="100"/>
      <c r="AJ623" s="100"/>
      <c r="AK623" s="100"/>
      <c r="AL623" s="100"/>
      <c r="AM623" s="100"/>
      <c r="AN623" s="100"/>
      <c r="AO623" s="100"/>
      <c r="AP623" s="100"/>
      <c r="AQ623" s="100"/>
      <c r="AR623" s="100"/>
    </row>
    <row r="624" spans="1:44" s="281" customFormat="1" ht="12" customHeight="1">
      <c r="A624" s="100"/>
      <c r="P624" s="153"/>
      <c r="X624" s="100"/>
      <c r="Y624" s="100"/>
      <c r="Z624" s="1380"/>
      <c r="AA624" s="100"/>
      <c r="AB624" s="100"/>
      <c r="AC624" s="100"/>
      <c r="AD624" s="100"/>
      <c r="AE624" s="100"/>
      <c r="AF624" s="100"/>
      <c r="AG624" s="100"/>
      <c r="AH624" s="100"/>
      <c r="AI624" s="100"/>
      <c r="AJ624" s="100"/>
      <c r="AK624" s="100"/>
      <c r="AL624" s="100"/>
      <c r="AM624" s="100"/>
      <c r="AN624" s="100"/>
      <c r="AO624" s="100"/>
      <c r="AP624" s="100"/>
      <c r="AQ624" s="100"/>
      <c r="AR624" s="100"/>
    </row>
    <row r="625" spans="1:44" s="281" customFormat="1" ht="12" customHeight="1">
      <c r="A625" s="100"/>
      <c r="P625" s="153"/>
      <c r="X625" s="100"/>
      <c r="Y625" s="100"/>
      <c r="Z625" s="1380"/>
      <c r="AA625" s="100"/>
      <c r="AB625" s="100"/>
      <c r="AC625" s="100"/>
      <c r="AD625" s="100"/>
      <c r="AE625" s="100"/>
      <c r="AF625" s="100"/>
      <c r="AG625" s="100"/>
      <c r="AH625" s="100"/>
      <c r="AI625" s="100"/>
      <c r="AJ625" s="100"/>
      <c r="AK625" s="100"/>
      <c r="AL625" s="100"/>
      <c r="AM625" s="100"/>
      <c r="AN625" s="100"/>
      <c r="AO625" s="100"/>
      <c r="AP625" s="100"/>
      <c r="AQ625" s="100"/>
      <c r="AR625" s="100"/>
    </row>
    <row r="626" spans="1:44" s="281" customFormat="1" ht="12" customHeight="1">
      <c r="A626" s="100"/>
      <c r="P626" s="153"/>
      <c r="X626" s="100"/>
      <c r="Y626" s="100"/>
      <c r="Z626" s="1380"/>
      <c r="AA626" s="100"/>
      <c r="AB626" s="100"/>
      <c r="AC626" s="100"/>
      <c r="AD626" s="100"/>
      <c r="AE626" s="100"/>
      <c r="AF626" s="100"/>
      <c r="AG626" s="100"/>
      <c r="AH626" s="100"/>
      <c r="AI626" s="100"/>
      <c r="AJ626" s="100"/>
      <c r="AK626" s="100"/>
      <c r="AL626" s="100"/>
      <c r="AM626" s="100"/>
      <c r="AN626" s="100"/>
      <c r="AO626" s="100"/>
      <c r="AP626" s="100"/>
      <c r="AQ626" s="100"/>
      <c r="AR626" s="100"/>
    </row>
    <row r="627" spans="1:44" s="281" customFormat="1" ht="12" customHeight="1">
      <c r="A627" s="100"/>
      <c r="P627" s="153"/>
      <c r="X627" s="100"/>
      <c r="Y627" s="100"/>
      <c r="Z627" s="1380"/>
      <c r="AA627" s="100"/>
      <c r="AB627" s="100"/>
      <c r="AC627" s="100"/>
      <c r="AD627" s="100"/>
      <c r="AE627" s="100"/>
      <c r="AF627" s="100"/>
      <c r="AG627" s="100"/>
      <c r="AH627" s="100"/>
      <c r="AI627" s="100"/>
      <c r="AJ627" s="100"/>
      <c r="AK627" s="100"/>
      <c r="AL627" s="100"/>
      <c r="AM627" s="100"/>
      <c r="AN627" s="100"/>
      <c r="AO627" s="100"/>
      <c r="AP627" s="100"/>
      <c r="AQ627" s="100"/>
      <c r="AR627" s="100"/>
    </row>
    <row r="628" spans="1:44" s="281" customFormat="1" ht="12" customHeight="1">
      <c r="A628" s="100"/>
      <c r="P628" s="153"/>
      <c r="X628" s="100"/>
      <c r="Y628" s="100"/>
      <c r="Z628" s="1380"/>
      <c r="AA628" s="100"/>
      <c r="AB628" s="100"/>
      <c r="AC628" s="100"/>
      <c r="AD628" s="100"/>
      <c r="AE628" s="100"/>
      <c r="AF628" s="100"/>
      <c r="AG628" s="100"/>
      <c r="AH628" s="100"/>
      <c r="AI628" s="100"/>
      <c r="AJ628" s="100"/>
      <c r="AK628" s="100"/>
      <c r="AL628" s="100"/>
      <c r="AM628" s="100"/>
      <c r="AN628" s="100"/>
      <c r="AO628" s="100"/>
      <c r="AP628" s="100"/>
      <c r="AQ628" s="100"/>
      <c r="AR628" s="100"/>
    </row>
    <row r="629" spans="1:44" s="281" customFormat="1" ht="12" customHeight="1">
      <c r="A629" s="100"/>
      <c r="P629" s="153"/>
      <c r="X629" s="100"/>
      <c r="Y629" s="100"/>
      <c r="Z629" s="1380"/>
      <c r="AA629" s="100"/>
      <c r="AB629" s="100"/>
      <c r="AC629" s="100"/>
      <c r="AD629" s="100"/>
      <c r="AE629" s="100"/>
      <c r="AF629" s="100"/>
      <c r="AG629" s="100"/>
      <c r="AH629" s="100"/>
      <c r="AI629" s="100"/>
      <c r="AJ629" s="100"/>
      <c r="AK629" s="100"/>
      <c r="AL629" s="100"/>
      <c r="AM629" s="100"/>
      <c r="AN629" s="100"/>
      <c r="AO629" s="100"/>
      <c r="AP629" s="100"/>
      <c r="AQ629" s="100"/>
      <c r="AR629" s="100"/>
    </row>
    <row r="630" spans="1:44" s="281" customFormat="1" ht="12" customHeight="1">
      <c r="A630" s="100"/>
      <c r="P630" s="153"/>
      <c r="X630" s="100"/>
      <c r="Y630" s="100"/>
      <c r="Z630" s="1380"/>
      <c r="AA630" s="100"/>
      <c r="AB630" s="100"/>
      <c r="AC630" s="100"/>
      <c r="AD630" s="100"/>
      <c r="AE630" s="100"/>
      <c r="AF630" s="100"/>
      <c r="AG630" s="100"/>
      <c r="AH630" s="100"/>
      <c r="AI630" s="100"/>
      <c r="AJ630" s="100"/>
      <c r="AK630" s="100"/>
      <c r="AL630" s="100"/>
      <c r="AM630" s="100"/>
      <c r="AN630" s="100"/>
      <c r="AO630" s="100"/>
      <c r="AP630" s="100"/>
      <c r="AQ630" s="100"/>
      <c r="AR630" s="100"/>
    </row>
    <row r="631" spans="1:44" s="281" customFormat="1" ht="12" customHeight="1">
      <c r="A631" s="100"/>
      <c r="P631" s="307"/>
      <c r="X631" s="100"/>
      <c r="Y631" s="100"/>
      <c r="Z631" s="1380"/>
      <c r="AA631" s="100"/>
      <c r="AB631" s="100"/>
      <c r="AC631" s="100"/>
      <c r="AD631" s="100"/>
      <c r="AE631" s="100"/>
      <c r="AF631" s="100"/>
      <c r="AG631" s="100"/>
      <c r="AH631" s="100"/>
      <c r="AI631" s="100"/>
      <c r="AJ631" s="100"/>
      <c r="AK631" s="100"/>
      <c r="AL631" s="100"/>
      <c r="AM631" s="100"/>
      <c r="AN631" s="100"/>
      <c r="AO631" s="100"/>
      <c r="AP631" s="100"/>
      <c r="AQ631" s="100"/>
      <c r="AR631" s="100"/>
    </row>
    <row r="632" spans="1:44" s="281" customFormat="1" ht="12" customHeight="1">
      <c r="A632" s="100"/>
      <c r="P632" s="153"/>
      <c r="X632" s="100"/>
      <c r="Y632" s="100"/>
      <c r="Z632" s="1380"/>
      <c r="AA632" s="100"/>
      <c r="AB632" s="100"/>
      <c r="AC632" s="100"/>
      <c r="AD632" s="100"/>
      <c r="AE632" s="100"/>
      <c r="AF632" s="100"/>
      <c r="AG632" s="100"/>
      <c r="AH632" s="100"/>
      <c r="AI632" s="100"/>
      <c r="AJ632" s="100"/>
      <c r="AK632" s="100"/>
      <c r="AL632" s="100"/>
      <c r="AM632" s="100"/>
      <c r="AN632" s="100"/>
      <c r="AO632" s="100"/>
      <c r="AP632" s="100"/>
      <c r="AQ632" s="100"/>
      <c r="AR632" s="100"/>
    </row>
    <row r="633" spans="1:44" s="281" customFormat="1" ht="12" customHeight="1">
      <c r="A633" s="100"/>
      <c r="P633" s="153"/>
      <c r="X633" s="100"/>
      <c r="Y633" s="100"/>
      <c r="Z633" s="1380"/>
      <c r="AA633" s="100"/>
      <c r="AB633" s="100"/>
      <c r="AC633" s="100"/>
      <c r="AD633" s="100"/>
      <c r="AE633" s="100"/>
      <c r="AF633" s="100"/>
      <c r="AG633" s="100"/>
      <c r="AH633" s="100"/>
      <c r="AI633" s="100"/>
      <c r="AJ633" s="100"/>
      <c r="AK633" s="100"/>
      <c r="AL633" s="100"/>
      <c r="AM633" s="100"/>
      <c r="AN633" s="100"/>
      <c r="AO633" s="100"/>
      <c r="AP633" s="100"/>
      <c r="AQ633" s="100"/>
      <c r="AR633" s="100"/>
    </row>
    <row r="634" spans="1:44" s="281" customFormat="1" ht="12" customHeight="1">
      <c r="A634" s="100"/>
      <c r="P634" s="153"/>
      <c r="X634" s="100"/>
      <c r="Y634" s="100"/>
      <c r="Z634" s="1380"/>
      <c r="AA634" s="100"/>
      <c r="AB634" s="100"/>
      <c r="AC634" s="100"/>
      <c r="AD634" s="100"/>
      <c r="AE634" s="100"/>
      <c r="AF634" s="100"/>
      <c r="AG634" s="100"/>
      <c r="AH634" s="100"/>
      <c r="AI634" s="100"/>
      <c r="AJ634" s="100"/>
      <c r="AK634" s="100"/>
      <c r="AL634" s="100"/>
      <c r="AM634" s="100"/>
      <c r="AN634" s="100"/>
      <c r="AO634" s="100"/>
      <c r="AP634" s="100"/>
      <c r="AQ634" s="100"/>
      <c r="AR634" s="100"/>
    </row>
    <row r="635" spans="1:44" s="281" customFormat="1" ht="12" customHeight="1">
      <c r="A635" s="100"/>
      <c r="P635" s="307"/>
      <c r="X635" s="100"/>
      <c r="Y635" s="100"/>
      <c r="Z635" s="1380"/>
      <c r="AA635" s="100"/>
      <c r="AB635" s="100"/>
      <c r="AC635" s="100"/>
      <c r="AD635" s="100"/>
      <c r="AE635" s="100"/>
      <c r="AF635" s="100"/>
      <c r="AG635" s="100"/>
      <c r="AH635" s="100"/>
      <c r="AI635" s="100"/>
      <c r="AJ635" s="100"/>
      <c r="AK635" s="100"/>
      <c r="AL635" s="100"/>
      <c r="AM635" s="100"/>
      <c r="AN635" s="100"/>
      <c r="AO635" s="100"/>
      <c r="AP635" s="100"/>
      <c r="AQ635" s="100"/>
      <c r="AR635" s="100"/>
    </row>
    <row r="636" spans="1:44" s="281" customFormat="1" ht="12" customHeight="1">
      <c r="A636" s="100"/>
      <c r="P636" s="153"/>
      <c r="X636" s="100"/>
      <c r="Y636" s="100"/>
      <c r="Z636" s="1380"/>
      <c r="AA636" s="100"/>
      <c r="AB636" s="100"/>
      <c r="AC636" s="100"/>
      <c r="AD636" s="100"/>
      <c r="AE636" s="100"/>
      <c r="AF636" s="100"/>
      <c r="AG636" s="100"/>
      <c r="AH636" s="100"/>
      <c r="AI636" s="100"/>
      <c r="AJ636" s="100"/>
      <c r="AK636" s="100"/>
      <c r="AL636" s="100"/>
      <c r="AM636" s="100"/>
      <c r="AN636" s="100"/>
      <c r="AO636" s="100"/>
      <c r="AP636" s="100"/>
      <c r="AQ636" s="100"/>
      <c r="AR636" s="100"/>
    </row>
    <row r="637" spans="1:44" s="281" customFormat="1" ht="12" customHeight="1">
      <c r="A637" s="100"/>
      <c r="P637" s="153"/>
      <c r="X637" s="100"/>
      <c r="Y637" s="100"/>
      <c r="Z637" s="1380"/>
      <c r="AA637" s="100"/>
      <c r="AB637" s="100"/>
      <c r="AC637" s="100"/>
      <c r="AD637" s="100"/>
      <c r="AE637" s="100"/>
      <c r="AF637" s="100"/>
      <c r="AG637" s="100"/>
      <c r="AH637" s="100"/>
      <c r="AI637" s="100"/>
      <c r="AJ637" s="100"/>
      <c r="AK637" s="100"/>
      <c r="AL637" s="100"/>
      <c r="AM637" s="100"/>
      <c r="AN637" s="100"/>
      <c r="AO637" s="100"/>
      <c r="AP637" s="100"/>
      <c r="AQ637" s="100"/>
      <c r="AR637" s="100"/>
    </row>
    <row r="638" spans="1:44" s="281" customFormat="1" ht="12" customHeight="1">
      <c r="A638" s="100"/>
      <c r="P638" s="153"/>
      <c r="X638" s="100"/>
      <c r="Y638" s="100"/>
      <c r="Z638" s="1380"/>
      <c r="AA638" s="100"/>
      <c r="AB638" s="100"/>
      <c r="AC638" s="100"/>
      <c r="AD638" s="100"/>
      <c r="AE638" s="100"/>
      <c r="AF638" s="100"/>
      <c r="AG638" s="100"/>
      <c r="AH638" s="100"/>
      <c r="AI638" s="100"/>
      <c r="AJ638" s="100"/>
      <c r="AK638" s="100"/>
      <c r="AL638" s="100"/>
      <c r="AM638" s="100"/>
      <c r="AN638" s="100"/>
      <c r="AO638" s="100"/>
      <c r="AP638" s="100"/>
      <c r="AQ638" s="100"/>
      <c r="AR638" s="100"/>
    </row>
    <row r="639" spans="1:44" s="281" customFormat="1" ht="12" customHeight="1">
      <c r="A639" s="100"/>
      <c r="P639" s="307"/>
      <c r="X639" s="100"/>
      <c r="Y639" s="100"/>
      <c r="Z639" s="1380"/>
      <c r="AA639" s="100"/>
      <c r="AB639" s="100"/>
      <c r="AC639" s="100"/>
      <c r="AD639" s="100"/>
      <c r="AE639" s="100"/>
      <c r="AF639" s="100"/>
      <c r="AG639" s="100"/>
      <c r="AH639" s="100"/>
      <c r="AI639" s="100"/>
      <c r="AJ639" s="100"/>
      <c r="AK639" s="100"/>
      <c r="AL639" s="100"/>
      <c r="AM639" s="100"/>
      <c r="AN639" s="100"/>
      <c r="AO639" s="100"/>
      <c r="AP639" s="100"/>
      <c r="AQ639" s="100"/>
      <c r="AR639" s="100"/>
    </row>
    <row r="640" spans="1:44" s="281" customFormat="1" ht="12" customHeight="1">
      <c r="A640" s="100"/>
      <c r="P640" s="153"/>
      <c r="X640" s="100"/>
      <c r="Y640" s="100"/>
      <c r="Z640" s="1380"/>
      <c r="AA640" s="100"/>
      <c r="AB640" s="100"/>
      <c r="AC640" s="100"/>
      <c r="AD640" s="100"/>
      <c r="AE640" s="100"/>
      <c r="AF640" s="100"/>
      <c r="AG640" s="100"/>
      <c r="AH640" s="100"/>
      <c r="AI640" s="100"/>
      <c r="AJ640" s="100"/>
      <c r="AK640" s="100"/>
      <c r="AL640" s="100"/>
      <c r="AM640" s="100"/>
      <c r="AN640" s="100"/>
      <c r="AO640" s="100"/>
      <c r="AP640" s="100"/>
      <c r="AQ640" s="100"/>
      <c r="AR640" s="100"/>
    </row>
    <row r="641" spans="1:44" s="281" customFormat="1" ht="12" customHeight="1">
      <c r="A641" s="100"/>
      <c r="P641" s="153"/>
      <c r="X641" s="100"/>
      <c r="Y641" s="100"/>
      <c r="Z641" s="1380"/>
      <c r="AA641" s="100"/>
      <c r="AB641" s="100"/>
      <c r="AC641" s="100"/>
      <c r="AD641" s="100"/>
      <c r="AE641" s="100"/>
      <c r="AF641" s="100"/>
      <c r="AG641" s="100"/>
      <c r="AH641" s="100"/>
      <c r="AI641" s="100"/>
      <c r="AJ641" s="100"/>
      <c r="AK641" s="100"/>
      <c r="AL641" s="100"/>
      <c r="AM641" s="100"/>
      <c r="AN641" s="100"/>
      <c r="AO641" s="100"/>
      <c r="AP641" s="100"/>
      <c r="AQ641" s="100"/>
      <c r="AR641" s="100"/>
    </row>
    <row r="642" spans="1:44" s="281" customFormat="1" ht="12" customHeight="1">
      <c r="A642" s="100"/>
      <c r="P642" s="153"/>
      <c r="X642" s="100"/>
      <c r="Y642" s="100"/>
      <c r="Z642" s="1380"/>
      <c r="AA642" s="100"/>
      <c r="AB642" s="100"/>
      <c r="AC642" s="100"/>
      <c r="AD642" s="100"/>
      <c r="AE642" s="100"/>
      <c r="AF642" s="100"/>
      <c r="AG642" s="100"/>
      <c r="AH642" s="100"/>
      <c r="AI642" s="100"/>
      <c r="AJ642" s="100"/>
      <c r="AK642" s="100"/>
      <c r="AL642" s="100"/>
      <c r="AM642" s="100"/>
      <c r="AN642" s="100"/>
      <c r="AO642" s="100"/>
      <c r="AP642" s="100"/>
      <c r="AQ642" s="100"/>
      <c r="AR642" s="100"/>
    </row>
    <row r="643" spans="1:44" s="281" customFormat="1" ht="12" customHeight="1">
      <c r="A643" s="100"/>
      <c r="P643" s="153"/>
      <c r="X643" s="100"/>
      <c r="Y643" s="100"/>
      <c r="Z643" s="1380"/>
      <c r="AA643" s="100"/>
      <c r="AB643" s="100"/>
      <c r="AC643" s="100"/>
      <c r="AD643" s="100"/>
      <c r="AE643" s="100"/>
      <c r="AF643" s="100"/>
      <c r="AG643" s="100"/>
      <c r="AH643" s="100"/>
      <c r="AI643" s="100"/>
      <c r="AJ643" s="100"/>
      <c r="AK643" s="100"/>
      <c r="AL643" s="100"/>
      <c r="AM643" s="100"/>
      <c r="AN643" s="100"/>
      <c r="AO643" s="100"/>
      <c r="AP643" s="100"/>
      <c r="AQ643" s="100"/>
      <c r="AR643" s="100"/>
    </row>
    <row r="644" spans="1:44" s="281" customFormat="1" ht="12" customHeight="1">
      <c r="A644" s="100"/>
      <c r="P644" s="153"/>
      <c r="X644" s="100"/>
      <c r="Y644" s="100"/>
      <c r="Z644" s="1380"/>
      <c r="AA644" s="100"/>
      <c r="AB644" s="100"/>
      <c r="AC644" s="100"/>
      <c r="AD644" s="100"/>
      <c r="AE644" s="100"/>
      <c r="AF644" s="100"/>
      <c r="AG644" s="100"/>
      <c r="AH644" s="100"/>
      <c r="AI644" s="100"/>
      <c r="AJ644" s="100"/>
      <c r="AK644" s="100"/>
      <c r="AL644" s="100"/>
      <c r="AM644" s="100"/>
      <c r="AN644" s="100"/>
      <c r="AO644" s="100"/>
      <c r="AP644" s="100"/>
      <c r="AQ644" s="100"/>
      <c r="AR644" s="100"/>
    </row>
    <row r="645" spans="1:44" s="281" customFormat="1" ht="12" customHeight="1">
      <c r="A645" s="100"/>
      <c r="P645" s="153"/>
      <c r="X645" s="100"/>
      <c r="Y645" s="100"/>
      <c r="Z645" s="1380"/>
      <c r="AA645" s="100"/>
      <c r="AB645" s="100"/>
      <c r="AC645" s="100"/>
      <c r="AD645" s="100"/>
      <c r="AE645" s="100"/>
      <c r="AF645" s="100"/>
      <c r="AG645" s="100"/>
      <c r="AH645" s="100"/>
      <c r="AI645" s="100"/>
      <c r="AJ645" s="100"/>
      <c r="AK645" s="100"/>
      <c r="AL645" s="100"/>
      <c r="AM645" s="100"/>
      <c r="AN645" s="100"/>
      <c r="AO645" s="100"/>
      <c r="AP645" s="100"/>
      <c r="AQ645" s="100"/>
      <c r="AR645" s="100"/>
    </row>
    <row r="646" spans="1:44" s="281" customFormat="1" ht="12" customHeight="1">
      <c r="A646" s="100"/>
      <c r="P646" s="153"/>
      <c r="X646" s="100"/>
      <c r="Y646" s="100"/>
      <c r="Z646" s="1380"/>
      <c r="AA646" s="100"/>
      <c r="AB646" s="100"/>
      <c r="AC646" s="100"/>
      <c r="AD646" s="100"/>
      <c r="AE646" s="100"/>
      <c r="AF646" s="100"/>
      <c r="AG646" s="100"/>
      <c r="AH646" s="100"/>
      <c r="AI646" s="100"/>
      <c r="AJ646" s="100"/>
      <c r="AK646" s="100"/>
      <c r="AL646" s="100"/>
      <c r="AM646" s="100"/>
      <c r="AN646" s="100"/>
      <c r="AO646" s="100"/>
      <c r="AP646" s="100"/>
      <c r="AQ646" s="100"/>
      <c r="AR646" s="100"/>
    </row>
    <row r="647" spans="1:44" s="281" customFormat="1" ht="12" customHeight="1">
      <c r="A647" s="100"/>
      <c r="P647" s="153"/>
      <c r="X647" s="100"/>
      <c r="Y647" s="100"/>
      <c r="Z647" s="1380"/>
      <c r="AA647" s="100"/>
      <c r="AB647" s="100"/>
      <c r="AC647" s="100"/>
      <c r="AD647" s="100"/>
      <c r="AE647" s="100"/>
      <c r="AF647" s="100"/>
      <c r="AG647" s="100"/>
      <c r="AH647" s="100"/>
      <c r="AI647" s="100"/>
      <c r="AJ647" s="100"/>
      <c r="AK647" s="100"/>
      <c r="AL647" s="100"/>
      <c r="AM647" s="100"/>
      <c r="AN647" s="100"/>
      <c r="AO647" s="100"/>
      <c r="AP647" s="100"/>
      <c r="AQ647" s="100"/>
      <c r="AR647" s="100"/>
    </row>
    <row r="648" spans="1:44" s="281" customFormat="1" ht="12" customHeight="1">
      <c r="A648" s="100"/>
      <c r="P648" s="153"/>
      <c r="X648" s="100"/>
      <c r="Y648" s="100"/>
      <c r="Z648" s="1380"/>
      <c r="AA648" s="100"/>
      <c r="AB648" s="100"/>
      <c r="AC648" s="100"/>
      <c r="AD648" s="100"/>
      <c r="AE648" s="100"/>
      <c r="AF648" s="100"/>
      <c r="AG648" s="100"/>
      <c r="AH648" s="100"/>
      <c r="AI648" s="100"/>
      <c r="AJ648" s="100"/>
      <c r="AK648" s="100"/>
      <c r="AL648" s="100"/>
      <c r="AM648" s="100"/>
      <c r="AN648" s="100"/>
      <c r="AO648" s="100"/>
      <c r="AP648" s="100"/>
      <c r="AQ648" s="100"/>
      <c r="AR648" s="100"/>
    </row>
    <row r="649" spans="1:44" s="281" customFormat="1" ht="12" customHeight="1">
      <c r="A649" s="100"/>
      <c r="P649" s="153"/>
      <c r="X649" s="100"/>
      <c r="Y649" s="100"/>
      <c r="Z649" s="1380"/>
      <c r="AA649" s="100"/>
      <c r="AB649" s="100"/>
      <c r="AC649" s="100"/>
      <c r="AD649" s="100"/>
      <c r="AE649" s="100"/>
      <c r="AF649" s="100"/>
      <c r="AG649" s="100"/>
      <c r="AH649" s="100"/>
      <c r="AI649" s="100"/>
      <c r="AJ649" s="100"/>
      <c r="AK649" s="100"/>
      <c r="AL649" s="100"/>
      <c r="AM649" s="100"/>
      <c r="AN649" s="100"/>
      <c r="AO649" s="100"/>
      <c r="AP649" s="100"/>
      <c r="AQ649" s="100"/>
      <c r="AR649" s="100"/>
    </row>
    <row r="650" spans="1:44" s="281" customFormat="1" ht="12" customHeight="1">
      <c r="A650" s="100"/>
      <c r="P650" s="153"/>
      <c r="X650" s="100"/>
      <c r="Y650" s="100"/>
      <c r="Z650" s="1380"/>
      <c r="AA650" s="100"/>
      <c r="AB650" s="100"/>
      <c r="AC650" s="100"/>
      <c r="AD650" s="100"/>
      <c r="AE650" s="100"/>
      <c r="AF650" s="100"/>
      <c r="AG650" s="100"/>
      <c r="AH650" s="100"/>
      <c r="AI650" s="100"/>
      <c r="AJ650" s="100"/>
      <c r="AK650" s="100"/>
      <c r="AL650" s="100"/>
      <c r="AM650" s="100"/>
      <c r="AN650" s="100"/>
      <c r="AO650" s="100"/>
      <c r="AP650" s="100"/>
      <c r="AQ650" s="100"/>
      <c r="AR650" s="100"/>
    </row>
    <row r="651" spans="1:44" s="281" customFormat="1" ht="12" customHeight="1">
      <c r="A651" s="100"/>
      <c r="P651" s="153"/>
      <c r="X651" s="100"/>
      <c r="Y651" s="100"/>
      <c r="Z651" s="1380"/>
      <c r="AA651" s="100"/>
      <c r="AB651" s="100"/>
      <c r="AC651" s="100"/>
      <c r="AD651" s="100"/>
      <c r="AE651" s="100"/>
      <c r="AF651" s="100"/>
      <c r="AG651" s="100"/>
      <c r="AH651" s="100"/>
      <c r="AI651" s="100"/>
      <c r="AJ651" s="100"/>
      <c r="AK651" s="100"/>
      <c r="AL651" s="100"/>
      <c r="AM651" s="100"/>
      <c r="AN651" s="100"/>
      <c r="AO651" s="100"/>
      <c r="AP651" s="100"/>
      <c r="AQ651" s="100"/>
      <c r="AR651" s="100"/>
    </row>
    <row r="652" spans="1:44" s="281" customFormat="1" ht="12" customHeight="1">
      <c r="A652" s="100"/>
      <c r="P652" s="153"/>
      <c r="X652" s="100"/>
      <c r="Y652" s="100"/>
      <c r="Z652" s="1380"/>
      <c r="AA652" s="100"/>
      <c r="AB652" s="100"/>
      <c r="AC652" s="100"/>
      <c r="AD652" s="100"/>
      <c r="AE652" s="100"/>
      <c r="AF652" s="100"/>
      <c r="AG652" s="100"/>
      <c r="AH652" s="100"/>
      <c r="AI652" s="100"/>
      <c r="AJ652" s="100"/>
      <c r="AK652" s="100"/>
      <c r="AL652" s="100"/>
      <c r="AM652" s="100"/>
      <c r="AN652" s="100"/>
      <c r="AO652" s="100"/>
      <c r="AP652" s="100"/>
      <c r="AQ652" s="100"/>
      <c r="AR652" s="100"/>
    </row>
    <row r="653" spans="1:44" s="281" customFormat="1" ht="12" customHeight="1">
      <c r="A653" s="100"/>
      <c r="P653" s="100"/>
      <c r="X653" s="100"/>
      <c r="Y653" s="100"/>
      <c r="Z653" s="1380"/>
      <c r="AA653" s="100"/>
      <c r="AB653" s="100"/>
      <c r="AC653" s="100"/>
      <c r="AD653" s="100"/>
      <c r="AE653" s="100"/>
      <c r="AF653" s="100"/>
      <c r="AG653" s="100"/>
      <c r="AH653" s="100"/>
      <c r="AI653" s="100"/>
      <c r="AJ653" s="100"/>
      <c r="AK653" s="100"/>
      <c r="AL653" s="100"/>
      <c r="AM653" s="100"/>
      <c r="AN653" s="100"/>
      <c r="AO653" s="100"/>
      <c r="AP653" s="100"/>
      <c r="AQ653" s="100"/>
      <c r="AR653" s="100"/>
    </row>
    <row r="654" spans="1:44" s="281" customFormat="1" ht="12" customHeight="1">
      <c r="A654" s="100"/>
      <c r="P654" s="100"/>
      <c r="X654" s="100"/>
      <c r="Y654" s="100"/>
      <c r="Z654" s="1380"/>
      <c r="AA654" s="100"/>
      <c r="AB654" s="100"/>
      <c r="AC654" s="100"/>
      <c r="AD654" s="100"/>
      <c r="AE654" s="100"/>
      <c r="AF654" s="100"/>
      <c r="AG654" s="100"/>
      <c r="AH654" s="100"/>
      <c r="AI654" s="100"/>
      <c r="AJ654" s="100"/>
      <c r="AK654" s="100"/>
      <c r="AL654" s="100"/>
      <c r="AM654" s="100"/>
      <c r="AN654" s="100"/>
      <c r="AO654" s="100"/>
      <c r="AP654" s="100"/>
      <c r="AQ654" s="100"/>
      <c r="AR654" s="100"/>
    </row>
    <row r="655" spans="1:44" s="281" customFormat="1" ht="12" customHeight="1">
      <c r="A655" s="100"/>
      <c r="P655" s="100"/>
      <c r="X655" s="100"/>
      <c r="Y655" s="100"/>
      <c r="Z655" s="1380"/>
      <c r="AA655" s="100"/>
      <c r="AB655" s="100"/>
      <c r="AC655" s="100"/>
      <c r="AD655" s="100"/>
      <c r="AE655" s="100"/>
      <c r="AF655" s="100"/>
      <c r="AG655" s="100"/>
      <c r="AH655" s="100"/>
      <c r="AI655" s="100"/>
      <c r="AJ655" s="100"/>
      <c r="AK655" s="100"/>
      <c r="AL655" s="100"/>
      <c r="AM655" s="100"/>
      <c r="AN655" s="100"/>
      <c r="AO655" s="100"/>
      <c r="AP655" s="100"/>
      <c r="AQ655" s="100"/>
      <c r="AR655" s="100"/>
    </row>
    <row r="656" spans="1:44" s="281" customFormat="1" ht="12" customHeight="1">
      <c r="A656" s="100"/>
      <c r="P656" s="100"/>
      <c r="X656" s="100"/>
      <c r="Y656" s="100"/>
      <c r="Z656" s="1380"/>
      <c r="AA656" s="100"/>
      <c r="AB656" s="100"/>
      <c r="AC656" s="100"/>
      <c r="AD656" s="100"/>
      <c r="AE656" s="100"/>
      <c r="AF656" s="100"/>
      <c r="AG656" s="100"/>
      <c r="AH656" s="100"/>
      <c r="AI656" s="100"/>
      <c r="AJ656" s="100"/>
      <c r="AK656" s="100"/>
      <c r="AL656" s="100"/>
      <c r="AM656" s="100"/>
      <c r="AN656" s="100"/>
      <c r="AO656" s="100"/>
      <c r="AP656" s="100"/>
      <c r="AQ656" s="100"/>
      <c r="AR656" s="100"/>
    </row>
    <row r="657" spans="1:44" s="281" customFormat="1" ht="12" customHeight="1">
      <c r="A657" s="100"/>
      <c r="P657" s="100"/>
      <c r="X657" s="100"/>
      <c r="Y657" s="100"/>
      <c r="Z657" s="1380"/>
      <c r="AA657" s="100"/>
      <c r="AB657" s="100"/>
      <c r="AC657" s="100"/>
      <c r="AD657" s="100"/>
      <c r="AE657" s="100"/>
      <c r="AF657" s="100"/>
      <c r="AG657" s="100"/>
      <c r="AH657" s="100"/>
      <c r="AI657" s="100"/>
      <c r="AJ657" s="100"/>
      <c r="AK657" s="100"/>
      <c r="AL657" s="100"/>
      <c r="AM657" s="100"/>
      <c r="AN657" s="100"/>
      <c r="AO657" s="100"/>
      <c r="AP657" s="100"/>
      <c r="AQ657" s="100"/>
      <c r="AR657" s="100"/>
    </row>
    <row r="658" spans="1:44" s="281" customFormat="1" ht="12" customHeight="1">
      <c r="A658" s="100"/>
      <c r="P658" s="100"/>
      <c r="X658" s="100"/>
      <c r="Y658" s="100"/>
      <c r="Z658" s="1380"/>
      <c r="AA658" s="100"/>
      <c r="AB658" s="100"/>
      <c r="AC658" s="100"/>
      <c r="AD658" s="100"/>
      <c r="AE658" s="100"/>
      <c r="AF658" s="100"/>
      <c r="AG658" s="100"/>
      <c r="AH658" s="100"/>
      <c r="AI658" s="100"/>
      <c r="AJ658" s="100"/>
      <c r="AK658" s="100"/>
      <c r="AL658" s="100"/>
      <c r="AM658" s="100"/>
      <c r="AN658" s="100"/>
      <c r="AO658" s="100"/>
      <c r="AP658" s="100"/>
      <c r="AQ658" s="100"/>
      <c r="AR658" s="100"/>
    </row>
    <row r="659" spans="1:44" s="281" customFormat="1" ht="12" customHeight="1">
      <c r="A659" s="100"/>
      <c r="P659" s="100"/>
      <c r="X659" s="100"/>
      <c r="Y659" s="100"/>
      <c r="Z659" s="1380"/>
      <c r="AA659" s="100"/>
      <c r="AB659" s="100"/>
      <c r="AC659" s="100"/>
      <c r="AD659" s="100"/>
      <c r="AE659" s="100"/>
      <c r="AF659" s="100"/>
      <c r="AG659" s="100"/>
      <c r="AH659" s="100"/>
      <c r="AI659" s="100"/>
      <c r="AJ659" s="100"/>
      <c r="AK659" s="100"/>
      <c r="AL659" s="100"/>
      <c r="AM659" s="100"/>
      <c r="AN659" s="100"/>
      <c r="AO659" s="100"/>
      <c r="AP659" s="100"/>
      <c r="AQ659" s="100"/>
      <c r="AR659" s="100"/>
    </row>
    <row r="660" spans="1:44" s="281" customFormat="1" ht="12" customHeight="1">
      <c r="A660" s="100"/>
      <c r="P660" s="100"/>
      <c r="X660" s="100"/>
      <c r="Y660" s="100"/>
      <c r="Z660" s="1380"/>
      <c r="AA660" s="100"/>
      <c r="AB660" s="100"/>
      <c r="AC660" s="100"/>
      <c r="AD660" s="100"/>
      <c r="AE660" s="100"/>
      <c r="AF660" s="100"/>
      <c r="AG660" s="100"/>
      <c r="AH660" s="100"/>
      <c r="AI660" s="100"/>
      <c r="AJ660" s="100"/>
      <c r="AK660" s="100"/>
      <c r="AL660" s="100"/>
      <c r="AM660" s="100"/>
      <c r="AN660" s="100"/>
      <c r="AO660" s="100"/>
      <c r="AP660" s="100"/>
      <c r="AQ660" s="100"/>
      <c r="AR660" s="100"/>
    </row>
    <row r="661" spans="1:44" s="281" customFormat="1" ht="12" customHeight="1">
      <c r="A661" s="100"/>
      <c r="P661" s="100"/>
      <c r="X661" s="100"/>
      <c r="Y661" s="100"/>
      <c r="Z661" s="1380"/>
      <c r="AA661" s="100"/>
      <c r="AB661" s="100"/>
      <c r="AC661" s="100"/>
      <c r="AD661" s="100"/>
      <c r="AE661" s="100"/>
      <c r="AF661" s="100"/>
      <c r="AG661" s="100"/>
      <c r="AH661" s="100"/>
      <c r="AI661" s="100"/>
      <c r="AJ661" s="100"/>
      <c r="AK661" s="100"/>
      <c r="AL661" s="100"/>
      <c r="AM661" s="100"/>
      <c r="AN661" s="100"/>
      <c r="AO661" s="100"/>
      <c r="AP661" s="100"/>
      <c r="AQ661" s="100"/>
      <c r="AR661" s="100"/>
    </row>
    <row r="662" spans="1:44" s="281" customFormat="1" ht="12" customHeight="1">
      <c r="A662" s="100"/>
      <c r="P662" s="100"/>
      <c r="X662" s="100"/>
      <c r="Y662" s="100"/>
      <c r="Z662" s="1380"/>
      <c r="AA662" s="100"/>
      <c r="AB662" s="100"/>
      <c r="AC662" s="100"/>
      <c r="AD662" s="100"/>
      <c r="AE662" s="100"/>
      <c r="AF662" s="100"/>
      <c r="AG662" s="100"/>
      <c r="AH662" s="100"/>
      <c r="AI662" s="100"/>
      <c r="AJ662" s="100"/>
      <c r="AK662" s="100"/>
      <c r="AL662" s="100"/>
      <c r="AM662" s="100"/>
      <c r="AN662" s="100"/>
      <c r="AO662" s="100"/>
      <c r="AP662" s="100"/>
      <c r="AQ662" s="100"/>
      <c r="AR662" s="100"/>
    </row>
    <row r="663" spans="1:44" s="281" customFormat="1" ht="12" customHeight="1">
      <c r="A663" s="100"/>
      <c r="P663" s="100"/>
      <c r="X663" s="100"/>
      <c r="Y663" s="100"/>
      <c r="Z663" s="1380"/>
      <c r="AA663" s="100"/>
      <c r="AB663" s="100"/>
      <c r="AC663" s="100"/>
      <c r="AD663" s="100"/>
      <c r="AE663" s="100"/>
      <c r="AF663" s="100"/>
      <c r="AG663" s="100"/>
      <c r="AH663" s="100"/>
      <c r="AI663" s="100"/>
      <c r="AJ663" s="100"/>
      <c r="AK663" s="100"/>
      <c r="AL663" s="100"/>
      <c r="AM663" s="100"/>
      <c r="AN663" s="100"/>
      <c r="AO663" s="100"/>
      <c r="AP663" s="100"/>
      <c r="AQ663" s="100"/>
      <c r="AR663" s="100"/>
    </row>
    <row r="664" spans="1:44" s="281" customFormat="1" ht="12" customHeight="1">
      <c r="A664" s="100"/>
      <c r="P664" s="100"/>
      <c r="X664" s="100"/>
      <c r="Y664" s="100"/>
      <c r="Z664" s="1380"/>
      <c r="AA664" s="100"/>
      <c r="AB664" s="100"/>
      <c r="AC664" s="100"/>
      <c r="AD664" s="100"/>
      <c r="AE664" s="100"/>
      <c r="AF664" s="100"/>
      <c r="AG664" s="100"/>
      <c r="AH664" s="100"/>
      <c r="AI664" s="100"/>
      <c r="AJ664" s="100"/>
      <c r="AK664" s="100"/>
      <c r="AL664" s="100"/>
      <c r="AM664" s="100"/>
      <c r="AN664" s="100"/>
      <c r="AO664" s="100"/>
      <c r="AP664" s="100"/>
      <c r="AQ664" s="100"/>
      <c r="AR664" s="100"/>
    </row>
    <row r="665" spans="1:44" s="281" customFormat="1" ht="12" customHeight="1">
      <c r="A665" s="100"/>
      <c r="P665" s="100"/>
      <c r="X665" s="100"/>
      <c r="Y665" s="100"/>
      <c r="Z665" s="1380"/>
      <c r="AA665" s="100"/>
      <c r="AB665" s="100"/>
      <c r="AC665" s="100"/>
      <c r="AD665" s="100"/>
      <c r="AE665" s="100"/>
      <c r="AF665" s="100"/>
      <c r="AG665" s="100"/>
      <c r="AH665" s="100"/>
      <c r="AI665" s="100"/>
      <c r="AJ665" s="100"/>
      <c r="AK665" s="100"/>
      <c r="AL665" s="100"/>
      <c r="AM665" s="100"/>
      <c r="AN665" s="100"/>
      <c r="AO665" s="100"/>
      <c r="AP665" s="100"/>
      <c r="AQ665" s="100"/>
      <c r="AR665" s="100"/>
    </row>
    <row r="666" spans="1:44" s="281" customFormat="1" ht="12" customHeight="1">
      <c r="A666" s="100"/>
      <c r="P666" s="100"/>
      <c r="X666" s="100"/>
      <c r="Y666" s="100"/>
      <c r="Z666" s="1380"/>
      <c r="AA666" s="100"/>
      <c r="AB666" s="100"/>
      <c r="AC666" s="100"/>
      <c r="AD666" s="100"/>
      <c r="AE666" s="100"/>
      <c r="AF666" s="100"/>
      <c r="AG666" s="100"/>
      <c r="AH666" s="100"/>
      <c r="AI666" s="100"/>
      <c r="AJ666" s="100"/>
      <c r="AK666" s="100"/>
      <c r="AL666" s="100"/>
      <c r="AM666" s="100"/>
      <c r="AN666" s="100"/>
      <c r="AO666" s="100"/>
      <c r="AP666" s="100"/>
      <c r="AQ666" s="100"/>
      <c r="AR666" s="100"/>
    </row>
    <row r="667" spans="1:44" s="281" customFormat="1" ht="12" customHeight="1">
      <c r="A667" s="100"/>
      <c r="P667" s="100"/>
      <c r="X667" s="100"/>
      <c r="Y667" s="100"/>
      <c r="Z667" s="1380"/>
      <c r="AA667" s="100"/>
      <c r="AB667" s="100"/>
      <c r="AC667" s="100"/>
      <c r="AD667" s="100"/>
      <c r="AE667" s="100"/>
      <c r="AF667" s="100"/>
      <c r="AG667" s="100"/>
    </row>
    <row r="668" spans="1:44" s="281" customFormat="1" ht="12" customHeight="1">
      <c r="A668" s="100"/>
      <c r="P668" s="100"/>
      <c r="X668" s="100"/>
      <c r="Y668" s="100"/>
      <c r="Z668" s="1380"/>
      <c r="AA668" s="100"/>
      <c r="AB668" s="100"/>
      <c r="AC668" s="100"/>
      <c r="AD668" s="100"/>
      <c r="AE668" s="100"/>
      <c r="AF668" s="100"/>
      <c r="AG668" s="100"/>
    </row>
    <row r="669" spans="1:44" s="281" customFormat="1" ht="12" customHeight="1">
      <c r="A669" s="100"/>
      <c r="P669" s="100"/>
      <c r="X669" s="100"/>
      <c r="Y669" s="100"/>
      <c r="Z669" s="1380"/>
      <c r="AA669" s="100"/>
      <c r="AB669" s="100"/>
      <c r="AC669" s="100"/>
      <c r="AD669" s="100"/>
      <c r="AE669" s="100"/>
      <c r="AF669" s="100"/>
      <c r="AG669" s="100"/>
    </row>
    <row r="670" spans="1:44" s="281" customFormat="1" ht="12" customHeight="1">
      <c r="A670" s="100"/>
      <c r="P670" s="100"/>
      <c r="X670" s="100"/>
      <c r="Y670" s="100"/>
      <c r="Z670" s="1380"/>
      <c r="AA670" s="100"/>
      <c r="AB670" s="100"/>
      <c r="AC670" s="100"/>
      <c r="AD670" s="100"/>
      <c r="AE670" s="100"/>
      <c r="AF670" s="100"/>
      <c r="AG670" s="100"/>
    </row>
    <row r="671" spans="1:44" s="281" customFormat="1" ht="12" customHeight="1">
      <c r="A671" s="100"/>
      <c r="P671" s="100"/>
      <c r="X671" s="100"/>
      <c r="Y671" s="100"/>
      <c r="Z671" s="1380"/>
      <c r="AA671" s="100"/>
      <c r="AB671" s="100"/>
      <c r="AC671" s="100"/>
      <c r="AD671" s="100"/>
      <c r="AE671" s="100"/>
      <c r="AF671" s="100"/>
      <c r="AG671" s="100"/>
    </row>
    <row r="672" spans="1:44" s="281" customFormat="1" ht="12" customHeight="1">
      <c r="A672" s="100"/>
      <c r="P672" s="100"/>
      <c r="X672" s="100"/>
      <c r="Y672" s="100"/>
      <c r="Z672" s="1380"/>
      <c r="AA672" s="100"/>
      <c r="AB672" s="100"/>
      <c r="AC672" s="100"/>
      <c r="AD672" s="100"/>
      <c r="AE672" s="100"/>
      <c r="AF672" s="100"/>
      <c r="AG672" s="100"/>
    </row>
    <row r="673" spans="1:33" s="281" customFormat="1" ht="12" customHeight="1">
      <c r="A673" s="100"/>
      <c r="P673" s="100"/>
      <c r="X673" s="100"/>
      <c r="Y673" s="100"/>
      <c r="Z673" s="1380"/>
      <c r="AA673" s="100"/>
      <c r="AB673" s="100"/>
      <c r="AC673" s="100"/>
      <c r="AD673" s="100"/>
      <c r="AE673" s="100"/>
      <c r="AF673" s="100"/>
      <c r="AG673" s="100"/>
    </row>
    <row r="674" spans="1:33" s="281" customFormat="1" ht="12" customHeight="1">
      <c r="A674" s="100"/>
      <c r="P674" s="100"/>
      <c r="X674" s="100"/>
      <c r="Y674" s="100"/>
      <c r="Z674" s="1380"/>
      <c r="AA674" s="100"/>
      <c r="AB674" s="100"/>
      <c r="AC674" s="100"/>
      <c r="AD674" s="100"/>
      <c r="AE674" s="100"/>
      <c r="AF674" s="100"/>
      <c r="AG674" s="100"/>
    </row>
    <row r="675" spans="1:33" s="281" customFormat="1" ht="12" customHeight="1">
      <c r="A675" s="100"/>
      <c r="P675" s="100"/>
      <c r="X675" s="100"/>
      <c r="Y675" s="100"/>
      <c r="Z675" s="1380"/>
      <c r="AA675" s="100"/>
      <c r="AB675" s="100"/>
      <c r="AC675" s="100"/>
      <c r="AD675" s="100"/>
      <c r="AE675" s="100"/>
      <c r="AF675" s="100"/>
      <c r="AG675" s="100"/>
    </row>
    <row r="676" spans="1:33" s="281" customFormat="1" ht="12" customHeight="1">
      <c r="A676" s="100"/>
      <c r="P676" s="100"/>
      <c r="X676" s="100"/>
      <c r="Y676" s="100"/>
      <c r="Z676" s="1380"/>
      <c r="AA676" s="100"/>
      <c r="AB676" s="100"/>
      <c r="AC676" s="100"/>
      <c r="AD676" s="100"/>
      <c r="AE676" s="100"/>
      <c r="AF676" s="100"/>
      <c r="AG676" s="100"/>
    </row>
    <row r="677" spans="1:33" s="281" customFormat="1" ht="12" customHeight="1">
      <c r="A677" s="100"/>
      <c r="P677" s="100"/>
      <c r="X677" s="100"/>
      <c r="Y677" s="100"/>
      <c r="Z677" s="1380"/>
      <c r="AA677" s="100"/>
      <c r="AB677" s="100"/>
      <c r="AC677" s="100"/>
      <c r="AD677" s="100"/>
      <c r="AE677" s="100"/>
      <c r="AF677" s="100"/>
      <c r="AG677" s="100"/>
    </row>
    <row r="678" spans="1:33" s="281" customFormat="1" ht="12" customHeight="1">
      <c r="A678" s="100"/>
      <c r="P678" s="100"/>
      <c r="X678" s="100"/>
      <c r="Y678" s="100"/>
      <c r="Z678" s="1380"/>
      <c r="AA678" s="100"/>
      <c r="AB678" s="100"/>
      <c r="AC678" s="100"/>
      <c r="AD678" s="100"/>
      <c r="AE678" s="100"/>
      <c r="AF678" s="100"/>
      <c r="AG678" s="100"/>
    </row>
    <row r="679" spans="1:33" s="281" customFormat="1" ht="12" customHeight="1">
      <c r="A679" s="100"/>
      <c r="P679" s="100"/>
      <c r="X679" s="100"/>
      <c r="Y679" s="100"/>
      <c r="Z679" s="1380"/>
      <c r="AA679" s="100"/>
      <c r="AB679" s="100"/>
      <c r="AC679" s="100"/>
      <c r="AD679" s="100"/>
      <c r="AE679" s="100"/>
      <c r="AF679" s="100"/>
      <c r="AG679" s="100"/>
    </row>
    <row r="680" spans="1:33" s="281" customFormat="1" ht="12" customHeight="1">
      <c r="A680" s="100"/>
      <c r="P680" s="100"/>
      <c r="X680" s="100"/>
      <c r="Y680" s="100"/>
      <c r="Z680" s="1380"/>
      <c r="AA680" s="100"/>
      <c r="AB680" s="100"/>
      <c r="AC680" s="100"/>
      <c r="AD680" s="100"/>
      <c r="AE680" s="100"/>
      <c r="AF680" s="100"/>
      <c r="AG680" s="100"/>
    </row>
    <row r="681" spans="1:33" s="281" customFormat="1" ht="12" customHeight="1">
      <c r="A681" s="100"/>
      <c r="P681" s="100"/>
      <c r="X681" s="100"/>
      <c r="Y681" s="100"/>
      <c r="Z681" s="1380"/>
      <c r="AA681" s="100"/>
      <c r="AB681" s="100"/>
      <c r="AC681" s="100"/>
      <c r="AD681" s="100"/>
      <c r="AE681" s="100"/>
      <c r="AF681" s="100"/>
      <c r="AG681" s="100"/>
    </row>
    <row r="682" spans="1:33" s="281" customFormat="1" ht="12" customHeight="1">
      <c r="B682" s="280"/>
      <c r="X682" s="100"/>
      <c r="Y682" s="100"/>
      <c r="Z682" s="1380"/>
      <c r="AA682" s="100"/>
      <c r="AB682" s="100"/>
      <c r="AC682" s="100"/>
      <c r="AD682" s="100"/>
      <c r="AE682" s="100"/>
      <c r="AF682" s="100"/>
      <c r="AG682" s="100"/>
    </row>
    <row r="683" spans="1:33" s="281" customFormat="1" ht="12" customHeight="1">
      <c r="B683" s="280"/>
      <c r="Z683" s="1380"/>
    </row>
    <row r="684" spans="1:33" s="281" customFormat="1" ht="12" customHeight="1">
      <c r="B684" s="280"/>
      <c r="Z684" s="1380"/>
    </row>
    <row r="685" spans="1:33" s="281" customFormat="1" ht="12" customHeight="1">
      <c r="B685" s="280"/>
      <c r="Z685" s="1380"/>
    </row>
    <row r="686" spans="1:33" s="281" customFormat="1" ht="12" customHeight="1">
      <c r="B686" s="280"/>
      <c r="Z686" s="1380"/>
    </row>
    <row r="687" spans="1:33" s="281" customFormat="1" ht="12" customHeight="1">
      <c r="B687" s="280"/>
      <c r="Z687" s="1380"/>
    </row>
    <row r="688" spans="1:33" s="281" customFormat="1" ht="12" customHeight="1">
      <c r="B688" s="280"/>
      <c r="Z688" s="1380"/>
    </row>
    <row r="689" spans="2:26" s="281" customFormat="1" ht="12" customHeight="1">
      <c r="B689" s="280"/>
      <c r="Z689" s="1380"/>
    </row>
    <row r="690" spans="2:26" s="281" customFormat="1" ht="12" customHeight="1">
      <c r="B690" s="280"/>
      <c r="Z690" s="1380"/>
    </row>
    <row r="691" spans="2:26" s="281" customFormat="1" ht="12" customHeight="1">
      <c r="B691" s="280"/>
      <c r="Z691" s="1380"/>
    </row>
    <row r="692" spans="2:26" s="281" customFormat="1" ht="12" customHeight="1">
      <c r="B692" s="280"/>
      <c r="Z692" s="1380"/>
    </row>
    <row r="693" spans="2:26" s="281" customFormat="1" ht="12" customHeight="1">
      <c r="B693" s="280"/>
      <c r="Z693" s="1380"/>
    </row>
    <row r="694" spans="2:26" s="281" customFormat="1" ht="12" customHeight="1">
      <c r="B694" s="280"/>
      <c r="Z694" s="1380"/>
    </row>
    <row r="695" spans="2:26" s="281" customFormat="1" ht="12" customHeight="1">
      <c r="B695" s="280"/>
      <c r="Z695" s="1380"/>
    </row>
    <row r="696" spans="2:26" s="281" customFormat="1" ht="12" customHeight="1">
      <c r="B696" s="280"/>
      <c r="Z696" s="1380"/>
    </row>
    <row r="697" spans="2:26" s="281" customFormat="1" ht="12" customHeight="1">
      <c r="B697" s="280"/>
      <c r="Z697" s="1380"/>
    </row>
    <row r="698" spans="2:26" s="281" customFormat="1" ht="12" customHeight="1">
      <c r="B698" s="280"/>
      <c r="Z698" s="1380"/>
    </row>
    <row r="699" spans="2:26" s="281" customFormat="1" ht="12" customHeight="1">
      <c r="B699" s="280"/>
      <c r="Z699" s="1380"/>
    </row>
    <row r="700" spans="2:26" s="281" customFormat="1" ht="12" customHeight="1">
      <c r="B700" s="280"/>
      <c r="Z700" s="1380"/>
    </row>
    <row r="701" spans="2:26" s="281" customFormat="1" ht="12" customHeight="1">
      <c r="B701" s="280"/>
      <c r="Z701" s="1380"/>
    </row>
    <row r="702" spans="2:26" s="281" customFormat="1" ht="12" customHeight="1">
      <c r="B702" s="280"/>
      <c r="Z702" s="1380"/>
    </row>
    <row r="703" spans="2:26" s="281" customFormat="1" ht="12" customHeight="1">
      <c r="B703" s="280"/>
      <c r="Z703" s="1380"/>
    </row>
    <row r="704" spans="2:26" s="281" customFormat="1" ht="12" customHeight="1">
      <c r="B704" s="280"/>
      <c r="Z704" s="1380"/>
    </row>
    <row r="705" spans="2:27" s="281" customFormat="1" ht="12" customHeight="1">
      <c r="B705" s="280"/>
      <c r="Z705" s="1380"/>
    </row>
    <row r="706" spans="2:27" s="281" customFormat="1" ht="12" customHeight="1">
      <c r="B706" s="280"/>
      <c r="Z706" s="1380"/>
    </row>
    <row r="707" spans="2:27" s="281" customFormat="1" ht="12" customHeight="1">
      <c r="B707" s="280"/>
      <c r="Z707" s="1380"/>
    </row>
    <row r="708" spans="2:27" s="281" customFormat="1" ht="12" customHeight="1">
      <c r="B708" s="280"/>
      <c r="Z708" s="1380"/>
    </row>
    <row r="709" spans="2:27" s="281" customFormat="1" ht="12" customHeight="1">
      <c r="B709" s="280"/>
      <c r="Z709" s="1380"/>
    </row>
    <row r="710" spans="2:27" s="281" customFormat="1" ht="12" customHeight="1">
      <c r="B710" s="280"/>
      <c r="N710" s="100"/>
      <c r="O710" s="100"/>
      <c r="Z710" s="1380"/>
    </row>
    <row r="711" spans="2:27" ht="12" customHeight="1">
      <c r="I711" s="281"/>
      <c r="AA711" s="230"/>
    </row>
    <row r="712" spans="2:27" ht="12" customHeight="1">
      <c r="AA712" s="230"/>
    </row>
    <row r="713" spans="2:27" ht="12" customHeight="1">
      <c r="AA713" s="230"/>
    </row>
    <row r="714" spans="2:27" ht="12" customHeight="1">
      <c r="AA714" s="23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78" t="s">
        <v>2686</v>
      </c>
      <c r="B1" s="425"/>
      <c r="C1" s="425"/>
      <c r="D1" s="425"/>
      <c r="E1" s="425"/>
      <c r="F1" s="425"/>
      <c r="G1" s="425"/>
      <c r="H1" s="425"/>
      <c r="I1" s="425"/>
      <c r="J1" s="425"/>
      <c r="K1" s="425"/>
      <c r="L1" s="385"/>
      <c r="M1" s="385"/>
    </row>
    <row r="2" spans="1:14" s="7" customFormat="1" ht="18">
      <c r="A2" s="778" t="str">
        <f>+"Financial Analysis for:  "&amp;E8&amp;"  "&amp;C8</f>
        <v>Financial Analysis for:  2023-5  Ashley Collegetown Phase I</v>
      </c>
      <c r="B2" s="425"/>
      <c r="C2" s="425"/>
      <c r="D2" s="425"/>
      <c r="E2" s="425"/>
      <c r="F2" s="425"/>
      <c r="G2" s="425"/>
      <c r="H2" s="425"/>
      <c r="I2" s="425"/>
      <c r="J2" s="425"/>
      <c r="K2" s="425"/>
      <c r="L2" s="385"/>
      <c r="M2" s="385"/>
    </row>
    <row r="5" spans="1:14" ht="15.75">
      <c r="A5" s="416"/>
      <c r="B5" s="417"/>
      <c r="C5" s="418"/>
      <c r="D5" s="417"/>
      <c r="E5" s="417"/>
      <c r="F5" s="416"/>
      <c r="G5" s="417"/>
      <c r="H5" s="418"/>
      <c r="I5" s="417"/>
      <c r="J5" s="417"/>
      <c r="K5" s="417"/>
      <c r="L5" s="417"/>
      <c r="M5" s="382"/>
    </row>
    <row r="7" spans="1:14" ht="15.75">
      <c r="A7" s="448" t="s">
        <v>2687</v>
      </c>
      <c r="B7" s="441"/>
      <c r="C7" s="1647"/>
      <c r="D7" s="441"/>
      <c r="E7" s="441"/>
      <c r="F7" s="448" t="s">
        <v>2688</v>
      </c>
      <c r="G7" s="441"/>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61"/>
      <c r="J7" s="4661"/>
      <c r="K7" s="4661"/>
      <c r="L7" s="441"/>
      <c r="M7" s="382"/>
    </row>
    <row r="8" spans="1:14" ht="15.75">
      <c r="A8" s="448" t="s">
        <v>2689</v>
      </c>
      <c r="B8" s="448"/>
      <c r="C8" s="4661" t="str">
        <f>'Part I-Project Identification'!$F$25</f>
        <v>Ashley Collegetown Phase I</v>
      </c>
      <c r="D8" s="4661"/>
      <c r="E8" s="1648" t="str">
        <f>'Part I-Project Identification'!$O$7</f>
        <v>2023-5</v>
      </c>
      <c r="F8" s="448" t="s">
        <v>2690</v>
      </c>
      <c r="G8" s="441"/>
      <c r="H8" s="4661" t="str">
        <f>CONCATENATE('Part I-Project Identification'!$F$26,", ",'Part I-Project Identification'!$J$26)</f>
        <v>Atlanta, Fulton</v>
      </c>
      <c r="I8" s="4661"/>
      <c r="J8" s="4661"/>
      <c r="K8" s="4661"/>
      <c r="L8" s="441"/>
      <c r="M8" s="420"/>
    </row>
    <row r="9" spans="1:14" ht="15.75">
      <c r="A9" s="448" t="s">
        <v>2691</v>
      </c>
      <c r="B9" s="448"/>
      <c r="C9" s="4661" t="s">
        <v>712</v>
      </c>
      <c r="D9" s="4661"/>
      <c r="E9" s="441"/>
      <c r="F9" s="448" t="s">
        <v>2692</v>
      </c>
      <c r="G9" s="441"/>
      <c r="H9" s="4662"/>
      <c r="I9" s="4662"/>
      <c r="J9" s="4662"/>
      <c r="K9" s="4662"/>
      <c r="L9" s="4662"/>
      <c r="M9" s="420"/>
    </row>
    <row r="10" spans="1:14" ht="15.75">
      <c r="A10" s="448" t="s">
        <v>2693</v>
      </c>
      <c r="B10" s="441"/>
      <c r="C10" s="4663"/>
      <c r="D10" s="4663"/>
      <c r="E10" s="441"/>
      <c r="F10" s="448" t="s">
        <v>2694</v>
      </c>
      <c r="G10" s="441"/>
      <c r="H10" s="4660"/>
      <c r="I10" s="4660"/>
      <c r="J10" s="4660"/>
      <c r="K10" s="4660"/>
      <c r="L10" s="4660"/>
    </row>
    <row r="11" spans="1:14" ht="15.75">
      <c r="A11" s="448" t="s">
        <v>2695</v>
      </c>
      <c r="B11" s="441"/>
      <c r="C11" s="4664"/>
      <c r="D11" s="4664"/>
      <c r="E11" s="1662"/>
      <c r="F11" s="448" t="s">
        <v>224</v>
      </c>
      <c r="G11" s="441"/>
      <c r="H11" s="4660"/>
      <c r="I11" s="4660"/>
      <c r="J11" s="4660"/>
      <c r="K11" s="4660"/>
      <c r="L11" s="4660"/>
      <c r="M11" s="4665"/>
      <c r="N11" s="4666"/>
    </row>
    <row r="12" spans="1:14" ht="15.75">
      <c r="A12" s="448" t="s">
        <v>2696</v>
      </c>
      <c r="B12" s="441"/>
      <c r="C12" s="4664"/>
      <c r="D12" s="4664"/>
      <c r="E12" s="441"/>
      <c r="F12" s="448" t="s">
        <v>2697</v>
      </c>
      <c r="G12" s="441"/>
      <c r="H12" s="4664"/>
      <c r="I12" s="4664"/>
      <c r="J12" s="4664"/>
      <c r="K12" s="4664"/>
      <c r="L12" s="4664"/>
      <c r="M12" s="382"/>
    </row>
    <row r="13" spans="1:14" ht="15.75">
      <c r="A13" s="448" t="s">
        <v>2698</v>
      </c>
      <c r="B13" s="448"/>
      <c r="C13" s="1649">
        <f>'Part V-Revenues &amp; Expenses'!$P$67</f>
        <v>199</v>
      </c>
      <c r="D13" s="13"/>
      <c r="E13" s="1650">
        <f>'Part V-Revenues &amp; Expenses'!$P$63</f>
        <v>118</v>
      </c>
      <c r="F13" s="448" t="s">
        <v>2699</v>
      </c>
      <c r="G13" s="441"/>
      <c r="H13" s="1660"/>
      <c r="I13" s="1652"/>
      <c r="J13" s="1652"/>
      <c r="K13" s="1651">
        <f>'Part V-Revenues &amp; Expenses'!$K$175</f>
        <v>214384</v>
      </c>
      <c r="L13" s="441"/>
      <c r="M13" s="382"/>
    </row>
    <row r="14" spans="1:14" ht="15.75">
      <c r="A14" s="448" t="s">
        <v>2700</v>
      </c>
      <c r="B14" s="441"/>
      <c r="C14" s="1651" t="str">
        <f>'Part VII-Threshold Criteria OLD'!J35</f>
        <v>&lt;&lt; Select PROPOSED Tenancy &gt;&gt;</v>
      </c>
      <c r="D14" s="4661" t="str">
        <f>IF('Part VII-Threshold Criteria OLD'!$N$35=0,"",'Part VII-Threshold Criteria OLD'!$N$35)</f>
        <v/>
      </c>
      <c r="E14" s="4661"/>
      <c r="F14" s="448" t="s">
        <v>2701</v>
      </c>
      <c r="G14" s="441"/>
      <c r="H14" s="4667" t="s">
        <v>2702</v>
      </c>
      <c r="I14" s="4667"/>
      <c r="J14" s="4667"/>
      <c r="K14" s="4667" t="s">
        <v>2702</v>
      </c>
      <c r="L14" s="4667"/>
      <c r="M14" s="382"/>
    </row>
    <row r="15" spans="1:14" ht="15.75">
      <c r="A15" s="448" t="s">
        <v>2703</v>
      </c>
      <c r="B15" s="441"/>
      <c r="C15" s="1653" t="s">
        <v>712</v>
      </c>
      <c r="D15" s="441"/>
      <c r="E15" s="441"/>
      <c r="F15" s="448" t="s">
        <v>2704</v>
      </c>
      <c r="G15" s="441"/>
      <c r="H15" s="1648" t="str">
        <f>'Part I-Project Identification'!K28</f>
        <v>Urban</v>
      </c>
      <c r="I15" s="441"/>
      <c r="J15" s="441"/>
      <c r="K15" s="441"/>
      <c r="L15" s="441"/>
      <c r="M15" s="382"/>
    </row>
    <row r="16" spans="1:14" ht="15.75">
      <c r="A16" s="448" t="s">
        <v>2705</v>
      </c>
      <c r="B16" s="441"/>
      <c r="C16" s="1648">
        <f>'Part VIII Scoring Criteria OLD'!$P$42</f>
        <v>0</v>
      </c>
      <c r="D16" s="1654" t="s">
        <v>1985</v>
      </c>
      <c r="E16" s="1648">
        <f>'Part VIII Scoring Criteria OLD'!$P$48</f>
        <v>0</v>
      </c>
      <c r="F16" s="448"/>
      <c r="G16" s="441"/>
      <c r="H16" s="441"/>
      <c r="I16" s="441"/>
      <c r="J16" s="441"/>
      <c r="K16" s="441"/>
      <c r="L16" s="441"/>
      <c r="M16" s="382"/>
    </row>
    <row r="17" spans="1:13" ht="15">
      <c r="A17" s="441"/>
      <c r="B17" s="441"/>
      <c r="C17" s="441"/>
      <c r="D17" s="441"/>
      <c r="E17" s="441"/>
      <c r="F17" s="441"/>
      <c r="G17" s="441"/>
      <c r="H17" s="441"/>
      <c r="I17" s="441"/>
      <c r="J17" s="441"/>
      <c r="K17" s="441"/>
      <c r="L17" s="441"/>
      <c r="M17" s="382"/>
    </row>
    <row r="18" spans="1:13" ht="15.75">
      <c r="A18" s="448" t="s">
        <v>2706</v>
      </c>
      <c r="B18" s="441"/>
      <c r="C18" s="1655">
        <f ca="1">'Part III-A-Uses of Funds'!$G$146</f>
        <v>35829793.968287915</v>
      </c>
      <c r="D18" s="1656">
        <f ca="1">IF(C18=0,"",$C$29/C18)</f>
        <v>0.39352724195063943</v>
      </c>
      <c r="E18" s="441" t="s">
        <v>2707</v>
      </c>
      <c r="F18" s="448" t="s">
        <v>2708</v>
      </c>
      <c r="G18" s="441"/>
      <c r="H18" s="4668">
        <f>'Part III-A-Uses of Funds'!$C$49</f>
        <v>11031216</v>
      </c>
      <c r="I18" s="4668"/>
      <c r="J18" s="1657">
        <f>IF(H18=0,"",$C$29/H18)</f>
        <v>1.2781909084184373</v>
      </c>
      <c r="K18" s="4661" t="s">
        <v>2709</v>
      </c>
      <c r="L18" s="4661"/>
      <c r="M18" s="382"/>
    </row>
    <row r="19" spans="1:13" ht="15.75">
      <c r="A19" s="448" t="s">
        <v>2710</v>
      </c>
      <c r="B19" s="441"/>
      <c r="C19" s="1658">
        <f ca="1">C18/C13</f>
        <v>180049.21592104479</v>
      </c>
      <c r="D19" s="441"/>
      <c r="E19" s="441"/>
      <c r="F19" s="448" t="s">
        <v>2710</v>
      </c>
      <c r="G19" s="441"/>
      <c r="H19" s="4669">
        <f>H18/C13</f>
        <v>55433.246231155776</v>
      </c>
      <c r="I19" s="4669"/>
      <c r="J19" s="441"/>
      <c r="K19" s="441"/>
      <c r="L19" s="441"/>
      <c r="M19" s="382"/>
    </row>
    <row r="20" spans="1:13" ht="15.75">
      <c r="A20" s="448" t="s">
        <v>2711</v>
      </c>
      <c r="B20" s="441"/>
      <c r="C20" s="1648">
        <f ca="1">C18/K13</f>
        <v>167.12904866169077</v>
      </c>
      <c r="D20" s="1659"/>
      <c r="E20" s="1659"/>
      <c r="F20" s="448" t="s">
        <v>2711</v>
      </c>
      <c r="G20" s="441"/>
      <c r="H20" s="4661">
        <f>H18/K13</f>
        <v>51.455407119934321</v>
      </c>
      <c r="I20" s="4669"/>
      <c r="J20" s="441"/>
      <c r="K20" s="441"/>
      <c r="L20" s="441"/>
      <c r="M20" s="382"/>
    </row>
    <row r="21" spans="1:13" ht="15.75">
      <c r="A21" s="385"/>
      <c r="B21" s="382"/>
      <c r="C21" s="424"/>
      <c r="D21" s="382"/>
      <c r="E21" s="382"/>
      <c r="F21" s="385"/>
      <c r="G21" s="382"/>
      <c r="H21" s="424"/>
      <c r="I21" s="382"/>
      <c r="J21" s="382"/>
      <c r="K21" s="382"/>
      <c r="L21" s="382"/>
      <c r="M21" s="382"/>
    </row>
    <row r="22" spans="1:13" ht="15">
      <c r="A22" s="417"/>
      <c r="B22" s="417"/>
      <c r="C22" s="417"/>
      <c r="D22" s="417"/>
      <c r="E22" s="417"/>
      <c r="F22" s="417"/>
      <c r="G22" s="417"/>
      <c r="H22" s="417"/>
      <c r="I22" s="417"/>
      <c r="J22" s="417"/>
      <c r="K22" s="417"/>
      <c r="L22" s="417"/>
      <c r="M22" s="420"/>
    </row>
    <row r="23" spans="1:13" ht="15.75">
      <c r="A23" s="425" t="s">
        <v>2712</v>
      </c>
      <c r="B23" s="415"/>
      <c r="C23" s="415"/>
      <c r="D23" s="415"/>
      <c r="E23" s="382"/>
      <c r="F23" s="382"/>
      <c r="G23" s="382"/>
      <c r="H23" s="382"/>
      <c r="I23" s="382"/>
      <c r="J23" s="382"/>
      <c r="K23" s="382"/>
      <c r="L23" s="382"/>
      <c r="M23" s="420"/>
    </row>
    <row r="24" spans="1:13" ht="27" customHeight="1">
      <c r="A24" s="382"/>
      <c r="B24" s="382"/>
      <c r="C24" s="382"/>
      <c r="D24" s="426" t="s">
        <v>2713</v>
      </c>
      <c r="E24" s="382"/>
      <c r="F24" s="382"/>
      <c r="G24" s="382"/>
      <c r="H24" s="382"/>
      <c r="I24" s="382"/>
      <c r="J24" s="382"/>
      <c r="K24" s="382"/>
      <c r="L24" s="382"/>
      <c r="M24" s="420"/>
    </row>
    <row r="25" spans="1:13" ht="15.75">
      <c r="A25" s="385" t="s">
        <v>2714</v>
      </c>
      <c r="B25" s="427" t="str">
        <f>'Part II-Sources of Funds'!E40</f>
        <v>Freddie Mac TEL</v>
      </c>
      <c r="C25" s="428">
        <f>'Part II-Sources of Funds'!I40</f>
        <v>14100000</v>
      </c>
      <c r="D25" s="429" t="s">
        <v>2715</v>
      </c>
      <c r="E25" s="382"/>
      <c r="F25" s="382"/>
      <c r="G25" s="382" t="s">
        <v>2716</v>
      </c>
      <c r="H25" s="382"/>
      <c r="I25" s="382"/>
      <c r="K25" s="428"/>
      <c r="L25" s="382"/>
      <c r="M25" s="420"/>
    </row>
    <row r="26" spans="1:13" ht="15">
      <c r="A26" s="382"/>
      <c r="B26" s="427"/>
      <c r="C26" s="428"/>
      <c r="D26" s="429"/>
      <c r="E26" s="382"/>
      <c r="F26" s="382"/>
      <c r="G26" s="382" t="s">
        <v>2717</v>
      </c>
      <c r="H26" s="382"/>
      <c r="I26" s="382"/>
      <c r="K26" s="430" t="e">
        <f>C29/K25</f>
        <v>#DIV/0!</v>
      </c>
      <c r="L26" s="382"/>
      <c r="M26" s="382"/>
    </row>
    <row r="27" spans="1:13" ht="15">
      <c r="A27" s="382"/>
      <c r="B27" s="427"/>
      <c r="C27" s="428"/>
      <c r="D27" s="429"/>
      <c r="E27" s="382"/>
      <c r="F27" s="382"/>
      <c r="G27" s="382"/>
      <c r="H27" s="382"/>
      <c r="I27" s="382"/>
      <c r="K27" s="382"/>
      <c r="L27" s="382"/>
      <c r="M27" s="382"/>
    </row>
    <row r="28" spans="1:13" ht="15">
      <c r="A28" s="382"/>
      <c r="B28" s="382"/>
      <c r="C28" s="382"/>
      <c r="D28" s="382"/>
      <c r="E28" s="382"/>
      <c r="F28" s="382"/>
      <c r="G28" s="382" t="s">
        <v>2718</v>
      </c>
      <c r="H28" s="382"/>
      <c r="I28" s="382"/>
      <c r="K28" s="428"/>
      <c r="L28" s="382"/>
      <c r="M28" s="382"/>
    </row>
    <row r="29" spans="1:13" ht="16.5" thickBot="1">
      <c r="A29" s="382"/>
      <c r="B29" s="431" t="s">
        <v>2719</v>
      </c>
      <c r="C29" s="1646">
        <f>SUM(C25:C27)</f>
        <v>14100000</v>
      </c>
      <c r="D29" s="382"/>
      <c r="E29" s="382"/>
      <c r="F29" s="382"/>
      <c r="G29" s="382" t="s">
        <v>2720</v>
      </c>
      <c r="H29" s="382"/>
      <c r="I29" s="382"/>
      <c r="K29" s="430" t="e">
        <f>C29/K28</f>
        <v>#DIV/0!</v>
      </c>
      <c r="L29" s="382"/>
      <c r="M29" s="382"/>
    </row>
    <row r="30" spans="1:13" ht="16.5" thickTop="1">
      <c r="A30" s="385" t="s">
        <v>2721</v>
      </c>
      <c r="B30" s="431"/>
      <c r="C30" s="432">
        <f ca="1">'Part II-Sources of Funds'!$I$51+'Part II-Sources of Funds'!$I$52</f>
        <v>12454371.033019999</v>
      </c>
      <c r="D30" s="382"/>
      <c r="E30" s="382"/>
      <c r="F30" s="382"/>
      <c r="G30" s="382"/>
      <c r="H30" s="382"/>
      <c r="I30" s="382"/>
      <c r="K30" s="433"/>
      <c r="L30" s="382"/>
      <c r="M30" s="382"/>
    </row>
    <row r="31" spans="1:13" ht="15">
      <c r="A31" s="434" t="s">
        <v>2722</v>
      </c>
      <c r="B31" s="427" t="str">
        <f>'Part II-Sources of Funds'!E41</f>
        <v>Atlanta Housing</v>
      </c>
      <c r="C31" s="428">
        <f>'Part II-Sources of Funds'!I41</f>
        <v>8276060</v>
      </c>
      <c r="D31" s="429"/>
      <c r="E31" s="382"/>
      <c r="F31" s="382"/>
      <c r="G31" s="382"/>
      <c r="H31" s="382"/>
      <c r="I31" s="382"/>
      <c r="K31" s="382"/>
      <c r="L31" s="382"/>
      <c r="M31" s="382"/>
    </row>
    <row r="32" spans="1:13" ht="15">
      <c r="A32" s="434" t="s">
        <v>2722</v>
      </c>
      <c r="B32" s="427">
        <f>'Part II-Sources of Funds'!E42</f>
        <v>0</v>
      </c>
      <c r="C32" s="428">
        <f>'Part II-Sources of Funds'!I42</f>
        <v>0</v>
      </c>
      <c r="D32" s="429"/>
      <c r="E32" s="382" t="s">
        <v>2682</v>
      </c>
      <c r="F32" s="382"/>
      <c r="G32" s="382" t="s">
        <v>2723</v>
      </c>
      <c r="H32" s="382"/>
      <c r="I32" s="382"/>
      <c r="K32" s="428"/>
      <c r="L32" s="382"/>
      <c r="M32" s="382"/>
    </row>
    <row r="33" spans="1:13" ht="15">
      <c r="A33" s="434" t="s">
        <v>2722</v>
      </c>
      <c r="B33" s="427">
        <f>'Part II-Sources of Funds'!E43</f>
        <v>0</v>
      </c>
      <c r="C33" s="428">
        <f>'Part II-Sources of Funds'!I43</f>
        <v>0</v>
      </c>
      <c r="D33" s="429"/>
      <c r="E33" s="382"/>
      <c r="F33" s="382"/>
      <c r="G33" s="785" t="s">
        <v>2724</v>
      </c>
      <c r="H33" s="785"/>
      <c r="I33" s="785"/>
      <c r="K33" s="430" t="e">
        <f>$C$29/K32</f>
        <v>#DIV/0!</v>
      </c>
      <c r="L33" s="382"/>
      <c r="M33" s="435"/>
    </row>
    <row r="34" spans="1:13" ht="15.75">
      <c r="A34" s="382"/>
      <c r="B34" s="431" t="s">
        <v>2725</v>
      </c>
      <c r="C34" s="432">
        <f>SUM(C31:C33)</f>
        <v>8276060</v>
      </c>
      <c r="D34" s="382"/>
      <c r="E34" s="382"/>
      <c r="F34" s="382"/>
      <c r="G34" s="382"/>
      <c r="H34" s="382"/>
      <c r="I34" s="382"/>
      <c r="K34" s="382"/>
      <c r="L34" s="382"/>
      <c r="M34" s="435"/>
    </row>
    <row r="35" spans="1:13" ht="15.75">
      <c r="A35" s="382"/>
      <c r="B35" s="431"/>
      <c r="C35" s="382"/>
      <c r="D35" s="382"/>
      <c r="E35" s="382"/>
      <c r="F35" s="382"/>
      <c r="G35" s="785" t="s">
        <v>2726</v>
      </c>
      <c r="H35" s="785"/>
      <c r="I35" s="785"/>
      <c r="K35" s="436" t="e">
        <f>(C36)/K25</f>
        <v>#DIV/0!</v>
      </c>
      <c r="L35" s="382"/>
      <c r="M35" s="382"/>
    </row>
    <row r="36" spans="1:13" ht="15.75">
      <c r="A36" s="382"/>
      <c r="B36" s="431" t="s">
        <v>2727</v>
      </c>
      <c r="C36" s="432">
        <f>C29+C34</f>
        <v>22376060</v>
      </c>
      <c r="D36" s="382"/>
      <c r="E36" s="382"/>
      <c r="F36" s="382"/>
      <c r="G36" s="382"/>
      <c r="H36" s="382"/>
      <c r="I36" s="382"/>
      <c r="K36" s="382"/>
      <c r="L36" s="382"/>
      <c r="M36" s="382"/>
    </row>
    <row r="37" spans="1:13" ht="15.75">
      <c r="A37" s="382"/>
      <c r="B37" s="431"/>
      <c r="C37" s="433"/>
      <c r="D37" s="382"/>
      <c r="E37" s="382"/>
      <c r="F37" s="382"/>
      <c r="G37" s="785" t="s">
        <v>2728</v>
      </c>
      <c r="H37" s="785"/>
      <c r="I37" s="785"/>
      <c r="K37" s="786" t="e">
        <f>+(C36)/K32</f>
        <v>#DIV/0!</v>
      </c>
      <c r="L37" s="382"/>
      <c r="M37" s="435"/>
    </row>
    <row r="38" spans="1:13" ht="15.75">
      <c r="A38" s="382"/>
      <c r="B38" s="431" t="s">
        <v>2729</v>
      </c>
      <c r="C38" s="437">
        <f ca="1">C36/C18</f>
        <v>0.62450987074624287</v>
      </c>
      <c r="D38" s="382"/>
      <c r="E38" s="382"/>
      <c r="F38" s="382"/>
      <c r="G38" s="382"/>
      <c r="H38" s="382"/>
      <c r="I38" s="382"/>
      <c r="K38" s="382"/>
      <c r="L38" s="382"/>
      <c r="M38" s="435"/>
    </row>
    <row r="39" spans="1:13" ht="15.75">
      <c r="A39" s="382"/>
      <c r="B39" s="431"/>
      <c r="C39" s="433"/>
      <c r="D39" s="382"/>
      <c r="E39" s="382"/>
      <c r="F39" s="382"/>
      <c r="G39" s="382"/>
      <c r="H39" s="382"/>
      <c r="I39" s="382"/>
      <c r="K39" s="382"/>
      <c r="L39" s="382"/>
      <c r="M39" s="382"/>
    </row>
    <row r="40" spans="1:13" ht="15.75">
      <c r="A40" s="382"/>
      <c r="B40" s="431" t="s">
        <v>2730</v>
      </c>
      <c r="C40" s="437">
        <f>C36/H18</f>
        <v>2.0284309544840751</v>
      </c>
      <c r="D40" s="382"/>
      <c r="E40" s="382"/>
      <c r="F40" s="385"/>
      <c r="G40" s="385" t="s">
        <v>2731</v>
      </c>
      <c r="H40" s="382"/>
      <c r="I40" s="382"/>
      <c r="K40" s="430">
        <f ca="1">C30/C18</f>
        <v>0.34759817608895721</v>
      </c>
      <c r="L40" s="382"/>
      <c r="M40" s="382"/>
    </row>
    <row r="46" spans="1:13" ht="15.75">
      <c r="A46" s="425" t="s">
        <v>2732</v>
      </c>
      <c r="B46" s="415"/>
      <c r="C46" s="415"/>
      <c r="D46" s="415"/>
      <c r="E46" s="415"/>
      <c r="F46" s="415"/>
      <c r="G46" s="415"/>
      <c r="H46" s="415"/>
      <c r="I46" s="415"/>
      <c r="J46" s="415"/>
      <c r="K46" s="415"/>
      <c r="L46" s="415"/>
      <c r="M46" s="382"/>
    </row>
    <row r="47" spans="1:13" ht="15.75">
      <c r="A47" s="425" t="str">
        <f>C8</f>
        <v>Ashley Collegetown Phase I</v>
      </c>
      <c r="B47" s="415"/>
      <c r="C47" s="415"/>
      <c r="D47" s="415"/>
      <c r="E47" s="415"/>
      <c r="F47" s="415"/>
      <c r="G47" s="415"/>
      <c r="H47" s="415"/>
      <c r="I47" s="415"/>
      <c r="J47" s="415"/>
      <c r="K47" s="415"/>
      <c r="L47" s="415"/>
      <c r="M47" s="382"/>
    </row>
    <row r="50" spans="1:14" s="382" customFormat="1" ht="15.75">
      <c r="A50" s="385" t="s">
        <v>2733</v>
      </c>
      <c r="C50" s="435" t="s">
        <v>2734</v>
      </c>
      <c r="E50" s="438" t="s">
        <v>2735</v>
      </c>
      <c r="F50" s="439">
        <v>0.1</v>
      </c>
      <c r="G50" s="438" t="s">
        <v>2736</v>
      </c>
      <c r="H50" s="439">
        <v>0.05</v>
      </c>
      <c r="I50" s="438" t="s">
        <v>2737</v>
      </c>
      <c r="J50" s="439">
        <v>0.03</v>
      </c>
      <c r="K50" s="4670" t="s">
        <v>2738</v>
      </c>
      <c r="L50" s="4671"/>
      <c r="M50"/>
      <c r="N50"/>
    </row>
    <row r="51" spans="1:14" s="382" customFormat="1" ht="15.75">
      <c r="A51" s="385"/>
      <c r="C51" s="435"/>
      <c r="E51" s="435"/>
      <c r="F51" s="440"/>
      <c r="G51" s="435"/>
      <c r="H51" s="440"/>
      <c r="I51" s="435"/>
      <c r="J51" s="440"/>
      <c r="K51" s="435"/>
      <c r="M51"/>
      <c r="N51"/>
    </row>
    <row r="52" spans="1:14" s="382" customFormat="1" ht="18.75" customHeight="1">
      <c r="B52" s="441" t="s">
        <v>2739</v>
      </c>
      <c r="C52" s="442">
        <f>'Part VI-Pro Forma'!B15</f>
        <v>3080520</v>
      </c>
      <c r="D52" s="442"/>
      <c r="E52" s="442">
        <f>$C$52</f>
        <v>3080520</v>
      </c>
      <c r="F52" s="442"/>
      <c r="G52" s="442">
        <f>$C$52</f>
        <v>3080520</v>
      </c>
      <c r="H52" s="442"/>
      <c r="I52" s="442">
        <f>$C$52</f>
        <v>3080520</v>
      </c>
      <c r="J52" s="442"/>
      <c r="K52" s="442">
        <f>$C$52</f>
        <v>3080520</v>
      </c>
      <c r="L52" s="443"/>
      <c r="M52"/>
      <c r="N52"/>
    </row>
    <row r="53" spans="1:14" s="382" customFormat="1" ht="18.75" customHeight="1">
      <c r="B53" s="441" t="s">
        <v>2740</v>
      </c>
      <c r="C53" s="442">
        <f>'Part VI-Pro Forma'!B16</f>
        <v>61610.400000000001</v>
      </c>
      <c r="D53" s="442"/>
      <c r="E53" s="442">
        <f>$C$53</f>
        <v>61610.400000000001</v>
      </c>
      <c r="F53" s="442"/>
      <c r="G53" s="442">
        <f>$C$53</f>
        <v>61610.400000000001</v>
      </c>
      <c r="H53" s="442"/>
      <c r="I53" s="442">
        <f>$C$53</f>
        <v>61610.400000000001</v>
      </c>
      <c r="J53" s="442"/>
      <c r="K53" s="442">
        <f>$C$53</f>
        <v>61610.400000000001</v>
      </c>
      <c r="L53" s="443"/>
      <c r="M53"/>
      <c r="N53"/>
    </row>
    <row r="54" spans="1:14" s="382" customFormat="1" ht="18.75" customHeight="1">
      <c r="B54" s="441" t="s">
        <v>2741</v>
      </c>
      <c r="C54" s="442">
        <f>'Part VI-Pro Forma'!B17</f>
        <v>-219949.12800000003</v>
      </c>
      <c r="D54" s="442"/>
      <c r="E54" s="442">
        <f>-($C$52+E53)*F50</f>
        <v>-314213.03999999998</v>
      </c>
      <c r="F54" s="444"/>
      <c r="G54" s="442">
        <f>-($C$52+G53)*0.07</f>
        <v>-219949.12800000003</v>
      </c>
      <c r="H54" s="442"/>
      <c r="I54" s="442">
        <f>-($C$52+I53)*0.07</f>
        <v>-219949.12800000003</v>
      </c>
      <c r="J54" s="442"/>
      <c r="K54" s="442">
        <f>-($C$52+K53)*L54</f>
        <v>-314213.03999999998</v>
      </c>
      <c r="L54" s="445">
        <v>0.1</v>
      </c>
      <c r="M54"/>
      <c r="N54"/>
    </row>
    <row r="55" spans="1:14" s="382" customFormat="1" ht="18.75" customHeight="1">
      <c r="B55" s="441" t="s">
        <v>2742</v>
      </c>
      <c r="C55" s="442">
        <f>'Part VI-Pro Forma'!B18</f>
        <v>0</v>
      </c>
      <c r="D55" s="442"/>
      <c r="E55" s="442">
        <f>$C$55</f>
        <v>0</v>
      </c>
      <c r="F55" s="444"/>
      <c r="G55" s="442">
        <f>$C$55</f>
        <v>0</v>
      </c>
      <c r="H55" s="442"/>
      <c r="I55" s="442">
        <f>$C$55</f>
        <v>0</v>
      </c>
      <c r="J55" s="442"/>
      <c r="K55" s="442">
        <f>$C$55</f>
        <v>0</v>
      </c>
      <c r="L55" s="446"/>
      <c r="M55"/>
      <c r="N55"/>
    </row>
    <row r="56" spans="1:14" s="382" customFormat="1" ht="18.75" customHeight="1">
      <c r="B56" s="2860" t="s">
        <v>2743</v>
      </c>
      <c r="C56" s="2861">
        <f>SUM(C52:C55)</f>
        <v>2922181.2719999999</v>
      </c>
      <c r="D56" s="442"/>
      <c r="E56" s="2861">
        <f>SUM(E52:E55)</f>
        <v>2827917.36</v>
      </c>
      <c r="F56" s="442"/>
      <c r="G56" s="2861">
        <f>SUM(G52:G55)</f>
        <v>2922181.2719999999</v>
      </c>
      <c r="H56" s="442"/>
      <c r="I56" s="2861">
        <f>SUM(I52:I55)</f>
        <v>2922181.2719999999</v>
      </c>
      <c r="J56" s="442"/>
      <c r="K56" s="2861">
        <f>SUM(K52:K55)</f>
        <v>2827917.36</v>
      </c>
      <c r="L56" s="443"/>
      <c r="M56"/>
      <c r="N56"/>
    </row>
    <row r="57" spans="1:14" s="382" customFormat="1" ht="24" customHeight="1">
      <c r="B57" s="441"/>
      <c r="C57" s="442"/>
      <c r="D57" s="442"/>
      <c r="E57" s="442"/>
      <c r="F57" s="442"/>
      <c r="G57" s="442"/>
      <c r="H57" s="442"/>
      <c r="I57" s="442"/>
      <c r="J57" s="442"/>
      <c r="K57" s="442"/>
      <c r="L57" s="443"/>
      <c r="M57"/>
      <c r="N57"/>
    </row>
    <row r="58" spans="1:14" s="382" customFormat="1" ht="18.75" customHeight="1">
      <c r="B58" s="441" t="s">
        <v>2744</v>
      </c>
      <c r="C58" s="442">
        <f>+'Part V-Revenues &amp; Expenses'!F224+'Part V-Revenues &amp; Expenses'!F233+'Part V-Revenues &amp; Expenses'!L220+'Part V-Revenues &amp; Expenses'!L228</f>
        <v>32944</v>
      </c>
      <c r="D58" s="442"/>
      <c r="E58" s="442">
        <f>$C$58</f>
        <v>32944</v>
      </c>
      <c r="F58" s="442"/>
      <c r="G58" s="442">
        <f>$C$58</f>
        <v>32944</v>
      </c>
      <c r="H58" s="442"/>
      <c r="I58" s="442">
        <f>$C$58</f>
        <v>32944</v>
      </c>
      <c r="J58" s="442"/>
      <c r="K58" s="442">
        <f>$C$58</f>
        <v>32944</v>
      </c>
      <c r="L58" s="443"/>
      <c r="M58"/>
      <c r="N58"/>
    </row>
    <row r="59" spans="1:14" s="382" customFormat="1" ht="18.75" customHeight="1">
      <c r="B59" s="441" t="s">
        <v>2745</v>
      </c>
      <c r="C59" s="442">
        <f>+'Part V-Revenues &amp; Expenses'!F244</f>
        <v>3500</v>
      </c>
      <c r="D59" s="442"/>
      <c r="E59" s="442">
        <f>$C$59</f>
        <v>3500</v>
      </c>
      <c r="F59" s="442"/>
      <c r="G59" s="442">
        <f>$C$59</f>
        <v>3500</v>
      </c>
      <c r="H59" s="442"/>
      <c r="I59" s="442">
        <f>$C$59</f>
        <v>3500</v>
      </c>
      <c r="J59" s="442"/>
      <c r="K59" s="442">
        <f>$C$59*(1+$L$59)</f>
        <v>3640</v>
      </c>
      <c r="L59" s="447">
        <v>0.04</v>
      </c>
      <c r="M59"/>
      <c r="N59"/>
    </row>
    <row r="60" spans="1:14" s="382" customFormat="1" ht="18.75" customHeight="1">
      <c r="B60" s="441" t="s">
        <v>1266</v>
      </c>
      <c r="C60" s="442">
        <f>+'Part V-Revenues &amp; Expenses'!L237</f>
        <v>78421</v>
      </c>
      <c r="D60" s="442"/>
      <c r="E60" s="442">
        <f>$C$60</f>
        <v>78421</v>
      </c>
      <c r="F60" s="442"/>
      <c r="G60" s="442">
        <f>$C$60</f>
        <v>78421</v>
      </c>
      <c r="H60" s="442"/>
      <c r="I60" s="442">
        <f>$C$60*(1+$J$50)</f>
        <v>80773.63</v>
      </c>
      <c r="J60" s="444"/>
      <c r="K60" s="442">
        <f>$C$60*(1+$J$50)</f>
        <v>80773.63</v>
      </c>
      <c r="L60" s="445">
        <v>0.03</v>
      </c>
      <c r="M60"/>
      <c r="N60"/>
    </row>
    <row r="61" spans="1:14" s="382" customFormat="1" ht="18.75" customHeight="1">
      <c r="B61" s="441" t="s">
        <v>1290</v>
      </c>
      <c r="C61" s="442">
        <f>+'Part V-Revenues &amp; Expenses'!L244</f>
        <v>114826</v>
      </c>
      <c r="D61" s="442"/>
      <c r="E61" s="442">
        <f>$C$61</f>
        <v>114826</v>
      </c>
      <c r="F61" s="442"/>
      <c r="G61" s="442">
        <f>$C$61*(1+H50)</f>
        <v>120567.3</v>
      </c>
      <c r="H61" s="444"/>
      <c r="I61" s="442">
        <f>$C$61</f>
        <v>114826</v>
      </c>
      <c r="J61" s="442"/>
      <c r="K61" s="442">
        <f>$C$61*(1+$L$61)</f>
        <v>120567.3</v>
      </c>
      <c r="L61" s="445">
        <v>0.05</v>
      </c>
      <c r="M61"/>
      <c r="N61"/>
    </row>
    <row r="62" spans="1:14" s="382" customFormat="1" ht="18.75" customHeight="1">
      <c r="B62" s="2860" t="s">
        <v>2746</v>
      </c>
      <c r="C62" s="2861">
        <f>SUM(C58:C61)</f>
        <v>229691</v>
      </c>
      <c r="D62" s="442"/>
      <c r="E62" s="2861">
        <f>SUM(E58:E61)</f>
        <v>229691</v>
      </c>
      <c r="F62" s="442"/>
      <c r="G62" s="2861">
        <f>SUM(G58:G61)</f>
        <v>235432.3</v>
      </c>
      <c r="H62" s="442"/>
      <c r="I62" s="2861">
        <f>SUM(I58:I61)</f>
        <v>232043.63</v>
      </c>
      <c r="J62" s="442"/>
      <c r="K62" s="2861">
        <f>SUM(K58:K61)</f>
        <v>237924.93</v>
      </c>
      <c r="L62" s="441"/>
      <c r="M62"/>
      <c r="N62"/>
    </row>
    <row r="63" spans="1:14" s="382" customFormat="1" ht="24" customHeight="1">
      <c r="B63" s="441"/>
      <c r="C63" s="442"/>
      <c r="D63" s="442"/>
      <c r="E63" s="442"/>
      <c r="F63" s="442"/>
      <c r="G63" s="442"/>
      <c r="H63" s="442"/>
      <c r="I63" s="442"/>
      <c r="J63" s="442"/>
      <c r="K63" s="442"/>
      <c r="L63" s="441"/>
      <c r="M63"/>
      <c r="N63"/>
    </row>
    <row r="64" spans="1:14" s="382" customFormat="1" ht="15.75">
      <c r="A64"/>
      <c r="B64" s="448" t="s">
        <v>2747</v>
      </c>
      <c r="C64" s="449">
        <f>C56-C62</f>
        <v>2692490.2719999999</v>
      </c>
      <c r="D64" s="449"/>
      <c r="E64" s="449">
        <f>E56-E62</f>
        <v>2598226.36</v>
      </c>
      <c r="F64" s="449"/>
      <c r="G64" s="449">
        <f>G56-G62</f>
        <v>2686748.9720000001</v>
      </c>
      <c r="H64" s="449"/>
      <c r="I64" s="449">
        <f>I56-I62</f>
        <v>2690137.642</v>
      </c>
      <c r="J64" s="449"/>
      <c r="K64" s="449">
        <f>K56-K62</f>
        <v>2589992.4299999997</v>
      </c>
      <c r="L64" s="13"/>
      <c r="M64"/>
      <c r="N64"/>
    </row>
    <row r="65" spans="1:14" s="382" customFormat="1" ht="24" customHeight="1">
      <c r="A65"/>
      <c r="B65" s="441"/>
      <c r="C65" s="442"/>
      <c r="D65" s="442"/>
      <c r="E65" s="442"/>
      <c r="F65" s="442"/>
      <c r="G65" s="442"/>
      <c r="H65" s="442"/>
      <c r="I65" s="442"/>
      <c r="J65" s="442"/>
      <c r="K65" s="442"/>
      <c r="L65" s="13"/>
      <c r="M65"/>
      <c r="N65"/>
    </row>
    <row r="66" spans="1:14" s="382" customFormat="1" ht="15">
      <c r="A66"/>
      <c r="B66" s="441" t="s">
        <v>2748</v>
      </c>
      <c r="C66" s="442">
        <f>'Part V-Revenues &amp; Expenses'!Q231</f>
        <v>0</v>
      </c>
      <c r="D66" s="442"/>
      <c r="E66" s="442">
        <f>$C$66</f>
        <v>0</v>
      </c>
      <c r="F66" s="442"/>
      <c r="G66" s="442">
        <f>$C$66</f>
        <v>0</v>
      </c>
      <c r="H66" s="442"/>
      <c r="I66" s="442">
        <f>$C$66</f>
        <v>0</v>
      </c>
      <c r="J66" s="442"/>
      <c r="K66" s="442">
        <f>$C$66</f>
        <v>0</v>
      </c>
      <c r="L66" s="13"/>
      <c r="M66"/>
      <c r="N66"/>
    </row>
    <row r="67" spans="1:14" s="382" customFormat="1" ht="6" customHeight="1">
      <c r="A67"/>
      <c r="B67" s="441"/>
      <c r="C67" s="442"/>
      <c r="D67" s="442"/>
      <c r="E67" s="442"/>
      <c r="F67" s="442"/>
      <c r="G67" s="442"/>
      <c r="H67" s="442"/>
      <c r="I67" s="442"/>
      <c r="J67" s="442"/>
      <c r="K67" s="442"/>
      <c r="L67" s="13"/>
      <c r="M67"/>
      <c r="N67"/>
    </row>
    <row r="68" spans="1:14" s="382" customFormat="1" ht="15">
      <c r="A68"/>
      <c r="B68" s="441" t="s">
        <v>2749</v>
      </c>
      <c r="C68" s="442">
        <f>'Part V-Revenues &amp; Expenses'!Q217</f>
        <v>0</v>
      </c>
      <c r="D68" s="442"/>
      <c r="E68" s="442">
        <f>$C$68</f>
        <v>0</v>
      </c>
      <c r="F68" s="442"/>
      <c r="G68" s="442">
        <f>$C$68</f>
        <v>0</v>
      </c>
      <c r="H68" s="442"/>
      <c r="I68" s="442">
        <f>$C$68</f>
        <v>0</v>
      </c>
      <c r="J68" s="442"/>
      <c r="K68" s="442">
        <f>$C$68</f>
        <v>0</v>
      </c>
      <c r="L68" s="13"/>
      <c r="M68"/>
      <c r="N68"/>
    </row>
    <row r="69" spans="1:14" s="382" customFormat="1" ht="24" customHeight="1">
      <c r="A69"/>
      <c r="B69" s="450"/>
      <c r="C69" s="442"/>
      <c r="D69" s="442"/>
      <c r="E69" s="442"/>
      <c r="F69" s="442"/>
      <c r="G69" s="442"/>
      <c r="H69" s="442"/>
      <c r="I69" s="442"/>
      <c r="J69" s="442"/>
      <c r="K69" s="442"/>
      <c r="L69" s="13"/>
      <c r="M69"/>
      <c r="N69"/>
    </row>
    <row r="70" spans="1:14" s="382" customFormat="1" ht="15.75">
      <c r="A70"/>
      <c r="B70" s="2862" t="s">
        <v>2750</v>
      </c>
      <c r="C70" s="2863">
        <f>C64-C66-C68</f>
        <v>2692490.2719999999</v>
      </c>
      <c r="D70" s="449"/>
      <c r="E70" s="2863">
        <f>E64-E66-E68</f>
        <v>2598226.36</v>
      </c>
      <c r="F70" s="449"/>
      <c r="G70" s="2863">
        <f>G64-G66-G68</f>
        <v>2686748.9720000001</v>
      </c>
      <c r="H70" s="449"/>
      <c r="I70" s="2863">
        <f>I64-I66-I68</f>
        <v>2690137.642</v>
      </c>
      <c r="J70" s="449"/>
      <c r="K70" s="2863">
        <f>K64-K66-K68</f>
        <v>2589992.4299999997</v>
      </c>
      <c r="L70" s="13"/>
      <c r="M70"/>
      <c r="N70"/>
    </row>
    <row r="71" spans="1:14" s="382" customFormat="1" ht="30" customHeight="1">
      <c r="A71"/>
      <c r="B71" s="441"/>
      <c r="C71" s="442"/>
      <c r="D71" s="442"/>
      <c r="E71" s="442"/>
      <c r="F71" s="442"/>
      <c r="G71" s="442"/>
      <c r="H71" s="442"/>
      <c r="I71" s="442"/>
      <c r="J71" s="442"/>
      <c r="K71" s="442"/>
      <c r="L71" s="13"/>
      <c r="M71"/>
      <c r="N71"/>
    </row>
    <row r="72" spans="1:14" s="385" customFormat="1" ht="18.75" customHeight="1">
      <c r="A72" s="7"/>
      <c r="B72" s="448" t="s">
        <v>2751</v>
      </c>
      <c r="C72" s="814">
        <f>-C70/C75</f>
        <v>2.3424696970509835</v>
      </c>
      <c r="D72" s="451"/>
      <c r="E72" s="814">
        <f>-E70/E75</f>
        <v>2.2604599829651972</v>
      </c>
      <c r="F72" s="451"/>
      <c r="G72" s="814">
        <f>-G70/G75</f>
        <v>2.3374747593119185</v>
      </c>
      <c r="H72" s="451"/>
      <c r="I72" s="814">
        <f>-I70/I75</f>
        <v>2.3404229061894961</v>
      </c>
      <c r="J72" s="451"/>
      <c r="K72" s="814">
        <f>-K70/K75</f>
        <v>2.2532964542003144</v>
      </c>
      <c r="L72" s="4"/>
      <c r="M72" s="7"/>
      <c r="N72" s="7"/>
    </row>
    <row r="73" spans="1:14" s="382" customFormat="1" ht="18.75" customHeight="1">
      <c r="A73"/>
      <c r="B73" s="441" t="s">
        <v>2752</v>
      </c>
      <c r="C73" s="815">
        <f>C76/C62</f>
        <v>6.7180104376060328</v>
      </c>
      <c r="D73" s="452"/>
      <c r="E73" s="815">
        <f>E76/E62</f>
        <v>6.3076159859296501</v>
      </c>
      <c r="F73" s="452"/>
      <c r="G73" s="815">
        <f>G76/G62</f>
        <v>6.5297974637471903</v>
      </c>
      <c r="H73" s="452"/>
      <c r="I73" s="815">
        <f>I76/I62</f>
        <v>6.6397595375669969</v>
      </c>
      <c r="J73" s="452"/>
      <c r="K73" s="815">
        <f>K76/K62</f>
        <v>6.0547194168520599</v>
      </c>
      <c r="L73" s="13"/>
      <c r="M73"/>
      <c r="N73"/>
    </row>
    <row r="74" spans="1:14" s="382" customFormat="1" ht="24" customHeight="1">
      <c r="A74"/>
      <c r="B74" s="441"/>
      <c r="C74" s="442"/>
      <c r="D74" s="442"/>
      <c r="E74" s="442"/>
      <c r="F74" s="442"/>
      <c r="G74" s="442"/>
      <c r="H74" s="442"/>
      <c r="I74" s="442"/>
      <c r="J74" s="442"/>
      <c r="K74" s="442"/>
      <c r="L74" s="13"/>
      <c r="M74"/>
      <c r="N74"/>
    </row>
    <row r="75" spans="1:14" s="382" customFormat="1" ht="18.75" customHeight="1">
      <c r="A75"/>
      <c r="B75" s="441" t="s">
        <v>2753</v>
      </c>
      <c r="C75" s="442">
        <f>+SUM('Part VI-Pro Forma'!B26:B29)</f>
        <v>-1149423.7365758326</v>
      </c>
      <c r="D75" s="442"/>
      <c r="E75" s="442">
        <f>$C$75</f>
        <v>-1149423.7365758326</v>
      </c>
      <c r="F75" s="442"/>
      <c r="G75" s="442">
        <f>$C$75</f>
        <v>-1149423.7365758326</v>
      </c>
      <c r="H75" s="442"/>
      <c r="I75" s="442">
        <f>$C$75</f>
        <v>-1149423.7365758326</v>
      </c>
      <c r="J75" s="442"/>
      <c r="K75" s="442">
        <f>$C$75</f>
        <v>-1149423.7365758326</v>
      </c>
      <c r="L75" s="13"/>
      <c r="M75"/>
      <c r="N75"/>
    </row>
    <row r="76" spans="1:14" s="382" customFormat="1" ht="18.75" customHeight="1">
      <c r="A76"/>
      <c r="B76" s="441" t="s">
        <v>1357</v>
      </c>
      <c r="C76" s="442">
        <f>C70+C75</f>
        <v>1543066.5354241673</v>
      </c>
      <c r="D76" s="442"/>
      <c r="E76" s="442">
        <f>E70+E75</f>
        <v>1448802.6234241673</v>
      </c>
      <c r="F76" s="442"/>
      <c r="G76" s="442">
        <f>G70+G75</f>
        <v>1537325.2354241675</v>
      </c>
      <c r="H76" s="442"/>
      <c r="I76" s="442">
        <f>I70+I75</f>
        <v>1540713.9054241674</v>
      </c>
      <c r="J76" s="442"/>
      <c r="K76" s="442">
        <f>K70+K75</f>
        <v>1440568.6934241671</v>
      </c>
      <c r="L76" s="13"/>
      <c r="M76"/>
      <c r="N76"/>
    </row>
    <row r="77" spans="1:14" s="382" customFormat="1" ht="15" hidden="1">
      <c r="A77"/>
      <c r="B77" s="441" t="s">
        <v>2754</v>
      </c>
      <c r="C77" s="453" t="e">
        <f>PV(intrate/12,30*12,C75/12,0)</f>
        <v>#NAME?</v>
      </c>
      <c r="D77" s="441"/>
      <c r="E77" s="453" t="e">
        <f>PV(intrate/12,30*12,E75/12,0)</f>
        <v>#NAME?</v>
      </c>
      <c r="F77" s="441"/>
      <c r="G77" s="453" t="e">
        <f>PV(intrate/12,30*12,G75/12,0)</f>
        <v>#NAME?</v>
      </c>
      <c r="H77" s="441"/>
      <c r="I77" s="453" t="e">
        <f>PV(intrate/12,30*12,I75/12,0)</f>
        <v>#NAME?</v>
      </c>
      <c r="J77" s="441"/>
      <c r="K77" s="453" t="e">
        <f>PV(intrate/12,30*12,K75/12,0)</f>
        <v>#NAME?</v>
      </c>
      <c r="L77" s="13"/>
      <c r="M77"/>
      <c r="N77"/>
    </row>
    <row r="78" spans="1:14" s="382" customFormat="1" ht="15" hidden="1">
      <c r="A78"/>
      <c r="B78" s="454" t="s">
        <v>2755</v>
      </c>
      <c r="C78" s="441"/>
      <c r="D78" s="441"/>
      <c r="E78" s="441"/>
      <c r="F78" s="441"/>
      <c r="G78" s="441"/>
      <c r="H78" s="441"/>
      <c r="I78" s="441"/>
      <c r="J78" s="441"/>
      <c r="K78" s="441"/>
      <c r="L78" s="13"/>
      <c r="M78"/>
      <c r="N78"/>
    </row>
    <row r="79" spans="1:14" s="382" customFormat="1" ht="15" hidden="1">
      <c r="A79"/>
      <c r="B79" s="441"/>
      <c r="C79" s="441"/>
      <c r="D79" s="441"/>
      <c r="E79" s="441"/>
      <c r="F79" s="441"/>
      <c r="G79" s="441"/>
      <c r="H79" s="441"/>
      <c r="I79" s="441"/>
      <c r="J79" s="441"/>
      <c r="K79" s="441"/>
      <c r="L79" s="13"/>
      <c r="M79"/>
      <c r="N79"/>
    </row>
    <row r="80" spans="1:14" s="382" customFormat="1" ht="15.75" hidden="1" thickBot="1">
      <c r="A80"/>
      <c r="B80" s="441" t="s">
        <v>2756</v>
      </c>
      <c r="C80" s="453" t="e">
        <f>MIN(C77,E77,G77,I77,K77)</f>
        <v>#NAME?</v>
      </c>
      <c r="D80" s="441"/>
      <c r="E80" s="441" t="s">
        <v>2757</v>
      </c>
      <c r="F80" s="455">
        <v>0.06</v>
      </c>
      <c r="G80" s="13"/>
      <c r="H80" s="13"/>
      <c r="I80" s="13"/>
      <c r="J80" s="13"/>
      <c r="K80" s="13"/>
      <c r="L80" s="13"/>
      <c r="M80"/>
      <c r="N80"/>
    </row>
    <row r="81" spans="1:14" s="382" customFormat="1" ht="15" hidden="1">
      <c r="A81"/>
      <c r="B81" s="441" t="s">
        <v>2758</v>
      </c>
      <c r="C81" s="453" t="e">
        <f>MAX(C77,E77,G77,I77,K77)</f>
        <v>#NAME?</v>
      </c>
      <c r="D81" s="441"/>
      <c r="E81" s="441"/>
      <c r="F81" s="441"/>
      <c r="G81" s="13"/>
      <c r="H81" s="13"/>
      <c r="I81" s="13"/>
      <c r="J81" s="13"/>
      <c r="K81" s="13"/>
      <c r="L81" s="13"/>
      <c r="M81"/>
      <c r="N81"/>
    </row>
    <row r="82" spans="1:14" s="382" customFormat="1" ht="15">
      <c r="A82"/>
      <c r="B82" s="441"/>
      <c r="C82" s="441"/>
      <c r="D82" s="441"/>
      <c r="E82" s="441" t="s">
        <v>2682</v>
      </c>
      <c r="F82" s="441"/>
      <c r="G82" s="13"/>
      <c r="H82" s="13"/>
      <c r="I82" s="13"/>
      <c r="J82" s="13"/>
      <c r="K82" s="13"/>
      <c r="L82" s="13"/>
      <c r="M82"/>
      <c r="N82"/>
    </row>
    <row r="83" spans="1:14" s="382"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391"/>
    <col min="2" max="2" width="7.7109375" style="391" customWidth="1"/>
    <col min="3" max="3" width="14.7109375" style="391" customWidth="1"/>
    <col min="4" max="4" width="20.28515625" style="391" customWidth="1"/>
    <col min="5" max="5" width="8" style="391" customWidth="1"/>
    <col min="6" max="6" width="5.28515625" style="391" customWidth="1"/>
    <col min="7" max="7" width="5.42578125" style="391" customWidth="1"/>
    <col min="8" max="8" width="8.5703125" style="391" customWidth="1"/>
    <col min="9" max="9" width="28.5703125" style="391" customWidth="1"/>
    <col min="10" max="10" width="4.28515625" style="391" hidden="1" customWidth="1"/>
    <col min="11" max="11" width="9.28515625" style="391"/>
    <col min="12" max="12" width="16.28515625" style="391" customWidth="1"/>
    <col min="13" max="13" width="11.28515625" style="391" customWidth="1"/>
    <col min="14" max="14" width="10.7109375" style="391" bestFit="1" customWidth="1"/>
    <col min="15" max="15" width="28.5703125" style="391" customWidth="1"/>
    <col min="16" max="16384" width="9.28515625" style="391"/>
  </cols>
  <sheetData>
    <row r="2" spans="1:10" ht="15">
      <c r="A2" s="388" t="s">
        <v>2759</v>
      </c>
      <c r="B2" s="389"/>
      <c r="C2" s="389"/>
      <c r="D2" s="389"/>
      <c r="E2" s="390"/>
      <c r="F2" s="389"/>
      <c r="G2" s="389"/>
      <c r="H2" s="389"/>
      <c r="I2" s="389"/>
      <c r="J2" s="389"/>
    </row>
    <row r="3" spans="1:10" ht="15">
      <c r="A3" s="392"/>
    </row>
    <row r="4" spans="1:10" ht="15">
      <c r="A4" s="392" t="s">
        <v>2760</v>
      </c>
      <c r="D4" s="391" t="s">
        <v>2761</v>
      </c>
    </row>
    <row r="5" spans="1:10" ht="15">
      <c r="A5" s="392"/>
    </row>
    <row r="6" spans="1:10" ht="15">
      <c r="A6" s="392" t="s">
        <v>2762</v>
      </c>
      <c r="D6" s="391" t="s">
        <v>2763</v>
      </c>
    </row>
    <row r="7" spans="1:10" ht="15">
      <c r="A7" s="392"/>
    </row>
    <row r="8" spans="1:10" ht="15">
      <c r="A8" s="392" t="s">
        <v>2764</v>
      </c>
      <c r="D8" s="393" t="s">
        <v>2765</v>
      </c>
    </row>
    <row r="9" spans="1:10" ht="15">
      <c r="A9" s="392"/>
    </row>
    <row r="10" spans="1:10" ht="15">
      <c r="A10" s="392" t="s">
        <v>2766</v>
      </c>
      <c r="D10" s="393" t="s">
        <v>2767</v>
      </c>
    </row>
    <row r="11" spans="1:10" ht="15">
      <c r="A11" s="392"/>
      <c r="D11" s="834"/>
    </row>
    <row r="12" spans="1:10" ht="15">
      <c r="A12" s="392" t="s">
        <v>2768</v>
      </c>
      <c r="D12" s="391" t="s">
        <v>52</v>
      </c>
      <c r="F12" s="834" t="str">
        <f>'Sensitivity Analysis'!$C$8</f>
        <v>Ashley Collegetown Phase I</v>
      </c>
    </row>
    <row r="13" spans="1:10" ht="15">
      <c r="A13" s="392"/>
      <c r="D13" s="391" t="s">
        <v>2769</v>
      </c>
      <c r="F13" s="834" t="str">
        <f>'Sensitivity Analysis'!E8</f>
        <v>2023-5</v>
      </c>
    </row>
    <row r="14" spans="1:10" ht="15">
      <c r="A14" s="392"/>
      <c r="D14" s="391" t="s">
        <v>2770</v>
      </c>
      <c r="F14" s="834" t="str">
        <f>'Sensitivity Analysis'!H8</f>
        <v>Atlanta, Fulton</v>
      </c>
    </row>
    <row r="15" spans="1:10" ht="15">
      <c r="A15" s="392"/>
      <c r="D15" s="391" t="s">
        <v>2771</v>
      </c>
      <c r="F15" s="4681">
        <f>'Sensitivity Analysis'!$C$25</f>
        <v>14100000</v>
      </c>
      <c r="G15" s="4681"/>
      <c r="H15" s="4681"/>
    </row>
    <row r="16" spans="1:10" ht="15">
      <c r="A16" s="392"/>
      <c r="D16" s="394" t="s">
        <v>2772</v>
      </c>
      <c r="F16" s="395">
        <f>'Sensitivity Analysis'!C13</f>
        <v>199</v>
      </c>
      <c r="G16" s="396" t="s">
        <v>2773</v>
      </c>
      <c r="H16" s="784">
        <f>'Sensitivity Analysis'!E13</f>
        <v>118</v>
      </c>
    </row>
    <row r="17" spans="1:18" ht="15">
      <c r="A17" s="392"/>
      <c r="D17" s="394" t="s">
        <v>2774</v>
      </c>
      <c r="F17" s="395" t="str">
        <f>'Sensitivity Analysis'!C14</f>
        <v>&lt;&lt; Select PROPOSED Tenancy &gt;&gt;</v>
      </c>
    </row>
    <row r="18" spans="1:18" ht="15">
      <c r="A18" s="392"/>
      <c r="D18" s="394" t="s">
        <v>2775</v>
      </c>
      <c r="F18" s="834" t="str">
        <f>'Sensitivity Analysis'!H15</f>
        <v>Urban</v>
      </c>
    </row>
    <row r="19" spans="1:18" ht="15">
      <c r="A19" s="392"/>
      <c r="D19" s="394" t="s">
        <v>2776</v>
      </c>
      <c r="F19" s="834">
        <f>'Sensitivity Analysis'!E16</f>
        <v>0</v>
      </c>
    </row>
    <row r="20" spans="1:18" ht="15">
      <c r="A20" s="392"/>
      <c r="D20" s="394"/>
    </row>
    <row r="21" spans="1:18" ht="15">
      <c r="A21" s="397" t="s">
        <v>2777</v>
      </c>
    </row>
    <row r="22" spans="1:18" ht="111.75" customHeight="1">
      <c r="A22" s="4673" t="s">
        <v>2778</v>
      </c>
      <c r="B22" s="4673"/>
      <c r="C22" s="4673"/>
      <c r="D22" s="4673"/>
      <c r="E22" s="4673"/>
      <c r="F22" s="4673"/>
      <c r="G22" s="4673"/>
      <c r="H22" s="4673"/>
      <c r="I22" s="4673"/>
      <c r="J22" s="4673"/>
      <c r="K22" s="4672" t="s">
        <v>2779</v>
      </c>
      <c r="L22" s="4672"/>
      <c r="M22" s="4672"/>
      <c r="N22" s="4672"/>
      <c r="O22" s="1015"/>
      <c r="P22" s="1015"/>
      <c r="Q22" s="1015"/>
      <c r="R22" s="1015"/>
    </row>
    <row r="23" spans="1:18" ht="0.75" hidden="1" customHeight="1">
      <c r="A23" s="1008"/>
      <c r="B23" s="1008"/>
      <c r="C23" s="1008"/>
      <c r="D23" s="1008"/>
      <c r="E23" s="1008"/>
      <c r="F23" s="1008"/>
      <c r="G23" s="1008"/>
      <c r="H23" s="1008"/>
      <c r="I23" s="1008"/>
      <c r="J23" s="1008"/>
    </row>
    <row r="24" spans="1:18" ht="9.75" hidden="1" customHeight="1">
      <c r="A24" s="4674"/>
      <c r="B24" s="4674"/>
      <c r="C24" s="4674"/>
      <c r="D24" s="4674"/>
      <c r="E24" s="4674"/>
      <c r="F24" s="4674"/>
      <c r="G24" s="4674"/>
      <c r="H24" s="4674"/>
      <c r="I24" s="4674"/>
      <c r="J24" s="4674"/>
    </row>
    <row r="25" spans="1:18" ht="10.5" hidden="1" customHeight="1">
      <c r="A25" s="4659"/>
      <c r="B25" s="4659"/>
      <c r="C25" s="4659"/>
      <c r="D25" s="4659"/>
      <c r="E25" s="4659"/>
      <c r="F25" s="4659"/>
      <c r="G25" s="4659"/>
      <c r="H25" s="4659"/>
      <c r="I25" s="4659"/>
      <c r="J25" s="4659"/>
    </row>
    <row r="26" spans="1:18" ht="15">
      <c r="A26" s="397" t="s">
        <v>2780</v>
      </c>
    </row>
    <row r="27" spans="1:18" ht="14.25" customHeight="1">
      <c r="A27" s="4675" t="s">
        <v>2781</v>
      </c>
      <c r="B27" s="4675"/>
      <c r="C27" s="4675"/>
      <c r="D27" s="4675"/>
      <c r="E27" s="4675"/>
      <c r="F27" s="4675"/>
      <c r="G27" s="4675"/>
      <c r="H27" s="4675"/>
      <c r="I27" s="4675"/>
      <c r="J27" s="4675"/>
    </row>
    <row r="28" spans="1:18" ht="14.25" customHeight="1">
      <c r="A28" s="4675"/>
      <c r="B28" s="4675"/>
      <c r="C28" s="4675"/>
      <c r="D28" s="4675"/>
      <c r="E28" s="4675"/>
      <c r="F28" s="4675"/>
      <c r="G28" s="4675"/>
      <c r="H28" s="4675"/>
      <c r="I28" s="4675"/>
      <c r="J28" s="4675"/>
    </row>
    <row r="29" spans="1:18" ht="6.75" customHeight="1">
      <c r="A29" s="4675"/>
      <c r="B29" s="4675"/>
      <c r="C29" s="4675"/>
      <c r="D29" s="4675"/>
      <c r="E29" s="4675"/>
      <c r="F29" s="4675"/>
      <c r="G29" s="4675"/>
      <c r="H29" s="4675"/>
      <c r="I29" s="4675"/>
      <c r="J29" s="4675"/>
    </row>
    <row r="30" spans="1:18" ht="21.75" customHeight="1">
      <c r="A30" s="4675"/>
      <c r="B30" s="4675"/>
      <c r="C30" s="4675"/>
      <c r="D30" s="4675"/>
      <c r="E30" s="4675"/>
      <c r="F30" s="4675"/>
      <c r="G30" s="4675"/>
      <c r="H30" s="4675"/>
      <c r="I30" s="4675"/>
      <c r="J30" s="4675"/>
    </row>
    <row r="31" spans="1:18" ht="20.25" customHeight="1">
      <c r="A31" s="4675"/>
      <c r="B31" s="4675"/>
      <c r="C31" s="4675"/>
      <c r="D31" s="4675"/>
      <c r="E31" s="4675"/>
      <c r="F31" s="4675"/>
      <c r="G31" s="4675"/>
      <c r="H31" s="4675"/>
      <c r="I31" s="4675"/>
      <c r="J31" s="4675"/>
    </row>
    <row r="32" spans="1:18" ht="54.75" customHeight="1">
      <c r="A32" s="4675"/>
      <c r="B32" s="4675"/>
      <c r="C32" s="4675"/>
      <c r="D32" s="4675"/>
      <c r="E32" s="4675"/>
      <c r="F32" s="4675"/>
      <c r="G32" s="4675"/>
      <c r="H32" s="4675"/>
      <c r="I32" s="4675"/>
      <c r="J32" s="4675"/>
    </row>
    <row r="33" spans="1:10" ht="0.75" hidden="1" customHeight="1">
      <c r="A33" s="4675"/>
      <c r="B33" s="4675"/>
      <c r="C33" s="4675"/>
      <c r="D33" s="4675"/>
      <c r="E33" s="4675"/>
      <c r="F33" s="4675"/>
      <c r="G33" s="4675"/>
      <c r="H33" s="4675"/>
      <c r="I33" s="4675"/>
      <c r="J33" s="4675"/>
    </row>
    <row r="34" spans="1:10" ht="3.75" hidden="1" customHeight="1">
      <c r="A34" s="4675"/>
      <c r="B34" s="4675"/>
      <c r="C34" s="4675"/>
      <c r="D34" s="4675"/>
      <c r="E34" s="4675"/>
      <c r="F34" s="4675"/>
      <c r="G34" s="4675"/>
      <c r="H34" s="4675"/>
      <c r="I34" s="4675"/>
      <c r="J34" s="4675"/>
    </row>
    <row r="35" spans="1:10" ht="5.25" customHeight="1">
      <c r="A35" s="1010"/>
      <c r="B35" s="1010"/>
      <c r="C35" s="1010"/>
      <c r="D35" s="1010"/>
      <c r="E35" s="1010"/>
      <c r="F35" s="1010"/>
      <c r="G35" s="1010"/>
      <c r="H35" s="1010"/>
      <c r="I35" s="1010"/>
      <c r="J35" s="1010"/>
    </row>
    <row r="36" spans="1:10" ht="19.5" customHeight="1">
      <c r="A36" s="4674" t="s">
        <v>2782</v>
      </c>
      <c r="B36" s="4674"/>
      <c r="C36" s="4674"/>
      <c r="D36" s="1008"/>
      <c r="E36" s="1008"/>
      <c r="F36" s="1008"/>
      <c r="G36" s="1008"/>
      <c r="H36" s="1008"/>
      <c r="I36" s="1008"/>
      <c r="J36" s="1008"/>
    </row>
    <row r="37" spans="1:10" ht="22.5" customHeight="1">
      <c r="A37" s="4659" t="s">
        <v>1459</v>
      </c>
      <c r="B37" s="4659"/>
      <c r="C37" s="4659"/>
      <c r="D37" s="4659"/>
      <c r="E37" s="4659"/>
      <c r="F37" s="4659"/>
      <c r="G37" s="4659"/>
      <c r="H37" s="4659"/>
      <c r="I37" s="4659"/>
      <c r="J37" s="4659"/>
    </row>
    <row r="38" spans="1:10" ht="22.5" customHeight="1">
      <c r="A38" s="4659" t="s">
        <v>1462</v>
      </c>
      <c r="B38" s="4659"/>
      <c r="C38" s="4659"/>
      <c r="D38" s="4659"/>
      <c r="E38" s="4659"/>
      <c r="F38" s="4659"/>
      <c r="G38" s="4659"/>
      <c r="H38" s="4659"/>
      <c r="I38" s="4659"/>
      <c r="J38" s="4659"/>
    </row>
    <row r="39" spans="1:10" ht="22.5" customHeight="1">
      <c r="A39" s="4659" t="s">
        <v>1463</v>
      </c>
      <c r="B39" s="4659"/>
      <c r="C39" s="4659"/>
      <c r="D39" s="4659"/>
      <c r="E39" s="4659"/>
      <c r="F39" s="4659"/>
      <c r="G39" s="4659"/>
      <c r="H39" s="4659"/>
      <c r="I39" s="4659"/>
      <c r="J39" s="4659"/>
    </row>
    <row r="40" spans="1:10" ht="22.5" customHeight="1">
      <c r="A40" s="4659" t="s">
        <v>1464</v>
      </c>
      <c r="B40" s="4659"/>
      <c r="C40" s="4659"/>
      <c r="D40" s="4659"/>
      <c r="E40" s="4659"/>
      <c r="F40" s="4659"/>
      <c r="G40" s="4659"/>
      <c r="H40" s="4659"/>
      <c r="I40" s="4659"/>
      <c r="J40" s="4659"/>
    </row>
    <row r="41" spans="1:10" ht="22.5" customHeight="1">
      <c r="A41" s="4659" t="s">
        <v>2068</v>
      </c>
      <c r="B41" s="4659"/>
      <c r="C41" s="4659"/>
      <c r="D41" s="4659"/>
      <c r="E41" s="4659"/>
      <c r="F41" s="4659"/>
      <c r="G41" s="4659"/>
      <c r="H41" s="4659"/>
      <c r="I41" s="4659"/>
      <c r="J41" s="4659"/>
    </row>
    <row r="42" spans="1:10" ht="22.5" customHeight="1">
      <c r="A42" s="4659" t="s">
        <v>2070</v>
      </c>
      <c r="B42" s="4659"/>
      <c r="C42" s="4659"/>
      <c r="D42" s="4659"/>
      <c r="E42" s="4659"/>
      <c r="F42" s="4659"/>
      <c r="G42" s="4659"/>
      <c r="H42" s="4659"/>
      <c r="I42" s="4659"/>
      <c r="J42" s="4659"/>
    </row>
    <row r="43" spans="1:10" ht="22.5" customHeight="1">
      <c r="A43" s="4659" t="s">
        <v>2072</v>
      </c>
      <c r="B43" s="4659"/>
      <c r="C43" s="4659"/>
      <c r="D43" s="4659"/>
      <c r="E43" s="4659"/>
      <c r="F43" s="4659"/>
      <c r="G43" s="4659"/>
      <c r="H43" s="4659"/>
      <c r="I43" s="4659"/>
      <c r="J43" s="4659"/>
    </row>
    <row r="44" spans="1:10" ht="22.5" customHeight="1">
      <c r="A44" s="4659" t="s">
        <v>2074</v>
      </c>
      <c r="B44" s="4659"/>
      <c r="C44" s="4659"/>
      <c r="D44" s="4659"/>
      <c r="E44" s="4659"/>
      <c r="F44" s="4659"/>
      <c r="G44" s="4659"/>
      <c r="H44" s="4659"/>
      <c r="I44" s="4659"/>
      <c r="J44" s="4659"/>
    </row>
    <row r="45" spans="1:10" ht="2.25" customHeight="1">
      <c r="A45" s="1008"/>
      <c r="B45" s="1008"/>
      <c r="C45" s="1008"/>
      <c r="D45" s="1008"/>
      <c r="E45" s="1008"/>
      <c r="F45" s="1008"/>
      <c r="G45" s="1008"/>
      <c r="H45" s="1008"/>
      <c r="I45" s="1008"/>
      <c r="J45" s="1008"/>
    </row>
    <row r="46" spans="1:10" ht="15">
      <c r="A46" s="397" t="s">
        <v>2783</v>
      </c>
    </row>
    <row r="47" spans="1:10" ht="135" customHeight="1">
      <c r="A47" s="4659" t="s">
        <v>2784</v>
      </c>
      <c r="B47" s="4659"/>
      <c r="C47" s="4659"/>
      <c r="D47" s="4659"/>
      <c r="E47" s="4659"/>
      <c r="F47" s="4659"/>
      <c r="G47" s="4659"/>
      <c r="H47" s="4659"/>
      <c r="I47" s="4659"/>
      <c r="J47" s="4659"/>
    </row>
    <row r="48" spans="1:10" ht="6" customHeight="1">
      <c r="A48" s="1009"/>
      <c r="B48" s="1009"/>
      <c r="C48" s="1009"/>
      <c r="D48" s="1009"/>
      <c r="E48" s="1009"/>
      <c r="F48" s="1009"/>
      <c r="G48" s="1009"/>
      <c r="H48" s="1009"/>
      <c r="I48" s="1009"/>
      <c r="J48" s="1009"/>
    </row>
    <row r="49" spans="1:12" ht="15">
      <c r="A49" s="397" t="s">
        <v>2785</v>
      </c>
    </row>
    <row r="50" spans="1:12" ht="33" customHeight="1">
      <c r="A50" s="4655" t="s">
        <v>2786</v>
      </c>
      <c r="B50" s="4657"/>
      <c r="C50" s="4657"/>
      <c r="D50" s="4657"/>
      <c r="E50" s="4657"/>
      <c r="F50" s="4657"/>
      <c r="G50" s="4657"/>
      <c r="H50" s="4657"/>
      <c r="I50" s="4657"/>
      <c r="J50" s="4655"/>
    </row>
    <row r="51" spans="1:12" ht="3" customHeight="1"/>
    <row r="52" spans="1:12" ht="72.75" customHeight="1">
      <c r="A52" s="4655" t="s">
        <v>2787</v>
      </c>
      <c r="B52" s="4655"/>
      <c r="C52" s="4655"/>
      <c r="D52" s="4655"/>
      <c r="E52" s="4655"/>
      <c r="F52" s="4655"/>
      <c r="G52" s="4655"/>
      <c r="H52" s="4655"/>
      <c r="I52" s="4655"/>
      <c r="J52" s="4655"/>
    </row>
    <row r="53" spans="1:12" ht="3" customHeight="1">
      <c r="A53" s="1008"/>
      <c r="B53" s="1008"/>
      <c r="C53" s="1008"/>
      <c r="D53" s="1008"/>
      <c r="E53" s="1008"/>
      <c r="F53" s="1008"/>
      <c r="G53" s="1008"/>
      <c r="H53" s="1008"/>
      <c r="I53" s="1008"/>
      <c r="J53" s="1008"/>
    </row>
    <row r="54" spans="1:12" ht="56.25" customHeight="1">
      <c r="A54" s="4655" t="s">
        <v>2788</v>
      </c>
      <c r="B54" s="4655"/>
      <c r="C54" s="4655"/>
      <c r="D54" s="4655"/>
      <c r="E54" s="4655"/>
      <c r="F54" s="4655"/>
      <c r="G54" s="4655"/>
      <c r="H54" s="4655"/>
      <c r="I54" s="4655"/>
      <c r="J54" s="4655"/>
    </row>
    <row r="55" spans="1:12" ht="3" customHeight="1">
      <c r="A55" s="1008"/>
      <c r="B55" s="1008"/>
      <c r="C55" s="1008"/>
      <c r="D55" s="1008"/>
      <c r="E55" s="1008"/>
      <c r="F55" s="1008"/>
      <c r="G55" s="1008"/>
      <c r="H55" s="1008"/>
      <c r="I55" s="1008"/>
      <c r="J55" s="1008"/>
    </row>
    <row r="56" spans="1:12" ht="49.5" customHeight="1">
      <c r="A56" s="4655" t="s">
        <v>2789</v>
      </c>
      <c r="B56" s="4655"/>
      <c r="C56" s="4655"/>
      <c r="D56" s="4655"/>
      <c r="E56" s="4655"/>
      <c r="F56" s="4655"/>
      <c r="G56" s="4655"/>
      <c r="H56" s="4655"/>
      <c r="I56" s="4655"/>
      <c r="J56" s="1008"/>
    </row>
    <row r="57" spans="1:12" ht="3" customHeight="1">
      <c r="A57" s="1008"/>
      <c r="B57" s="1008"/>
      <c r="C57" s="1008"/>
      <c r="D57" s="1008"/>
      <c r="E57" s="1008"/>
      <c r="F57" s="1008"/>
      <c r="G57" s="1008"/>
      <c r="H57" s="1008"/>
      <c r="I57" s="1008"/>
      <c r="J57" s="1008"/>
    </row>
    <row r="58" spans="1:12" ht="54.75" customHeight="1">
      <c r="A58" s="4686" t="s">
        <v>2790</v>
      </c>
      <c r="B58" s="4655"/>
      <c r="C58" s="4655"/>
      <c r="D58" s="4655"/>
      <c r="E58" s="4655"/>
      <c r="F58" s="4655"/>
      <c r="G58" s="4655"/>
      <c r="H58" s="4655"/>
      <c r="I58" s="4655"/>
      <c r="J58" s="1008"/>
    </row>
    <row r="59" spans="1:12" ht="3" customHeight="1">
      <c r="A59" s="1008"/>
      <c r="B59" s="1008"/>
      <c r="C59" s="1008"/>
      <c r="D59" s="1008"/>
      <c r="E59" s="1008"/>
      <c r="F59" s="1008"/>
      <c r="G59" s="1008"/>
      <c r="H59" s="1008"/>
      <c r="I59" s="1008"/>
      <c r="J59" s="1008"/>
    </row>
    <row r="60" spans="1:12" ht="62.25" customHeight="1">
      <c r="A60" s="4655" t="s">
        <v>2791</v>
      </c>
      <c r="B60" s="4655"/>
      <c r="C60" s="4655"/>
      <c r="D60" s="4655"/>
      <c r="E60" s="4655"/>
      <c r="F60" s="4655"/>
      <c r="G60" s="4655"/>
      <c r="H60" s="4655"/>
      <c r="I60" s="4655"/>
      <c r="J60" s="4655"/>
    </row>
    <row r="61" spans="1:12" ht="3" customHeight="1"/>
    <row r="62" spans="1:12" ht="73.5" customHeight="1">
      <c r="A62" s="4655" t="s">
        <v>2792</v>
      </c>
      <c r="B62" s="4655"/>
      <c r="C62" s="4655"/>
      <c r="D62" s="4655"/>
      <c r="E62" s="4655"/>
      <c r="F62" s="4655"/>
      <c r="G62" s="4655"/>
      <c r="H62" s="4655"/>
      <c r="I62" s="4655"/>
      <c r="J62" s="4655"/>
    </row>
    <row r="63" spans="1:12" ht="6" customHeight="1">
      <c r="A63" s="1008" t="s">
        <v>2682</v>
      </c>
      <c r="B63" s="1008"/>
      <c r="C63" s="1008"/>
      <c r="D63" s="1008"/>
      <c r="E63" s="1008"/>
      <c r="F63" s="1008"/>
      <c r="G63" s="1008"/>
      <c r="H63" s="1008"/>
      <c r="I63" s="1008"/>
      <c r="J63" s="1008"/>
    </row>
    <row r="64" spans="1:12" ht="15">
      <c r="A64" s="397" t="s">
        <v>2793</v>
      </c>
      <c r="L64" s="398" t="s">
        <v>2794</v>
      </c>
    </row>
    <row r="65" spans="1:17" ht="46.5" customHeight="1">
      <c r="A65" s="4673" t="s">
        <v>2795</v>
      </c>
      <c r="B65" s="4673"/>
      <c r="C65" s="4673"/>
      <c r="D65" s="4673"/>
      <c r="E65" s="4673"/>
      <c r="F65" s="4673"/>
      <c r="G65" s="4673"/>
      <c r="H65" s="4673"/>
      <c r="I65" s="4673"/>
      <c r="J65" s="4673"/>
      <c r="L65" s="399">
        <f>'Closing term sheet'!C135</f>
        <v>1250318.5</v>
      </c>
      <c r="M65" s="400"/>
      <c r="N65" s="400"/>
      <c r="O65" s="400"/>
    </row>
    <row r="66" spans="1:17" ht="7.5" customHeight="1">
      <c r="A66" s="1008"/>
      <c r="B66" s="1008"/>
      <c r="C66" s="1008"/>
      <c r="D66" s="1008"/>
      <c r="E66" s="1008"/>
      <c r="F66" s="1008"/>
      <c r="G66" s="1008"/>
      <c r="H66" s="1008"/>
      <c r="I66" s="1008"/>
      <c r="J66" s="1008"/>
      <c r="L66" s="401" t="s">
        <v>2796</v>
      </c>
      <c r="M66" s="402" t="s">
        <v>2797</v>
      </c>
      <c r="N66" s="403" t="s">
        <v>2798</v>
      </c>
      <c r="O66" s="401" t="s">
        <v>2799</v>
      </c>
      <c r="P66" s="402" t="s">
        <v>2800</v>
      </c>
      <c r="Q66" s="403" t="s">
        <v>2801</v>
      </c>
    </row>
    <row r="67" spans="1:17" ht="78.75" customHeight="1">
      <c r="A67" s="4655" t="str">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7794890.23302 via the syndication of the 2021 Federal LIHTC allocation of 896054 per annum. will make a capital contribution totaling 4659480.8 via the syndication of the 2021 State LIHTC allocation of 896054 per annum.</v>
      </c>
      <c r="B67" s="4655"/>
      <c r="C67" s="4655"/>
      <c r="D67" s="4655"/>
      <c r="E67" s="4655"/>
      <c r="F67" s="4655"/>
      <c r="G67" s="4655"/>
      <c r="H67" s="4655"/>
      <c r="I67" s="4655"/>
      <c r="J67" s="404"/>
      <c r="L67" s="405">
        <f ca="1">'Part II-Sources of Funds'!I51</f>
        <v>7794890.2330199992</v>
      </c>
      <c r="M67" s="406">
        <f ca="1">'Part III-A-Uses of Funds'!$J$191</f>
        <v>896054</v>
      </c>
      <c r="N67" s="407">
        <f>'Part III-A-Uses of Funds'!N182</f>
        <v>0.87</v>
      </c>
      <c r="O67" s="405">
        <f ca="1">'Part II-Sources of Funds'!I52</f>
        <v>4659480.8</v>
      </c>
      <c r="P67" s="406">
        <f ca="1">M67</f>
        <v>896054</v>
      </c>
      <c r="Q67" s="407">
        <f>'Part III-A-Uses of Funds'!Q182</f>
        <v>0.52</v>
      </c>
    </row>
    <row r="68" spans="1:17" ht="39.75" customHeight="1">
      <c r="A68" s="465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1.39 (0.87 Federal tax credit and 0.52 State tax credit) for a (X%) ownership interest of the Federal Credits and a (X%) ownership interest of the State Credits. </v>
      </c>
      <c r="B68" s="4659"/>
      <c r="C68" s="4659"/>
      <c r="D68" s="4659"/>
      <c r="E68" s="4659"/>
      <c r="F68" s="4659"/>
      <c r="G68" s="4659"/>
      <c r="H68" s="4659"/>
      <c r="I68" s="4659"/>
      <c r="J68" s="404"/>
      <c r="L68" s="1262"/>
      <c r="M68" s="1262"/>
      <c r="N68" s="501"/>
      <c r="O68" s="1262"/>
      <c r="P68" s="1262"/>
      <c r="Q68" s="501"/>
    </row>
    <row r="69" spans="1:17" ht="18.75" customHeight="1">
      <c r="A69" s="408" t="s">
        <v>2802</v>
      </c>
    </row>
    <row r="70" spans="1:17" ht="177" customHeight="1">
      <c r="A70" s="4655" t="s">
        <v>2803</v>
      </c>
      <c r="B70" s="4655"/>
      <c r="C70" s="4655"/>
      <c r="D70" s="4655"/>
      <c r="E70" s="4655"/>
      <c r="F70" s="4655"/>
      <c r="G70" s="4655"/>
      <c r="H70" s="4655"/>
      <c r="I70" s="4655"/>
      <c r="J70" s="4655"/>
      <c r="L70" s="409">
        <f>'Part VI-Pro Forma'!K72</f>
        <v>11411498.157078296</v>
      </c>
      <c r="M70" s="4680" t="s">
        <v>2804</v>
      </c>
      <c r="N70" s="4672"/>
    </row>
    <row r="71" spans="1:17" ht="6" customHeight="1">
      <c r="A71" s="397"/>
    </row>
    <row r="72" spans="1:17" ht="15">
      <c r="A72" s="397" t="s">
        <v>2805</v>
      </c>
    </row>
    <row r="73" spans="1:17" ht="72.599999999999994" customHeight="1">
      <c r="A73" s="4655" t="s">
        <v>2806</v>
      </c>
      <c r="B73" s="4655"/>
      <c r="C73" s="4655"/>
      <c r="D73" s="4655"/>
      <c r="E73" s="4655"/>
      <c r="F73" s="4655"/>
      <c r="G73" s="4655"/>
      <c r="H73" s="4655"/>
      <c r="I73" s="4655"/>
      <c r="J73" s="4655"/>
    </row>
    <row r="74" spans="1:17" ht="36" customHeight="1">
      <c r="A74" s="4655" t="s">
        <v>2807</v>
      </c>
      <c r="B74" s="4655"/>
      <c r="C74" s="4655"/>
      <c r="D74" s="4655"/>
      <c r="E74" s="4655"/>
      <c r="F74" s="4655"/>
      <c r="G74" s="4655"/>
      <c r="H74" s="4655"/>
      <c r="I74" s="4655"/>
      <c r="J74" s="4655"/>
    </row>
    <row r="75" spans="1:17" ht="6" customHeight="1">
      <c r="A75" s="397"/>
    </row>
    <row r="76" spans="1:17" ht="15">
      <c r="A76" s="397" t="s">
        <v>2808</v>
      </c>
    </row>
    <row r="77" spans="1:17" ht="105.75" customHeight="1">
      <c r="A77" s="4655" t="s">
        <v>2809</v>
      </c>
      <c r="B77" s="4655"/>
      <c r="C77" s="4655"/>
      <c r="D77" s="4655"/>
      <c r="E77" s="4655"/>
      <c r="F77" s="4655"/>
      <c r="G77" s="4655"/>
      <c r="H77" s="4655"/>
      <c r="I77" s="4655"/>
      <c r="J77" s="4655"/>
    </row>
    <row r="78" spans="1:17" ht="6" customHeight="1">
      <c r="A78" s="397"/>
    </row>
    <row r="79" spans="1:17" ht="15">
      <c r="A79" s="397" t="s">
        <v>2810</v>
      </c>
    </row>
    <row r="80" spans="1:17" ht="66" customHeight="1">
      <c r="A80" s="4655" t="s">
        <v>2811</v>
      </c>
      <c r="B80" s="4655"/>
      <c r="C80" s="4655"/>
      <c r="D80" s="4655"/>
      <c r="E80" s="4655"/>
      <c r="F80" s="4655"/>
      <c r="G80" s="4655"/>
      <c r="H80" s="4655"/>
      <c r="I80" s="4655"/>
      <c r="J80" s="4655"/>
    </row>
    <row r="81" spans="1:15" s="1010" customFormat="1" ht="6" customHeight="1">
      <c r="A81" s="4655"/>
      <c r="B81" s="4655"/>
      <c r="C81" s="4655"/>
      <c r="D81" s="4655"/>
      <c r="E81" s="4655"/>
      <c r="F81" s="4655"/>
      <c r="G81" s="4655"/>
      <c r="H81" s="4655"/>
      <c r="I81" s="4655"/>
      <c r="J81" s="4655"/>
    </row>
    <row r="82" spans="1:15" ht="16.5" customHeight="1">
      <c r="A82" s="1011" t="s">
        <v>2812</v>
      </c>
      <c r="B82" s="396"/>
      <c r="C82" s="396"/>
      <c r="D82" s="834"/>
      <c r="E82" s="396"/>
      <c r="F82" s="396"/>
      <c r="G82" s="396"/>
      <c r="H82" s="396"/>
      <c r="I82" s="396"/>
      <c r="J82" s="410"/>
    </row>
    <row r="83" spans="1:15" s="1010" customFormat="1" ht="63" customHeight="1">
      <c r="A83" s="4655" t="s">
        <v>2813</v>
      </c>
      <c r="B83" s="4655"/>
      <c r="C83" s="4655"/>
      <c r="D83" s="4655"/>
      <c r="E83" s="4655"/>
      <c r="F83" s="4655"/>
      <c r="G83" s="4655"/>
      <c r="H83" s="4655"/>
      <c r="I83" s="4655"/>
      <c r="J83" s="4655"/>
    </row>
    <row r="84" spans="1:15" s="1010" customFormat="1" ht="6" customHeight="1">
      <c r="A84" s="1008"/>
      <c r="B84" s="1008"/>
      <c r="C84" s="1008"/>
      <c r="D84" s="1008"/>
      <c r="E84" s="1008"/>
      <c r="F84" s="1008"/>
      <c r="G84" s="1008"/>
      <c r="H84" s="1008"/>
      <c r="I84" s="1008"/>
      <c r="J84" s="1008"/>
    </row>
    <row r="85" spans="1:15" ht="16.5" customHeight="1">
      <c r="A85" s="4677" t="s">
        <v>2814</v>
      </c>
      <c r="B85" s="4678"/>
      <c r="C85" s="4678"/>
      <c r="D85" s="396"/>
      <c r="E85" s="396"/>
      <c r="F85" s="396"/>
      <c r="G85" s="396"/>
      <c r="H85" s="396"/>
      <c r="I85" s="396"/>
      <c r="J85" s="410"/>
    </row>
    <row r="86" spans="1:15" ht="41.25" customHeight="1">
      <c r="A86" s="4655" t="s">
        <v>2815</v>
      </c>
      <c r="B86" s="4679"/>
      <c r="C86" s="4679"/>
      <c r="D86" s="4679"/>
      <c r="E86" s="4679"/>
      <c r="F86" s="4679"/>
      <c r="G86" s="4679"/>
      <c r="H86" s="4679"/>
      <c r="I86" s="4679"/>
      <c r="J86" s="4679"/>
    </row>
    <row r="87" spans="1:15" ht="6" customHeight="1">
      <c r="A87" s="411"/>
      <c r="B87" s="396"/>
      <c r="C87" s="396"/>
      <c r="D87" s="396"/>
      <c r="E87" s="396"/>
      <c r="F87" s="396"/>
      <c r="G87" s="396"/>
      <c r="H87" s="396"/>
      <c r="I87" s="396"/>
      <c r="J87" s="410"/>
    </row>
    <row r="88" spans="1:15" ht="15">
      <c r="A88" s="397" t="s">
        <v>2816</v>
      </c>
    </row>
    <row r="89" spans="1:15" ht="124.15" customHeight="1">
      <c r="A89" s="4655" t="s">
        <v>2817</v>
      </c>
      <c r="B89" s="4655"/>
      <c r="C89" s="4655"/>
      <c r="D89" s="4655"/>
      <c r="E89" s="4655"/>
      <c r="F89" s="4655"/>
      <c r="G89" s="4655"/>
      <c r="H89" s="4655"/>
      <c r="I89" s="4655"/>
      <c r="J89" s="4655"/>
      <c r="L89" s="4672" t="s">
        <v>2818</v>
      </c>
      <c r="M89" s="4672"/>
      <c r="N89" s="4672"/>
    </row>
    <row r="90" spans="1:15" ht="6" customHeight="1">
      <c r="A90" s="1008"/>
      <c r="B90" s="1008"/>
      <c r="C90" s="1008"/>
      <c r="D90" s="1008"/>
      <c r="E90" s="1008"/>
      <c r="F90" s="1008"/>
      <c r="G90" s="1008"/>
      <c r="H90" s="1008"/>
      <c r="I90" s="1008"/>
      <c r="J90" s="1008"/>
      <c r="L90" s="1012"/>
      <c r="M90" s="1012"/>
      <c r="N90" s="1012"/>
    </row>
    <row r="91" spans="1:15" ht="17.25" customHeight="1">
      <c r="A91" s="397" t="s">
        <v>2819</v>
      </c>
    </row>
    <row r="92" spans="1:15" ht="105" customHeight="1">
      <c r="A92" s="4655" t="s">
        <v>2820</v>
      </c>
      <c r="B92" s="4655"/>
      <c r="C92" s="4655"/>
      <c r="D92" s="4655"/>
      <c r="E92" s="4655"/>
      <c r="F92" s="4655"/>
      <c r="G92" s="4655"/>
      <c r="H92" s="4655"/>
      <c r="I92" s="4655"/>
      <c r="J92" s="4655"/>
      <c r="L92" s="4672" t="s">
        <v>2821</v>
      </c>
      <c r="M92" s="4672"/>
      <c r="N92" s="412" t="e">
        <f ca="1">'After-Tax Analysis'!G66</f>
        <v>#VALUE!</v>
      </c>
      <c r="O92" s="413" t="s">
        <v>2822</v>
      </c>
    </row>
    <row r="93" spans="1:15" ht="6" customHeight="1">
      <c r="A93" s="397"/>
    </row>
    <row r="94" spans="1:15" ht="15">
      <c r="A94" s="397" t="s">
        <v>2823</v>
      </c>
    </row>
    <row r="95" spans="1:15" ht="118.5" customHeight="1">
      <c r="A95" s="4655" t="s">
        <v>2824</v>
      </c>
      <c r="B95" s="4655"/>
      <c r="C95" s="4655"/>
      <c r="D95" s="4655"/>
      <c r="E95" s="4655"/>
      <c r="F95" s="4655"/>
      <c r="G95" s="4655"/>
      <c r="H95" s="4655"/>
      <c r="I95" s="4655"/>
      <c r="J95" s="4655"/>
    </row>
    <row r="96" spans="1:15" ht="20.25" customHeight="1">
      <c r="A96" s="4657" t="s">
        <v>2825</v>
      </c>
      <c r="B96" s="4657"/>
      <c r="C96" s="4657"/>
      <c r="D96" s="4655"/>
      <c r="E96" s="1008"/>
      <c r="F96" s="1008"/>
      <c r="G96" s="1008"/>
      <c r="H96" s="1008"/>
      <c r="I96" s="1008"/>
      <c r="J96" s="1008"/>
    </row>
    <row r="97" spans="1:14" ht="109.5" customHeight="1">
      <c r="A97" s="4684" t="s">
        <v>2826</v>
      </c>
      <c r="B97" s="4685"/>
      <c r="C97" s="4685"/>
      <c r="D97" s="4685"/>
      <c r="E97" s="4685"/>
      <c r="F97" s="4685"/>
      <c r="G97" s="4685"/>
      <c r="H97" s="4685"/>
      <c r="I97" s="4685"/>
      <c r="J97" s="4685"/>
    </row>
    <row r="98" spans="1:14" ht="11.25" customHeight="1">
      <c r="A98" s="397"/>
    </row>
    <row r="99" spans="1:14" ht="15">
      <c r="A99" s="397" t="s">
        <v>2827</v>
      </c>
    </row>
    <row r="100" spans="1:14" ht="110.65" customHeight="1">
      <c r="A100" s="4673" t="s">
        <v>2828</v>
      </c>
      <c r="B100" s="4673"/>
      <c r="C100" s="4673"/>
      <c r="D100" s="4673"/>
      <c r="E100" s="4673"/>
      <c r="F100" s="4673"/>
      <c r="G100" s="4673"/>
      <c r="H100" s="4673"/>
      <c r="I100" s="4673"/>
      <c r="J100" s="4673"/>
      <c r="L100" s="787">
        <f>'Part VI-Pro Forma'!K72</f>
        <v>11411498.157078296</v>
      </c>
      <c r="M100" s="4676" t="s">
        <v>2829</v>
      </c>
      <c r="N100" s="4676"/>
    </row>
    <row r="101" spans="1:14" ht="11.25" hidden="1" customHeight="1">
      <c r="A101" s="1008"/>
      <c r="B101" s="1008"/>
      <c r="C101" s="1008"/>
      <c r="D101" s="1008"/>
      <c r="E101" s="1008"/>
      <c r="F101" s="1008"/>
      <c r="G101" s="1008"/>
      <c r="H101" s="1008"/>
      <c r="I101" s="1008"/>
      <c r="J101" s="1008"/>
    </row>
    <row r="102" spans="1:14" ht="12" hidden="1" customHeight="1">
      <c r="A102" s="1008"/>
      <c r="B102" s="1008"/>
      <c r="C102" s="1008"/>
      <c r="D102" s="1008"/>
      <c r="E102" s="1008"/>
      <c r="F102" s="1008"/>
      <c r="G102" s="1008"/>
      <c r="H102" s="1008"/>
      <c r="I102" s="1008"/>
      <c r="J102" s="410"/>
    </row>
    <row r="103" spans="1:14" ht="6" customHeight="1">
      <c r="A103" s="1008"/>
      <c r="B103" s="1008"/>
      <c r="C103" s="1008"/>
      <c r="D103" s="1008"/>
      <c r="E103" s="1008"/>
      <c r="F103" s="1008"/>
      <c r="G103" s="1008"/>
      <c r="H103" s="1008"/>
      <c r="I103" s="1008"/>
      <c r="J103" s="410"/>
    </row>
    <row r="104" spans="1:14" ht="17.25" customHeight="1">
      <c r="A104" s="4657" t="s">
        <v>2830</v>
      </c>
      <c r="B104" s="4657"/>
      <c r="C104" s="4657"/>
      <c r="D104" s="1008"/>
      <c r="E104" s="1008"/>
      <c r="F104" s="1008"/>
      <c r="G104" s="1008"/>
      <c r="H104" s="1008"/>
      <c r="I104" s="1008"/>
      <c r="J104" s="410"/>
    </row>
    <row r="105" spans="1:14" ht="37.5" customHeight="1">
      <c r="A105" s="4655" t="s">
        <v>2831</v>
      </c>
      <c r="B105" s="4655"/>
      <c r="C105" s="4655"/>
      <c r="D105" s="4655"/>
      <c r="E105" s="4655"/>
      <c r="F105" s="4655"/>
      <c r="G105" s="4655"/>
      <c r="H105" s="4655"/>
      <c r="I105" s="4655"/>
      <c r="J105" s="4655"/>
    </row>
    <row r="106" spans="1:14" ht="6" customHeight="1">
      <c r="A106" s="397"/>
    </row>
    <row r="107" spans="1:14" ht="15">
      <c r="A107" s="397" t="s">
        <v>2832</v>
      </c>
    </row>
    <row r="108" spans="1:14" ht="43.5" customHeight="1">
      <c r="A108" s="4655" t="s">
        <v>2833</v>
      </c>
      <c r="B108" s="4655"/>
      <c r="C108" s="4655"/>
      <c r="D108" s="4655"/>
      <c r="E108" s="4655"/>
      <c r="F108" s="4655"/>
      <c r="G108" s="4655"/>
      <c r="H108" s="4655"/>
      <c r="I108" s="4655"/>
      <c r="J108" s="4655"/>
    </row>
    <row r="109" spans="1:14" ht="6" customHeight="1">
      <c r="A109" s="1008"/>
      <c r="B109" s="1008"/>
      <c r="C109" s="1008"/>
      <c r="D109" s="1008"/>
      <c r="E109" s="1008"/>
      <c r="F109" s="1008"/>
      <c r="G109" s="1008"/>
      <c r="H109" s="1008"/>
      <c r="I109" s="1008"/>
      <c r="J109" s="1008"/>
    </row>
    <row r="110" spans="1:14" ht="15">
      <c r="A110" s="397" t="s">
        <v>2834</v>
      </c>
    </row>
    <row r="112" spans="1:14" ht="18.75" thickBot="1">
      <c r="A112" s="391" t="s">
        <v>2835</v>
      </c>
      <c r="G112" s="1209"/>
      <c r="H112" s="391" t="s">
        <v>2836</v>
      </c>
    </row>
    <row r="115" spans="1:10" ht="13.9" customHeight="1" thickBot="1">
      <c r="G115" s="1209"/>
      <c r="H115" s="391" t="s">
        <v>2837</v>
      </c>
    </row>
    <row r="116" spans="1:10">
      <c r="A116" s="391" t="s">
        <v>2838</v>
      </c>
    </row>
    <row r="119" spans="1:10" ht="15" thickBot="1">
      <c r="A119" s="414"/>
      <c r="B119" s="414"/>
      <c r="C119" s="414"/>
      <c r="D119" s="414"/>
      <c r="F119" s="414"/>
      <c r="G119" s="414"/>
      <c r="H119" s="414"/>
      <c r="I119" s="414"/>
      <c r="J119" s="414"/>
    </row>
    <row r="120" spans="1:10">
      <c r="A120" s="4682" t="s">
        <v>2839</v>
      </c>
      <c r="B120" s="4682"/>
      <c r="C120" s="4682"/>
      <c r="D120" s="4682"/>
      <c r="E120" s="4683"/>
      <c r="F120" s="1207" t="s">
        <v>2840</v>
      </c>
      <c r="G120" s="1207"/>
      <c r="H120" s="1207"/>
      <c r="I120" s="1207"/>
      <c r="J120" s="1207"/>
    </row>
    <row r="122" spans="1:10" ht="15" thickBot="1">
      <c r="A122" s="391" t="s">
        <v>2841</v>
      </c>
      <c r="B122" s="414"/>
      <c r="C122" s="414"/>
      <c r="H122" s="391" t="s">
        <v>2841</v>
      </c>
      <c r="I122" s="1208"/>
    </row>
    <row r="210" spans="1:1">
      <c r="A210" s="391"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78" t="s">
        <v>2686</v>
      </c>
      <c r="B1" s="425"/>
      <c r="C1" s="425"/>
      <c r="D1" s="425"/>
      <c r="E1" s="425"/>
      <c r="F1" s="425"/>
      <c r="G1" s="425"/>
      <c r="H1" s="425"/>
      <c r="I1" s="425"/>
      <c r="J1" s="425"/>
      <c r="K1" s="425"/>
      <c r="L1" s="385"/>
      <c r="M1" s="385"/>
    </row>
    <row r="2" spans="1:14" s="7" customFormat="1" ht="18">
      <c r="A2" s="778" t="str">
        <f>+"Financial Analysis for:  "&amp;E8&amp;"  "&amp;C8</f>
        <v>Financial Analysis for:  2023-5  Ashley Collegetown Phase I</v>
      </c>
      <c r="B2" s="425"/>
      <c r="C2" s="425"/>
      <c r="D2" s="425"/>
      <c r="E2" s="425"/>
      <c r="F2" s="425"/>
      <c r="G2" s="425"/>
      <c r="H2" s="425"/>
      <c r="I2" s="425"/>
      <c r="J2" s="425"/>
      <c r="K2" s="425"/>
      <c r="L2" s="385"/>
      <c r="M2" s="385"/>
    </row>
    <row r="5" spans="1:14" ht="15.75">
      <c r="A5" s="416"/>
      <c r="B5" s="417"/>
      <c r="C5" s="418"/>
      <c r="D5" s="417"/>
      <c r="E5" s="417"/>
      <c r="F5" s="416"/>
      <c r="G5" s="417"/>
      <c r="H5" s="418"/>
      <c r="I5" s="417"/>
      <c r="J5" s="417"/>
      <c r="K5" s="417"/>
      <c r="L5" s="417"/>
      <c r="M5" s="382"/>
    </row>
    <row r="7" spans="1:14" ht="15.75">
      <c r="A7" s="385" t="s">
        <v>2687</v>
      </c>
      <c r="B7" s="382"/>
      <c r="C7" s="419"/>
      <c r="D7" s="382"/>
      <c r="E7" s="382"/>
      <c r="F7" s="385" t="s">
        <v>2688</v>
      </c>
      <c r="G7" s="382"/>
      <c r="H7" s="468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87"/>
      <c r="J7" s="4687"/>
      <c r="K7" s="4687"/>
      <c r="L7" s="382"/>
      <c r="M7" s="382"/>
    </row>
    <row r="8" spans="1:14" ht="15.75">
      <c r="A8" s="385" t="s">
        <v>2689</v>
      </c>
      <c r="B8" s="385"/>
      <c r="C8" s="4687" t="str">
        <f>'Part I-Project Identification'!F25</f>
        <v>Ashley Collegetown Phase I</v>
      </c>
      <c r="D8" s="4687"/>
      <c r="E8" s="830" t="str">
        <f>'Part I-Project Identification'!O7</f>
        <v>2023-5</v>
      </c>
      <c r="F8" s="385" t="s">
        <v>2690</v>
      </c>
      <c r="G8" s="382"/>
      <c r="H8" s="4687" t="str">
        <f>CONCATENATE('Part I-Project Identification'!F26,", ",'Part I-Project Identification'!J26)</f>
        <v>Atlanta, Fulton</v>
      </c>
      <c r="I8" s="4687"/>
      <c r="J8" s="4687"/>
      <c r="K8" s="4687"/>
      <c r="L8" s="382"/>
      <c r="M8" s="420"/>
    </row>
    <row r="9" spans="1:14" ht="15.75">
      <c r="A9" s="385" t="s">
        <v>2691</v>
      </c>
      <c r="B9" s="385"/>
      <c r="C9" s="4687" t="s">
        <v>712</v>
      </c>
      <c r="D9" s="4687"/>
      <c r="E9" s="382"/>
      <c r="F9" s="385" t="s">
        <v>2692</v>
      </c>
      <c r="G9" s="382"/>
      <c r="H9" s="4687" t="str">
        <f>'Part II-Development Team'!H6</f>
        <v>(Enter name as it will appear on all legal documents)</v>
      </c>
      <c r="I9" s="4687"/>
      <c r="J9" s="4687"/>
      <c r="K9" s="4687"/>
      <c r="L9" s="4687"/>
      <c r="M9" s="420"/>
    </row>
    <row r="10" spans="1:14" ht="15.75">
      <c r="A10" s="385" t="s">
        <v>2693</v>
      </c>
      <c r="B10" s="382"/>
      <c r="C10" s="830">
        <f>'Part II-Development Team'!H15</f>
        <v>0</v>
      </c>
      <c r="D10" s="382"/>
      <c r="E10" s="382"/>
      <c r="F10" s="385" t="s">
        <v>2694</v>
      </c>
      <c r="G10" s="382"/>
      <c r="H10" s="4687">
        <f>'Part II-Development Team'!H34</f>
        <v>0</v>
      </c>
      <c r="I10" s="4687"/>
      <c r="J10" s="4687"/>
      <c r="K10" s="4687">
        <f>'Part II-Development Team'!H40</f>
        <v>0</v>
      </c>
      <c r="L10" s="4687"/>
    </row>
    <row r="11" spans="1:14" ht="15.75">
      <c r="A11" s="385" t="s">
        <v>2695</v>
      </c>
      <c r="B11" s="382"/>
      <c r="C11" s="830" t="str">
        <f>IF('Part II-Development Team'!H21="","",'Part II-Development Team'!H21)</f>
        <v/>
      </c>
      <c r="D11" s="382"/>
      <c r="E11" s="436" t="str">
        <f>IF('Part II-Development Team'!H27="","",'Part II-Development Team'!H27)</f>
        <v/>
      </c>
      <c r="F11" s="385" t="s">
        <v>224</v>
      </c>
      <c r="G11" s="382"/>
      <c r="H11" s="4687">
        <f>'Part II-Development Team'!H55</f>
        <v>0</v>
      </c>
      <c r="I11" s="4687"/>
      <c r="J11" s="4687"/>
      <c r="K11" s="4687">
        <f>'Part II-Development Team'!H61</f>
        <v>0</v>
      </c>
      <c r="L11" s="4687"/>
      <c r="M11" s="4687">
        <f>'Part II-Development Team'!H67</f>
        <v>0</v>
      </c>
      <c r="N11" s="4687"/>
    </row>
    <row r="12" spans="1:14" ht="15.75">
      <c r="A12" s="385" t="s">
        <v>2696</v>
      </c>
      <c r="B12" s="382"/>
      <c r="C12" s="830">
        <f>'Part II-Development Team'!H87</f>
        <v>0</v>
      </c>
      <c r="D12" s="382"/>
      <c r="E12" s="382"/>
      <c r="F12" s="385" t="s">
        <v>2697</v>
      </c>
      <c r="G12" s="382"/>
      <c r="H12" s="4687">
        <f>'Part II-Development Team'!H93</f>
        <v>0</v>
      </c>
      <c r="I12" s="4687"/>
      <c r="J12" s="4687"/>
      <c r="K12" s="4687"/>
      <c r="L12" s="382"/>
      <c r="M12" s="382"/>
    </row>
    <row r="13" spans="1:14" ht="15.75">
      <c r="A13" s="385" t="s">
        <v>2698</v>
      </c>
      <c r="B13" s="385"/>
      <c r="C13" s="381">
        <f>'Part V-Revenues &amp; Expenses'!$P$67</f>
        <v>199</v>
      </c>
      <c r="E13" s="782">
        <f>'Part V-Revenues &amp; Expenses'!$P$63</f>
        <v>118</v>
      </c>
      <c r="F13" s="385" t="s">
        <v>2699</v>
      </c>
      <c r="G13" s="382"/>
      <c r="H13" s="831" t="e">
        <f>'Part I-Project Identification'!#REF!</f>
        <v>#REF!</v>
      </c>
      <c r="I13" s="783"/>
      <c r="J13" s="783"/>
      <c r="K13" s="831">
        <f>'Part V-Revenues &amp; Expenses'!K175</f>
        <v>214384</v>
      </c>
      <c r="L13" s="382"/>
      <c r="M13" s="382"/>
    </row>
    <row r="14" spans="1:14" ht="15.75">
      <c r="A14" s="385" t="s">
        <v>2700</v>
      </c>
      <c r="B14" s="382"/>
      <c r="C14" s="831" t="e">
        <f>'Part I-Project Identification'!#REF!</f>
        <v>#REF!</v>
      </c>
      <c r="D14" s="4687" t="e">
        <f>IF('Part V-Revenues &amp; Expenses'!#REF!=0,"",'Part V-Revenues &amp; Expenses'!#REF!)</f>
        <v>#REF!</v>
      </c>
      <c r="E14" s="4687"/>
      <c r="F14" s="385" t="s">
        <v>2701</v>
      </c>
      <c r="G14" s="382"/>
      <c r="H14" s="4667" t="s">
        <v>2702</v>
      </c>
      <c r="I14" s="4667"/>
      <c r="J14" s="4667"/>
      <c r="K14" s="4667" t="s">
        <v>2702</v>
      </c>
      <c r="L14" s="4667"/>
      <c r="M14" s="382"/>
    </row>
    <row r="15" spans="1:14" ht="15.75">
      <c r="A15" s="385" t="s">
        <v>2703</v>
      </c>
      <c r="B15" s="382"/>
      <c r="C15" s="421" t="s">
        <v>712</v>
      </c>
      <c r="D15" s="382"/>
      <c r="E15" s="382"/>
      <c r="F15" s="385" t="s">
        <v>2704</v>
      </c>
      <c r="G15" s="382"/>
      <c r="H15" s="830" t="str">
        <f>'Part I-Project Identification'!K28</f>
        <v>Urban</v>
      </c>
      <c r="I15" s="382"/>
      <c r="J15" s="382"/>
      <c r="K15" s="382"/>
      <c r="L15" s="382"/>
      <c r="M15" s="382"/>
    </row>
    <row r="16" spans="1:14" ht="15.75">
      <c r="A16" s="385" t="s">
        <v>2705</v>
      </c>
      <c r="B16" s="382"/>
      <c r="C16" s="830">
        <f>'Part VIII Scoring Criteria OLD'!P42</f>
        <v>0</v>
      </c>
      <c r="D16" s="422" t="s">
        <v>1985</v>
      </c>
      <c r="E16" s="830">
        <f>'Part VIII Scoring Criteria OLD'!P48</f>
        <v>0</v>
      </c>
      <c r="F16" s="385"/>
      <c r="G16" s="382"/>
      <c r="H16" s="382"/>
      <c r="I16" s="382"/>
      <c r="J16" s="382"/>
      <c r="K16" s="382"/>
      <c r="L16" s="382"/>
      <c r="M16" s="382"/>
    </row>
    <row r="17" spans="1:13" ht="15">
      <c r="A17" s="382"/>
      <c r="B17" s="382"/>
      <c r="C17" s="382"/>
      <c r="D17" s="382"/>
      <c r="E17" s="382"/>
      <c r="F17" s="382"/>
      <c r="G17" s="382"/>
      <c r="H17" s="382"/>
      <c r="I17" s="382"/>
      <c r="J17" s="382"/>
      <c r="K17" s="382"/>
      <c r="L17" s="382"/>
      <c r="M17" s="382"/>
    </row>
    <row r="18" spans="1:13" ht="15.75">
      <c r="A18" s="385" t="s">
        <v>2706</v>
      </c>
      <c r="B18" s="382"/>
      <c r="C18" s="833">
        <f ca="1">'Part III-A-Uses of Funds'!G146</f>
        <v>35829793.968287915</v>
      </c>
      <c r="D18" s="813">
        <f ca="1">IF(C18=0,"",$C$29/C18)</f>
        <v>0.39352724195063943</v>
      </c>
      <c r="E18" s="382" t="s">
        <v>2707</v>
      </c>
      <c r="F18" s="385" t="s">
        <v>2842</v>
      </c>
      <c r="G18" s="382"/>
      <c r="H18" s="4688">
        <f>'Part III-A-Uses of Funds'!C49</f>
        <v>11031216</v>
      </c>
      <c r="I18" s="4688"/>
      <c r="J18" s="812">
        <f>IF(H18=0,"",$C$29/H18)</f>
        <v>1.2781909084184373</v>
      </c>
      <c r="K18" s="4687" t="s">
        <v>2709</v>
      </c>
      <c r="L18" s="4687"/>
      <c r="M18" s="382"/>
    </row>
    <row r="19" spans="1:13" ht="15.75">
      <c r="A19" s="385" t="s">
        <v>2710</v>
      </c>
      <c r="B19" s="382"/>
      <c r="C19" s="832">
        <f ca="1">C18/C13</f>
        <v>180049.21592104479</v>
      </c>
      <c r="D19" s="382"/>
      <c r="E19" s="382"/>
      <c r="F19" s="385" t="s">
        <v>2710</v>
      </c>
      <c r="G19" s="382"/>
      <c r="H19" s="4689">
        <f>H18/C13</f>
        <v>55433.246231155776</v>
      </c>
      <c r="I19" s="4689"/>
      <c r="J19" s="382"/>
      <c r="K19" s="382"/>
      <c r="L19" s="382"/>
      <c r="M19" s="382"/>
    </row>
    <row r="20" spans="1:13" ht="15.75">
      <c r="A20" s="385" t="s">
        <v>2711</v>
      </c>
      <c r="B20" s="382"/>
      <c r="C20" s="830">
        <f ca="1">C18/K13</f>
        <v>167.12904866169077</v>
      </c>
      <c r="D20" s="423"/>
      <c r="E20" s="423"/>
      <c r="F20" s="385" t="s">
        <v>2711</v>
      </c>
      <c r="G20" s="382"/>
      <c r="H20" s="4687">
        <f>H18/K13</f>
        <v>51.455407119934321</v>
      </c>
      <c r="I20" s="4689"/>
      <c r="J20" s="382"/>
      <c r="K20" s="382"/>
      <c r="L20" s="382"/>
      <c r="M20" s="382"/>
    </row>
    <row r="21" spans="1:13" ht="15.75">
      <c r="A21" s="385"/>
      <c r="B21" s="382"/>
      <c r="C21" s="424"/>
      <c r="D21" s="382"/>
      <c r="E21" s="382"/>
      <c r="F21" s="385"/>
      <c r="G21" s="382"/>
      <c r="H21" s="424"/>
      <c r="I21" s="382"/>
      <c r="J21" s="382"/>
      <c r="K21" s="382"/>
      <c r="L21" s="382"/>
      <c r="M21" s="382"/>
    </row>
    <row r="22" spans="1:13" ht="15">
      <c r="A22" s="417"/>
      <c r="B22" s="417"/>
      <c r="C22" s="417"/>
      <c r="D22" s="417"/>
      <c r="E22" s="417"/>
      <c r="F22" s="417"/>
      <c r="G22" s="417"/>
      <c r="H22" s="417"/>
      <c r="I22" s="417"/>
      <c r="J22" s="417"/>
      <c r="K22" s="417"/>
      <c r="L22" s="417"/>
      <c r="M22" s="420"/>
    </row>
    <row r="23" spans="1:13" ht="15.75">
      <c r="A23" s="425" t="s">
        <v>2712</v>
      </c>
      <c r="B23" s="415"/>
      <c r="C23" s="415"/>
      <c r="D23" s="415"/>
      <c r="E23" s="382"/>
      <c r="F23" s="382"/>
      <c r="G23" s="382"/>
      <c r="H23" s="382"/>
      <c r="I23" s="382"/>
      <c r="J23" s="382"/>
      <c r="K23" s="382"/>
      <c r="L23" s="382"/>
      <c r="M23" s="420"/>
    </row>
    <row r="24" spans="1:13" ht="27" customHeight="1">
      <c r="A24" s="382"/>
      <c r="B24" s="382"/>
      <c r="C24" s="382"/>
      <c r="D24" s="426" t="s">
        <v>2713</v>
      </c>
      <c r="E24" s="382"/>
      <c r="F24" s="382"/>
      <c r="G24" s="382"/>
      <c r="H24" s="382"/>
      <c r="I24" s="382"/>
      <c r="J24" s="382"/>
      <c r="K24" s="382"/>
      <c r="L24" s="382"/>
      <c r="M24" s="420"/>
    </row>
    <row r="25" spans="1:13" ht="15.75">
      <c r="A25" s="385" t="s">
        <v>2714</v>
      </c>
      <c r="B25" s="427" t="str">
        <f>'Part II-Sources of Funds'!E40</f>
        <v>Freddie Mac TEL</v>
      </c>
      <c r="C25" s="428">
        <f>'Part II-Sources of Funds'!I40</f>
        <v>14100000</v>
      </c>
      <c r="D25" s="429" t="s">
        <v>2715</v>
      </c>
      <c r="E25" s="382"/>
      <c r="F25" s="382"/>
      <c r="G25" s="382" t="s">
        <v>2716</v>
      </c>
      <c r="H25" s="382"/>
      <c r="I25" s="382"/>
      <c r="K25" s="428"/>
      <c r="L25" s="382"/>
      <c r="M25" s="420"/>
    </row>
    <row r="26" spans="1:13" ht="15">
      <c r="A26" s="382"/>
      <c r="B26" s="427"/>
      <c r="C26" s="428"/>
      <c r="D26" s="429"/>
      <c r="E26" s="382"/>
      <c r="F26" s="382"/>
      <c r="G26" s="382" t="s">
        <v>2717</v>
      </c>
      <c r="H26" s="382"/>
      <c r="I26" s="382"/>
      <c r="K26" s="430" t="e">
        <f>C29/K25</f>
        <v>#DIV/0!</v>
      </c>
      <c r="L26" s="382"/>
      <c r="M26" s="382"/>
    </row>
    <row r="27" spans="1:13" ht="15">
      <c r="A27" s="382"/>
      <c r="B27" s="427"/>
      <c r="C27" s="428"/>
      <c r="D27" s="429"/>
      <c r="E27" s="382"/>
      <c r="F27" s="382"/>
      <c r="G27" s="382"/>
      <c r="H27" s="382"/>
      <c r="I27" s="382"/>
      <c r="K27" s="382"/>
      <c r="L27" s="382"/>
      <c r="M27" s="382"/>
    </row>
    <row r="28" spans="1:13" ht="15">
      <c r="A28" s="382"/>
      <c r="B28" s="382"/>
      <c r="C28" s="382"/>
      <c r="D28" s="382"/>
      <c r="E28" s="382"/>
      <c r="F28" s="382"/>
      <c r="G28" s="382" t="s">
        <v>2718</v>
      </c>
      <c r="H28" s="382"/>
      <c r="I28" s="382"/>
      <c r="K28" s="428"/>
      <c r="L28" s="382"/>
      <c r="M28" s="382"/>
    </row>
    <row r="29" spans="1:13" ht="16.5" thickBot="1">
      <c r="A29" s="382"/>
      <c r="B29" s="431" t="s">
        <v>2719</v>
      </c>
      <c r="C29" s="1646">
        <f>SUM(C25:C27)</f>
        <v>14100000</v>
      </c>
      <c r="D29" s="382"/>
      <c r="E29" s="382"/>
      <c r="F29" s="382"/>
      <c r="G29" s="382" t="s">
        <v>2720</v>
      </c>
      <c r="H29" s="382"/>
      <c r="I29" s="382"/>
      <c r="K29" s="430" t="e">
        <f>C29/K28</f>
        <v>#DIV/0!</v>
      </c>
      <c r="L29" s="382"/>
      <c r="M29" s="382"/>
    </row>
    <row r="30" spans="1:13" ht="16.5" thickTop="1">
      <c r="A30" s="385" t="s">
        <v>2721</v>
      </c>
      <c r="B30" s="431"/>
      <c r="C30" s="432">
        <f ca="1">'Part II-Sources of Funds'!$I$51+'Part II-Sources of Funds'!$I$52</f>
        <v>12454371.033019999</v>
      </c>
      <c r="D30" s="382"/>
      <c r="E30" s="382"/>
      <c r="F30" s="382"/>
      <c r="G30" s="382"/>
      <c r="H30" s="382"/>
      <c r="I30" s="382"/>
      <c r="K30" s="433"/>
      <c r="L30" s="382"/>
      <c r="M30" s="382"/>
    </row>
    <row r="31" spans="1:13" ht="15">
      <c r="A31" s="434" t="s">
        <v>2722</v>
      </c>
      <c r="B31" s="427" t="str">
        <f>'Part II-Sources of Funds'!E41</f>
        <v>Atlanta Housing</v>
      </c>
      <c r="C31" s="428">
        <f>'Part II-Sources of Funds'!I41</f>
        <v>8276060</v>
      </c>
      <c r="D31" s="429"/>
      <c r="E31" s="382"/>
      <c r="F31" s="382"/>
      <c r="G31" s="382"/>
      <c r="H31" s="382"/>
      <c r="I31" s="382"/>
      <c r="K31" s="382"/>
      <c r="L31" s="382"/>
      <c r="M31" s="382"/>
    </row>
    <row r="32" spans="1:13" ht="15">
      <c r="A32" s="434" t="s">
        <v>2722</v>
      </c>
      <c r="B32" s="427">
        <f>'Part II-Sources of Funds'!E42</f>
        <v>0</v>
      </c>
      <c r="C32" s="428">
        <f>'Part II-Sources of Funds'!I42</f>
        <v>0</v>
      </c>
      <c r="D32" s="429"/>
      <c r="E32" s="382" t="s">
        <v>2682</v>
      </c>
      <c r="F32" s="382"/>
      <c r="G32" s="382" t="s">
        <v>2723</v>
      </c>
      <c r="H32" s="382"/>
      <c r="I32" s="382"/>
      <c r="K32" s="428"/>
      <c r="L32" s="382"/>
      <c r="M32" s="382"/>
    </row>
    <row r="33" spans="1:13" ht="15">
      <c r="A33" s="434" t="s">
        <v>2722</v>
      </c>
      <c r="B33" s="427">
        <f>'Part II-Sources of Funds'!E43</f>
        <v>0</v>
      </c>
      <c r="C33" s="428">
        <f>'Part II-Sources of Funds'!I43</f>
        <v>0</v>
      </c>
      <c r="D33" s="429"/>
      <c r="E33" s="382"/>
      <c r="F33" s="382"/>
      <c r="G33" s="785" t="s">
        <v>2724</v>
      </c>
      <c r="H33" s="785"/>
      <c r="I33" s="785"/>
      <c r="K33" s="430" t="e">
        <f>$C$29/K32</f>
        <v>#DIV/0!</v>
      </c>
      <c r="L33" s="382"/>
      <c r="M33" s="435"/>
    </row>
    <row r="34" spans="1:13" ht="15.75">
      <c r="A34" s="382"/>
      <c r="B34" s="431" t="s">
        <v>2725</v>
      </c>
      <c r="C34" s="432">
        <f>SUM(C31:C33)</f>
        <v>8276060</v>
      </c>
      <c r="D34" s="382"/>
      <c r="E34" s="382"/>
      <c r="F34" s="382"/>
      <c r="G34" s="382"/>
      <c r="H34" s="382"/>
      <c r="I34" s="382"/>
      <c r="K34" s="382"/>
      <c r="L34" s="382"/>
      <c r="M34" s="435"/>
    </row>
    <row r="35" spans="1:13" ht="15.75">
      <c r="A35" s="382"/>
      <c r="B35" s="431"/>
      <c r="C35" s="382"/>
      <c r="D35" s="382"/>
      <c r="E35" s="382"/>
      <c r="F35" s="382"/>
      <c r="G35" s="785" t="s">
        <v>2726</v>
      </c>
      <c r="H35" s="785"/>
      <c r="I35" s="785"/>
      <c r="K35" s="436" t="e">
        <f>(C36)/K25</f>
        <v>#DIV/0!</v>
      </c>
      <c r="L35" s="382"/>
      <c r="M35" s="382"/>
    </row>
    <row r="36" spans="1:13" ht="15.75">
      <c r="A36" s="382"/>
      <c r="B36" s="431" t="s">
        <v>2727</v>
      </c>
      <c r="C36" s="432">
        <f>C29+C34</f>
        <v>22376060</v>
      </c>
      <c r="D36" s="382"/>
      <c r="E36" s="382"/>
      <c r="F36" s="382"/>
      <c r="G36" s="382"/>
      <c r="H36" s="382"/>
      <c r="I36" s="382"/>
      <c r="K36" s="382"/>
      <c r="L36" s="382"/>
      <c r="M36" s="382"/>
    </row>
    <row r="37" spans="1:13" ht="15.75">
      <c r="A37" s="382"/>
      <c r="B37" s="431"/>
      <c r="C37" s="433"/>
      <c r="D37" s="382"/>
      <c r="E37" s="382"/>
      <c r="F37" s="382"/>
      <c r="G37" s="785" t="s">
        <v>2728</v>
      </c>
      <c r="H37" s="785"/>
      <c r="I37" s="785"/>
      <c r="K37" s="786" t="e">
        <f>+(C36)/K32</f>
        <v>#DIV/0!</v>
      </c>
      <c r="L37" s="382"/>
      <c r="M37" s="435"/>
    </row>
    <row r="38" spans="1:13" ht="15.75">
      <c r="A38" s="382"/>
      <c r="B38" s="431" t="s">
        <v>2729</v>
      </c>
      <c r="C38" s="437">
        <f ca="1">C36/C18</f>
        <v>0.62450987074624287</v>
      </c>
      <c r="D38" s="382"/>
      <c r="E38" s="382"/>
      <c r="F38" s="382"/>
      <c r="G38" s="382"/>
      <c r="H38" s="382"/>
      <c r="I38" s="382"/>
      <c r="K38" s="382"/>
      <c r="L38" s="382"/>
      <c r="M38" s="435"/>
    </row>
    <row r="39" spans="1:13" ht="15.75">
      <c r="A39" s="382"/>
      <c r="B39" s="431"/>
      <c r="C39" s="433"/>
      <c r="D39" s="382"/>
      <c r="E39" s="382"/>
      <c r="F39" s="382"/>
      <c r="G39" s="382"/>
      <c r="H39" s="382"/>
      <c r="I39" s="382"/>
      <c r="K39" s="382"/>
      <c r="L39" s="382"/>
      <c r="M39" s="382"/>
    </row>
    <row r="40" spans="1:13" ht="15.75">
      <c r="A40" s="382"/>
      <c r="B40" s="431" t="s">
        <v>2730</v>
      </c>
      <c r="C40" s="437">
        <f>C36/H18</f>
        <v>2.0284309544840751</v>
      </c>
      <c r="D40" s="382"/>
      <c r="E40" s="382"/>
      <c r="F40" s="385"/>
      <c r="G40" s="385" t="s">
        <v>2731</v>
      </c>
      <c r="H40" s="382"/>
      <c r="I40" s="382"/>
      <c r="K40" s="430">
        <f ca="1">C30/C18</f>
        <v>0.34759817608895721</v>
      </c>
      <c r="L40" s="382"/>
      <c r="M40" s="382"/>
    </row>
    <row r="46" spans="1:13" ht="15.75">
      <c r="A46" s="425" t="s">
        <v>2732</v>
      </c>
      <c r="B46" s="415"/>
      <c r="C46" s="415"/>
      <c r="D46" s="415"/>
      <c r="E46" s="415"/>
      <c r="F46" s="415"/>
      <c r="G46" s="415"/>
      <c r="H46" s="415"/>
      <c r="I46" s="415"/>
      <c r="J46" s="415"/>
      <c r="K46" s="415"/>
      <c r="L46" s="415"/>
      <c r="M46" s="382"/>
    </row>
    <row r="47" spans="1:13" ht="15.75">
      <c r="A47" s="425" t="str">
        <f>C8</f>
        <v>Ashley Collegetown Phase I</v>
      </c>
      <c r="B47" s="415"/>
      <c r="C47" s="415"/>
      <c r="D47" s="415"/>
      <c r="E47" s="415"/>
      <c r="F47" s="415"/>
      <c r="G47" s="415"/>
      <c r="H47" s="415"/>
      <c r="I47" s="415"/>
      <c r="J47" s="415"/>
      <c r="K47" s="415"/>
      <c r="L47" s="415"/>
      <c r="M47" s="382"/>
    </row>
    <row r="50" spans="1:14" s="382" customFormat="1" ht="15.75">
      <c r="A50" s="385" t="s">
        <v>2733</v>
      </c>
      <c r="C50" s="435" t="s">
        <v>2734</v>
      </c>
      <c r="E50" s="438" t="s">
        <v>2735</v>
      </c>
      <c r="F50" s="439">
        <v>0.1</v>
      </c>
      <c r="G50" s="438" t="s">
        <v>2736</v>
      </c>
      <c r="H50" s="439">
        <v>0.05</v>
      </c>
      <c r="I50" s="438" t="s">
        <v>2737</v>
      </c>
      <c r="J50" s="439">
        <v>0.03</v>
      </c>
      <c r="K50" s="4670" t="s">
        <v>2738</v>
      </c>
      <c r="L50" s="4671"/>
      <c r="M50"/>
      <c r="N50"/>
    </row>
    <row r="51" spans="1:14" s="382" customFormat="1" ht="15.75">
      <c r="A51" s="385"/>
      <c r="C51" s="435"/>
      <c r="E51" s="435"/>
      <c r="F51" s="440"/>
      <c r="G51" s="435"/>
      <c r="H51" s="440"/>
      <c r="I51" s="435"/>
      <c r="J51" s="440"/>
      <c r="K51" s="435"/>
      <c r="M51"/>
      <c r="N51"/>
    </row>
    <row r="52" spans="1:14" s="382" customFormat="1" ht="18.75" customHeight="1">
      <c r="B52" s="441" t="s">
        <v>2739</v>
      </c>
      <c r="C52" s="442">
        <f>'Part VI-Pro Forma'!B15</f>
        <v>3080520</v>
      </c>
      <c r="D52" s="442"/>
      <c r="E52" s="442">
        <f>$C$52</f>
        <v>3080520</v>
      </c>
      <c r="F52" s="442"/>
      <c r="G52" s="442">
        <f>$C$52</f>
        <v>3080520</v>
      </c>
      <c r="H52" s="442"/>
      <c r="I52" s="442">
        <f>$C$52</f>
        <v>3080520</v>
      </c>
      <c r="J52" s="442"/>
      <c r="K52" s="442">
        <f>$C$52</f>
        <v>3080520</v>
      </c>
      <c r="L52" s="443"/>
      <c r="M52"/>
      <c r="N52"/>
    </row>
    <row r="53" spans="1:14" s="382" customFormat="1" ht="18.75" customHeight="1">
      <c r="B53" s="441" t="s">
        <v>2740</v>
      </c>
      <c r="C53" s="442">
        <f>'Part VI-Pro Forma'!B16</f>
        <v>61610.400000000001</v>
      </c>
      <c r="D53" s="442"/>
      <c r="E53" s="442">
        <f>$C$53</f>
        <v>61610.400000000001</v>
      </c>
      <c r="F53" s="442"/>
      <c r="G53" s="442">
        <f>$C$53</f>
        <v>61610.400000000001</v>
      </c>
      <c r="H53" s="442"/>
      <c r="I53" s="442">
        <f>$C$53</f>
        <v>61610.400000000001</v>
      </c>
      <c r="J53" s="442"/>
      <c r="K53" s="442">
        <f>$C$53</f>
        <v>61610.400000000001</v>
      </c>
      <c r="L53" s="443"/>
      <c r="M53"/>
      <c r="N53"/>
    </row>
    <row r="54" spans="1:14" s="382" customFormat="1" ht="18.75" customHeight="1">
      <c r="B54" s="441" t="s">
        <v>2741</v>
      </c>
      <c r="C54" s="442">
        <f>'Part VI-Pro Forma'!B17</f>
        <v>-219949.12800000003</v>
      </c>
      <c r="D54" s="442"/>
      <c r="E54" s="442">
        <f>-($C$52+E53)*F50</f>
        <v>-314213.03999999998</v>
      </c>
      <c r="F54" s="444"/>
      <c r="G54" s="442">
        <f>-($C$52+G53)*0.07</f>
        <v>-219949.12800000003</v>
      </c>
      <c r="H54" s="442"/>
      <c r="I54" s="442">
        <f>-($C$52+I53)*0.07</f>
        <v>-219949.12800000003</v>
      </c>
      <c r="J54" s="442"/>
      <c r="K54" s="442">
        <f>-($C$52+K53)*L54</f>
        <v>-314213.03999999998</v>
      </c>
      <c r="L54" s="445">
        <v>0.1</v>
      </c>
      <c r="M54"/>
      <c r="N54"/>
    </row>
    <row r="55" spans="1:14" s="382" customFormat="1" ht="18.75" customHeight="1">
      <c r="B55" s="441" t="s">
        <v>2742</v>
      </c>
      <c r="C55" s="442">
        <f>'Part VI-Pro Forma'!B18</f>
        <v>0</v>
      </c>
      <c r="D55" s="442"/>
      <c r="E55" s="442">
        <f>$C$55</f>
        <v>0</v>
      </c>
      <c r="F55" s="444"/>
      <c r="G55" s="442">
        <f>$C$55</f>
        <v>0</v>
      </c>
      <c r="H55" s="442"/>
      <c r="I55" s="442">
        <f>$C$55</f>
        <v>0</v>
      </c>
      <c r="J55" s="442"/>
      <c r="K55" s="442">
        <f>$C$55</f>
        <v>0</v>
      </c>
      <c r="L55" s="446"/>
      <c r="M55"/>
      <c r="N55"/>
    </row>
    <row r="56" spans="1:14" s="382" customFormat="1" ht="18.75" customHeight="1">
      <c r="B56" s="2860" t="s">
        <v>2743</v>
      </c>
      <c r="C56" s="2861">
        <f>SUM(C52:C55)</f>
        <v>2922181.2719999999</v>
      </c>
      <c r="D56" s="442"/>
      <c r="E56" s="2861">
        <f>SUM(E52:E55)</f>
        <v>2827917.36</v>
      </c>
      <c r="F56" s="442"/>
      <c r="G56" s="2861">
        <f>SUM(G52:G55)</f>
        <v>2922181.2719999999</v>
      </c>
      <c r="H56" s="442"/>
      <c r="I56" s="2861">
        <f>SUM(I52:I55)</f>
        <v>2922181.2719999999</v>
      </c>
      <c r="J56" s="442"/>
      <c r="K56" s="2861">
        <f>SUM(K52:K55)</f>
        <v>2827917.36</v>
      </c>
      <c r="L56" s="443"/>
      <c r="M56"/>
      <c r="N56"/>
    </row>
    <row r="57" spans="1:14" s="382" customFormat="1" ht="24" customHeight="1">
      <c r="B57" s="441"/>
      <c r="C57" s="442"/>
      <c r="D57" s="442"/>
      <c r="E57" s="442"/>
      <c r="F57" s="442"/>
      <c r="G57" s="442"/>
      <c r="H57" s="442"/>
      <c r="I57" s="442"/>
      <c r="J57" s="442"/>
      <c r="K57" s="442"/>
      <c r="L57" s="443"/>
      <c r="M57"/>
      <c r="N57"/>
    </row>
    <row r="58" spans="1:14" s="382" customFormat="1" ht="18.75" customHeight="1">
      <c r="B58" s="441" t="s">
        <v>2744</v>
      </c>
      <c r="C58" s="442">
        <f>+'Part V-Revenues &amp; Expenses'!F227+'Part V-Revenues &amp; Expenses'!F236+'Part V-Revenues &amp; Expenses'!L223+'Part V-Revenues &amp; Expenses'!L231</f>
        <v>681088</v>
      </c>
      <c r="D58" s="442"/>
      <c r="E58" s="442">
        <f>$C$58</f>
        <v>681088</v>
      </c>
      <c r="F58" s="442"/>
      <c r="G58" s="442">
        <f>$C$58</f>
        <v>681088</v>
      </c>
      <c r="H58" s="442"/>
      <c r="I58" s="442">
        <f>$C$58</f>
        <v>681088</v>
      </c>
      <c r="J58" s="442"/>
      <c r="K58" s="442">
        <f>$C$58</f>
        <v>681088</v>
      </c>
      <c r="L58" s="443"/>
      <c r="M58"/>
      <c r="N58"/>
    </row>
    <row r="59" spans="1:14" s="382" customFormat="1" ht="18.75" customHeight="1">
      <c r="B59" s="441" t="s">
        <v>2745</v>
      </c>
      <c r="C59" s="442">
        <f>+'Part V-Revenues &amp; Expenses'!F247</f>
        <v>220070</v>
      </c>
      <c r="D59" s="442"/>
      <c r="E59" s="442">
        <f>$C$59</f>
        <v>220070</v>
      </c>
      <c r="F59" s="442"/>
      <c r="G59" s="442">
        <f>$C$59</f>
        <v>220070</v>
      </c>
      <c r="H59" s="442"/>
      <c r="I59" s="442">
        <f>$C$59</f>
        <v>220070</v>
      </c>
      <c r="J59" s="442"/>
      <c r="K59" s="442">
        <f>$C$59*(1+$L$59)</f>
        <v>228872.80000000002</v>
      </c>
      <c r="L59" s="447">
        <v>0.04</v>
      </c>
      <c r="M59"/>
      <c r="N59"/>
    </row>
    <row r="60" spans="1:14" s="382" customFormat="1" ht="18.75" customHeight="1">
      <c r="B60" s="441" t="s">
        <v>1266</v>
      </c>
      <c r="C60" s="442">
        <f>+'Part V-Revenues &amp; Expenses'!L241</f>
        <v>210097</v>
      </c>
      <c r="D60" s="442"/>
      <c r="E60" s="442">
        <f>$C$60</f>
        <v>210097</v>
      </c>
      <c r="F60" s="442"/>
      <c r="G60" s="442">
        <f>$C$60</f>
        <v>210097</v>
      </c>
      <c r="H60" s="442"/>
      <c r="I60" s="442">
        <f>$C$60*(1+$J$50)</f>
        <v>216399.91</v>
      </c>
      <c r="J60" s="444"/>
      <c r="K60" s="442">
        <f>$C$60*(1+$J$50)</f>
        <v>216399.91</v>
      </c>
      <c r="L60" s="445">
        <v>0.03</v>
      </c>
      <c r="M60"/>
      <c r="N60"/>
    </row>
    <row r="61" spans="1:14" s="382" customFormat="1" ht="18.75" customHeight="1">
      <c r="B61" s="441" t="s">
        <v>1290</v>
      </c>
      <c r="C61" s="442">
        <f>+'Part V-Revenues &amp; Expenses'!L247</f>
        <v>229826</v>
      </c>
      <c r="D61" s="442"/>
      <c r="E61" s="442">
        <f>$C$61</f>
        <v>229826</v>
      </c>
      <c r="F61" s="442"/>
      <c r="G61" s="442">
        <f>$C$61*(1+H50)</f>
        <v>241317.30000000002</v>
      </c>
      <c r="H61" s="444"/>
      <c r="I61" s="442">
        <f>$C$61</f>
        <v>229826</v>
      </c>
      <c r="J61" s="442"/>
      <c r="K61" s="442">
        <f>$C$61*(1+$L$61)</f>
        <v>241317.30000000002</v>
      </c>
      <c r="L61" s="445">
        <v>0.05</v>
      </c>
      <c r="M61"/>
      <c r="N61"/>
    </row>
    <row r="62" spans="1:14" s="382" customFormat="1" ht="18.75" customHeight="1">
      <c r="B62" s="2860" t="s">
        <v>2746</v>
      </c>
      <c r="C62" s="2861">
        <f>SUM(C58:C61)</f>
        <v>1341081</v>
      </c>
      <c r="D62" s="442"/>
      <c r="E62" s="2861">
        <f>SUM(E58:E61)</f>
        <v>1341081</v>
      </c>
      <c r="F62" s="442"/>
      <c r="G62" s="2861">
        <f>SUM(G58:G61)</f>
        <v>1352572.3</v>
      </c>
      <c r="H62" s="442"/>
      <c r="I62" s="2861">
        <f>SUM(I58:I61)</f>
        <v>1347383.91</v>
      </c>
      <c r="J62" s="442"/>
      <c r="K62" s="2861">
        <f>SUM(K58:K61)</f>
        <v>1367678.01</v>
      </c>
      <c r="L62" s="441"/>
      <c r="M62"/>
      <c r="N62"/>
    </row>
    <row r="63" spans="1:14" s="382" customFormat="1" ht="24" customHeight="1">
      <c r="B63" s="441"/>
      <c r="C63" s="442"/>
      <c r="D63" s="442"/>
      <c r="E63" s="442"/>
      <c r="F63" s="442"/>
      <c r="G63" s="442"/>
      <c r="H63" s="442"/>
      <c r="I63" s="442"/>
      <c r="J63" s="442"/>
      <c r="K63" s="442"/>
      <c r="L63" s="441"/>
      <c r="M63"/>
      <c r="N63"/>
    </row>
    <row r="64" spans="1:14" s="382" customFormat="1" ht="15.75">
      <c r="A64"/>
      <c r="B64" s="448" t="s">
        <v>2747</v>
      </c>
      <c r="C64" s="449">
        <f>C56-C62</f>
        <v>1581100.2719999999</v>
      </c>
      <c r="D64" s="449"/>
      <c r="E64" s="449">
        <f>E56-E62</f>
        <v>1486836.3599999999</v>
      </c>
      <c r="F64" s="449"/>
      <c r="G64" s="449">
        <f>G56-G62</f>
        <v>1569608.9719999998</v>
      </c>
      <c r="H64" s="449"/>
      <c r="I64" s="449">
        <f>I56-I62</f>
        <v>1574797.362</v>
      </c>
      <c r="J64" s="449"/>
      <c r="K64" s="449">
        <f>K56-K62</f>
        <v>1460239.3499999999</v>
      </c>
      <c r="L64" s="13"/>
      <c r="M64"/>
      <c r="N64"/>
    </row>
    <row r="65" spans="1:14" s="382" customFormat="1" ht="24" customHeight="1">
      <c r="A65"/>
      <c r="B65" s="441"/>
      <c r="C65" s="442"/>
      <c r="D65" s="442"/>
      <c r="E65" s="442"/>
      <c r="F65" s="442"/>
      <c r="G65" s="442"/>
      <c r="H65" s="442"/>
      <c r="I65" s="442"/>
      <c r="J65" s="442"/>
      <c r="K65" s="442"/>
      <c r="L65" s="13"/>
      <c r="M65"/>
      <c r="N65"/>
    </row>
    <row r="66" spans="1:14" s="382" customFormat="1" ht="15">
      <c r="A66"/>
      <c r="B66" s="441" t="s">
        <v>2748</v>
      </c>
      <c r="C66" s="442">
        <f>'Part V-Revenues &amp; Expenses'!Q234</f>
        <v>69650</v>
      </c>
      <c r="D66" s="442"/>
      <c r="E66" s="442">
        <f>$C$66</f>
        <v>69650</v>
      </c>
      <c r="F66" s="442"/>
      <c r="G66" s="442">
        <f>$C$66</f>
        <v>69650</v>
      </c>
      <c r="H66" s="442"/>
      <c r="I66" s="442">
        <f>$C$66</f>
        <v>69650</v>
      </c>
      <c r="J66" s="442"/>
      <c r="K66" s="442">
        <f>$C$66</f>
        <v>69650</v>
      </c>
      <c r="L66" s="13"/>
      <c r="M66"/>
      <c r="N66"/>
    </row>
    <row r="67" spans="1:14" s="382" customFormat="1" ht="6" customHeight="1">
      <c r="A67"/>
      <c r="B67" s="441"/>
      <c r="C67" s="442"/>
      <c r="D67" s="442"/>
      <c r="E67" s="442"/>
      <c r="F67" s="442"/>
      <c r="G67" s="442"/>
      <c r="H67" s="442"/>
      <c r="I67" s="442"/>
      <c r="J67" s="442"/>
      <c r="K67" s="442"/>
      <c r="L67" s="13"/>
      <c r="M67"/>
      <c r="N67"/>
    </row>
    <row r="68" spans="1:14" s="382" customFormat="1" ht="15">
      <c r="A68"/>
      <c r="B68" s="441" t="s">
        <v>2749</v>
      </c>
      <c r="C68" s="442">
        <f>'Part V-Revenues &amp; Expenses'!Q220</f>
        <v>160720</v>
      </c>
      <c r="D68" s="442"/>
      <c r="E68" s="442">
        <f>$C$68</f>
        <v>160720</v>
      </c>
      <c r="F68" s="442"/>
      <c r="G68" s="442">
        <f>$C$68</f>
        <v>160720</v>
      </c>
      <c r="H68" s="442"/>
      <c r="I68" s="442">
        <f>$C$68</f>
        <v>160720</v>
      </c>
      <c r="J68" s="442"/>
      <c r="K68" s="442">
        <f>$C$68</f>
        <v>160720</v>
      </c>
      <c r="L68" s="13"/>
      <c r="M68"/>
      <c r="N68"/>
    </row>
    <row r="69" spans="1:14" s="382" customFormat="1" ht="24" customHeight="1">
      <c r="A69"/>
      <c r="B69" s="450"/>
      <c r="C69" s="442"/>
      <c r="D69" s="442"/>
      <c r="E69" s="442"/>
      <c r="F69" s="442"/>
      <c r="G69" s="442"/>
      <c r="H69" s="442"/>
      <c r="I69" s="442"/>
      <c r="J69" s="442"/>
      <c r="K69" s="442"/>
      <c r="L69" s="13"/>
      <c r="M69"/>
      <c r="N69"/>
    </row>
    <row r="70" spans="1:14" s="382" customFormat="1" ht="15.75">
      <c r="A70"/>
      <c r="B70" s="2862" t="s">
        <v>2750</v>
      </c>
      <c r="C70" s="2863">
        <f>C64-C66-C68</f>
        <v>1350730.2719999999</v>
      </c>
      <c r="D70" s="449"/>
      <c r="E70" s="2863">
        <f>E64-E66-E68</f>
        <v>1256466.3599999999</v>
      </c>
      <c r="F70" s="449"/>
      <c r="G70" s="2863">
        <f>G64-G66-G68</f>
        <v>1339238.9719999998</v>
      </c>
      <c r="H70" s="449"/>
      <c r="I70" s="2863">
        <f>I64-I66-I68</f>
        <v>1344427.362</v>
      </c>
      <c r="J70" s="449"/>
      <c r="K70" s="2863">
        <f>K64-K66-K68</f>
        <v>1229869.3499999999</v>
      </c>
      <c r="L70" s="13"/>
      <c r="M70"/>
      <c r="N70"/>
    </row>
    <row r="71" spans="1:14" s="382" customFormat="1" ht="30" customHeight="1">
      <c r="A71"/>
      <c r="B71" s="441"/>
      <c r="C71" s="442"/>
      <c r="D71" s="442"/>
      <c r="E71" s="442"/>
      <c r="F71" s="442"/>
      <c r="G71" s="442"/>
      <c r="H71" s="442"/>
      <c r="I71" s="442"/>
      <c r="J71" s="442"/>
      <c r="K71" s="442"/>
      <c r="L71" s="13"/>
      <c r="M71"/>
      <c r="N71"/>
    </row>
    <row r="72" spans="1:14" s="385" customFormat="1" ht="18.75" customHeight="1">
      <c r="A72" s="7"/>
      <c r="B72" s="448" t="s">
        <v>2751</v>
      </c>
      <c r="C72" s="814">
        <f>-C70/C75</f>
        <v>1.1751369221100876</v>
      </c>
      <c r="D72" s="451"/>
      <c r="E72" s="814">
        <f>-E70/E75</f>
        <v>1.0931272080243013</v>
      </c>
      <c r="F72" s="451"/>
      <c r="G72" s="814">
        <f>-G70/G75</f>
        <v>1.165139477621745</v>
      </c>
      <c r="H72" s="451"/>
      <c r="I72" s="814">
        <f>-I70/I75</f>
        <v>1.1696533830118117</v>
      </c>
      <c r="J72" s="451"/>
      <c r="K72" s="814">
        <f>-K70/K75</f>
        <v>1.0699877781050677</v>
      </c>
      <c r="L72" s="4"/>
      <c r="M72" s="7"/>
      <c r="N72" s="7"/>
    </row>
    <row r="73" spans="1:14" s="382" customFormat="1" ht="18.75" customHeight="1">
      <c r="A73"/>
      <c r="B73" s="441" t="s">
        <v>2752</v>
      </c>
      <c r="C73" s="815">
        <f>C76/C62</f>
        <v>0.15010766346265983</v>
      </c>
      <c r="D73" s="452"/>
      <c r="E73" s="815">
        <f>E76/E62</f>
        <v>7.9818164170670738E-2</v>
      </c>
      <c r="F73" s="452"/>
      <c r="G73" s="815">
        <f>G76/G62</f>
        <v>0.14033647992359982</v>
      </c>
      <c r="H73" s="452"/>
      <c r="I73" s="815">
        <f>I76/I62</f>
        <v>0.14472758949909637</v>
      </c>
      <c r="J73" s="452"/>
      <c r="K73" s="815">
        <f>K76/K62</f>
        <v>5.8819117391649273E-2</v>
      </c>
      <c r="L73" s="13"/>
      <c r="M73"/>
      <c r="N73"/>
    </row>
    <row r="74" spans="1:14" s="382" customFormat="1" ht="24" customHeight="1">
      <c r="A74"/>
      <c r="B74" s="441"/>
      <c r="C74" s="442"/>
      <c r="D74" s="442"/>
      <c r="E74" s="442"/>
      <c r="F74" s="442"/>
      <c r="G74" s="442"/>
      <c r="H74" s="442"/>
      <c r="I74" s="442"/>
      <c r="J74" s="442"/>
      <c r="K74" s="442"/>
      <c r="L74" s="13"/>
      <c r="M74"/>
      <c r="N74"/>
    </row>
    <row r="75" spans="1:14" s="382" customFormat="1" ht="18.75" customHeight="1">
      <c r="A75"/>
      <c r="B75" s="441" t="s">
        <v>2753</v>
      </c>
      <c r="C75" s="442">
        <f>+SUM('Part VI-Pro Forma'!B26:B29)</f>
        <v>-1149423.7365758326</v>
      </c>
      <c r="D75" s="442"/>
      <c r="E75" s="442">
        <f>$C$75</f>
        <v>-1149423.7365758326</v>
      </c>
      <c r="F75" s="442"/>
      <c r="G75" s="442">
        <f>$C$75</f>
        <v>-1149423.7365758326</v>
      </c>
      <c r="H75" s="442"/>
      <c r="I75" s="442">
        <f>$C$75</f>
        <v>-1149423.7365758326</v>
      </c>
      <c r="J75" s="442"/>
      <c r="K75" s="442">
        <f>$C$75</f>
        <v>-1149423.7365758326</v>
      </c>
      <c r="L75" s="13"/>
      <c r="M75"/>
      <c r="N75"/>
    </row>
    <row r="76" spans="1:14" s="382" customFormat="1" ht="18.75" customHeight="1">
      <c r="A76"/>
      <c r="B76" s="441" t="s">
        <v>1357</v>
      </c>
      <c r="C76" s="442">
        <f>C70+C75</f>
        <v>201306.53542416729</v>
      </c>
      <c r="D76" s="442"/>
      <c r="E76" s="442">
        <f>E70+E75</f>
        <v>107042.62342416728</v>
      </c>
      <c r="F76" s="442"/>
      <c r="G76" s="442">
        <f>G70+G75</f>
        <v>189815.23542416724</v>
      </c>
      <c r="H76" s="442"/>
      <c r="I76" s="442">
        <f>I70+I75</f>
        <v>195003.62542416737</v>
      </c>
      <c r="J76" s="442"/>
      <c r="K76" s="442">
        <f>K70+K75</f>
        <v>80445.61342416727</v>
      </c>
      <c r="L76" s="13"/>
      <c r="M76"/>
      <c r="N76"/>
    </row>
    <row r="77" spans="1:14" s="382" customFormat="1" ht="15" hidden="1">
      <c r="A77"/>
      <c r="B77" s="441" t="s">
        <v>2754</v>
      </c>
      <c r="C77" s="453" t="e">
        <f>PV(intrate/12,30*12,C75/12,0)</f>
        <v>#NAME?</v>
      </c>
      <c r="D77" s="441"/>
      <c r="E77" s="453" t="e">
        <f>PV(intrate/12,30*12,E75/12,0)</f>
        <v>#NAME?</v>
      </c>
      <c r="F77" s="441"/>
      <c r="G77" s="453" t="e">
        <f>PV(intrate/12,30*12,G75/12,0)</f>
        <v>#NAME?</v>
      </c>
      <c r="H77" s="441"/>
      <c r="I77" s="453" t="e">
        <f>PV(intrate/12,30*12,I75/12,0)</f>
        <v>#NAME?</v>
      </c>
      <c r="J77" s="441"/>
      <c r="K77" s="453" t="e">
        <f>PV(intrate/12,30*12,K75/12,0)</f>
        <v>#NAME?</v>
      </c>
      <c r="L77" s="13"/>
      <c r="M77"/>
      <c r="N77"/>
    </row>
    <row r="78" spans="1:14" s="382" customFormat="1" ht="15" hidden="1">
      <c r="A78"/>
      <c r="B78" s="454" t="s">
        <v>2755</v>
      </c>
      <c r="C78" s="441"/>
      <c r="D78" s="441"/>
      <c r="E78" s="441"/>
      <c r="F78" s="441"/>
      <c r="G78" s="441"/>
      <c r="H78" s="441"/>
      <c r="I78" s="441"/>
      <c r="J78" s="441"/>
      <c r="K78" s="441"/>
      <c r="L78" s="13"/>
      <c r="M78"/>
      <c r="N78"/>
    </row>
    <row r="79" spans="1:14" s="382" customFormat="1" ht="15" hidden="1">
      <c r="A79"/>
      <c r="B79" s="441"/>
      <c r="C79" s="441"/>
      <c r="D79" s="441"/>
      <c r="E79" s="441"/>
      <c r="F79" s="441"/>
      <c r="G79" s="441"/>
      <c r="H79" s="441"/>
      <c r="I79" s="441"/>
      <c r="J79" s="441"/>
      <c r="K79" s="441"/>
      <c r="L79" s="13"/>
      <c r="M79"/>
      <c r="N79"/>
    </row>
    <row r="80" spans="1:14" s="382" customFormat="1" ht="15.75" hidden="1" thickBot="1">
      <c r="A80"/>
      <c r="B80" s="441" t="s">
        <v>2756</v>
      </c>
      <c r="C80" s="453" t="e">
        <f>MIN(C77,E77,G77,I77,K77)</f>
        <v>#NAME?</v>
      </c>
      <c r="D80" s="441"/>
      <c r="E80" s="441" t="s">
        <v>2757</v>
      </c>
      <c r="F80" s="455">
        <v>0.06</v>
      </c>
      <c r="G80" s="13"/>
      <c r="H80" s="13"/>
      <c r="I80" s="13"/>
      <c r="J80" s="13"/>
      <c r="K80" s="13"/>
      <c r="L80" s="13"/>
      <c r="M80"/>
      <c r="N80"/>
    </row>
    <row r="81" spans="1:14" s="382" customFormat="1" ht="15" hidden="1">
      <c r="A81"/>
      <c r="B81" s="441" t="s">
        <v>2758</v>
      </c>
      <c r="C81" s="453" t="e">
        <f>MAX(C77,E77,G77,I77,K77)</f>
        <v>#NAME?</v>
      </c>
      <c r="D81" s="441"/>
      <c r="E81" s="441"/>
      <c r="F81" s="441"/>
      <c r="G81" s="13"/>
      <c r="H81" s="13"/>
      <c r="I81" s="13"/>
      <c r="J81" s="13"/>
      <c r="K81" s="13"/>
      <c r="L81" s="13"/>
      <c r="M81"/>
      <c r="N81"/>
    </row>
    <row r="82" spans="1:14" s="382" customFormat="1" ht="15">
      <c r="A82"/>
      <c r="B82" s="441"/>
      <c r="C82" s="441"/>
      <c r="D82" s="441"/>
      <c r="E82" s="441" t="s">
        <v>2682</v>
      </c>
      <c r="F82" s="441"/>
      <c r="G82" s="13"/>
      <c r="H82" s="13"/>
      <c r="I82" s="13"/>
      <c r="J82" s="13"/>
      <c r="K82" s="13"/>
      <c r="L82" s="13"/>
      <c r="M82"/>
      <c r="N82"/>
    </row>
    <row r="83" spans="1:14" s="382"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765" customWidth="1"/>
    <col min="2" max="2" width="13.7109375" style="765" customWidth="1"/>
    <col min="3" max="11" width="10.5703125" style="765" customWidth="1"/>
    <col min="12" max="12" width="9.7109375" style="765" customWidth="1"/>
    <col min="13" max="21" width="10.5703125" style="765" customWidth="1"/>
    <col min="22" max="16384" width="9.28515625" style="765"/>
  </cols>
  <sheetData>
    <row r="1" spans="1:7" ht="3" customHeight="1"/>
    <row r="2" spans="1:7">
      <c r="A2" s="764" t="s">
        <v>2843</v>
      </c>
    </row>
    <row r="3" spans="1:7" ht="3" customHeight="1"/>
    <row r="4" spans="1:7">
      <c r="A4" s="765" t="s">
        <v>2844</v>
      </c>
      <c r="B4" s="766">
        <f ca="1">+'Part III-A-Uses of Funds'!$G$146</f>
        <v>35829793.968287915</v>
      </c>
    </row>
    <row r="5" spans="1:7">
      <c r="A5" s="765" t="s">
        <v>2845</v>
      </c>
      <c r="B5" s="766">
        <f>+B18+B26+B38</f>
        <v>11121039.276358889</v>
      </c>
    </row>
    <row r="6" spans="1:7">
      <c r="A6" s="765" t="s">
        <v>2846</v>
      </c>
      <c r="B6" s="767">
        <f ca="1">+B5-B4</f>
        <v>-24708754.691929027</v>
      </c>
    </row>
    <row r="7" spans="1:7">
      <c r="A7" s="765" t="s">
        <v>2847</v>
      </c>
      <c r="B7" s="768">
        <f ca="1">+B6/B4</f>
        <v>-0.68961475786877668</v>
      </c>
    </row>
    <row r="8" spans="1:7" ht="9" customHeight="1"/>
    <row r="9" spans="1:7">
      <c r="A9" s="765" t="s">
        <v>2848</v>
      </c>
      <c r="B9" s="766">
        <f>+B18+B26+B33</f>
        <v>11121039.276358889</v>
      </c>
    </row>
    <row r="10" spans="1:7">
      <c r="A10" s="765" t="s">
        <v>2846</v>
      </c>
      <c r="B10" s="767">
        <f ca="1">+B9-B4</f>
        <v>-24708754.691929027</v>
      </c>
    </row>
    <row r="11" spans="1:7">
      <c r="A11" s="765" t="s">
        <v>2847</v>
      </c>
      <c r="B11" s="768">
        <f ca="1">+B10/B4</f>
        <v>-0.68961475786877668</v>
      </c>
    </row>
    <row r="12" spans="1:7" ht="24" customHeight="1"/>
    <row r="13" spans="1:7">
      <c r="A13" s="764" t="s">
        <v>2849</v>
      </c>
      <c r="D13" s="820" t="s">
        <v>2850</v>
      </c>
      <c r="E13" s="821"/>
    </row>
    <row r="14" spans="1:7">
      <c r="A14" s="765" t="s">
        <v>2851</v>
      </c>
      <c r="B14" s="769">
        <f ca="1">+SUM('Part II-Sources of Funds'!L51:M52)</f>
        <v>12455150.6</v>
      </c>
      <c r="D14" s="821"/>
      <c r="E14" s="821"/>
    </row>
    <row r="15" spans="1:7">
      <c r="A15" s="765" t="s">
        <v>2852</v>
      </c>
      <c r="B15" s="770">
        <f ca="1">+'Part III-A-Uses of Funds'!J180</f>
        <v>1345373.3968287918</v>
      </c>
      <c r="D15" s="821" t="s">
        <v>716</v>
      </c>
      <c r="G15" s="822">
        <f>'Part III-A-Uses of Funds'!J168</f>
        <v>0</v>
      </c>
    </row>
    <row r="16" spans="1:7" ht="12.75" customHeight="1">
      <c r="D16" s="821" t="s">
        <v>2853</v>
      </c>
      <c r="G16" s="826">
        <v>3.2800000000000003E-2</v>
      </c>
    </row>
    <row r="17" spans="1:7" ht="12.75" customHeight="1">
      <c r="A17" s="765" t="s">
        <v>2854</v>
      </c>
      <c r="B17" s="825">
        <v>1.45</v>
      </c>
      <c r="D17" s="821" t="s">
        <v>2855</v>
      </c>
      <c r="G17" s="827">
        <v>1.45</v>
      </c>
    </row>
    <row r="18" spans="1:7" ht="12.75" customHeight="1">
      <c r="A18" s="765" t="s">
        <v>2856</v>
      </c>
      <c r="B18" s="771">
        <f>+'Part III-A-Uses of Funds'!J190*B17*10</f>
        <v>0</v>
      </c>
      <c r="D18" s="821" t="s">
        <v>2857</v>
      </c>
      <c r="G18" s="827">
        <v>3.28</v>
      </c>
    </row>
    <row r="19" spans="1:7" ht="12.75" customHeight="1">
      <c r="D19" s="821" t="s">
        <v>2858</v>
      </c>
      <c r="G19" s="823">
        <f>+G15*G16*G17*10</f>
        <v>0</v>
      </c>
    </row>
    <row r="20" spans="1:7">
      <c r="A20" s="765" t="s">
        <v>2859</v>
      </c>
      <c r="B20" s="769">
        <f ca="1">+B18-B14</f>
        <v>-12455150.6</v>
      </c>
      <c r="D20" s="821" t="s">
        <v>2860</v>
      </c>
      <c r="G20" s="824">
        <f ca="1">+B14-G19</f>
        <v>12455150.6</v>
      </c>
    </row>
    <row r="21" spans="1:7">
      <c r="A21" s="765" t="s">
        <v>2861</v>
      </c>
      <c r="B21" s="768">
        <f ca="1">+B20/B14</f>
        <v>-1</v>
      </c>
      <c r="D21" s="821" t="s">
        <v>2862</v>
      </c>
      <c r="G21" s="821" t="str">
        <f ca="1">+IF(G20&gt;(B28+B35),"No","Yes")</f>
        <v>No</v>
      </c>
    </row>
    <row r="22" spans="1:7" ht="24" customHeight="1"/>
    <row r="23" spans="1:7">
      <c r="A23" s="764" t="s">
        <v>2863</v>
      </c>
    </row>
    <row r="24" spans="1:7">
      <c r="A24" s="765" t="s">
        <v>2864</v>
      </c>
      <c r="B24" s="772">
        <f>+SUM('Part II-Sources of Funds'!I40:J43)</f>
        <v>22376060</v>
      </c>
    </row>
    <row r="25" spans="1:7">
      <c r="A25" s="765" t="s">
        <v>2865</v>
      </c>
      <c r="B25" s="773">
        <f>IF('Part II-Sources of Funds'!E6="Yes","N/A",MAX(B46:P46))</f>
        <v>23823.509909166023</v>
      </c>
    </row>
    <row r="26" spans="1:7">
      <c r="A26" s="765" t="s">
        <v>2866</v>
      </c>
      <c r="B26" s="763">
        <f>IFERROR(PV('Part II-Sources of Funds'!K40,'Part II-Sources of Funds'!L40,B25+B45),B24)</f>
        <v>11121039.276358889</v>
      </c>
    </row>
    <row r="27" spans="1:7" ht="9" customHeight="1">
      <c r="B27" s="763"/>
    </row>
    <row r="28" spans="1:7">
      <c r="A28" s="765" t="s">
        <v>2867</v>
      </c>
      <c r="B28" s="774">
        <f>+B26-B24</f>
        <v>-11255020.723641111</v>
      </c>
      <c r="C28" s="775"/>
    </row>
    <row r="29" spans="1:7">
      <c r="A29" s="765" t="s">
        <v>2861</v>
      </c>
      <c r="B29" s="776">
        <f>+B28/B24</f>
        <v>-0.50299385699006482</v>
      </c>
    </row>
    <row r="30" spans="1:7" ht="24" customHeight="1"/>
    <row r="31" spans="1:7">
      <c r="A31" s="764" t="s">
        <v>1356</v>
      </c>
    </row>
    <row r="32" spans="1:7">
      <c r="A32" s="765" t="s">
        <v>2868</v>
      </c>
      <c r="B32" s="777">
        <f>+'Part II-Sources of Funds'!I45</f>
        <v>999363</v>
      </c>
    </row>
    <row r="33" spans="1:11">
      <c r="A33" s="765" t="s">
        <v>2869</v>
      </c>
      <c r="B33" s="763"/>
    </row>
    <row r="34" spans="1:11" ht="9" customHeight="1">
      <c r="B34" s="763"/>
    </row>
    <row r="35" spans="1:11">
      <c r="A35" s="765" t="s">
        <v>2870</v>
      </c>
      <c r="B35" s="777">
        <f>+B33-B32</f>
        <v>-999363</v>
      </c>
    </row>
    <row r="36" spans="1:11">
      <c r="A36" s="765" t="s">
        <v>2871</v>
      </c>
      <c r="B36" s="762">
        <f>+B35/B32</f>
        <v>-1</v>
      </c>
    </row>
    <row r="37" spans="1:11" ht="24" customHeight="1">
      <c r="B37" s="763"/>
    </row>
    <row r="38" spans="1:11">
      <c r="A38" s="764" t="s">
        <v>2872</v>
      </c>
      <c r="B38" s="763">
        <f>+SUM('Part II-Sources of Funds'!I44,'Part II-Sources of Funds'!I49,'Part II-Sources of Funds'!I50,'Part II-Sources of Funds'!I53:I59)</f>
        <v>0</v>
      </c>
    </row>
    <row r="39" spans="1:11">
      <c r="B39" s="763"/>
    </row>
    <row r="40" spans="1:11">
      <c r="B40" s="763"/>
    </row>
    <row r="41" spans="1:11">
      <c r="B41" s="763"/>
    </row>
    <row r="42" spans="1:11">
      <c r="A42" s="764" t="s">
        <v>2873</v>
      </c>
      <c r="B42" s="763"/>
    </row>
    <row r="43" spans="1:11">
      <c r="A43" s="765" t="s">
        <v>484</v>
      </c>
      <c r="B43" s="828">
        <v>1</v>
      </c>
      <c r="C43" s="828">
        <v>2</v>
      </c>
      <c r="D43" s="828">
        <v>3</v>
      </c>
      <c r="E43" s="828">
        <v>4</v>
      </c>
      <c r="F43" s="828">
        <v>5</v>
      </c>
      <c r="G43" s="828">
        <v>6</v>
      </c>
      <c r="H43" s="828">
        <v>7</v>
      </c>
      <c r="I43" s="828">
        <v>8</v>
      </c>
      <c r="J43" s="828">
        <v>9</v>
      </c>
      <c r="K43" s="828">
        <v>10</v>
      </c>
    </row>
    <row r="44" spans="1:11">
      <c r="A44" s="765" t="s">
        <v>1352</v>
      </c>
      <c r="B44" s="766">
        <f>+'Part VI-Pro Forma'!B25</f>
        <v>1350720.2719999999</v>
      </c>
      <c r="C44" s="766">
        <f>+'Part VI-Pro Forma'!C25</f>
        <v>1363627.96744</v>
      </c>
      <c r="D44" s="766">
        <f>+'Part VI-Pro Forma'!D25</f>
        <v>1376369.8774887996</v>
      </c>
      <c r="E44" s="766">
        <f>+'Part VI-Pro Forma'!E25</f>
        <v>1388931.2898595757</v>
      </c>
      <c r="F44" s="766">
        <f>+'Part VI-Pro Forma'!F25</f>
        <v>1401294.8171223975</v>
      </c>
      <c r="G44" s="766">
        <f>+'Part VI-Pro Forma'!G25</f>
        <v>1413442.3717744448</v>
      </c>
      <c r="H44" s="766">
        <f>+'Part VI-Pro Forma'!H25</f>
        <v>1425357.1404688205</v>
      </c>
      <c r="I44" s="766">
        <f>+'Part VI-Pro Forma'!I25</f>
        <v>1437019.557374849</v>
      </c>
      <c r="J44" s="766">
        <f>+'Part VI-Pro Forma'!J25</f>
        <v>1448410.2766419</v>
      </c>
      <c r="K44" s="766">
        <f>+'Part VI-Pro Forma'!K25</f>
        <v>1459508.1439378774</v>
      </c>
    </row>
    <row r="45" spans="1:11">
      <c r="A45" s="765" t="s">
        <v>2874</v>
      </c>
      <c r="B45" s="766">
        <f>SUM('Part VI-Pro Forma'!B26:B29)</f>
        <v>-1149423.7365758326</v>
      </c>
      <c r="C45" s="766">
        <f>SUM('Part VI-Pro Forma'!C26:C29)</f>
        <v>-1152650.6604358326</v>
      </c>
      <c r="D45" s="766">
        <f>SUM('Part VI-Pro Forma'!D26:D29)</f>
        <v>-1155836.1379480325</v>
      </c>
      <c r="E45" s="766">
        <f>SUM('Part VI-Pro Forma'!E26:E29)</f>
        <v>-1158976.4910407264</v>
      </c>
      <c r="F45" s="766">
        <f>SUM('Part VI-Pro Forma'!F26:F29)</f>
        <v>-1162067.3728564319</v>
      </c>
      <c r="G45" s="766">
        <f>SUM('Part VI-Pro Forma'!G26:G29)</f>
        <v>-1165104.2615194437</v>
      </c>
      <c r="H45" s="766">
        <f>SUM('Part VI-Pro Forma'!H26:H29)</f>
        <v>-1168082.9536930376</v>
      </c>
      <c r="I45" s="766">
        <f>SUM('Part VI-Pro Forma'!I26:I29)</f>
        <v>-1170998.5579195449</v>
      </c>
      <c r="J45" s="766">
        <f>SUM('Part VI-Pro Forma'!J26:J29)</f>
        <v>-1173846.2377363076</v>
      </c>
      <c r="K45" s="766">
        <f>SUM('Part VI-Pro Forma'!K26:K29)</f>
        <v>-1176620.704560302</v>
      </c>
    </row>
    <row r="46" spans="1:11">
      <c r="A46" s="765" t="s">
        <v>2875</v>
      </c>
      <c r="B46" s="767">
        <f t="shared" ref="B46:K46" si="0">-B44/B48-B45</f>
        <v>23823.509909166023</v>
      </c>
      <c r="C46" s="767">
        <f t="shared" si="0"/>
        <v>16294.020902499091</v>
      </c>
      <c r="D46" s="767">
        <f t="shared" si="0"/>
        <v>8861.2400406994857</v>
      </c>
      <c r="E46" s="767">
        <f t="shared" si="0"/>
        <v>1533.7494910799433</v>
      </c>
      <c r="F46" s="767">
        <f t="shared" si="0"/>
        <v>-5678.3080788995139</v>
      </c>
      <c r="G46" s="767">
        <f t="shared" si="0"/>
        <v>-12764.381625927053</v>
      </c>
      <c r="H46" s="767">
        <f t="shared" si="0"/>
        <v>-19714.663364312844</v>
      </c>
      <c r="I46" s="767">
        <f t="shared" si="0"/>
        <v>-26517.739892829442</v>
      </c>
      <c r="J46" s="767">
        <f t="shared" si="0"/>
        <v>-33162.326131942449</v>
      </c>
      <c r="K46" s="767">
        <f t="shared" si="0"/>
        <v>-39636.082054595929</v>
      </c>
    </row>
    <row r="48" spans="1:11">
      <c r="A48" s="765" t="s">
        <v>2876</v>
      </c>
      <c r="B48" s="765">
        <f>IF(B82="NC",1.2,1.25)</f>
        <v>1.2</v>
      </c>
      <c r="C48" s="765">
        <f>+B48</f>
        <v>1.2</v>
      </c>
      <c r="D48" s="765">
        <f t="shared" ref="D48:K48" si="1">+C48</f>
        <v>1.2</v>
      </c>
      <c r="E48" s="765">
        <f t="shared" si="1"/>
        <v>1.2</v>
      </c>
      <c r="F48" s="765">
        <f t="shared" si="1"/>
        <v>1.2</v>
      </c>
      <c r="G48" s="765">
        <f t="shared" si="1"/>
        <v>1.2</v>
      </c>
      <c r="H48" s="765">
        <f t="shared" si="1"/>
        <v>1.2</v>
      </c>
      <c r="I48" s="765">
        <f t="shared" si="1"/>
        <v>1.2</v>
      </c>
      <c r="J48" s="765">
        <f t="shared" si="1"/>
        <v>1.2</v>
      </c>
      <c r="K48" s="765">
        <f t="shared" si="1"/>
        <v>1.2</v>
      </c>
    </row>
    <row r="50" spans="1:17">
      <c r="A50" s="764" t="s">
        <v>1357</v>
      </c>
    </row>
    <row r="51" spans="1:17">
      <c r="A51" s="765" t="s">
        <v>1352</v>
      </c>
      <c r="B51" s="767">
        <f>+B44</f>
        <v>1350720.2719999999</v>
      </c>
      <c r="C51" s="767">
        <f t="shared" ref="C51:K51" si="2">+C44</f>
        <v>1363627.96744</v>
      </c>
      <c r="D51" s="767">
        <f t="shared" si="2"/>
        <v>1376369.8774887996</v>
      </c>
      <c r="E51" s="767">
        <f t="shared" si="2"/>
        <v>1388931.2898595757</v>
      </c>
      <c r="F51" s="767">
        <f t="shared" si="2"/>
        <v>1401294.8171223975</v>
      </c>
      <c r="G51" s="767">
        <f t="shared" si="2"/>
        <v>1413442.3717744448</v>
      </c>
      <c r="H51" s="767">
        <f t="shared" si="2"/>
        <v>1425357.1404688205</v>
      </c>
      <c r="I51" s="767">
        <f t="shared" si="2"/>
        <v>1437019.557374849</v>
      </c>
      <c r="J51" s="767">
        <f t="shared" si="2"/>
        <v>1448410.2766419</v>
      </c>
      <c r="K51" s="767">
        <f t="shared" si="2"/>
        <v>1459508.1439378774</v>
      </c>
    </row>
    <row r="52" spans="1:17">
      <c r="A52" s="765" t="s">
        <v>2877</v>
      </c>
      <c r="B52" s="767">
        <f>IF($B$25="N/A",B45,B45+$B$25)</f>
        <v>-1125600.2266666666</v>
      </c>
      <c r="C52" s="767">
        <f t="shared" ref="C52:K52" si="3">IF($B$25="N/A",C45,C45+$B$25)</f>
        <v>-1128827.1505266665</v>
      </c>
      <c r="D52" s="767">
        <f t="shared" si="3"/>
        <v>-1132012.6280388664</v>
      </c>
      <c r="E52" s="767">
        <f t="shared" si="3"/>
        <v>-1135152.9811315604</v>
      </c>
      <c r="F52" s="767">
        <f t="shared" si="3"/>
        <v>-1138243.8629472659</v>
      </c>
      <c r="G52" s="767">
        <f t="shared" si="3"/>
        <v>-1141280.7516102777</v>
      </c>
      <c r="H52" s="767">
        <f t="shared" si="3"/>
        <v>-1144259.4437838716</v>
      </c>
      <c r="I52" s="767">
        <f t="shared" si="3"/>
        <v>-1147175.0480103788</v>
      </c>
      <c r="J52" s="767">
        <f t="shared" si="3"/>
        <v>-1150022.7278271415</v>
      </c>
      <c r="K52" s="767">
        <f t="shared" si="3"/>
        <v>-1152797.1946511359</v>
      </c>
    </row>
    <row r="53" spans="1:17">
      <c r="A53" s="765" t="s">
        <v>2878</v>
      </c>
      <c r="B53" s="766">
        <f>+'Part VI-Pro Forma'!B31</f>
        <v>-10000</v>
      </c>
      <c r="C53" s="766">
        <f>+'Part VI-Pro Forma'!C31</f>
        <v>-10000</v>
      </c>
      <c r="D53" s="766">
        <f>+'Part VI-Pro Forma'!D31</f>
        <v>-10000</v>
      </c>
      <c r="E53" s="766">
        <f>+'Part VI-Pro Forma'!E31</f>
        <v>-10000</v>
      </c>
      <c r="F53" s="766">
        <f>+'Part VI-Pro Forma'!F31</f>
        <v>-10000</v>
      </c>
      <c r="G53" s="766">
        <f>+'Part VI-Pro Forma'!G31</f>
        <v>-10000</v>
      </c>
      <c r="H53" s="766">
        <f>+'Part VI-Pro Forma'!H31</f>
        <v>-10000</v>
      </c>
      <c r="I53" s="766">
        <f>+'Part VI-Pro Forma'!I31</f>
        <v>-10000</v>
      </c>
      <c r="J53" s="766">
        <f>+'Part VI-Pro Forma'!J31</f>
        <v>-10000</v>
      </c>
      <c r="K53" s="766">
        <f>+'Part VI-Pro Forma'!K31</f>
        <v>-10000</v>
      </c>
    </row>
    <row r="54" spans="1:17">
      <c r="A54" s="765" t="s">
        <v>2879</v>
      </c>
      <c r="B54" s="767">
        <f>+SUM(B51:B53)</f>
        <v>215120.04533333331</v>
      </c>
      <c r="C54" s="767">
        <f t="shared" ref="C54:K54" si="4">+SUM(C51:C53)</f>
        <v>224800.81691333349</v>
      </c>
      <c r="D54" s="767">
        <f t="shared" si="4"/>
        <v>234357.24944993318</v>
      </c>
      <c r="E54" s="767">
        <f t="shared" si="4"/>
        <v>243778.30872801528</v>
      </c>
      <c r="F54" s="767">
        <f t="shared" si="4"/>
        <v>253050.95417513163</v>
      </c>
      <c r="G54" s="767">
        <f t="shared" si="4"/>
        <v>262161.62016416714</v>
      </c>
      <c r="H54" s="767">
        <f t="shared" si="4"/>
        <v>271097.69668494887</v>
      </c>
      <c r="I54" s="767">
        <f t="shared" si="4"/>
        <v>279844.50936447014</v>
      </c>
      <c r="J54" s="767">
        <f t="shared" si="4"/>
        <v>288387.54881475843</v>
      </c>
      <c r="K54" s="767">
        <f t="shared" si="4"/>
        <v>296710.94928674144</v>
      </c>
    </row>
    <row r="55" spans="1:17">
      <c r="A55" s="765" t="s">
        <v>1356</v>
      </c>
      <c r="B55" s="767">
        <f>-B54</f>
        <v>-215120.04533333331</v>
      </c>
      <c r="C55" s="767">
        <f t="shared" ref="C55:K55" si="5">-C54</f>
        <v>-224800.81691333349</v>
      </c>
      <c r="D55" s="767">
        <f t="shared" si="5"/>
        <v>-234357.24944993318</v>
      </c>
      <c r="E55" s="767">
        <f t="shared" si="5"/>
        <v>-243778.30872801528</v>
      </c>
      <c r="F55" s="767">
        <f t="shared" si="5"/>
        <v>-253050.95417513163</v>
      </c>
      <c r="G55" s="767">
        <f t="shared" si="5"/>
        <v>-262161.62016416714</v>
      </c>
      <c r="H55" s="767">
        <f t="shared" si="5"/>
        <v>-271097.69668494887</v>
      </c>
      <c r="I55" s="767">
        <f t="shared" si="5"/>
        <v>-279844.50936447014</v>
      </c>
      <c r="J55" s="767">
        <f t="shared" si="5"/>
        <v>-288387.54881475843</v>
      </c>
      <c r="K55" s="767">
        <f t="shared" si="5"/>
        <v>-296710.94928674144</v>
      </c>
    </row>
    <row r="56" spans="1:17">
      <c r="A56" s="765" t="s">
        <v>2880</v>
      </c>
      <c r="B56" s="767">
        <f>+B54+B55</f>
        <v>0</v>
      </c>
      <c r="C56" s="767">
        <f t="shared" ref="C56:K56" si="6">+C54+C55</f>
        <v>0</v>
      </c>
      <c r="D56" s="767">
        <f t="shared" si="6"/>
        <v>0</v>
      </c>
      <c r="E56" s="767">
        <f t="shared" si="6"/>
        <v>0</v>
      </c>
      <c r="F56" s="767">
        <f t="shared" si="6"/>
        <v>0</v>
      </c>
      <c r="G56" s="767">
        <f t="shared" si="6"/>
        <v>0</v>
      </c>
      <c r="H56" s="767">
        <f t="shared" si="6"/>
        <v>0</v>
      </c>
      <c r="I56" s="767">
        <f t="shared" si="6"/>
        <v>0</v>
      </c>
      <c r="J56" s="767">
        <f t="shared" si="6"/>
        <v>0</v>
      </c>
      <c r="K56" s="767">
        <f t="shared" si="6"/>
        <v>0</v>
      </c>
    </row>
    <row r="58" spans="1:17">
      <c r="A58" s="765" t="s">
        <v>2881</v>
      </c>
      <c r="B58" s="766">
        <f>IF($B$26="","",-FV('Part II-Sources of Funds'!$K$40/12,12,B52/12,B26))</f>
        <v>10790886.872718828</v>
      </c>
      <c r="C58" s="766">
        <f>IF($B$26="","",-FV('Part II-Sources of Funds'!$K$40/12,12,C52/12,B58))</f>
        <v>10432650.466068156</v>
      </c>
      <c r="D58" s="766">
        <f>IF($B$26="","",-FV('Part II-Sources of Funds'!$K$40/12,12,D52/12,C58))</f>
        <v>10044267.779048361</v>
      </c>
      <c r="E58" s="766">
        <f>IF($B$26="","",-FV('Part II-Sources of Funds'!$K$40/12,12,E52/12,D58))</f>
        <v>9623525.7522874326</v>
      </c>
      <c r="F58" s="766">
        <f>IF($B$26="","",-FV('Part II-Sources of Funds'!$K$40/12,12,F52/12,E58))</f>
        <v>9168049.9334995169</v>
      </c>
      <c r="G58" s="766">
        <f>IF($B$26="","",-FV('Part II-Sources of Funds'!$K$40/12,12,G52/12,F58))</f>
        <v>8675292.5606995355</v>
      </c>
      <c r="H58" s="766">
        <f>IF($B$26="","",-FV('Part II-Sources of Funds'!$K$40/12,12,H52/12,G58))</f>
        <v>8142519.2418633532</v>
      </c>
      <c r="I58" s="766">
        <f>IF($B$26="","",-FV('Part II-Sources of Funds'!$K$40/12,12,I52/12,H58))</f>
        <v>7566795.6769112395</v>
      </c>
      <c r="J58" s="766">
        <f>IF($B$26="","",-FV('Part II-Sources of Funds'!$K$40/12,12,J52/12,I58))</f>
        <v>6944972.616080625</v>
      </c>
      <c r="K58" s="766">
        <f>IF($B$26="","",-FV('Part II-Sources of Funds'!$K$40/12,12,K52/12,J58))</f>
        <v>6273670.2151145032</v>
      </c>
    </row>
    <row r="59" spans="1:17">
      <c r="A59" s="765" t="s">
        <v>1365</v>
      </c>
      <c r="B59" s="766" t="str">
        <f>IF(B33="","",-FV('Part II-Sources of Funds'!$K$45/12,12,B55/12,B33))</f>
        <v/>
      </c>
      <c r="C59" s="766" t="str">
        <f>IF($B$33="","",-FV('Part II-Sources of Funds'!$K$45/12,12,C55/12,B59))</f>
        <v/>
      </c>
      <c r="D59" s="766" t="str">
        <f>IF($B$33="","",-FV('Part II-Sources of Funds'!$K$45/12,12,D55/12,C59))</f>
        <v/>
      </c>
      <c r="E59" s="766" t="str">
        <f>IF($B$33="","",-FV('Part II-Sources of Funds'!$K$45/12,12,E55/12,D59))</f>
        <v/>
      </c>
      <c r="F59" s="766" t="str">
        <f>IF($B$33="","",-FV('Part II-Sources of Funds'!$K$45/12,12,F55/12,E59))</f>
        <v/>
      </c>
      <c r="G59" s="766" t="str">
        <f>IF($B$33="","",-FV('Part II-Sources of Funds'!$K$45/12,12,G55/12,F59))</f>
        <v/>
      </c>
      <c r="H59" s="766" t="str">
        <f>IF($B$33="","",-FV('Part II-Sources of Funds'!$K$45/12,12,H55/12,G59))</f>
        <v/>
      </c>
      <c r="I59" s="766" t="str">
        <f>IF($B$33="","",-FV('Part II-Sources of Funds'!$K$45/12,12,I55/12,H59))</f>
        <v/>
      </c>
      <c r="J59" s="766" t="str">
        <f>IF($B$33="","",-FV('Part II-Sources of Funds'!$K$45/12,12,J55/12,I59))</f>
        <v/>
      </c>
      <c r="K59" s="766" t="str">
        <f>IF($B$33="","",-FV('Part II-Sources of Funds'!$K$45/12,12,K55/12,J59))</f>
        <v/>
      </c>
      <c r="L59" s="766" t="str">
        <f>IF($B$33="","",-FV('Part II-Sources of Funds'!$K$45/12,12,B75/12,K59))</f>
        <v/>
      </c>
      <c r="M59" s="766" t="str">
        <f>IF($B$33="","",-FV('Part II-Sources of Funds'!$K$45/12,12,C75/12,L59))</f>
        <v/>
      </c>
      <c r="N59" s="766" t="str">
        <f>IF($B$33="","",-FV('Part II-Sources of Funds'!$K$45/12,12,D75/12,M59))</f>
        <v/>
      </c>
      <c r="O59" s="766" t="str">
        <f>IF($B$33="","",-FV('Part II-Sources of Funds'!$K$45/12,12,E75/12,N59))</f>
        <v/>
      </c>
      <c r="P59" s="766" t="str">
        <f>IF($B$33="","",-FV('Part II-Sources of Funds'!$K$45/12,12,F75/12,O59))</f>
        <v/>
      </c>
      <c r="Q59" s="766"/>
    </row>
    <row r="60" spans="1:17" ht="18.75" customHeight="1"/>
    <row r="61" spans="1:17" ht="18.75" customHeight="1"/>
    <row r="62" spans="1:17">
      <c r="A62" s="764" t="s">
        <v>2873</v>
      </c>
    </row>
    <row r="63" spans="1:17">
      <c r="A63" s="765" t="s">
        <v>484</v>
      </c>
      <c r="B63" s="828">
        <v>11</v>
      </c>
      <c r="C63" s="828">
        <v>12</v>
      </c>
      <c r="D63" s="828">
        <v>13</v>
      </c>
      <c r="E63" s="828">
        <v>14</v>
      </c>
      <c r="F63" s="828">
        <v>15</v>
      </c>
      <c r="G63" s="828">
        <v>16</v>
      </c>
      <c r="H63" s="828">
        <v>17</v>
      </c>
      <c r="I63" s="828">
        <v>18</v>
      </c>
      <c r="J63" s="828">
        <v>19</v>
      </c>
      <c r="K63" s="828">
        <v>20</v>
      </c>
    </row>
    <row r="64" spans="1:17">
      <c r="A64" s="765" t="s">
        <v>1352</v>
      </c>
      <c r="B64" s="766">
        <f>+'Part VI-Pro Forma'!B57</f>
        <v>1470291.1670326688</v>
      </c>
      <c r="C64" s="766">
        <f>+'Part VI-Pro Forma'!C57</f>
        <v>1480738.4853958369</v>
      </c>
      <c r="D64" s="766">
        <f>+'Part VI-Pro Forma'!D57</f>
        <v>1490825.3387769444</v>
      </c>
      <c r="E64" s="766">
        <f>+'Part VI-Pro Forma'!E57</f>
        <v>1500529.0347358696</v>
      </c>
      <c r="F64" s="766">
        <f>+'Part VI-Pro Forma'!F57</f>
        <v>1509821.9150894745</v>
      </c>
      <c r="G64" s="766">
        <f>+'Part VI-Pro Forma'!G57</f>
        <v>1518680.3212399175</v>
      </c>
      <c r="H64" s="766">
        <f>+'Part VI-Pro Forma'!H57</f>
        <v>1527075.5583488313</v>
      </c>
      <c r="I64" s="766">
        <f>+'Part VI-Pro Forma'!I57</f>
        <v>1534978.8583204455</v>
      </c>
      <c r="J64" s="766">
        <f>+'Part VI-Pro Forma'!J57</f>
        <v>1542361.3415556292</v>
      </c>
      <c r="K64" s="766">
        <f>+'Part VI-Pro Forma'!K57</f>
        <v>1549191.9774375816</v>
      </c>
    </row>
    <row r="65" spans="1:11">
      <c r="A65" s="765" t="s">
        <v>2874</v>
      </c>
      <c r="B65" s="766">
        <f>SUM('Part VI-Pro Forma'!B58:B61)</f>
        <v>-1179316.4603339997</v>
      </c>
      <c r="C65" s="766">
        <f>SUM('Part VI-Pro Forma'!C58:C61)</f>
        <v>-1181928.2899247918</v>
      </c>
      <c r="D65" s="766">
        <f>SUM('Part VI-Pro Forma'!D58:D61)</f>
        <v>-1184450.0032700687</v>
      </c>
      <c r="E65" s="766">
        <f>SUM('Part VI-Pro Forma'!E58:E61)</f>
        <v>-1186875.9272598</v>
      </c>
      <c r="F65" s="766">
        <f>SUM('Part VI-Pro Forma'!F58:F61)</f>
        <v>-1189199.1473482011</v>
      </c>
      <c r="G65" s="766">
        <f>SUM('Part VI-Pro Forma'!G58:G61)</f>
        <v>-1191413.748885812</v>
      </c>
      <c r="H65" s="766">
        <f>SUM('Part VI-Pro Forma'!H58:H61)</f>
        <v>-1193512.5581630403</v>
      </c>
      <c r="I65" s="766">
        <f>SUM('Part VI-Pro Forma'!I58:I61)</f>
        <v>-1195488.3831559438</v>
      </c>
      <c r="J65" s="766">
        <f>SUM('Part VI-Pro Forma'!J58:J61)</f>
        <v>-1197334.0039647399</v>
      </c>
      <c r="K65" s="766">
        <f>SUM('Part VI-Pro Forma'!K58:K61)</f>
        <v>-1199041.6629352281</v>
      </c>
    </row>
    <row r="66" spans="1:11">
      <c r="A66" s="765" t="s">
        <v>2875</v>
      </c>
      <c r="B66" s="767">
        <f t="shared" ref="B66:K66" si="7">-B64/B68-B65</f>
        <v>-45926.178859891137</v>
      </c>
      <c r="C66" s="767">
        <f t="shared" si="7"/>
        <v>-52020.447905072244</v>
      </c>
      <c r="D66" s="767">
        <f t="shared" si="7"/>
        <v>-57904.445710718399</v>
      </c>
      <c r="E66" s="767">
        <f t="shared" si="7"/>
        <v>-63564.935020091478</v>
      </c>
      <c r="F66" s="767">
        <f t="shared" si="7"/>
        <v>-68985.781893027714</v>
      </c>
      <c r="G66" s="767">
        <f t="shared" si="7"/>
        <v>-74153.185480786022</v>
      </c>
      <c r="H66" s="767">
        <f t="shared" si="7"/>
        <v>-79050.40712765255</v>
      </c>
      <c r="I66" s="767">
        <f t="shared" si="7"/>
        <v>-83660.665444427403</v>
      </c>
      <c r="J66" s="767">
        <f t="shared" si="7"/>
        <v>-87967.113998284563</v>
      </c>
      <c r="K66" s="767">
        <f t="shared" si="7"/>
        <v>-91951.651596090058</v>
      </c>
    </row>
    <row r="68" spans="1:11">
      <c r="A68" s="765" t="s">
        <v>2876</v>
      </c>
      <c r="B68" s="765">
        <f>+K48</f>
        <v>1.2</v>
      </c>
      <c r="C68" s="765">
        <f t="shared" ref="C68:K68" si="8">+B68</f>
        <v>1.2</v>
      </c>
      <c r="D68" s="765">
        <f t="shared" si="8"/>
        <v>1.2</v>
      </c>
      <c r="E68" s="765">
        <f t="shared" si="8"/>
        <v>1.2</v>
      </c>
      <c r="F68" s="765">
        <f t="shared" si="8"/>
        <v>1.2</v>
      </c>
      <c r="G68" s="765">
        <f t="shared" si="8"/>
        <v>1.2</v>
      </c>
      <c r="H68" s="765">
        <f t="shared" si="8"/>
        <v>1.2</v>
      </c>
      <c r="I68" s="765">
        <f t="shared" si="8"/>
        <v>1.2</v>
      </c>
      <c r="J68" s="765">
        <f t="shared" si="8"/>
        <v>1.2</v>
      </c>
      <c r="K68" s="765">
        <f t="shared" si="8"/>
        <v>1.2</v>
      </c>
    </row>
    <row r="70" spans="1:11">
      <c r="A70" s="764" t="s">
        <v>1357</v>
      </c>
    </row>
    <row r="71" spans="1:11">
      <c r="A71" s="765" t="s">
        <v>1352</v>
      </c>
      <c r="B71" s="767">
        <f t="shared" ref="B71:G71" si="9">+B64</f>
        <v>1470291.1670326688</v>
      </c>
      <c r="C71" s="767">
        <f t="shared" si="9"/>
        <v>1480738.4853958369</v>
      </c>
      <c r="D71" s="767">
        <f t="shared" si="9"/>
        <v>1490825.3387769444</v>
      </c>
      <c r="E71" s="767">
        <f t="shared" si="9"/>
        <v>1500529.0347358696</v>
      </c>
      <c r="F71" s="767">
        <f t="shared" si="9"/>
        <v>1509821.9150894745</v>
      </c>
      <c r="G71" s="767">
        <f t="shared" si="9"/>
        <v>1518680.3212399175</v>
      </c>
      <c r="H71" s="767">
        <f>+H64</f>
        <v>1527075.5583488313</v>
      </c>
      <c r="I71" s="767">
        <f>+I64</f>
        <v>1534978.8583204455</v>
      </c>
      <c r="J71" s="767">
        <f>+J64</f>
        <v>1542361.3415556292</v>
      </c>
      <c r="K71" s="767">
        <f>+K64</f>
        <v>1549191.9774375816</v>
      </c>
    </row>
    <row r="72" spans="1:11">
      <c r="A72" s="765" t="s">
        <v>2877</v>
      </c>
      <c r="B72" s="767">
        <f t="shared" ref="B72:G72" si="10">IF($B$25="N/A",B65,B65+$B$25)</f>
        <v>-1155492.9504248337</v>
      </c>
      <c r="C72" s="767">
        <f t="shared" si="10"/>
        <v>-1158104.7800156258</v>
      </c>
      <c r="D72" s="767">
        <f t="shared" si="10"/>
        <v>-1160626.4933609026</v>
      </c>
      <c r="E72" s="767">
        <f t="shared" si="10"/>
        <v>-1163052.417350634</v>
      </c>
      <c r="F72" s="767">
        <f t="shared" si="10"/>
        <v>-1165375.6374390351</v>
      </c>
      <c r="G72" s="767">
        <f t="shared" si="10"/>
        <v>-1167590.238976646</v>
      </c>
      <c r="H72" s="767">
        <f>IF($B$25="N/A",H65,H65+$B$25)</f>
        <v>-1169689.0482538743</v>
      </c>
      <c r="I72" s="767">
        <f>IF($B$25="N/A",I65,I65+$B$25)</f>
        <v>-1171664.8732467778</v>
      </c>
      <c r="J72" s="767">
        <f>IF($B$25="N/A",J65,J65+$B$25)</f>
        <v>-1173510.4940555738</v>
      </c>
      <c r="K72" s="767">
        <f>IF($B$25="N/A",K65,K65+$B$25)</f>
        <v>-1175218.1530260621</v>
      </c>
    </row>
    <row r="73" spans="1:11">
      <c r="A73" s="765" t="s">
        <v>2878</v>
      </c>
      <c r="B73" s="766">
        <f>+'Part VI-Pro Forma'!B63</f>
        <v>-10000</v>
      </c>
      <c r="C73" s="766">
        <f>+'Part VI-Pro Forma'!C63</f>
        <v>-10000</v>
      </c>
      <c r="D73" s="766">
        <f>+'Part VI-Pro Forma'!D63</f>
        <v>-10000</v>
      </c>
      <c r="E73" s="766">
        <f>+'Part VI-Pro Forma'!E63</f>
        <v>-10000</v>
      </c>
      <c r="F73" s="766">
        <f>+'Part VI-Pro Forma'!F63</f>
        <v>-10000</v>
      </c>
      <c r="G73" s="766">
        <f>+'Part VI-Pro Forma'!G63</f>
        <v>-10000</v>
      </c>
      <c r="H73" s="766">
        <f>+'Part VI-Pro Forma'!H63</f>
        <v>-10000</v>
      </c>
      <c r="I73" s="766">
        <f>+'Part VI-Pro Forma'!I63</f>
        <v>-10000</v>
      </c>
      <c r="J73" s="766">
        <f>+'Part VI-Pro Forma'!J63</f>
        <v>-10000</v>
      </c>
      <c r="K73" s="766">
        <f>+'Part VI-Pro Forma'!K63</f>
        <v>-10000</v>
      </c>
    </row>
    <row r="74" spans="1:11">
      <c r="A74" s="765" t="s">
        <v>2879</v>
      </c>
      <c r="B74" s="767">
        <f t="shared" ref="B74:G74" si="11">+SUM(B71:B73)</f>
        <v>304798.21660783514</v>
      </c>
      <c r="C74" s="767">
        <f t="shared" si="11"/>
        <v>312633.70538021112</v>
      </c>
      <c r="D74" s="767">
        <f t="shared" si="11"/>
        <v>320198.84541604179</v>
      </c>
      <c r="E74" s="767">
        <f t="shared" si="11"/>
        <v>327476.61738523562</v>
      </c>
      <c r="F74" s="767">
        <f t="shared" si="11"/>
        <v>334446.27765043941</v>
      </c>
      <c r="G74" s="767">
        <f t="shared" si="11"/>
        <v>341090.08226327156</v>
      </c>
      <c r="H74" s="767">
        <f>+SUM(H71:H73)</f>
        <v>347386.51009495696</v>
      </c>
      <c r="I74" s="767">
        <f>+SUM(I71:I73)</f>
        <v>353313.98507366772</v>
      </c>
      <c r="J74" s="767">
        <f>+SUM(J71:J73)</f>
        <v>358850.84750005533</v>
      </c>
      <c r="K74" s="767">
        <f>+SUM(K71:K73)</f>
        <v>363973.82441151957</v>
      </c>
    </row>
    <row r="75" spans="1:11">
      <c r="A75" s="765" t="s">
        <v>1356</v>
      </c>
      <c r="B75" s="767">
        <f t="shared" ref="B75:G75" si="12">-B74</f>
        <v>-304798.21660783514</v>
      </c>
      <c r="C75" s="767">
        <f t="shared" si="12"/>
        <v>-312633.70538021112</v>
      </c>
      <c r="D75" s="767">
        <f t="shared" si="12"/>
        <v>-320198.84541604179</v>
      </c>
      <c r="E75" s="767">
        <f t="shared" si="12"/>
        <v>-327476.61738523562</v>
      </c>
      <c r="F75" s="767">
        <f t="shared" si="12"/>
        <v>-334446.27765043941</v>
      </c>
      <c r="G75" s="767">
        <f t="shared" si="12"/>
        <v>-341090.08226327156</v>
      </c>
      <c r="H75" s="767">
        <f>-H74</f>
        <v>-347386.51009495696</v>
      </c>
      <c r="I75" s="767">
        <f>-I74</f>
        <v>-353313.98507366772</v>
      </c>
      <c r="J75" s="767">
        <f>-J74</f>
        <v>-358850.84750005533</v>
      </c>
      <c r="K75" s="767">
        <f>-K74</f>
        <v>-363973.82441151957</v>
      </c>
    </row>
    <row r="76" spans="1:11">
      <c r="A76" s="765" t="s">
        <v>2880</v>
      </c>
      <c r="B76" s="767">
        <f t="shared" ref="B76:G76" si="13">+B74+B75</f>
        <v>0</v>
      </c>
      <c r="C76" s="767">
        <f t="shared" si="13"/>
        <v>0</v>
      </c>
      <c r="D76" s="767">
        <f t="shared" si="13"/>
        <v>0</v>
      </c>
      <c r="E76" s="767">
        <f t="shared" si="13"/>
        <v>0</v>
      </c>
      <c r="F76" s="767">
        <f t="shared" si="13"/>
        <v>0</v>
      </c>
      <c r="G76" s="767">
        <f t="shared" si="13"/>
        <v>0</v>
      </c>
      <c r="H76" s="767">
        <f>+H74+H75</f>
        <v>0</v>
      </c>
      <c r="I76" s="767">
        <f>+I74+I75</f>
        <v>0</v>
      </c>
      <c r="J76" s="767">
        <f>+J74+J75</f>
        <v>0</v>
      </c>
      <c r="K76" s="767">
        <f>+K74+K75</f>
        <v>0</v>
      </c>
    </row>
    <row r="78" spans="1:11">
      <c r="A78" s="765" t="s">
        <v>2881</v>
      </c>
      <c r="B78" s="766">
        <f>IF($B$26="","",-FV('Part II-Sources of Funds'!$K$40/12,12,B72/12,K58))</f>
        <v>5549260.9668680076</v>
      </c>
      <c r="C78" s="766">
        <f>IF($B$26="","",-FV('Part II-Sources of Funds'!$K$40/12,12,C72/12,B78))</f>
        <v>4767850.844401788</v>
      </c>
      <c r="D78" s="766">
        <f>IF($B$26="","",-FV('Part II-Sources of Funds'!$K$40/12,12,D72/12,C78))</f>
        <v>3925260.3310994804</v>
      </c>
      <c r="E78" s="766">
        <f>IF($B$26="","",-FV('Part II-Sources of Funds'!$K$40/12,12,E72/12,D78))</f>
        <v>3017002.4863664098</v>
      </c>
      <c r="F78" s="766">
        <f>IF($B$26="","",-FV('Part II-Sources of Funds'!$K$40/12,12,F72/12,E78))</f>
        <v>2038261.1851813896</v>
      </c>
      <c r="G78" s="766">
        <f>IF($B$26="","",-FV('Part II-Sources of Funds'!$K$40/12,12,G72/12,F78))</f>
        <v>983865.40919221286</v>
      </c>
      <c r="H78" s="766">
        <f>IF($B$26="","",-FV('Part II-Sources of Funds'!$K$40/12,12,H72/12,G78))</f>
        <v>-151736.05373242963</v>
      </c>
      <c r="I78" s="766">
        <f>IF($B$26="","",-FV('Part II-Sources of Funds'!$K$40/12,12,I72/12,H78))</f>
        <v>-1374503.0892459764</v>
      </c>
      <c r="J78" s="766">
        <f>IF($B$26="","",-FV('Part II-Sources of Funds'!$K$40/12,12,J72/12,I78))</f>
        <v>-2690834.8611743739</v>
      </c>
      <c r="K78" s="766">
        <f>IF($B$26="","",-FV('Part II-Sources of Funds'!$K$40/12,12,K72/12,J78))</f>
        <v>-4107602.1830716273</v>
      </c>
    </row>
    <row r="79" spans="1:11">
      <c r="A79" s="765" t="s">
        <v>1365</v>
      </c>
    </row>
    <row r="82" spans="1:2">
      <c r="A82" s="765" t="s">
        <v>2882</v>
      </c>
      <c r="B82" s="825" t="s">
        <v>331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391" customWidth="1"/>
    <col min="2" max="2" width="1.7109375" style="391" customWidth="1"/>
    <col min="3" max="3" width="13" style="391" customWidth="1"/>
    <col min="4" max="4" width="11.28515625" style="391" customWidth="1"/>
    <col min="5" max="5" width="14.7109375" style="391" customWidth="1"/>
    <col min="6" max="6" width="15.28515625" style="391" customWidth="1"/>
    <col min="7" max="7" width="11.7109375" style="391" customWidth="1"/>
    <col min="8" max="8" width="11.42578125" style="391" customWidth="1"/>
    <col min="9" max="9" width="10.5703125" style="391" customWidth="1"/>
    <col min="10" max="10" width="6" style="391" customWidth="1"/>
    <col min="11" max="11" width="12.7109375" style="391" customWidth="1"/>
    <col min="12" max="12" width="10.7109375" style="391" customWidth="1"/>
    <col min="13" max="13" width="26.28515625" style="391" customWidth="1"/>
    <col min="14" max="14" width="9.28515625" style="391"/>
    <col min="15" max="15" width="12.42578125" style="391" customWidth="1"/>
    <col min="16" max="16" width="9.28515625" style="391"/>
    <col min="17" max="17" width="11.7109375" style="391" bestFit="1" customWidth="1"/>
    <col min="18" max="16384" width="9.28515625" style="391"/>
  </cols>
  <sheetData>
    <row r="1" spans="1:15" ht="13.5" customHeight="1">
      <c r="A1" s="392" t="s">
        <v>2883</v>
      </c>
      <c r="B1" s="392"/>
      <c r="C1" s="391" t="str">
        <f>'Sensitivity Analysis'!C8</f>
        <v>Ashley Collegetown Phase I</v>
      </c>
    </row>
    <row r="2" spans="1:15" ht="13.5" customHeight="1"/>
    <row r="3" spans="1:15" ht="13.5" customHeight="1">
      <c r="A3" s="392" t="s">
        <v>2884</v>
      </c>
      <c r="C3" s="391" t="s">
        <v>2885</v>
      </c>
      <c r="E3" s="456">
        <f>SUM('Part III-A-Uses of Funds'!J162,'Part III-A-Uses of Funds'!M162,'Part III-A-Uses of Funds'!P162)</f>
        <v>32168356.600000001</v>
      </c>
      <c r="F3" s="834" t="s">
        <v>2886</v>
      </c>
      <c r="H3" s="816">
        <v>27.5</v>
      </c>
      <c r="I3" s="391" t="s">
        <v>502</v>
      </c>
      <c r="K3" s="396" t="s">
        <v>2887</v>
      </c>
      <c r="M3" s="834"/>
      <c r="O3" s="457"/>
    </row>
    <row r="4" spans="1:15" ht="13.5" customHeight="1">
      <c r="C4" s="391" t="s">
        <v>2888</v>
      </c>
      <c r="E4" s="456">
        <f>SUM('Part III-A-Uses of Funds'!G97:H101)</f>
        <v>740520</v>
      </c>
      <c r="F4" s="834" t="s">
        <v>2889</v>
      </c>
      <c r="H4" s="392">
        <f>'Part II-Sources of Funds'!M40</f>
        <v>40</v>
      </c>
      <c r="I4" s="391" t="s">
        <v>502</v>
      </c>
      <c r="K4" s="458" t="s">
        <v>2890</v>
      </c>
      <c r="M4" s="834"/>
    </row>
    <row r="5" spans="1:15" ht="13.5" customHeight="1">
      <c r="C5" s="391" t="s">
        <v>2891</v>
      </c>
      <c r="E5" s="456">
        <f ca="1">SUM('Part III-A-Uses of Funds'!G105:H111)</f>
        <v>245385</v>
      </c>
      <c r="F5" s="834" t="s">
        <v>2892</v>
      </c>
      <c r="H5" s="816">
        <v>15</v>
      </c>
      <c r="I5" s="391" t="s">
        <v>502</v>
      </c>
      <c r="K5" s="457">
        <f ca="1">-E6</f>
        <v>-12454371.033019999</v>
      </c>
    </row>
    <row r="6" spans="1:15" ht="13.5" customHeight="1">
      <c r="C6" s="391" t="s">
        <v>2893</v>
      </c>
      <c r="E6" s="459">
        <f ca="1">'Part II-Sources of Funds'!$I$51+'Part II-Sources of Funds'!$I$52</f>
        <v>12454371.033019999</v>
      </c>
      <c r="F6" s="834" t="s">
        <v>2894</v>
      </c>
      <c r="H6" s="460">
        <v>0.35</v>
      </c>
      <c r="K6" s="457" t="e">
        <f ca="1">C24</f>
        <v>#VALUE!</v>
      </c>
      <c r="M6" s="391" t="s">
        <v>2895</v>
      </c>
      <c r="O6" s="461">
        <f>'Sensitivity Analysis'!K32</f>
        <v>0</v>
      </c>
    </row>
    <row r="7" spans="1:15" ht="13.5" customHeight="1">
      <c r="K7" s="457" t="e">
        <f ca="1">D24</f>
        <v>#VALUE!</v>
      </c>
      <c r="O7" s="462"/>
    </row>
    <row r="8" spans="1:15" ht="13.5" customHeight="1">
      <c r="A8" s="392" t="s">
        <v>484</v>
      </c>
      <c r="C8" s="463">
        <v>1</v>
      </c>
      <c r="D8" s="463">
        <v>2</v>
      </c>
      <c r="E8" s="463">
        <v>3</v>
      </c>
      <c r="F8" s="463">
        <v>4</v>
      </c>
      <c r="G8" s="463">
        <v>5</v>
      </c>
      <c r="H8" s="463">
        <v>6</v>
      </c>
      <c r="I8" s="463">
        <v>7</v>
      </c>
      <c r="K8" s="457" t="e">
        <f ca="1">E24</f>
        <v>#VALUE!</v>
      </c>
      <c r="M8" s="391" t="s">
        <v>2896</v>
      </c>
      <c r="O8" s="793" t="e">
        <f>'Part VI-Pro Forma'!$K$72+'Part VI-Pro Forma'!$K$73+'Part VI-Pro Forma'!$K$74</f>
        <v>#VALUE!</v>
      </c>
    </row>
    <row r="9" spans="1:15" ht="13.5" customHeight="1">
      <c r="A9" s="391" t="s">
        <v>2897</v>
      </c>
      <c r="C9" s="464">
        <f>'Part VI-Pro Forma'!B33</f>
        <v>91360.235424167346</v>
      </c>
      <c r="D9" s="464">
        <f>'Part VI-Pro Forma'!C33</f>
        <v>101041.00700416746</v>
      </c>
      <c r="E9" s="464">
        <f>'Part VI-Pro Forma'!D33</f>
        <v>110597.43954076715</v>
      </c>
      <c r="F9" s="464">
        <f>'Part VI-Pro Forma'!E33</f>
        <v>120018.4988188492</v>
      </c>
      <c r="G9" s="464">
        <f>'Part VI-Pro Forma'!F33</f>
        <v>129291.14426596554</v>
      </c>
      <c r="H9" s="464">
        <f>'Part VI-Pro Forma'!G33</f>
        <v>138401.81025500107</v>
      </c>
      <c r="I9" s="464">
        <f>'Part VI-Pro Forma'!H33</f>
        <v>147337.8867757828</v>
      </c>
      <c r="K9" s="457" t="e">
        <f ca="1">F24</f>
        <v>#VALUE!</v>
      </c>
      <c r="N9" s="465" t="s">
        <v>2898</v>
      </c>
    </row>
    <row r="10" spans="1:15" ht="13.5" customHeight="1">
      <c r="A10" s="391" t="s">
        <v>2899</v>
      </c>
      <c r="C10" s="790">
        <f>'Part II-Sources of Funds'!I40-'Part VI-Pro Forma'!B40</f>
        <v>62111.883857890964</v>
      </c>
      <c r="D10" s="466">
        <f>'Part VI-Pro Forma'!B40-'Part VI-Pro Forma'!C40</f>
        <v>66767.684921508655</v>
      </c>
      <c r="E10" s="466">
        <f>'Part VI-Pro Forma'!C40-'Part VI-Pro Forma'!D40</f>
        <v>71772.476905988529</v>
      </c>
      <c r="F10" s="466">
        <f>'Part VI-Pro Forma'!D40-'Part VI-Pro Forma'!E40</f>
        <v>77152.419576574117</v>
      </c>
      <c r="G10" s="466">
        <f>'Part VI-Pro Forma'!E40-'Part VI-Pro Forma'!F40</f>
        <v>82935.633589969948</v>
      </c>
      <c r="H10" s="466">
        <f>'Part VI-Pro Forma'!F40-'Part VI-Pro Forma'!G40</f>
        <v>89152.347479432821</v>
      </c>
      <c r="I10" s="466">
        <f>'Part VI-Pro Forma'!G40-'Part VI-Pro Forma'!H40</f>
        <v>95835.055657604709</v>
      </c>
      <c r="K10" s="457" t="e">
        <f ca="1">G24</f>
        <v>#VALUE!</v>
      </c>
      <c r="N10" s="465" t="s">
        <v>2900</v>
      </c>
      <c r="O10" s="462"/>
    </row>
    <row r="11" spans="1:15" ht="13.5" customHeight="1">
      <c r="A11" s="391" t="s">
        <v>2899</v>
      </c>
      <c r="C11" s="790">
        <f>'Part II-Sources of Funds'!I41-'Part VI-Pro Forma'!B41</f>
        <v>-15733.737673422322</v>
      </c>
      <c r="D11" s="466">
        <f>'Part VI-Pro Forma'!B41-'Part VI-Pro Forma'!C41</f>
        <v>-12650.043098350987</v>
      </c>
      <c r="E11" s="466">
        <f>'Part VI-Pro Forma'!C41-'Part VI-Pro Forma'!D41</f>
        <v>-9577.0066870832816</v>
      </c>
      <c r="F11" s="466">
        <f>'Part VI-Pro Forma'!D41-'Part VI-Pro Forma'!E41</f>
        <v>-6518.4304875638336</v>
      </c>
      <c r="G11" s="466">
        <f>'Part VI-Pro Forma'!E41-'Part VI-Pro Forma'!F41</f>
        <v>-3478.8266025390476</v>
      </c>
      <c r="H11" s="466">
        <f>'Part VI-Pro Forma'!F41-'Part VI-Pro Forma'!G41</f>
        <v>-462.92828578781337</v>
      </c>
      <c r="I11" s="466">
        <f>'Part VI-Pro Forma'!G41-'Part VI-Pro Forma'!H41</f>
        <v>2524.8036618474871</v>
      </c>
      <c r="K11" s="457" t="e">
        <f ca="1">H24</f>
        <v>#VALUE!</v>
      </c>
      <c r="O11" s="462"/>
    </row>
    <row r="12" spans="1:15" ht="13.5" customHeight="1">
      <c r="A12" s="391" t="s">
        <v>2899</v>
      </c>
      <c r="C12" s="790" t="e">
        <f>'Part II-Sources of Funds'!I42-'Part VI-Pro Forma'!B42</f>
        <v>#VALUE!</v>
      </c>
      <c r="D12" s="466" t="e">
        <f>'Part VI-Pro Forma'!B42-'Part VI-Pro Forma'!C42</f>
        <v>#VALUE!</v>
      </c>
      <c r="E12" s="466" t="e">
        <f>'Part VI-Pro Forma'!C42-'Part VI-Pro Forma'!D42</f>
        <v>#VALUE!</v>
      </c>
      <c r="F12" s="466" t="e">
        <f>'Part VI-Pro Forma'!D42-'Part VI-Pro Forma'!E42</f>
        <v>#VALUE!</v>
      </c>
      <c r="G12" s="466" t="e">
        <f>'Part VI-Pro Forma'!E42-'Part VI-Pro Forma'!F42</f>
        <v>#VALUE!</v>
      </c>
      <c r="H12" s="466" t="e">
        <f>'Part VI-Pro Forma'!F42-'Part VI-Pro Forma'!G42</f>
        <v>#VALUE!</v>
      </c>
      <c r="I12" s="466" t="e">
        <f>'Part VI-Pro Forma'!G42-'Part VI-Pro Forma'!H42</f>
        <v>#VALUE!</v>
      </c>
      <c r="K12" s="457" t="e">
        <f ca="1">I24</f>
        <v>#VALUE!</v>
      </c>
      <c r="M12" s="391" t="s">
        <v>2901</v>
      </c>
      <c r="N12" s="467">
        <v>0.06</v>
      </c>
      <c r="O12" s="462">
        <f>N12*O6</f>
        <v>0</v>
      </c>
    </row>
    <row r="13" spans="1:15" ht="13.5" customHeight="1">
      <c r="A13" s="468" t="s">
        <v>2902</v>
      </c>
      <c r="B13" s="468"/>
      <c r="C13" s="791">
        <f>'Part VI-Pro Forma'!B23</f>
        <v>-69650</v>
      </c>
      <c r="D13" s="791">
        <f>'Part VI-Pro Forma'!C23</f>
        <v>-71739.5</v>
      </c>
      <c r="E13" s="791">
        <f>'Part VI-Pro Forma'!D23</f>
        <v>-73891.684999999998</v>
      </c>
      <c r="F13" s="791">
        <f>'Part VI-Pro Forma'!E23</f>
        <v>-76108.435549999995</v>
      </c>
      <c r="G13" s="791">
        <f>'Part VI-Pro Forma'!F23</f>
        <v>-78391.688616499989</v>
      </c>
      <c r="H13" s="791">
        <f>'Part VI-Pro Forma'!G23</f>
        <v>-80743.439274994991</v>
      </c>
      <c r="I13" s="791">
        <f>'Part VI-Pro Forma'!H23</f>
        <v>-83165.742453244849</v>
      </c>
      <c r="K13" s="457" t="e">
        <f ca="1">C44</f>
        <v>#VALUE!</v>
      </c>
      <c r="O13" s="462"/>
    </row>
    <row r="14" spans="1:15" ht="13.5" customHeight="1">
      <c r="A14" s="468" t="s">
        <v>2903</v>
      </c>
      <c r="B14" s="468"/>
      <c r="C14" s="791">
        <f>'Part VI-Pro Forma'!B32</f>
        <v>-99936.3</v>
      </c>
      <c r="D14" s="791">
        <f>'Part VI-Pro Forma'!C32</f>
        <v>-99936.3</v>
      </c>
      <c r="E14" s="791">
        <f>'Part VI-Pro Forma'!D32</f>
        <v>-99936.3</v>
      </c>
      <c r="F14" s="791">
        <f>'Part VI-Pro Forma'!E32</f>
        <v>-99936.3</v>
      </c>
      <c r="G14" s="791">
        <f>'Part VI-Pro Forma'!F32</f>
        <v>-99936.3</v>
      </c>
      <c r="H14" s="791">
        <f>'Part VI-Pro Forma'!G32</f>
        <v>-99936.3</v>
      </c>
      <c r="I14" s="791">
        <f>'Part VI-Pro Forma'!H32</f>
        <v>-99936.3</v>
      </c>
      <c r="K14" s="457" t="e">
        <f ca="1">D44</f>
        <v>#VALUE!</v>
      </c>
      <c r="M14" s="391" t="s">
        <v>2904</v>
      </c>
      <c r="O14" s="462" t="e">
        <f>O6-O8-O12</f>
        <v>#VALUE!</v>
      </c>
    </row>
    <row r="15" spans="1:15" ht="13.5" customHeight="1">
      <c r="A15" s="391" t="s">
        <v>2905</v>
      </c>
      <c r="C15" s="469">
        <f t="shared" ref="C15:I15" si="0">$E$3/$H$3</f>
        <v>1169758.4218181819</v>
      </c>
      <c r="D15" s="469">
        <f t="shared" si="0"/>
        <v>1169758.4218181819</v>
      </c>
      <c r="E15" s="469">
        <f t="shared" si="0"/>
        <v>1169758.4218181819</v>
      </c>
      <c r="F15" s="469">
        <f t="shared" si="0"/>
        <v>1169758.4218181819</v>
      </c>
      <c r="G15" s="469">
        <f t="shared" si="0"/>
        <v>1169758.4218181819</v>
      </c>
      <c r="H15" s="469">
        <f t="shared" si="0"/>
        <v>1169758.4218181819</v>
      </c>
      <c r="I15" s="469">
        <f t="shared" si="0"/>
        <v>1169758.4218181819</v>
      </c>
      <c r="K15" s="457" t="e">
        <f ca="1">E44</f>
        <v>#VALUE!</v>
      </c>
      <c r="O15" s="462"/>
    </row>
    <row r="16" spans="1:15" ht="13.5" customHeight="1">
      <c r="A16" s="391" t="s">
        <v>2906</v>
      </c>
      <c r="C16" s="469">
        <f ca="1">IF(C$8&lt;=$H$4,($E$4/$H$4),0)+IF(C$8&lt;=$H$5,($E$5/$H$5),0)</f>
        <v>34872</v>
      </c>
      <c r="D16" s="469">
        <f t="shared" ref="D16:I16" ca="1" si="1">IF(D$8&lt;=$H$4,($E$4/$H$4),0)+IF(D$8&lt;=$H$5,($E$5/$H$5),0)</f>
        <v>34872</v>
      </c>
      <c r="E16" s="469">
        <f t="shared" ca="1" si="1"/>
        <v>34872</v>
      </c>
      <c r="F16" s="469">
        <f t="shared" ca="1" si="1"/>
        <v>34872</v>
      </c>
      <c r="G16" s="469">
        <f t="shared" ca="1" si="1"/>
        <v>34872</v>
      </c>
      <c r="H16" s="469">
        <f t="shared" ca="1" si="1"/>
        <v>34872</v>
      </c>
      <c r="I16" s="469">
        <f t="shared" ca="1" si="1"/>
        <v>34872</v>
      </c>
      <c r="K16" s="457" t="e">
        <f ca="1">F44</f>
        <v>#VALUE!</v>
      </c>
      <c r="M16" s="391" t="s">
        <v>2907</v>
      </c>
      <c r="O16" s="462">
        <f>E3</f>
        <v>32168356.600000001</v>
      </c>
    </row>
    <row r="17" spans="1:17" ht="13.5" customHeight="1">
      <c r="A17" s="391" t="s">
        <v>2908</v>
      </c>
      <c r="C17" s="466" t="e">
        <f t="shared" ref="C17:I17" ca="1" si="2">C9+C10+C11+C12+C13+C14-C15-C16</f>
        <v>#VALUE!</v>
      </c>
      <c r="D17" s="466" t="e">
        <f t="shared" ca="1" si="2"/>
        <v>#VALUE!</v>
      </c>
      <c r="E17" s="466" t="e">
        <f t="shared" ca="1" si="2"/>
        <v>#VALUE!</v>
      </c>
      <c r="F17" s="466" t="e">
        <f t="shared" ca="1" si="2"/>
        <v>#VALUE!</v>
      </c>
      <c r="G17" s="466" t="e">
        <f t="shared" ca="1" si="2"/>
        <v>#VALUE!</v>
      </c>
      <c r="H17" s="466" t="e">
        <f t="shared" ca="1" si="2"/>
        <v>#VALUE!</v>
      </c>
      <c r="I17" s="466" t="e">
        <f t="shared" ca="1" si="2"/>
        <v>#VALUE!</v>
      </c>
      <c r="K17" s="457" t="e">
        <f ca="1">G44</f>
        <v>#VALUE!</v>
      </c>
      <c r="M17" s="391" t="s">
        <v>2905</v>
      </c>
      <c r="O17" s="462">
        <f>20*(E3/H3)</f>
        <v>23395168.436363637</v>
      </c>
    </row>
    <row r="18" spans="1:17" ht="13.5" customHeight="1">
      <c r="A18" s="391" t="s">
        <v>2909</v>
      </c>
      <c r="C18" s="470" t="e">
        <f t="shared" ref="C18:I18" ca="1" si="3">C17*$H$6</f>
        <v>#VALUE!</v>
      </c>
      <c r="D18" s="470" t="e">
        <f t="shared" ca="1" si="3"/>
        <v>#VALUE!</v>
      </c>
      <c r="E18" s="470" t="e">
        <f t="shared" ca="1" si="3"/>
        <v>#VALUE!</v>
      </c>
      <c r="F18" s="470" t="e">
        <f t="shared" ca="1" si="3"/>
        <v>#VALUE!</v>
      </c>
      <c r="G18" s="470" t="e">
        <f t="shared" ca="1" si="3"/>
        <v>#VALUE!</v>
      </c>
      <c r="H18" s="470" t="e">
        <f t="shared" ca="1" si="3"/>
        <v>#VALUE!</v>
      </c>
      <c r="I18" s="470" t="e">
        <f t="shared" ca="1" si="3"/>
        <v>#VALUE!</v>
      </c>
      <c r="K18" s="457" t="e">
        <f ca="1">H44</f>
        <v>#VALUE!</v>
      </c>
      <c r="O18" s="462"/>
    </row>
    <row r="19" spans="1:17" ht="13.5" customHeight="1">
      <c r="C19" s="464"/>
      <c r="D19" s="464"/>
      <c r="E19" s="464"/>
      <c r="F19" s="464"/>
      <c r="G19" s="464"/>
      <c r="H19" s="464"/>
      <c r="I19" s="464"/>
      <c r="K19" s="457" t="e">
        <f ca="1">I44</f>
        <v>#VALUE!</v>
      </c>
      <c r="M19" s="391" t="s">
        <v>2910</v>
      </c>
      <c r="O19" s="462">
        <f>O16-O17</f>
        <v>8773188.163636364</v>
      </c>
    </row>
    <row r="20" spans="1:17" ht="13.5" customHeight="1">
      <c r="A20" s="391" t="s">
        <v>2911</v>
      </c>
      <c r="C20" s="466" t="e">
        <f t="shared" ref="C20:I20" ca="1" si="4">C9-C18</f>
        <v>#VALUE!</v>
      </c>
      <c r="D20" s="466" t="e">
        <f t="shared" ca="1" si="4"/>
        <v>#VALUE!</v>
      </c>
      <c r="E20" s="466" t="e">
        <f t="shared" ca="1" si="4"/>
        <v>#VALUE!</v>
      </c>
      <c r="F20" s="466" t="e">
        <f t="shared" ca="1" si="4"/>
        <v>#VALUE!</v>
      </c>
      <c r="G20" s="466" t="e">
        <f t="shared" ca="1" si="4"/>
        <v>#VALUE!</v>
      </c>
      <c r="H20" s="466" t="e">
        <f t="shared" ca="1" si="4"/>
        <v>#VALUE!</v>
      </c>
      <c r="I20" s="466" t="e">
        <f t="shared" ca="1" si="4"/>
        <v>#VALUE!</v>
      </c>
      <c r="K20" s="457" t="e">
        <f ca="1">C64</f>
        <v>#VALUE!</v>
      </c>
      <c r="O20" s="462"/>
    </row>
    <row r="21" spans="1:17" ht="13.5" customHeight="1">
      <c r="A21" s="391" t="s">
        <v>2912</v>
      </c>
      <c r="C21" s="470">
        <f ca="1">'Part III-A-Uses of Funds'!$J$191</f>
        <v>896054</v>
      </c>
      <c r="D21" s="470">
        <f t="shared" ref="D21:I21" ca="1" si="5">C21</f>
        <v>896054</v>
      </c>
      <c r="E21" s="470">
        <f t="shared" ca="1" si="5"/>
        <v>896054</v>
      </c>
      <c r="F21" s="470">
        <f t="shared" ca="1" si="5"/>
        <v>896054</v>
      </c>
      <c r="G21" s="470">
        <f t="shared" ca="1" si="5"/>
        <v>896054</v>
      </c>
      <c r="H21" s="470">
        <f t="shared" ca="1" si="5"/>
        <v>896054</v>
      </c>
      <c r="I21" s="470">
        <f t="shared" ca="1" si="5"/>
        <v>896054</v>
      </c>
      <c r="J21" s="391" t="s">
        <v>2682</v>
      </c>
      <c r="K21" s="457" t="e">
        <f>D64</f>
        <v>#VALUE!</v>
      </c>
      <c r="O21" s="462"/>
    </row>
    <row r="22" spans="1:17" ht="13.5" customHeight="1">
      <c r="A22" s="391" t="s">
        <v>2913</v>
      </c>
      <c r="C22" s="470">
        <f ca="1">C21</f>
        <v>896054</v>
      </c>
      <c r="D22" s="470">
        <f t="shared" ref="D22:I22" ca="1" si="6">D21</f>
        <v>896054</v>
      </c>
      <c r="E22" s="470">
        <f t="shared" ca="1" si="6"/>
        <v>896054</v>
      </c>
      <c r="F22" s="470">
        <f t="shared" ca="1" si="6"/>
        <v>896054</v>
      </c>
      <c r="G22" s="470">
        <f t="shared" ca="1" si="6"/>
        <v>896054</v>
      </c>
      <c r="H22" s="470">
        <f t="shared" ca="1" si="6"/>
        <v>896054</v>
      </c>
      <c r="I22" s="470">
        <f t="shared" ca="1" si="6"/>
        <v>896054</v>
      </c>
      <c r="K22" s="457" t="e">
        <f>E64</f>
        <v>#VALUE!</v>
      </c>
      <c r="M22" s="391" t="s">
        <v>2895</v>
      </c>
      <c r="O22" s="462">
        <f>O6</f>
        <v>0</v>
      </c>
    </row>
    <row r="23" spans="1:17" ht="13.5" customHeight="1">
      <c r="A23" s="391" t="s">
        <v>2914</v>
      </c>
      <c r="C23" s="464">
        <v>0</v>
      </c>
      <c r="D23" s="464">
        <v>0</v>
      </c>
      <c r="E23" s="464">
        <v>0</v>
      </c>
      <c r="F23" s="464">
        <v>0</v>
      </c>
      <c r="G23" s="464">
        <v>0</v>
      </c>
      <c r="H23" s="464">
        <v>0</v>
      </c>
      <c r="I23" s="464">
        <v>0</v>
      </c>
      <c r="K23" s="457" t="e">
        <f>F64</f>
        <v>#VALUE!</v>
      </c>
      <c r="M23" s="391" t="s">
        <v>2915</v>
      </c>
      <c r="O23" s="462">
        <f>O19</f>
        <v>8773188.163636364</v>
      </c>
    </row>
    <row r="24" spans="1:17" ht="13.5" customHeight="1">
      <c r="A24" s="391" t="s">
        <v>2887</v>
      </c>
      <c r="C24" s="466" t="e">
        <f t="shared" ref="C24:I24" ca="1" si="7">SUM(C20:C23)</f>
        <v>#VALUE!</v>
      </c>
      <c r="D24" s="466" t="e">
        <f t="shared" ca="1" si="7"/>
        <v>#VALUE!</v>
      </c>
      <c r="E24" s="466" t="e">
        <f t="shared" ca="1" si="7"/>
        <v>#VALUE!</v>
      </c>
      <c r="F24" s="466" t="e">
        <f t="shared" ca="1" si="7"/>
        <v>#VALUE!</v>
      </c>
      <c r="G24" s="466" t="e">
        <f t="shared" ca="1" si="7"/>
        <v>#VALUE!</v>
      </c>
      <c r="H24" s="466" t="e">
        <f t="shared" ca="1" si="7"/>
        <v>#VALUE!</v>
      </c>
      <c r="I24" s="466" t="e">
        <f t="shared" ca="1" si="7"/>
        <v>#VALUE!</v>
      </c>
      <c r="K24" s="457" t="e">
        <f>G64</f>
        <v>#VALUE!</v>
      </c>
      <c r="O24" s="462"/>
    </row>
    <row r="25" spans="1:17" ht="13.5" customHeight="1">
      <c r="K25" s="457" t="e">
        <f>H64</f>
        <v>#VALUE!</v>
      </c>
      <c r="M25" s="391" t="s">
        <v>2916</v>
      </c>
      <c r="O25" s="462">
        <f>O22-O23</f>
        <v>-8773188.163636364</v>
      </c>
      <c r="Q25" s="471"/>
    </row>
    <row r="26" spans="1:17" ht="13.5" customHeight="1">
      <c r="A26" s="472"/>
      <c r="B26" s="472"/>
      <c r="C26" s="472"/>
      <c r="D26" s="472"/>
      <c r="E26" s="472"/>
      <c r="F26" s="472"/>
      <c r="G26" s="472"/>
      <c r="H26" s="472"/>
      <c r="I26" s="472"/>
      <c r="K26" s="457"/>
      <c r="O26" s="462"/>
    </row>
    <row r="27" spans="1:17" ht="13.5" customHeight="1">
      <c r="K27" s="457"/>
      <c r="M27" s="391" t="s">
        <v>2917</v>
      </c>
      <c r="N27" s="473"/>
      <c r="O27" s="467">
        <v>0.2</v>
      </c>
    </row>
    <row r="28" spans="1:17" ht="13.5" customHeight="1">
      <c r="A28" s="392" t="s">
        <v>484</v>
      </c>
      <c r="B28" s="392"/>
      <c r="C28" s="463">
        <v>8</v>
      </c>
      <c r="D28" s="463">
        <v>9</v>
      </c>
      <c r="E28" s="463">
        <v>10</v>
      </c>
      <c r="F28" s="463">
        <v>11</v>
      </c>
      <c r="G28" s="463">
        <v>12</v>
      </c>
      <c r="H28" s="463">
        <v>13</v>
      </c>
      <c r="I28" s="463">
        <v>14</v>
      </c>
      <c r="N28" s="473"/>
      <c r="O28" s="473"/>
    </row>
    <row r="29" spans="1:17" ht="13.5" customHeight="1">
      <c r="A29" s="391" t="s">
        <v>2897</v>
      </c>
      <c r="C29" s="464">
        <f>'Part VI-Pro Forma'!I33</f>
        <v>156084.69945530419</v>
      </c>
      <c r="D29" s="464">
        <f>'Part VI-Pro Forma'!J33</f>
        <v>164627.73890559241</v>
      </c>
      <c r="E29" s="464">
        <f>'Part VI-Pro Forma'!K33</f>
        <v>172951.13937757548</v>
      </c>
      <c r="F29" s="464">
        <f>'Part VI-Pro Forma'!B65</f>
        <v>280974.70669866906</v>
      </c>
      <c r="G29" s="464">
        <f>'Part VI-Pro Forma'!C65</f>
        <v>288810.1954710451</v>
      </c>
      <c r="H29" s="464">
        <f>'Part VI-Pro Forma'!D65</f>
        <v>296375.33550687577</v>
      </c>
      <c r="I29" s="464">
        <f>'Part VI-Pro Forma'!E65</f>
        <v>303653.10747606965</v>
      </c>
      <c r="N29" s="473"/>
      <c r="O29" s="473"/>
    </row>
    <row r="30" spans="1:17" ht="13.5" customHeight="1">
      <c r="A30" s="391" t="s">
        <v>2899</v>
      </c>
      <c r="C30" s="466">
        <f>'Part VI-Pro Forma'!H40-'Part VI-Pro Forma'!I40</f>
        <v>103018.68826297671</v>
      </c>
      <c r="D30" s="466">
        <f>'Part VI-Pro Forma'!I40-'Part VI-Pro Forma'!J40</f>
        <v>110740.79373774864</v>
      </c>
      <c r="E30" s="466">
        <f>'Part VI-Pro Forma'!J40-'Part VI-Pro Forma'!K40</f>
        <v>119041.73509141617</v>
      </c>
      <c r="F30" s="788">
        <f>'Part VI-Pro Forma'!K40-'Part VI-Pro Forma'!B72</f>
        <v>127964.90087595023</v>
      </c>
      <c r="G30" s="788">
        <f>'Part VI-Pro Forma'!B72-'Part VI-Pro Forma'!C72</f>
        <v>137556.93197529949</v>
      </c>
      <c r="H30" s="788">
        <f>'Part VI-Pro Forma'!C72-'Part VI-Pro Forma'!D72</f>
        <v>147867.96539467014</v>
      </c>
      <c r="I30" s="788">
        <f>'Part VI-Pro Forma'!D72-'Part VI-Pro Forma'!E72</f>
        <v>158951.89632381126</v>
      </c>
    </row>
    <row r="31" spans="1:17" ht="13.5" customHeight="1">
      <c r="A31" s="391" t="s">
        <v>2899</v>
      </c>
      <c r="C31" s="466">
        <f>'Part VI-Pro Forma'!H41-'Part VI-Pro Forma'!I41</f>
        <v>5479.172342880629</v>
      </c>
      <c r="D31" s="466">
        <f>'Part VI-Pro Forma'!I41-'Part VI-Pro Forma'!J41</f>
        <v>8394.9838997712359</v>
      </c>
      <c r="E31" s="466">
        <f>'Part VI-Pro Forma'!J41-'Part VI-Pro Forma'!K41</f>
        <v>11266.538099340163</v>
      </c>
      <c r="F31" s="788">
        <f>'Part VI-Pro Forma'!K41-'Part VI-Pro Forma'!B73</f>
        <v>14087.867006816901</v>
      </c>
      <c r="G31" s="788">
        <f>'Part VI-Pro Forma'!B73-'Part VI-Pro Forma'!C73</f>
        <v>16853.226959058084</v>
      </c>
      <c r="H31" s="788">
        <f>'Part VI-Pro Forma'!C73-'Part VI-Pro Forma'!D73</f>
        <v>19555.837181445211</v>
      </c>
      <c r="I31" s="788">
        <f>'Part VI-Pro Forma'!D73-'Part VI-Pro Forma'!E73</f>
        <v>22189.368108497933</v>
      </c>
      <c r="K31" s="391" t="s">
        <v>2682</v>
      </c>
      <c r="M31" s="391" t="s">
        <v>2918</v>
      </c>
      <c r="O31" s="464">
        <f>O25*O27</f>
        <v>-1754637.6327272728</v>
      </c>
    </row>
    <row r="32" spans="1:17" ht="13.5" customHeight="1">
      <c r="A32" s="391" t="s">
        <v>2899</v>
      </c>
      <c r="C32" s="466" t="e">
        <f>'Part VI-Pro Forma'!H42-'Part VI-Pro Forma'!I42</f>
        <v>#VALUE!</v>
      </c>
      <c r="D32" s="466" t="e">
        <f>'Part VI-Pro Forma'!I42-'Part VI-Pro Forma'!J42</f>
        <v>#VALUE!</v>
      </c>
      <c r="E32" s="466" t="e">
        <f>'Part VI-Pro Forma'!J42-'Part VI-Pro Forma'!K42</f>
        <v>#VALUE!</v>
      </c>
      <c r="F32" s="788" t="e">
        <f>'Part VI-Pro Forma'!K42-'Part VI-Pro Forma'!B74</f>
        <v>#VALUE!</v>
      </c>
      <c r="G32" s="788" t="e">
        <f>'Part VI-Pro Forma'!B74-'Part VI-Pro Forma'!C74</f>
        <v>#VALUE!</v>
      </c>
      <c r="H32" s="788" t="e">
        <f>'Part VI-Pro Forma'!C74-'Part VI-Pro Forma'!D74</f>
        <v>#VALUE!</v>
      </c>
      <c r="I32" s="788" t="e">
        <f>'Part VI-Pro Forma'!D74-'Part VI-Pro Forma'!E74</f>
        <v>#VALUE!</v>
      </c>
    </row>
    <row r="33" spans="1:15" ht="13.5" customHeight="1">
      <c r="A33" s="468" t="s">
        <v>2902</v>
      </c>
      <c r="B33" s="468"/>
      <c r="C33" s="791">
        <f>'Part VI-Pro Forma'!I23</f>
        <v>-85660.714726842198</v>
      </c>
      <c r="D33" s="791">
        <f>'Part VI-Pro Forma'!J23</f>
        <v>-88230.53616864745</v>
      </c>
      <c r="E33" s="791">
        <f>'Part VI-Pro Forma'!K23</f>
        <v>-90877.45225370687</v>
      </c>
      <c r="F33" s="791">
        <f>'Part VI-Pro Forma'!B55</f>
        <v>-93603.775821318079</v>
      </c>
      <c r="G33" s="791">
        <f>'Part VI-Pro Forma'!C55</f>
        <v>-96411.889095957624</v>
      </c>
      <c r="H33" s="791">
        <f>'Part VI-Pro Forma'!D55</f>
        <v>-99304.245768836336</v>
      </c>
      <c r="I33" s="791">
        <f>'Part VI-Pro Forma'!E55</f>
        <v>-102283.37314190142</v>
      </c>
      <c r="K33" s="391" t="s">
        <v>2682</v>
      </c>
      <c r="M33" s="391" t="s">
        <v>2919</v>
      </c>
      <c r="O33" s="464" t="e">
        <f>O14-O31</f>
        <v>#VALUE!</v>
      </c>
    </row>
    <row r="34" spans="1:15" ht="13.5" customHeight="1">
      <c r="A34" s="468" t="s">
        <v>2903</v>
      </c>
      <c r="B34" s="468"/>
      <c r="C34" s="791">
        <f>'Part VI-Pro Forma'!I32</f>
        <v>-99936.3</v>
      </c>
      <c r="D34" s="791">
        <f>'Part VI-Pro Forma'!J32</f>
        <v>-99936.3</v>
      </c>
      <c r="E34" s="791">
        <f>'Part VI-Pro Forma'!K32</f>
        <v>-99936.3</v>
      </c>
      <c r="F34" s="791">
        <f>'Part VI-Pro Forma'!B64</f>
        <v>0</v>
      </c>
      <c r="G34" s="791">
        <f>'Part VI-Pro Forma'!C64</f>
        <v>0</v>
      </c>
      <c r="H34" s="791">
        <f>'Part VI-Pro Forma'!D64</f>
        <v>0</v>
      </c>
      <c r="I34" s="791">
        <f>'Part VI-Pro Forma'!E64</f>
        <v>0</v>
      </c>
    </row>
    <row r="35" spans="1:15" ht="13.5" customHeight="1">
      <c r="A35" s="391" t="s">
        <v>2905</v>
      </c>
      <c r="C35" s="469">
        <f t="shared" ref="C35:I35" si="8">$E$3/$H$3</f>
        <v>1169758.4218181819</v>
      </c>
      <c r="D35" s="469">
        <f t="shared" si="8"/>
        <v>1169758.4218181819</v>
      </c>
      <c r="E35" s="469">
        <f t="shared" si="8"/>
        <v>1169758.4218181819</v>
      </c>
      <c r="F35" s="469">
        <f t="shared" si="8"/>
        <v>1169758.4218181819</v>
      </c>
      <c r="G35" s="469">
        <f t="shared" si="8"/>
        <v>1169758.4218181819</v>
      </c>
      <c r="H35" s="469">
        <f t="shared" si="8"/>
        <v>1169758.4218181819</v>
      </c>
      <c r="I35" s="469">
        <f t="shared" si="8"/>
        <v>1169758.4218181819</v>
      </c>
    </row>
    <row r="36" spans="1:15" ht="13.5" customHeight="1">
      <c r="A36" s="391" t="s">
        <v>2906</v>
      </c>
      <c r="C36" s="464">
        <f ca="1">IF(C$28&lt;=$H$4,($E$4/$H$4),0)+IF(C$28&lt;=$H$5,($E$5/$H$5),0)</f>
        <v>34872</v>
      </c>
      <c r="D36" s="464">
        <f t="shared" ref="D36:I36" ca="1" si="9">IF(D$28&lt;=$H$4,($E$4/$H$4),0)+IF(D$28&lt;=$H$5,($E$5/$H$5),0)</f>
        <v>34872</v>
      </c>
      <c r="E36" s="464">
        <f t="shared" ca="1" si="9"/>
        <v>34872</v>
      </c>
      <c r="F36" s="464">
        <f t="shared" ca="1" si="9"/>
        <v>34872</v>
      </c>
      <c r="G36" s="464">
        <f t="shared" ca="1" si="9"/>
        <v>34872</v>
      </c>
      <c r="H36" s="464">
        <f t="shared" ca="1" si="9"/>
        <v>34872</v>
      </c>
      <c r="I36" s="464">
        <f t="shared" ca="1" si="9"/>
        <v>34872</v>
      </c>
    </row>
    <row r="37" spans="1:15" ht="13.5" customHeight="1">
      <c r="A37" s="391" t="s">
        <v>2908</v>
      </c>
      <c r="C37" s="466" t="e">
        <f t="shared" ref="C37:I37" ca="1" si="10">C29+C30+C31+C32+C33+C34-C35-C36</f>
        <v>#VALUE!</v>
      </c>
      <c r="D37" s="466" t="e">
        <f t="shared" ca="1" si="10"/>
        <v>#VALUE!</v>
      </c>
      <c r="E37" s="466" t="e">
        <f t="shared" ca="1" si="10"/>
        <v>#VALUE!</v>
      </c>
      <c r="F37" s="466" t="e">
        <f t="shared" ca="1" si="10"/>
        <v>#VALUE!</v>
      </c>
      <c r="G37" s="466" t="e">
        <f t="shared" ca="1" si="10"/>
        <v>#VALUE!</v>
      </c>
      <c r="H37" s="466" t="e">
        <f t="shared" ca="1" si="10"/>
        <v>#VALUE!</v>
      </c>
      <c r="I37" s="466" t="e">
        <f t="shared" ca="1" si="10"/>
        <v>#VALUE!</v>
      </c>
    </row>
    <row r="38" spans="1:15" ht="13.5" customHeight="1">
      <c r="A38" s="391" t="s">
        <v>2909</v>
      </c>
      <c r="C38" s="470" t="e">
        <f t="shared" ref="C38:I38" ca="1" si="11">C37*$H$6</f>
        <v>#VALUE!</v>
      </c>
      <c r="D38" s="470" t="e">
        <f t="shared" ca="1" si="11"/>
        <v>#VALUE!</v>
      </c>
      <c r="E38" s="470" t="e">
        <f t="shared" ca="1" si="11"/>
        <v>#VALUE!</v>
      </c>
      <c r="F38" s="470" t="e">
        <f t="shared" ca="1" si="11"/>
        <v>#VALUE!</v>
      </c>
      <c r="G38" s="470" t="e">
        <f t="shared" ca="1" si="11"/>
        <v>#VALUE!</v>
      </c>
      <c r="H38" s="470" t="e">
        <f t="shared" ca="1" si="11"/>
        <v>#VALUE!</v>
      </c>
      <c r="I38" s="470" t="e">
        <f t="shared" ca="1" si="11"/>
        <v>#VALUE!</v>
      </c>
    </row>
    <row r="39" spans="1:15" ht="13.5" customHeight="1">
      <c r="C39" s="466"/>
      <c r="D39" s="466"/>
      <c r="E39" s="466"/>
      <c r="F39" s="466"/>
      <c r="G39" s="466"/>
      <c r="H39" s="466"/>
      <c r="I39" s="466"/>
    </row>
    <row r="40" spans="1:15" ht="13.5" customHeight="1">
      <c r="A40" s="391" t="s">
        <v>2911</v>
      </c>
      <c r="C40" s="466" t="e">
        <f t="shared" ref="C40:I40" ca="1" si="12">C29-C38</f>
        <v>#VALUE!</v>
      </c>
      <c r="D40" s="466" t="e">
        <f t="shared" ca="1" si="12"/>
        <v>#VALUE!</v>
      </c>
      <c r="E40" s="466" t="e">
        <f t="shared" ca="1" si="12"/>
        <v>#VALUE!</v>
      </c>
      <c r="F40" s="466" t="e">
        <f t="shared" ca="1" si="12"/>
        <v>#VALUE!</v>
      </c>
      <c r="G40" s="466" t="e">
        <f t="shared" ca="1" si="12"/>
        <v>#VALUE!</v>
      </c>
      <c r="H40" s="466" t="e">
        <f t="shared" ca="1" si="12"/>
        <v>#VALUE!</v>
      </c>
      <c r="I40" s="466" t="e">
        <f t="shared" ca="1" si="12"/>
        <v>#VALUE!</v>
      </c>
    </row>
    <row r="41" spans="1:15" ht="13.5" customHeight="1">
      <c r="A41" s="391" t="s">
        <v>2912</v>
      </c>
      <c r="C41" s="470">
        <f ca="1">C21</f>
        <v>896054</v>
      </c>
      <c r="D41" s="470">
        <f ca="1">C41</f>
        <v>896054</v>
      </c>
      <c r="E41" s="470">
        <f ca="1">D41</f>
        <v>896054</v>
      </c>
      <c r="F41" s="470">
        <v>0</v>
      </c>
      <c r="G41" s="470">
        <v>0</v>
      </c>
      <c r="H41" s="470">
        <v>0</v>
      </c>
      <c r="I41" s="470">
        <v>0</v>
      </c>
    </row>
    <row r="42" spans="1:15" ht="13.5" customHeight="1">
      <c r="A42" s="391" t="s">
        <v>2913</v>
      </c>
      <c r="C42" s="470">
        <f ca="1">C22</f>
        <v>896054</v>
      </c>
      <c r="D42" s="470">
        <f ca="1">C42</f>
        <v>896054</v>
      </c>
      <c r="E42" s="470">
        <f ca="1">D42</f>
        <v>896054</v>
      </c>
      <c r="F42" s="470">
        <v>0</v>
      </c>
      <c r="G42" s="470">
        <v>0</v>
      </c>
      <c r="H42" s="470">
        <v>0</v>
      </c>
      <c r="I42" s="470">
        <v>0</v>
      </c>
    </row>
    <row r="43" spans="1:15" ht="13.5" customHeight="1">
      <c r="A43" s="391" t="s">
        <v>2914</v>
      </c>
      <c r="C43" s="466">
        <v>0</v>
      </c>
      <c r="D43" s="466">
        <v>0</v>
      </c>
      <c r="E43" s="466">
        <v>0</v>
      </c>
      <c r="F43" s="466">
        <v>0</v>
      </c>
      <c r="G43" s="466">
        <v>0</v>
      </c>
      <c r="H43" s="466">
        <v>0</v>
      </c>
      <c r="I43" s="466">
        <v>0</v>
      </c>
    </row>
    <row r="44" spans="1:15" ht="13.5" customHeight="1">
      <c r="A44" s="391" t="s">
        <v>2887</v>
      </c>
      <c r="C44" s="466" t="e">
        <f t="shared" ref="C44:I44" ca="1" si="13">SUM(C40:C43)</f>
        <v>#VALUE!</v>
      </c>
      <c r="D44" s="466" t="e">
        <f t="shared" ca="1" si="13"/>
        <v>#VALUE!</v>
      </c>
      <c r="E44" s="466" t="e">
        <f t="shared" ca="1" si="13"/>
        <v>#VALUE!</v>
      </c>
      <c r="F44" s="466" t="e">
        <f t="shared" ca="1" si="13"/>
        <v>#VALUE!</v>
      </c>
      <c r="G44" s="466" t="e">
        <f t="shared" ca="1" si="13"/>
        <v>#VALUE!</v>
      </c>
      <c r="H44" s="466" t="e">
        <f t="shared" ca="1" si="13"/>
        <v>#VALUE!</v>
      </c>
      <c r="I44" s="466" t="e">
        <f t="shared" ca="1" si="13"/>
        <v>#VALUE!</v>
      </c>
    </row>
    <row r="45" spans="1:15" ht="13.5" customHeight="1"/>
    <row r="46" spans="1:15" ht="13.5" customHeight="1">
      <c r="A46" s="472"/>
      <c r="B46" s="472"/>
      <c r="C46" s="472"/>
      <c r="D46" s="472"/>
      <c r="E46" s="472"/>
      <c r="F46" s="472"/>
      <c r="G46" s="472"/>
      <c r="H46" s="472"/>
      <c r="I46" s="472"/>
    </row>
    <row r="47" spans="1:15" ht="13.5" customHeight="1">
      <c r="I47" s="396"/>
    </row>
    <row r="48" spans="1:15" ht="13.5" customHeight="1">
      <c r="A48" s="392" t="s">
        <v>484</v>
      </c>
      <c r="B48" s="392"/>
      <c r="C48" s="463">
        <v>15</v>
      </c>
      <c r="D48" s="392">
        <v>16</v>
      </c>
      <c r="E48" s="392">
        <v>17</v>
      </c>
      <c r="F48" s="392">
        <v>18</v>
      </c>
      <c r="G48" s="392">
        <v>19</v>
      </c>
      <c r="H48" s="392">
        <v>20</v>
      </c>
    </row>
    <row r="49" spans="1:10" ht="13.5" customHeight="1">
      <c r="A49" s="391" t="s">
        <v>2897</v>
      </c>
      <c r="C49" s="464">
        <f>'Part VI-Pro Forma'!F65</f>
        <v>310622.76774127333</v>
      </c>
      <c r="D49" s="464">
        <f>'Part VI-Pro Forma'!G62</f>
        <v>0</v>
      </c>
      <c r="E49" s="464">
        <f>'Part VI-Pro Forma'!H62</f>
        <v>0</v>
      </c>
      <c r="F49" s="464">
        <f>'Part VI-Pro Forma'!I62</f>
        <v>0</v>
      </c>
      <c r="G49" s="464">
        <f>'Part VI-Pro Forma'!J62</f>
        <v>0</v>
      </c>
      <c r="H49" s="464">
        <f>'Part VI-Pro Forma'!K62</f>
        <v>0</v>
      </c>
    </row>
    <row r="50" spans="1:10" ht="13.5" customHeight="1">
      <c r="A50" s="391" t="s">
        <v>2899</v>
      </c>
      <c r="C50" s="789">
        <f>'Part VI-Pro Forma'!E72-'Part VI-Pro Forma'!F72</f>
        <v>170866.659844134</v>
      </c>
      <c r="D50" s="789">
        <f>'Part VI-Pro Forma'!F72-'Part VI-Pro Forma'!G72</f>
        <v>183674.53375211917</v>
      </c>
      <c r="E50" s="789">
        <f>'Part VI-Pro Forma'!G72-'Part VI-Pro Forma'!H72</f>
        <v>197442.464081835</v>
      </c>
      <c r="F50" s="789">
        <f>'Part VI-Pro Forma'!H72-'Part VI-Pro Forma'!I72</f>
        <v>212242.41502808034</v>
      </c>
      <c r="G50" s="789">
        <f>'Part VI-Pro Forma'!I72-'Part VI-Pro Forma'!J72</f>
        <v>228151.74509917758</v>
      </c>
      <c r="H50" s="789">
        <f>'Part VI-Pro Forma'!J72-'Part VI-Pro Forma'!K72</f>
        <v>245253.61146551557</v>
      </c>
    </row>
    <row r="51" spans="1:10" ht="13.5" customHeight="1">
      <c r="A51" s="391" t="s">
        <v>2899</v>
      </c>
      <c r="C51" s="789">
        <f>'Part VI-Pro Forma'!E73-'Part VI-Pro Forma'!F73</f>
        <v>24746.179446666501</v>
      </c>
      <c r="D51" s="789">
        <f>'Part VI-Pro Forma'!F73-'Part VI-Pro Forma'!G73</f>
        <v>27219.558640247211</v>
      </c>
      <c r="E51" s="789">
        <f>'Part VI-Pro Forma'!G73-'Part VI-Pro Forma'!H73</f>
        <v>29601.460852582008</v>
      </c>
      <c r="F51" s="789">
        <f>'Part VI-Pro Forma'!H73-'Part VI-Pro Forma'!I73</f>
        <v>31883.742030371912</v>
      </c>
      <c r="G51" s="789">
        <f>'Part VI-Pro Forma'!I73-'Part VI-Pro Forma'!J73</f>
        <v>34058.148301519454</v>
      </c>
      <c r="H51" s="789">
        <f>'Part VI-Pro Forma'!J73-'Part VI-Pro Forma'!K73</f>
        <v>36115.802649863996</v>
      </c>
    </row>
    <row r="52" spans="1:10" ht="13.5" customHeight="1">
      <c r="A52" s="391" t="s">
        <v>2899</v>
      </c>
      <c r="C52" s="474" t="e">
        <f>'Part VI-Pro Forma'!E74-'Part VI-Pro Forma'!F74</f>
        <v>#VALUE!</v>
      </c>
      <c r="D52" s="474" t="e">
        <f>'Part VI-Pro Forma'!F74-'Part VI-Pro Forma'!G74</f>
        <v>#VALUE!</v>
      </c>
      <c r="E52" s="474" t="e">
        <f>'Part VI-Pro Forma'!G74-'Part VI-Pro Forma'!H74</f>
        <v>#VALUE!</v>
      </c>
      <c r="F52" s="474" t="e">
        <f>'Part VI-Pro Forma'!H74-'Part VI-Pro Forma'!I74</f>
        <v>#VALUE!</v>
      </c>
      <c r="G52" s="474" t="e">
        <f>'Part VI-Pro Forma'!I74-'Part VI-Pro Forma'!J74</f>
        <v>#VALUE!</v>
      </c>
      <c r="H52" s="474" t="e">
        <f>'Part VI-Pro Forma'!J74-'Part VI-Pro Forma'!K74</f>
        <v>#VALUE!</v>
      </c>
    </row>
    <row r="53" spans="1:10" ht="13.5" customHeight="1">
      <c r="A53" s="468" t="s">
        <v>2902</v>
      </c>
      <c r="B53" s="468"/>
      <c r="C53" s="791">
        <f>'Part VI-Pro Forma'!F55</f>
        <v>-105351.87433615848</v>
      </c>
      <c r="D53" s="791">
        <f>'Part VI-Pro Forma'!G55</f>
        <v>-108512.43056624325</v>
      </c>
      <c r="E53" s="791">
        <f>'Part VI-Pro Forma'!H55</f>
        <v>-111767.80348323051</v>
      </c>
      <c r="F53" s="791">
        <f>'Part VI-Pro Forma'!I55</f>
        <v>-115120.83758772744</v>
      </c>
      <c r="G53" s="791">
        <f>'Part VI-Pro Forma'!J55</f>
        <v>-118574.46271535926</v>
      </c>
      <c r="H53" s="791">
        <f>'Part VI-Pro Forma'!K55</f>
        <v>-122131.69659682004</v>
      </c>
    </row>
    <row r="54" spans="1:10" ht="13.5" customHeight="1">
      <c r="A54" s="468" t="s">
        <v>2903</v>
      </c>
      <c r="C54" s="792">
        <f>'Part VI-Pro Forma'!F64</f>
        <v>0</v>
      </c>
      <c r="D54" s="792">
        <f>'Part VI-Pro Forma'!G64</f>
        <v>0</v>
      </c>
      <c r="E54" s="792">
        <f>'Part VI-Pro Forma'!H64</f>
        <v>0</v>
      </c>
      <c r="F54" s="792">
        <f>'Part VI-Pro Forma'!I64</f>
        <v>0</v>
      </c>
      <c r="G54" s="792">
        <f>'Part VI-Pro Forma'!J64</f>
        <v>0</v>
      </c>
      <c r="H54" s="792">
        <f>'Part VI-Pro Forma'!K64</f>
        <v>0</v>
      </c>
    </row>
    <row r="55" spans="1:10" ht="13.5" customHeight="1">
      <c r="A55" s="391" t="s">
        <v>2905</v>
      </c>
      <c r="C55" s="469">
        <f t="shared" ref="C55:H55" si="14">$E$3/$H$3</f>
        <v>1169758.4218181819</v>
      </c>
      <c r="D55" s="469">
        <f t="shared" si="14"/>
        <v>1169758.4218181819</v>
      </c>
      <c r="E55" s="469">
        <f t="shared" si="14"/>
        <v>1169758.4218181819</v>
      </c>
      <c r="F55" s="469">
        <f t="shared" si="14"/>
        <v>1169758.4218181819</v>
      </c>
      <c r="G55" s="469">
        <f t="shared" si="14"/>
        <v>1169758.4218181819</v>
      </c>
      <c r="H55" s="469">
        <f t="shared" si="14"/>
        <v>1169758.4218181819</v>
      </c>
    </row>
    <row r="56" spans="1:10" ht="13.5" customHeight="1">
      <c r="A56" s="391" t="s">
        <v>2906</v>
      </c>
      <c r="C56" s="464">
        <f t="shared" ref="C56:H56" ca="1" si="15">IF(C$48&lt;=$H$4,($E$4/$H$4),0)+IF(C$48&lt;=$H$5,($E$5/$H$5),0)</f>
        <v>34872</v>
      </c>
      <c r="D56" s="464">
        <f t="shared" si="15"/>
        <v>18513</v>
      </c>
      <c r="E56" s="464">
        <f t="shared" si="15"/>
        <v>18513</v>
      </c>
      <c r="F56" s="464">
        <f t="shared" si="15"/>
        <v>18513</v>
      </c>
      <c r="G56" s="464">
        <f t="shared" si="15"/>
        <v>18513</v>
      </c>
      <c r="H56" s="464">
        <f t="shared" si="15"/>
        <v>18513</v>
      </c>
    </row>
    <row r="57" spans="1:10" ht="13.5" customHeight="1">
      <c r="A57" s="391" t="s">
        <v>2908</v>
      </c>
      <c r="C57" s="464" t="e">
        <f t="shared" ref="C57:H57" ca="1" si="16">C49+C50+C51+C52+C53+C54-C55-C56</f>
        <v>#VALUE!</v>
      </c>
      <c r="D57" s="464" t="e">
        <f t="shared" si="16"/>
        <v>#VALUE!</v>
      </c>
      <c r="E57" s="464" t="e">
        <f t="shared" si="16"/>
        <v>#VALUE!</v>
      </c>
      <c r="F57" s="464" t="e">
        <f t="shared" si="16"/>
        <v>#VALUE!</v>
      </c>
      <c r="G57" s="464" t="e">
        <f t="shared" si="16"/>
        <v>#VALUE!</v>
      </c>
      <c r="H57" s="464" t="e">
        <f t="shared" si="16"/>
        <v>#VALUE!</v>
      </c>
    </row>
    <row r="58" spans="1:10" ht="13.5" customHeight="1">
      <c r="A58" s="391" t="s">
        <v>2909</v>
      </c>
      <c r="C58" s="469" t="e">
        <f t="shared" ref="C58:H58" ca="1" si="17">C57*$H$6</f>
        <v>#VALUE!</v>
      </c>
      <c r="D58" s="469" t="e">
        <f t="shared" si="17"/>
        <v>#VALUE!</v>
      </c>
      <c r="E58" s="469" t="e">
        <f t="shared" si="17"/>
        <v>#VALUE!</v>
      </c>
      <c r="F58" s="469" t="e">
        <f t="shared" si="17"/>
        <v>#VALUE!</v>
      </c>
      <c r="G58" s="469" t="e">
        <f t="shared" si="17"/>
        <v>#VALUE!</v>
      </c>
      <c r="H58" s="469" t="e">
        <f t="shared" si="17"/>
        <v>#VALUE!</v>
      </c>
      <c r="J58" s="391" t="s">
        <v>2682</v>
      </c>
    </row>
    <row r="59" spans="1:10" s="475" customFormat="1" ht="16.5" customHeight="1">
      <c r="A59" s="391"/>
      <c r="B59" s="391"/>
      <c r="C59" s="464"/>
      <c r="D59" s="464"/>
      <c r="E59" s="464"/>
      <c r="F59" s="464"/>
      <c r="G59" s="464"/>
      <c r="H59" s="464"/>
      <c r="I59" s="391"/>
      <c r="J59" s="391"/>
    </row>
    <row r="60" spans="1:10">
      <c r="A60" s="391" t="s">
        <v>2911</v>
      </c>
      <c r="C60" s="464" t="e">
        <f t="shared" ref="C60:H60" ca="1" si="18">C49-C58</f>
        <v>#VALUE!</v>
      </c>
      <c r="D60" s="464" t="e">
        <f t="shared" si="18"/>
        <v>#VALUE!</v>
      </c>
      <c r="E60" s="464" t="e">
        <f t="shared" si="18"/>
        <v>#VALUE!</v>
      </c>
      <c r="F60" s="464" t="e">
        <f t="shared" si="18"/>
        <v>#VALUE!</v>
      </c>
      <c r="G60" s="464" t="e">
        <f t="shared" si="18"/>
        <v>#VALUE!</v>
      </c>
      <c r="H60" s="464" t="e">
        <f t="shared" si="18"/>
        <v>#VALUE!</v>
      </c>
    </row>
    <row r="61" spans="1:10">
      <c r="A61" s="391" t="s">
        <v>2912</v>
      </c>
      <c r="C61" s="469">
        <v>0</v>
      </c>
      <c r="D61" s="469">
        <v>0</v>
      </c>
      <c r="E61" s="469">
        <v>0</v>
      </c>
      <c r="F61" s="469">
        <v>0</v>
      </c>
      <c r="G61" s="469">
        <v>0</v>
      </c>
      <c r="H61" s="464">
        <v>0</v>
      </c>
    </row>
    <row r="62" spans="1:10">
      <c r="A62" s="391" t="s">
        <v>2913</v>
      </c>
      <c r="C62" s="469">
        <v>0</v>
      </c>
      <c r="D62" s="464">
        <v>0</v>
      </c>
      <c r="E62" s="464">
        <v>0</v>
      </c>
      <c r="F62" s="464">
        <v>0</v>
      </c>
      <c r="G62" s="464">
        <v>0</v>
      </c>
      <c r="H62" s="464">
        <v>0</v>
      </c>
    </row>
    <row r="63" spans="1:10">
      <c r="A63" s="391" t="s">
        <v>2914</v>
      </c>
      <c r="C63" s="464">
        <v>0</v>
      </c>
      <c r="D63" s="464">
        <v>0</v>
      </c>
      <c r="E63" s="464">
        <v>0</v>
      </c>
      <c r="F63" s="464">
        <v>0</v>
      </c>
      <c r="G63" s="464">
        <v>0</v>
      </c>
      <c r="H63" s="464" t="e">
        <f>O33</f>
        <v>#VALUE!</v>
      </c>
    </row>
    <row r="64" spans="1:10">
      <c r="A64" s="391" t="s">
        <v>2887</v>
      </c>
      <c r="C64" s="464" t="e">
        <f t="shared" ref="C64:H64" ca="1" si="19">SUM(C60:C63)</f>
        <v>#VALUE!</v>
      </c>
      <c r="D64" s="464" t="e">
        <f t="shared" si="19"/>
        <v>#VALUE!</v>
      </c>
      <c r="E64" s="464" t="e">
        <f t="shared" si="19"/>
        <v>#VALUE!</v>
      </c>
      <c r="F64" s="464" t="e">
        <f t="shared" si="19"/>
        <v>#VALUE!</v>
      </c>
      <c r="G64" s="464" t="e">
        <f t="shared" si="19"/>
        <v>#VALUE!</v>
      </c>
      <c r="H64" s="464" t="e">
        <f t="shared" si="19"/>
        <v>#VALUE!</v>
      </c>
    </row>
    <row r="66" spans="1:10" ht="15">
      <c r="A66" s="2954"/>
      <c r="B66" s="2955"/>
      <c r="C66" s="2955"/>
      <c r="D66" s="2955"/>
      <c r="E66" s="2955"/>
      <c r="F66" s="2956" t="s">
        <v>2920</v>
      </c>
      <c r="G66" s="4690" t="e">
        <f ca="1">IRR(K5:K25)</f>
        <v>#VALUE!</v>
      </c>
      <c r="H66" s="4691"/>
      <c r="I66" s="475"/>
      <c r="J66" s="47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324" customWidth="1"/>
    <col min="2" max="2" width="16.7109375" style="324" customWidth="1"/>
    <col min="3" max="3" width="4.7109375" style="324" customWidth="1"/>
    <col min="4" max="4" width="6.42578125" style="324" customWidth="1"/>
    <col min="5" max="5" width="16.7109375" style="324" customWidth="1"/>
    <col min="6" max="6" width="4.7109375" style="324" customWidth="1"/>
    <col min="7" max="7" width="6.42578125" style="324" customWidth="1"/>
    <col min="8" max="8" width="16.7109375" style="324" customWidth="1"/>
    <col min="9" max="9" width="4.7109375" style="324" customWidth="1"/>
    <col min="10" max="10" width="6.42578125" style="324" customWidth="1"/>
    <col min="11" max="11" width="16.7109375" style="324" customWidth="1"/>
    <col min="12" max="16384" width="9.28515625" style="324"/>
  </cols>
  <sheetData>
    <row r="1" spans="1:11" s="331" customFormat="1" ht="17.649999999999999" customHeight="1">
      <c r="A1" s="4693" t="str">
        <f>'Sensitivity Analysis'!C8</f>
        <v>Ashley Collegetown Phase I</v>
      </c>
      <c r="B1" s="4693"/>
      <c r="C1" s="4693"/>
      <c r="D1" s="4693"/>
      <c r="E1" s="4693"/>
      <c r="F1" s="4693"/>
      <c r="G1" s="4693"/>
      <c r="H1" s="4693"/>
      <c r="I1" s="4693"/>
      <c r="J1" s="4693"/>
      <c r="K1" s="4693"/>
    </row>
    <row r="2" spans="1:11" s="331" customFormat="1" ht="17.649999999999999" customHeight="1">
      <c r="A2" s="4692" t="s">
        <v>2921</v>
      </c>
      <c r="B2" s="4692"/>
      <c r="C2" s="4692"/>
      <c r="D2" s="4692"/>
      <c r="E2" s="4692"/>
      <c r="F2" s="4692"/>
      <c r="G2" s="4692"/>
      <c r="H2" s="4692"/>
      <c r="I2" s="4692"/>
      <c r="J2" s="4692"/>
      <c r="K2" s="4692"/>
    </row>
    <row r="3" spans="1:11" ht="9" customHeight="1">
      <c r="A3" s="1194"/>
      <c r="B3" s="1194"/>
      <c r="C3" s="1194"/>
      <c r="D3" s="1194"/>
      <c r="E3" s="1194"/>
      <c r="G3" s="1194"/>
      <c r="H3" s="1194"/>
      <c r="J3" s="1194"/>
      <c r="K3" s="1194"/>
    </row>
    <row r="4" spans="1:11" ht="12.6" customHeight="1">
      <c r="A4" s="4694" t="s">
        <v>2922</v>
      </c>
      <c r="B4" s="4694"/>
      <c r="C4" s="1195"/>
      <c r="D4" s="4694" t="s">
        <v>2923</v>
      </c>
      <c r="E4" s="4694"/>
      <c r="F4" s="398"/>
      <c r="G4" s="4694" t="s">
        <v>2924</v>
      </c>
      <c r="H4" s="4694"/>
      <c r="I4" s="398"/>
      <c r="J4" s="4694" t="s">
        <v>2925</v>
      </c>
      <c r="K4" s="4694"/>
    </row>
    <row r="5" spans="1:11" ht="25.9" customHeight="1">
      <c r="A5" s="4695" t="str">
        <f>'Part II-Sources of Funds'!E40</f>
        <v>Freddie Mac TEL</v>
      </c>
      <c r="B5" s="4696"/>
      <c r="C5" s="331"/>
      <c r="D5" s="4695" t="str">
        <f>'Part II-Sources of Funds'!E41</f>
        <v>Atlanta Housing</v>
      </c>
      <c r="E5" s="4696"/>
      <c r="F5" s="1196"/>
      <c r="G5" s="4695">
        <f>'Part II-Sources of Funds'!E42</f>
        <v>0</v>
      </c>
      <c r="H5" s="4696"/>
      <c r="I5" s="1196"/>
      <c r="J5" s="4695">
        <f>'Part II-Sources of Funds'!E43</f>
        <v>0</v>
      </c>
      <c r="K5" s="4696"/>
    </row>
    <row r="6" spans="1:11" ht="9" customHeight="1"/>
    <row r="7" spans="1:11" ht="15.75">
      <c r="A7" s="794"/>
      <c r="B7" s="794" t="s">
        <v>2926</v>
      </c>
      <c r="D7" s="794"/>
      <c r="E7" s="794" t="s">
        <v>2926</v>
      </c>
      <c r="G7" s="794"/>
      <c r="H7" s="794" t="s">
        <v>2926</v>
      </c>
      <c r="J7" s="794"/>
      <c r="K7" s="794" t="s">
        <v>2926</v>
      </c>
    </row>
    <row r="8" spans="1:11" ht="15.75">
      <c r="A8" s="817" t="s">
        <v>484</v>
      </c>
      <c r="B8" s="817" t="s">
        <v>2927</v>
      </c>
      <c r="D8" s="817" t="s">
        <v>484</v>
      </c>
      <c r="E8" s="817" t="s">
        <v>2927</v>
      </c>
      <c r="G8" s="817" t="s">
        <v>484</v>
      </c>
      <c r="H8" s="817" t="s">
        <v>2927</v>
      </c>
      <c r="J8" s="817" t="s">
        <v>484</v>
      </c>
      <c r="K8" s="817" t="s">
        <v>2927</v>
      </c>
    </row>
    <row r="9" spans="1:11" ht="6" customHeight="1">
      <c r="A9" s="382"/>
      <c r="B9" s="382"/>
      <c r="D9" s="382"/>
      <c r="E9" s="382"/>
      <c r="G9" s="382"/>
      <c r="H9" s="382"/>
      <c r="J9" s="382"/>
      <c r="K9" s="382"/>
    </row>
    <row r="10" spans="1:11" ht="20.25" customHeight="1">
      <c r="A10" s="795">
        <v>1</v>
      </c>
      <c r="B10" s="796">
        <f>-'Part VI-Pro Forma'!$B26/12</f>
        <v>90193.740952870285</v>
      </c>
      <c r="D10" s="795">
        <v>1</v>
      </c>
      <c r="E10" s="796">
        <f>-'Part VI-Pro Forma'!$B27/12</f>
        <v>5591.570428449093</v>
      </c>
      <c r="G10" s="795">
        <v>1</v>
      </c>
      <c r="H10" s="796">
        <f>-'Part VI-Pro Forma'!$B28/12</f>
        <v>0</v>
      </c>
      <c r="J10" s="795">
        <v>1</v>
      </c>
      <c r="K10" s="796">
        <f>-'Part VI-Pro Forma'!$B29/12</f>
        <v>0</v>
      </c>
    </row>
    <row r="11" spans="1:11" ht="20.25" customHeight="1">
      <c r="A11" s="795">
        <v>2</v>
      </c>
      <c r="B11" s="796">
        <f>-'Part VI-Pro Forma'!$C26/12</f>
        <v>90193.740952870285</v>
      </c>
      <c r="D11" s="795">
        <v>2</v>
      </c>
      <c r="E11" s="796">
        <f>-'Part VI-Pro Forma'!$C27/12</f>
        <v>5860.4807501157629</v>
      </c>
      <c r="G11" s="795">
        <v>2</v>
      </c>
      <c r="H11" s="796">
        <f>-'Part VI-Pro Forma'!$C28/12</f>
        <v>0</v>
      </c>
      <c r="J11" s="795">
        <v>2</v>
      </c>
      <c r="K11" s="796">
        <f>-'Part VI-Pro Forma'!$C29/12</f>
        <v>0</v>
      </c>
    </row>
    <row r="12" spans="1:11" ht="20.25" customHeight="1">
      <c r="A12" s="795">
        <v>3</v>
      </c>
      <c r="B12" s="796">
        <f>-'Part VI-Pro Forma'!$D26/12</f>
        <v>90193.740952870285</v>
      </c>
      <c r="D12" s="795">
        <v>3</v>
      </c>
      <c r="E12" s="796">
        <f>-'Part VI-Pro Forma'!$D27/12</f>
        <v>6125.9372094657547</v>
      </c>
      <c r="G12" s="795">
        <v>3</v>
      </c>
      <c r="H12" s="796">
        <f>-'Part VI-Pro Forma'!$D28/12</f>
        <v>0</v>
      </c>
      <c r="J12" s="795">
        <v>3</v>
      </c>
      <c r="K12" s="796">
        <f>-'Part VI-Pro Forma'!$D29/12</f>
        <v>0</v>
      </c>
    </row>
    <row r="13" spans="1:11" ht="20.25" customHeight="1">
      <c r="A13" s="795">
        <v>4</v>
      </c>
      <c r="B13" s="796">
        <f>-'Part VI-Pro Forma'!$E26/12</f>
        <v>90193.740952870285</v>
      </c>
      <c r="D13" s="795">
        <v>4</v>
      </c>
      <c r="E13" s="796">
        <f>-'Part VI-Pro Forma'!$E27/12</f>
        <v>6387.6333005235892</v>
      </c>
      <c r="G13" s="795">
        <v>4</v>
      </c>
      <c r="H13" s="796">
        <f>-'Part VI-Pro Forma'!$E28/12</f>
        <v>0</v>
      </c>
      <c r="J13" s="795">
        <v>4</v>
      </c>
      <c r="K13" s="796">
        <f>-'Part VI-Pro Forma'!$E29/12</f>
        <v>0</v>
      </c>
    </row>
    <row r="14" spans="1:11" ht="20.25" customHeight="1">
      <c r="A14" s="1197">
        <v>5</v>
      </c>
      <c r="B14" s="1198">
        <f>-'Part VI-Pro Forma'!$F26/12</f>
        <v>90193.740952870285</v>
      </c>
      <c r="D14" s="1197">
        <v>5</v>
      </c>
      <c r="E14" s="1198">
        <f>-'Part VI-Pro Forma'!$F27/12</f>
        <v>6645.2067851657093</v>
      </c>
      <c r="G14" s="1197">
        <v>5</v>
      </c>
      <c r="H14" s="1198">
        <f>-'Part VI-Pro Forma'!$F28/12</f>
        <v>0</v>
      </c>
      <c r="J14" s="1197">
        <v>5</v>
      </c>
      <c r="K14" s="1198">
        <f>-'Part VI-Pro Forma'!$F29/12</f>
        <v>0</v>
      </c>
    </row>
    <row r="15" spans="1:11" ht="20.25" customHeight="1">
      <c r="A15" s="795">
        <v>6</v>
      </c>
      <c r="B15" s="796">
        <f>-'Part VI-Pro Forma'!$G26/12</f>
        <v>90193.740952870285</v>
      </c>
      <c r="D15" s="795">
        <v>6</v>
      </c>
      <c r="E15" s="796">
        <f>-'Part VI-Pro Forma'!$G27/12</f>
        <v>6898.2808404166963</v>
      </c>
      <c r="G15" s="795">
        <v>6</v>
      </c>
      <c r="H15" s="796">
        <f>-'Part VI-Pro Forma'!$G28/12</f>
        <v>0</v>
      </c>
      <c r="J15" s="795">
        <v>6</v>
      </c>
      <c r="K15" s="796">
        <f>-'Part VI-Pro Forma'!$G29/12</f>
        <v>0</v>
      </c>
    </row>
    <row r="16" spans="1:11" ht="20.25" customHeight="1">
      <c r="A16" s="795">
        <v>7</v>
      </c>
      <c r="B16" s="796">
        <f>-'Part VI-Pro Forma'!$H26/12</f>
        <v>90193.740952870285</v>
      </c>
      <c r="D16" s="795">
        <v>7</v>
      </c>
      <c r="E16" s="796">
        <f>-'Part VI-Pro Forma'!$H27/12</f>
        <v>7146.5051882161888</v>
      </c>
      <c r="G16" s="795">
        <v>7</v>
      </c>
      <c r="H16" s="796">
        <f>-'Part VI-Pro Forma'!$H28/12</f>
        <v>0</v>
      </c>
      <c r="J16" s="795">
        <v>7</v>
      </c>
      <c r="K16" s="796">
        <f>-'Part VI-Pro Forma'!$H29/12</f>
        <v>0</v>
      </c>
    </row>
    <row r="17" spans="1:11" ht="20.25" customHeight="1">
      <c r="A17" s="795">
        <v>8</v>
      </c>
      <c r="B17" s="796">
        <f>-'Part VI-Pro Forma'!$I26/12</f>
        <v>90193.740952870285</v>
      </c>
      <c r="D17" s="795">
        <v>8</v>
      </c>
      <c r="E17" s="796">
        <f>-'Part VI-Pro Forma'!$I27/12</f>
        <v>7389.4722070917824</v>
      </c>
      <c r="G17" s="795">
        <v>8</v>
      </c>
      <c r="H17" s="796">
        <f>-'Part VI-Pro Forma'!$I28/12</f>
        <v>0</v>
      </c>
      <c r="J17" s="795">
        <v>8</v>
      </c>
      <c r="K17" s="796">
        <f>-'Part VI-Pro Forma'!$I29/12</f>
        <v>0</v>
      </c>
    </row>
    <row r="18" spans="1:11" ht="20.25" customHeight="1">
      <c r="A18" s="795">
        <v>9</v>
      </c>
      <c r="B18" s="796">
        <f>-'Part VI-Pro Forma'!$J26/12</f>
        <v>90193.740952870285</v>
      </c>
      <c r="D18" s="795">
        <v>9</v>
      </c>
      <c r="E18" s="796">
        <f>-'Part VI-Pro Forma'!$J27/12</f>
        <v>7626.7788584886775</v>
      </c>
      <c r="G18" s="795">
        <v>9</v>
      </c>
      <c r="H18" s="796">
        <f>-'Part VI-Pro Forma'!$J28/12</f>
        <v>0</v>
      </c>
      <c r="J18" s="795">
        <v>9</v>
      </c>
      <c r="K18" s="796">
        <f>-'Part VI-Pro Forma'!$J29/12</f>
        <v>0</v>
      </c>
    </row>
    <row r="19" spans="1:11" ht="20.25" customHeight="1">
      <c r="A19" s="1197">
        <v>10</v>
      </c>
      <c r="B19" s="1198">
        <f>-'Part VI-Pro Forma'!$K26/12</f>
        <v>90193.740952870285</v>
      </c>
      <c r="D19" s="1197">
        <v>10</v>
      </c>
      <c r="E19" s="1198">
        <f>-'Part VI-Pro Forma'!$K27/12</f>
        <v>7857.9844271548745</v>
      </c>
      <c r="G19" s="1197">
        <v>10</v>
      </c>
      <c r="H19" s="1198">
        <f>-'Part VI-Pro Forma'!$K28/12</f>
        <v>0</v>
      </c>
      <c r="J19" s="1197">
        <v>10</v>
      </c>
      <c r="K19" s="1198">
        <f>-'Part VI-Pro Forma'!$K29/12</f>
        <v>0</v>
      </c>
    </row>
    <row r="20" spans="1:11" ht="20.25" customHeight="1">
      <c r="A20" s="795">
        <v>11</v>
      </c>
      <c r="B20" s="796">
        <f>-'Part VI-Pro Forma'!$B58/12</f>
        <v>90193.740952870285</v>
      </c>
      <c r="D20" s="795">
        <v>11</v>
      </c>
      <c r="E20" s="796">
        <f>-'Part VI-Pro Forma'!$B59/12</f>
        <v>8082.6307416296959</v>
      </c>
      <c r="G20" s="795">
        <v>11</v>
      </c>
      <c r="H20" s="796">
        <f>-'Part VI-Pro Forma'!$B60/12</f>
        <v>0</v>
      </c>
      <c r="J20" s="795">
        <v>11</v>
      </c>
      <c r="K20" s="796">
        <f>-'Part VI-Pro Forma'!$B61/12</f>
        <v>0</v>
      </c>
    </row>
    <row r="21" spans="1:11" ht="20.25" customHeight="1">
      <c r="A21" s="795">
        <v>12</v>
      </c>
      <c r="B21" s="796">
        <f>-'Part VI-Pro Forma'!$C58/12</f>
        <v>90193.740952870285</v>
      </c>
      <c r="D21" s="795">
        <v>12</v>
      </c>
      <c r="E21" s="796">
        <f>-'Part VI-Pro Forma'!$C59/12</f>
        <v>8300.2832075290298</v>
      </c>
      <c r="G21" s="795">
        <v>12</v>
      </c>
      <c r="H21" s="796">
        <f>-'Part VI-Pro Forma'!$C60/12</f>
        <v>0</v>
      </c>
      <c r="J21" s="795">
        <v>12</v>
      </c>
      <c r="K21" s="796">
        <f>-'Part VI-Pro Forma'!$C61/12</f>
        <v>0</v>
      </c>
    </row>
    <row r="22" spans="1:11" ht="20.25" customHeight="1">
      <c r="A22" s="795">
        <v>13</v>
      </c>
      <c r="B22" s="796">
        <f>-'Part VI-Pro Forma'!$D58/12</f>
        <v>90193.740952870285</v>
      </c>
      <c r="D22" s="795">
        <v>13</v>
      </c>
      <c r="E22" s="796">
        <f>-'Part VI-Pro Forma'!$D59/12</f>
        <v>8510.4259863021052</v>
      </c>
      <c r="G22" s="795">
        <v>13</v>
      </c>
      <c r="H22" s="796">
        <f>-'Part VI-Pro Forma'!$D60/12</f>
        <v>0</v>
      </c>
      <c r="J22" s="795">
        <v>13</v>
      </c>
      <c r="K22" s="796">
        <f>-'Part VI-Pro Forma'!$D61/12</f>
        <v>0</v>
      </c>
    </row>
    <row r="23" spans="1:11" ht="20.25" customHeight="1">
      <c r="A23" s="795">
        <v>14</v>
      </c>
      <c r="B23" s="796">
        <f>-'Part VI-Pro Forma'!$E58/12</f>
        <v>90193.740952870285</v>
      </c>
      <c r="D23" s="795">
        <v>14</v>
      </c>
      <c r="E23" s="796">
        <f>-'Part VI-Pro Forma'!$E59/12</f>
        <v>8712.5863187797131</v>
      </c>
      <c r="G23" s="795">
        <v>14</v>
      </c>
      <c r="H23" s="796">
        <f>-'Part VI-Pro Forma'!$E60/12</f>
        <v>0</v>
      </c>
      <c r="J23" s="795">
        <v>14</v>
      </c>
      <c r="K23" s="796">
        <f>-'Part VI-Pro Forma'!$E61/12</f>
        <v>0</v>
      </c>
    </row>
    <row r="24" spans="1:11" ht="20.25" customHeight="1">
      <c r="A24" s="1197">
        <v>15</v>
      </c>
      <c r="B24" s="1198">
        <f>-'Part VI-Pro Forma'!$F58/12</f>
        <v>90193.740952870285</v>
      </c>
      <c r="D24" s="1197">
        <v>15</v>
      </c>
      <c r="E24" s="1198">
        <f>-'Part VI-Pro Forma'!$F59/12</f>
        <v>8906.1879928131475</v>
      </c>
      <c r="G24" s="1197">
        <v>15</v>
      </c>
      <c r="H24" s="1198">
        <f>-'Part VI-Pro Forma'!$F60/12</f>
        <v>0</v>
      </c>
      <c r="J24" s="1197">
        <v>15</v>
      </c>
      <c r="K24" s="1198">
        <f>-'Part VI-Pro Forma'!$F61/12</f>
        <v>0</v>
      </c>
    </row>
    <row r="25" spans="1:11" ht="20.25" customHeight="1">
      <c r="A25" s="795">
        <v>16</v>
      </c>
      <c r="B25" s="796">
        <f>-'Part VI-Pro Forma'!$G58/12</f>
        <v>90193.740952870285</v>
      </c>
      <c r="D25" s="795">
        <v>16</v>
      </c>
      <c r="E25" s="796">
        <f>-'Part VI-Pro Forma'!$G59/12</f>
        <v>9090.738120947377</v>
      </c>
      <c r="G25" s="795">
        <v>16</v>
      </c>
      <c r="H25" s="796">
        <f>-'Part VI-Pro Forma'!$G60/12</f>
        <v>0</v>
      </c>
      <c r="J25" s="795">
        <v>16</v>
      </c>
      <c r="K25" s="796">
        <f>-'Part VI-Pro Forma'!$G61/12</f>
        <v>0</v>
      </c>
    </row>
    <row r="26" spans="1:11" ht="20.25" customHeight="1">
      <c r="A26" s="795">
        <v>17</v>
      </c>
      <c r="B26" s="796">
        <f>-'Part VI-Pro Forma'!$H58/12</f>
        <v>90193.740952870285</v>
      </c>
      <c r="D26" s="795">
        <v>17</v>
      </c>
      <c r="E26" s="796">
        <f>-'Part VI-Pro Forma'!$H59/12</f>
        <v>9265.6388940497473</v>
      </c>
      <c r="G26" s="795">
        <v>17</v>
      </c>
      <c r="H26" s="796">
        <f>-'Part VI-Pro Forma'!$H60/12</f>
        <v>0</v>
      </c>
      <c r="J26" s="795">
        <v>17</v>
      </c>
      <c r="K26" s="796">
        <f>-'Part VI-Pro Forma'!$H61/12</f>
        <v>0</v>
      </c>
    </row>
    <row r="27" spans="1:11" ht="20.25" customHeight="1">
      <c r="A27" s="795">
        <v>18</v>
      </c>
      <c r="B27" s="796">
        <f>-'Part VI-Pro Forma'!$I58/12</f>
        <v>90193.740952870285</v>
      </c>
      <c r="D27" s="795">
        <v>18</v>
      </c>
      <c r="E27" s="796">
        <f>-'Part VI-Pro Forma'!$I59/12</f>
        <v>9430.2909767917099</v>
      </c>
      <c r="G27" s="795">
        <v>18</v>
      </c>
      <c r="H27" s="796">
        <f>-'Part VI-Pro Forma'!$I60/12</f>
        <v>0</v>
      </c>
      <c r="J27" s="795">
        <v>18</v>
      </c>
      <c r="K27" s="796">
        <f>-'Part VI-Pro Forma'!$I61/12</f>
        <v>0</v>
      </c>
    </row>
    <row r="28" spans="1:11" ht="20.25" customHeight="1">
      <c r="A28" s="795">
        <v>19</v>
      </c>
      <c r="B28" s="796">
        <f>-'Part VI-Pro Forma'!$J58/12</f>
        <v>90193.740952870285</v>
      </c>
      <c r="D28" s="795">
        <v>19</v>
      </c>
      <c r="E28" s="796">
        <f>-'Part VI-Pro Forma'!$J59/12</f>
        <v>9584.0927108580363</v>
      </c>
      <c r="G28" s="795">
        <v>19</v>
      </c>
      <c r="H28" s="796">
        <f>-'Part VI-Pro Forma'!$J60/12</f>
        <v>0</v>
      </c>
      <c r="J28" s="795">
        <v>19</v>
      </c>
      <c r="K28" s="796">
        <f>-'Part VI-Pro Forma'!$J61/12</f>
        <v>0</v>
      </c>
    </row>
    <row r="29" spans="1:11" ht="20.25" customHeight="1">
      <c r="A29" s="1197">
        <v>20</v>
      </c>
      <c r="B29" s="1198">
        <f>-'Part VI-Pro Forma'!$K58/12</f>
        <v>90193.740952870285</v>
      </c>
      <c r="D29" s="1197">
        <v>20</v>
      </c>
      <c r="E29" s="1198">
        <f>-'Part VI-Pro Forma'!$K59/12</f>
        <v>9726.3976250653795</v>
      </c>
      <c r="G29" s="1197">
        <v>20</v>
      </c>
      <c r="H29" s="1198">
        <f>-'Part VI-Pro Forma'!$K60/12</f>
        <v>0</v>
      </c>
      <c r="J29" s="1197">
        <v>20</v>
      </c>
      <c r="K29" s="1198">
        <f>-'Part VI-Pro Forma'!$K61/12</f>
        <v>0</v>
      </c>
    </row>
    <row r="30" spans="1:11" ht="20.25" customHeight="1">
      <c r="A30" s="795">
        <v>21</v>
      </c>
      <c r="B30" s="796">
        <f>-'Part VI-Pro Forma'!$B90/12</f>
        <v>90193.740952870285</v>
      </c>
      <c r="D30" s="795">
        <v>21</v>
      </c>
      <c r="E30" s="796">
        <f>-'Part VI-Pro Forma'!$B91/12</f>
        <v>9856.5552515469699</v>
      </c>
      <c r="G30" s="795">
        <v>21</v>
      </c>
      <c r="H30" s="796">
        <f>-'Part VI-Pro Forma'!$B92/12</f>
        <v>0</v>
      </c>
      <c r="J30" s="795">
        <v>21</v>
      </c>
      <c r="K30" s="796">
        <f>-'Part VI-Pro Forma'!$B93/12</f>
        <v>0</v>
      </c>
    </row>
    <row r="31" spans="1:11" ht="20.25" customHeight="1">
      <c r="A31" s="795">
        <v>22</v>
      </c>
      <c r="B31" s="796">
        <f>-'Part VI-Pro Forma'!$C90/12</f>
        <v>90193.740952870285</v>
      </c>
      <c r="D31" s="795">
        <v>22</v>
      </c>
      <c r="E31" s="796">
        <f>-'Part VI-Pro Forma'!$C91/12</f>
        <v>9973.8269138013475</v>
      </c>
      <c r="G31" s="795">
        <v>22</v>
      </c>
      <c r="H31" s="796">
        <f>-'Part VI-Pro Forma'!$C92/12</f>
        <v>0</v>
      </c>
      <c r="J31" s="795">
        <v>22</v>
      </c>
      <c r="K31" s="796">
        <f>-'Part VI-Pro Forma'!$C93/12</f>
        <v>0</v>
      </c>
    </row>
    <row r="32" spans="1:11" ht="20.25" customHeight="1">
      <c r="A32" s="795">
        <v>23</v>
      </c>
      <c r="B32" s="796">
        <f>-'Part VI-Pro Forma'!$D90/12</f>
        <v>90193.740952870285</v>
      </c>
      <c r="D32" s="795">
        <v>23</v>
      </c>
      <c r="E32" s="796">
        <f>-'Part VI-Pro Forma'!$D91/12</f>
        <v>10077.530652374588</v>
      </c>
      <c r="G32" s="795">
        <v>23</v>
      </c>
      <c r="H32" s="796">
        <f>-'Part VI-Pro Forma'!$D92/12</f>
        <v>0</v>
      </c>
      <c r="J32" s="795">
        <v>23</v>
      </c>
      <c r="K32" s="796">
        <f>-'Part VI-Pro Forma'!$D93/12</f>
        <v>0</v>
      </c>
    </row>
    <row r="33" spans="1:11" ht="20.25" customHeight="1">
      <c r="A33" s="795">
        <v>24</v>
      </c>
      <c r="B33" s="796">
        <f>-'Part VI-Pro Forma'!$E90/12</f>
        <v>90193.740952870285</v>
      </c>
      <c r="D33" s="795">
        <v>24</v>
      </c>
      <c r="E33" s="796">
        <f>-'Part VI-Pro Forma'!$E91/12</f>
        <v>10166.915287251904</v>
      </c>
      <c r="G33" s="795">
        <v>24</v>
      </c>
      <c r="H33" s="796">
        <f>-'Part VI-Pro Forma'!$E92/12</f>
        <v>0</v>
      </c>
      <c r="J33" s="795">
        <v>24</v>
      </c>
      <c r="K33" s="796">
        <f>-'Part VI-Pro Forma'!$E93/12</f>
        <v>0</v>
      </c>
    </row>
    <row r="34" spans="1:11" ht="20.25" customHeight="1">
      <c r="A34" s="1197">
        <v>25</v>
      </c>
      <c r="B34" s="1198">
        <f>-'Part VI-Pro Forma'!$F90/12</f>
        <v>90193.740952870285</v>
      </c>
      <c r="D34" s="1197">
        <v>25</v>
      </c>
      <c r="E34" s="1198">
        <f>-'Part VI-Pro Forma'!$F91/12</f>
        <v>10241.180282672134</v>
      </c>
      <c r="G34" s="1197">
        <v>25</v>
      </c>
      <c r="H34" s="1198">
        <f>-'Part VI-Pro Forma'!$F92/12</f>
        <v>0</v>
      </c>
      <c r="J34" s="1197">
        <v>25</v>
      </c>
      <c r="K34" s="1198">
        <f>-'Part VI-Pro Forma'!$F93/12</f>
        <v>0</v>
      </c>
    </row>
    <row r="35" spans="1:11" ht="20.25" customHeight="1">
      <c r="A35" s="795">
        <v>26</v>
      </c>
      <c r="B35" s="796">
        <f>-'Part VI-Pro Forma'!$G90/12</f>
        <v>90193.740952870285</v>
      </c>
      <c r="D35" s="795">
        <v>26</v>
      </c>
      <c r="E35" s="796">
        <f>-'Part VI-Pro Forma'!$G91/12</f>
        <v>10299.537246714701</v>
      </c>
      <c r="G35" s="795">
        <v>26</v>
      </c>
      <c r="H35" s="796">
        <f>-'Part VI-Pro Forma'!$G92/12</f>
        <v>0</v>
      </c>
      <c r="J35" s="795">
        <v>26</v>
      </c>
      <c r="K35" s="796">
        <f>-'Part VI-Pro Forma'!$G93/12</f>
        <v>0</v>
      </c>
    </row>
    <row r="36" spans="1:11" ht="20.25" customHeight="1">
      <c r="A36" s="795">
        <v>27</v>
      </c>
      <c r="B36" s="796">
        <f>-'Part VI-Pro Forma'!$H90/12</f>
        <v>90193.740952870285</v>
      </c>
      <c r="D36" s="795">
        <v>27</v>
      </c>
      <c r="E36" s="796">
        <f>-'Part VI-Pro Forma'!$H91/12</f>
        <v>10341.125564646873</v>
      </c>
      <c r="G36" s="795">
        <v>27</v>
      </c>
      <c r="H36" s="796">
        <f>-'Part VI-Pro Forma'!$H92/12</f>
        <v>0</v>
      </c>
      <c r="J36" s="795">
        <v>27</v>
      </c>
      <c r="K36" s="796">
        <f>-'Part VI-Pro Forma'!$H93/12</f>
        <v>0</v>
      </c>
    </row>
    <row r="37" spans="1:11" ht="20.25" customHeight="1">
      <c r="A37" s="795">
        <v>28</v>
      </c>
      <c r="B37" s="796">
        <f>-'Part VI-Pro Forma'!$I90/12</f>
        <v>90193.740952870285</v>
      </c>
      <c r="D37" s="795">
        <v>28</v>
      </c>
      <c r="E37" s="796">
        <f>-'Part VI-Pro Forma'!$I91/12</f>
        <v>10365.094664984737</v>
      </c>
      <c r="G37" s="795">
        <v>28</v>
      </c>
      <c r="H37" s="796">
        <f>-'Part VI-Pro Forma'!$I92/12</f>
        <v>0</v>
      </c>
      <c r="J37" s="795">
        <v>28</v>
      </c>
      <c r="K37" s="796">
        <f>-'Part VI-Pro Forma'!$I93/12</f>
        <v>0</v>
      </c>
    </row>
    <row r="38" spans="1:11" ht="20.25" customHeight="1">
      <c r="A38" s="795">
        <v>29</v>
      </c>
      <c r="B38" s="796">
        <f>-'Part VI-Pro Forma'!$J90/12</f>
        <v>90193.740952870285</v>
      </c>
      <c r="D38" s="795">
        <v>29</v>
      </c>
      <c r="E38" s="796">
        <f>-'Part VI-Pro Forma'!$J91/12</f>
        <v>10370.540417191087</v>
      </c>
      <c r="G38" s="795">
        <v>29</v>
      </c>
      <c r="H38" s="796">
        <f>-'Part VI-Pro Forma'!$J92/12</f>
        <v>0</v>
      </c>
      <c r="J38" s="795">
        <v>29</v>
      </c>
      <c r="K38" s="796">
        <f>-'Part VI-Pro Forma'!$J93/12</f>
        <v>0</v>
      </c>
    </row>
    <row r="39" spans="1:11" ht="20.25" customHeight="1">
      <c r="A39" s="1197">
        <v>30</v>
      </c>
      <c r="B39" s="1198">
        <f>-'Part VI-Pro Forma'!$K90/12</f>
        <v>90193.740952870285</v>
      </c>
      <c r="D39" s="1197">
        <v>30</v>
      </c>
      <c r="E39" s="1198">
        <f>-'Part VI-Pro Forma'!$K91/12</f>
        <v>10356.483159899139</v>
      </c>
      <c r="G39" s="1197">
        <v>30</v>
      </c>
      <c r="H39" s="1198">
        <f>-'Part VI-Pro Forma'!$K92/12</f>
        <v>0</v>
      </c>
      <c r="J39" s="1197">
        <v>30</v>
      </c>
      <c r="K39" s="1198">
        <f>-'Part VI-Pro Forma'!$K93/12</f>
        <v>0</v>
      </c>
    </row>
    <row r="40" spans="1:11" ht="20.25" customHeight="1">
      <c r="A40" s="795">
        <v>31</v>
      </c>
      <c r="B40" s="796">
        <f>-'Part VI-Pro Forma'!$B120/12</f>
        <v>90193.740952870285</v>
      </c>
      <c r="D40" s="795">
        <v>31</v>
      </c>
      <c r="E40" s="796">
        <f>-'Part VI-Pro Forma'!$B121/12</f>
        <v>10321.991525182728</v>
      </c>
      <c r="G40" s="795">
        <v>31</v>
      </c>
      <c r="H40" s="796">
        <f>-'Part VI-Pro Forma'!$B122/12</f>
        <v>0</v>
      </c>
      <c r="J40" s="795">
        <v>31</v>
      </c>
      <c r="K40" s="796">
        <f>-'Part VI-Pro Forma'!$B123/12</f>
        <v>0</v>
      </c>
    </row>
    <row r="41" spans="1:11" ht="20.25" customHeight="1">
      <c r="A41" s="795">
        <v>32</v>
      </c>
      <c r="B41" s="796">
        <f>-'Part VI-Pro Forma'!$C120/12</f>
        <v>90193.740952870285</v>
      </c>
      <c r="D41" s="795">
        <v>32</v>
      </c>
      <c r="E41" s="796">
        <f>-'Part VI-Pro Forma'!$C121/12</f>
        <v>10266.035391024867</v>
      </c>
      <c r="G41" s="795">
        <v>32</v>
      </c>
      <c r="H41" s="796">
        <f>-'Part VI-Pro Forma'!$C122/12</f>
        <v>0</v>
      </c>
      <c r="J41" s="795">
        <v>32</v>
      </c>
      <c r="K41" s="796">
        <f>-'Part VI-Pro Forma'!$C123/12</f>
        <v>0</v>
      </c>
    </row>
    <row r="42" spans="1:11" ht="20.25" customHeight="1">
      <c r="A42" s="795">
        <v>33</v>
      </c>
      <c r="B42" s="796">
        <f>-'Part VI-Pro Forma'!$D120/12</f>
        <v>90193.740952870285</v>
      </c>
      <c r="D42" s="795">
        <v>33</v>
      </c>
      <c r="E42" s="796">
        <f>-'Part VI-Pro Forma'!$D121/12</f>
        <v>10187.547127434527</v>
      </c>
      <c r="G42" s="795">
        <v>33</v>
      </c>
      <c r="H42" s="796">
        <f>-'Part VI-Pro Forma'!$D122/12</f>
        <v>0</v>
      </c>
      <c r="J42" s="795">
        <v>33</v>
      </c>
      <c r="K42" s="796">
        <f>-'Part VI-Pro Forma'!$D123/12</f>
        <v>0</v>
      </c>
    </row>
    <row r="43" spans="1:11" ht="20.25" customHeight="1">
      <c r="A43" s="795">
        <v>34</v>
      </c>
      <c r="B43" s="796">
        <f>-'Part VI-Pro Forma'!$E120/12</f>
        <v>90193.740952870285</v>
      </c>
      <c r="D43" s="795">
        <v>34</v>
      </c>
      <c r="E43" s="796">
        <f>-'Part VI-Pro Forma'!$E121/12</f>
        <v>10085.441134953735</v>
      </c>
      <c r="G43" s="795">
        <v>34</v>
      </c>
      <c r="H43" s="796">
        <f>-'Part VI-Pro Forma'!$E122/12</f>
        <v>0</v>
      </c>
      <c r="J43" s="795">
        <v>34</v>
      </c>
      <c r="K43" s="796">
        <f>-'Part VI-Pro Forma'!$E123/12</f>
        <v>0</v>
      </c>
    </row>
    <row r="44" spans="1:11" ht="20.25" customHeight="1">
      <c r="A44" s="795">
        <v>35</v>
      </c>
      <c r="B44" s="796">
        <f>-'Part VI-Pro Forma'!$F120/12</f>
        <v>90193.740952870285</v>
      </c>
      <c r="D44" s="795">
        <v>35</v>
      </c>
      <c r="E44" s="796">
        <f>-'Part VI-Pro Forma'!$F121/12</f>
        <v>9958.5916742628524</v>
      </c>
      <c r="G44" s="795">
        <v>35</v>
      </c>
      <c r="H44" s="796">
        <f>-'Part VI-Pro Forma'!$F122/12</f>
        <v>0</v>
      </c>
      <c r="J44" s="795">
        <v>35</v>
      </c>
      <c r="K44" s="79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24" customWidth="1"/>
    <col min="2" max="2" width="0.7109375" style="324" customWidth="1"/>
    <col min="3" max="3" width="16.42578125" style="324" customWidth="1"/>
    <col min="4" max="4" width="18.28515625" style="324" customWidth="1"/>
    <col min="5" max="5" width="16.42578125" style="324" customWidth="1"/>
    <col min="6" max="6" width="13.28515625" style="324" customWidth="1"/>
    <col min="7" max="7" width="14.42578125" style="324" customWidth="1"/>
    <col min="8" max="8" width="5.7109375" style="324" customWidth="1"/>
    <col min="9" max="16384" width="9.28515625" style="324"/>
  </cols>
  <sheetData>
    <row r="1" spans="1:11" ht="12" customHeight="1">
      <c r="A1" s="4697" t="str">
        <f>CONCATENATE('Sensitivity Analysis'!E8,"  ",'Sensitivity Analysis'!C8)</f>
        <v>2023-5  Ashley Collegetown Phase I</v>
      </c>
      <c r="B1" s="4697"/>
      <c r="C1" s="4697"/>
      <c r="D1" s="4697"/>
      <c r="E1" s="4697"/>
      <c r="F1" s="4697"/>
      <c r="G1" s="4697"/>
      <c r="H1" s="4697"/>
    </row>
    <row r="3" spans="1:11" ht="12" customHeight="1">
      <c r="A3" s="4698" t="s">
        <v>2928</v>
      </c>
      <c r="B3" s="4698"/>
      <c r="C3" s="4698"/>
      <c r="D3" s="4698"/>
      <c r="E3" s="4698"/>
      <c r="F3" s="4698"/>
      <c r="G3" s="4698"/>
      <c r="H3" s="4698"/>
      <c r="I3" s="837"/>
      <c r="J3" s="4700" t="s">
        <v>2929</v>
      </c>
      <c r="K3" s="4700"/>
    </row>
    <row r="4" spans="1:11">
      <c r="J4" s="4700"/>
      <c r="K4" s="4700"/>
    </row>
    <row r="5" spans="1:11" ht="12" customHeight="1">
      <c r="A5" s="324">
        <v>1</v>
      </c>
      <c r="C5" s="324" t="s">
        <v>2930</v>
      </c>
      <c r="E5" s="486">
        <f>'Sensitivity Analysis'!H9</f>
        <v>0</v>
      </c>
      <c r="J5" s="4700"/>
      <c r="K5" s="4700"/>
    </row>
    <row r="6" spans="1:11" ht="3" customHeight="1">
      <c r="H6" s="477"/>
      <c r="J6" s="4700"/>
      <c r="K6" s="4700"/>
    </row>
    <row r="7" spans="1:11" ht="12" customHeight="1">
      <c r="A7" s="324">
        <v>2</v>
      </c>
      <c r="C7" s="324" t="s">
        <v>2931</v>
      </c>
      <c r="E7" s="4701"/>
      <c r="F7" s="4701"/>
      <c r="G7" s="4701"/>
      <c r="H7" s="4701"/>
      <c r="J7" s="4700"/>
      <c r="K7" s="4700"/>
    </row>
    <row r="8" spans="1:11" ht="12" customHeight="1">
      <c r="E8" s="4701"/>
      <c r="F8" s="4701"/>
      <c r="G8" s="4701"/>
      <c r="H8" s="4701"/>
      <c r="J8" s="4700"/>
      <c r="K8" s="4700"/>
    </row>
    <row r="9" spans="1:11" ht="12" customHeight="1">
      <c r="C9" s="324" t="s">
        <v>2932</v>
      </c>
      <c r="E9" s="4699"/>
      <c r="F9" s="4699"/>
      <c r="J9" s="4700"/>
      <c r="K9" s="4700"/>
    </row>
    <row r="10" spans="1:11" ht="12" customHeight="1">
      <c r="C10" s="324" t="s">
        <v>2933</v>
      </c>
      <c r="E10" s="4701"/>
      <c r="F10" s="4701"/>
      <c r="G10" s="4701"/>
      <c r="H10" s="4701"/>
    </row>
    <row r="11" spans="1:11" ht="12" customHeight="1">
      <c r="C11" s="324" t="s">
        <v>2934</v>
      </c>
      <c r="E11" s="4701"/>
      <c r="F11" s="4701"/>
      <c r="G11" s="4701"/>
      <c r="H11" s="4701"/>
    </row>
    <row r="12" spans="1:11" ht="12" customHeight="1">
      <c r="C12" s="324" t="s">
        <v>2935</v>
      </c>
      <c r="E12" s="1661"/>
    </row>
    <row r="13" spans="1:11" ht="12" customHeight="1">
      <c r="C13" s="324" t="s">
        <v>2936</v>
      </c>
      <c r="E13" s="1661"/>
    </row>
    <row r="14" spans="1:11" ht="3" customHeight="1"/>
    <row r="15" spans="1:11" ht="12" customHeight="1">
      <c r="A15" s="324">
        <v>3</v>
      </c>
      <c r="C15" s="324" t="s">
        <v>2937</v>
      </c>
      <c r="E15" s="486" t="str">
        <f>'Sensitivity Analysis'!C8</f>
        <v>Ashley Collegetown Phase I</v>
      </c>
    </row>
    <row r="16" spans="1:11" ht="12" customHeight="1">
      <c r="C16" s="324" t="s">
        <v>2938</v>
      </c>
      <c r="E16" s="4701"/>
      <c r="F16" s="4701"/>
      <c r="G16" s="4701"/>
      <c r="H16" s="4701"/>
    </row>
    <row r="17" spans="1:8" ht="12" customHeight="1">
      <c r="E17" s="330" t="str">
        <f>'Part I-Project Identification'!$F$26</f>
        <v>Atlanta</v>
      </c>
      <c r="F17" s="476" t="s">
        <v>308</v>
      </c>
      <c r="G17" s="4702" t="s">
        <v>2939</v>
      </c>
      <c r="H17" s="4702"/>
    </row>
    <row r="18" spans="1:8" ht="12" customHeight="1">
      <c r="E18" s="486" t="str">
        <f>(CONCATENATE('Part I-Project Identification'!$J$26," County"))</f>
        <v>Fulton County</v>
      </c>
    </row>
    <row r="19" spans="1:8" ht="3" customHeight="1"/>
    <row r="20" spans="1:8" ht="12" customHeight="1">
      <c r="A20" s="324">
        <v>4</v>
      </c>
      <c r="C20" s="324" t="s">
        <v>2940</v>
      </c>
      <c r="E20" s="4701"/>
      <c r="F20" s="4701"/>
      <c r="G20" s="4701"/>
      <c r="H20" s="4701"/>
    </row>
    <row r="21" spans="1:8" ht="12" customHeight="1">
      <c r="C21" s="324" t="s">
        <v>2941</v>
      </c>
      <c r="E21" s="4701"/>
      <c r="F21" s="4701"/>
      <c r="G21" s="4701"/>
      <c r="H21" s="4701"/>
    </row>
    <row r="22" spans="1:8" ht="12" customHeight="1">
      <c r="E22" s="4701"/>
      <c r="F22" s="4701"/>
      <c r="G22" s="4701"/>
      <c r="H22" s="4701"/>
    </row>
    <row r="23" spans="1:8" ht="12" customHeight="1">
      <c r="C23" s="324" t="s">
        <v>2935</v>
      </c>
      <c r="E23" s="1661"/>
    </row>
    <row r="24" spans="1:8" ht="12" customHeight="1">
      <c r="C24" s="324" t="s">
        <v>2936</v>
      </c>
      <c r="E24" s="1661"/>
    </row>
    <row r="25" spans="1:8" ht="12" customHeight="1">
      <c r="C25" s="324" t="s">
        <v>2934</v>
      </c>
      <c r="E25" s="4701"/>
      <c r="F25" s="4701"/>
      <c r="G25" s="4701"/>
      <c r="H25" s="4701"/>
    </row>
    <row r="26" spans="1:8" ht="3" customHeight="1">
      <c r="E26" s="486"/>
    </row>
    <row r="27" spans="1:8" ht="12" customHeight="1">
      <c r="A27" s="324">
        <v>5</v>
      </c>
      <c r="C27" s="324" t="s">
        <v>2942</v>
      </c>
      <c r="E27" s="486" t="str">
        <f>'Sensitivity Analysis'!$H$7</f>
        <v>Acquisition/Rehabilitation</v>
      </c>
    </row>
    <row r="28" spans="1:8" ht="12" customHeight="1">
      <c r="E28" s="486" t="str">
        <f>'Part I-Project Identification'!F12</f>
        <v>4% Credit/TE Bond</v>
      </c>
    </row>
    <row r="29" spans="1:8" ht="12" customHeight="1">
      <c r="C29" s="324" t="s">
        <v>2943</v>
      </c>
      <c r="E29" s="324" t="str">
        <f>'Sensitivity Analysis'!$C$9</f>
        <v>&lt;&lt;Select&gt;&gt;</v>
      </c>
    </row>
    <row r="30" spans="1:8" ht="3" customHeight="1"/>
    <row r="31" spans="1:8" ht="12" customHeight="1">
      <c r="A31" s="324">
        <v>6</v>
      </c>
      <c r="C31" s="324" t="s">
        <v>2944</v>
      </c>
      <c r="E31" s="324" t="s">
        <v>2945</v>
      </c>
      <c r="F31" s="838">
        <f>'Part II-Sources of Funds'!L22</f>
        <v>19630835</v>
      </c>
      <c r="G31" s="324" t="s">
        <v>2946</v>
      </c>
    </row>
    <row r="32" spans="1:8" ht="12" customHeight="1">
      <c r="F32" s="838" t="s">
        <v>2947</v>
      </c>
      <c r="G32" s="324" t="s">
        <v>2948</v>
      </c>
    </row>
    <row r="33" spans="1:8" ht="3" customHeight="1">
      <c r="F33" s="481"/>
    </row>
    <row r="34" spans="1:8" ht="12" customHeight="1">
      <c r="A34" s="324">
        <v>7</v>
      </c>
      <c r="C34" s="324" t="s">
        <v>2949</v>
      </c>
      <c r="F34" s="839">
        <v>0</v>
      </c>
    </row>
    <row r="35" spans="1:8" ht="3" customHeight="1">
      <c r="F35" s="481"/>
    </row>
    <row r="36" spans="1:8" ht="12" customHeight="1">
      <c r="A36" s="324">
        <v>8</v>
      </c>
      <c r="C36" s="324" t="s">
        <v>2950</v>
      </c>
      <c r="E36" s="324" t="s">
        <v>2945</v>
      </c>
      <c r="F36" s="840">
        <v>0.01</v>
      </c>
    </row>
    <row r="37" spans="1:8" ht="3" customHeight="1">
      <c r="F37" s="839"/>
    </row>
    <row r="38" spans="1:8" ht="12" customHeight="1">
      <c r="A38" s="324">
        <v>9</v>
      </c>
      <c r="C38" s="324" t="s">
        <v>2951</v>
      </c>
      <c r="F38" s="841">
        <v>24</v>
      </c>
      <c r="G38" s="324" t="s">
        <v>2952</v>
      </c>
    </row>
    <row r="39" spans="1:8" ht="3" customHeight="1">
      <c r="F39" s="839"/>
    </row>
    <row r="40" spans="1:8" ht="12" customHeight="1">
      <c r="A40" s="324">
        <v>10</v>
      </c>
      <c r="C40" s="324" t="s">
        <v>2953</v>
      </c>
      <c r="E40" s="324" t="s">
        <v>2945</v>
      </c>
      <c r="F40" s="481">
        <f>'Part II-Sources of Funds'!L40*12</f>
        <v>216</v>
      </c>
      <c r="G40" s="324" t="s">
        <v>2952</v>
      </c>
    </row>
    <row r="41" spans="1:8" ht="3" customHeight="1">
      <c r="F41" s="481"/>
    </row>
    <row r="42" spans="1:8" ht="12" customHeight="1">
      <c r="A42" s="324">
        <v>11</v>
      </c>
      <c r="C42" s="324" t="s">
        <v>2954</v>
      </c>
      <c r="F42" s="842">
        <v>24</v>
      </c>
      <c r="G42" s="324" t="s">
        <v>2952</v>
      </c>
    </row>
    <row r="43" spans="1:8" ht="3" customHeight="1"/>
    <row r="44" spans="1:8" ht="12" customHeight="1">
      <c r="A44" s="324">
        <v>12</v>
      </c>
      <c r="C44" s="324" t="s">
        <v>2955</v>
      </c>
      <c r="F44" s="843" t="s">
        <v>2956</v>
      </c>
    </row>
    <row r="45" spans="1:8" ht="3" customHeight="1"/>
    <row r="46" spans="1:8" ht="12" customHeight="1">
      <c r="A46" s="324">
        <v>13</v>
      </c>
      <c r="C46" s="324" t="s">
        <v>2957</v>
      </c>
      <c r="E46" s="324" t="s">
        <v>2945</v>
      </c>
      <c r="F46" s="486" t="s">
        <v>2958</v>
      </c>
    </row>
    <row r="47" spans="1:8" ht="3" customHeight="1">
      <c r="F47" s="477"/>
    </row>
    <row r="48" spans="1:8" ht="12" customHeight="1">
      <c r="A48" s="324">
        <v>14</v>
      </c>
      <c r="C48" s="324" t="s">
        <v>2959</v>
      </c>
      <c r="E48" s="4701"/>
      <c r="F48" s="4701"/>
      <c r="G48" s="4701"/>
      <c r="H48" s="4701"/>
    </row>
    <row r="49" spans="1:8" ht="3" customHeight="1">
      <c r="E49" s="486"/>
    </row>
    <row r="50" spans="1:8" ht="12" customHeight="1">
      <c r="A50" s="324">
        <v>15</v>
      </c>
      <c r="C50" s="324" t="s">
        <v>2960</v>
      </c>
      <c r="E50" s="4701"/>
      <c r="F50" s="4701"/>
      <c r="G50" s="4701"/>
      <c r="H50" s="4701"/>
    </row>
    <row r="51" spans="1:8" ht="12" customHeight="1">
      <c r="C51" s="324" t="s">
        <v>2961</v>
      </c>
      <c r="E51" s="4701"/>
      <c r="F51" s="4701"/>
      <c r="G51" s="4701"/>
      <c r="H51" s="4701"/>
    </row>
    <row r="52" spans="1:8" ht="3" customHeight="1">
      <c r="F52" s="481"/>
    </row>
    <row r="53" spans="1:8" ht="12" customHeight="1">
      <c r="A53" s="324">
        <v>16</v>
      </c>
      <c r="C53" s="324" t="s">
        <v>2962</v>
      </c>
      <c r="F53" s="842">
        <f>'Sensitivity Analysis'!C13</f>
        <v>199</v>
      </c>
    </row>
    <row r="54" spans="1:8" ht="3" customHeight="1">
      <c r="F54" s="481"/>
    </row>
    <row r="55" spans="1:8" ht="12" customHeight="1">
      <c r="A55" s="324">
        <v>17</v>
      </c>
      <c r="C55" s="324" t="s">
        <v>2963</v>
      </c>
      <c r="F55" s="844" t="e">
        <f>ProrationMethodCostAllocatnDCA!$H$52</f>
        <v>#VALUE!</v>
      </c>
    </row>
    <row r="56" spans="1:8" ht="3" customHeight="1">
      <c r="F56" s="481"/>
    </row>
    <row r="57" spans="1:8" ht="12" customHeight="1">
      <c r="A57" s="324">
        <v>18</v>
      </c>
      <c r="C57" s="324" t="s">
        <v>2964</v>
      </c>
      <c r="F57" s="844">
        <f>'Part V-Revenues &amp; Expenses'!P66</f>
        <v>0</v>
      </c>
      <c r="G57" s="324" t="s">
        <v>2965</v>
      </c>
    </row>
    <row r="58" spans="1:8" ht="3" customHeight="1">
      <c r="F58" s="481"/>
    </row>
    <row r="59" spans="1:8" ht="12" customHeight="1">
      <c r="A59" s="324">
        <v>19</v>
      </c>
      <c r="C59" s="324" t="s">
        <v>2966</v>
      </c>
      <c r="F59" s="1265">
        <f>'Part VII-Threshold Criteria OLD'!$P$44</f>
        <v>0</v>
      </c>
      <c r="G59" s="324" t="s">
        <v>2967</v>
      </c>
    </row>
    <row r="60" spans="1:8" ht="3" customHeight="1">
      <c r="F60" s="481"/>
    </row>
    <row r="61" spans="1:8" ht="12" customHeight="1">
      <c r="A61" s="324">
        <v>20</v>
      </c>
      <c r="C61" s="324" t="s">
        <v>2968</v>
      </c>
      <c r="F61" s="845">
        <f>'Subsidy Layering Memo'!$L$70</f>
        <v>11411498.157078296</v>
      </c>
    </row>
    <row r="62" spans="1:8" ht="3" customHeight="1"/>
    <row r="63" spans="1:8" ht="12" customHeight="1">
      <c r="A63" s="324">
        <v>21</v>
      </c>
      <c r="C63" s="324" t="s">
        <v>2969</v>
      </c>
      <c r="E63" s="846" t="s">
        <v>2970</v>
      </c>
      <c r="F63" s="847" t="s">
        <v>2971</v>
      </c>
      <c r="G63" s="846" t="s">
        <v>2972</v>
      </c>
    </row>
    <row r="64" spans="1:8" ht="12" customHeight="1">
      <c r="E64" s="846" t="s">
        <v>2970</v>
      </c>
      <c r="F64" s="847" t="s">
        <v>2971</v>
      </c>
      <c r="G64" s="846" t="s">
        <v>2973</v>
      </c>
    </row>
    <row r="65" spans="1:7" ht="12" customHeight="1">
      <c r="E65" s="846" t="s">
        <v>2970</v>
      </c>
      <c r="F65" s="847" t="s">
        <v>2971</v>
      </c>
      <c r="G65" s="846" t="s">
        <v>2974</v>
      </c>
    </row>
    <row r="66" spans="1:7" ht="12" customHeight="1">
      <c r="E66" s="846" t="s">
        <v>2970</v>
      </c>
      <c r="F66" s="847" t="s">
        <v>2971</v>
      </c>
      <c r="G66" s="846" t="s">
        <v>2975</v>
      </c>
    </row>
    <row r="67" spans="1:7" ht="3" customHeight="1"/>
    <row r="68" spans="1:7" ht="12" customHeight="1">
      <c r="A68" s="324">
        <v>22</v>
      </c>
      <c r="C68" s="324" t="s">
        <v>2976</v>
      </c>
      <c r="E68" s="486">
        <f>'Sensitivity Analysis'!H9</f>
        <v>0</v>
      </c>
    </row>
    <row r="69" spans="1:7" ht="3" customHeight="1"/>
    <row r="70" spans="1:7" ht="12" customHeight="1">
      <c r="A70" s="324">
        <v>23</v>
      </c>
      <c r="C70" s="324" t="s">
        <v>2977</v>
      </c>
      <c r="F70" s="481" t="s">
        <v>2978</v>
      </c>
    </row>
    <row r="71" spans="1:7" ht="3" customHeight="1"/>
    <row r="72" spans="1:7" ht="12" customHeight="1">
      <c r="A72" s="324">
        <v>24</v>
      </c>
      <c r="C72" s="324" t="s">
        <v>2979</v>
      </c>
      <c r="E72" s="324" t="s">
        <v>2945</v>
      </c>
      <c r="F72" s="481">
        <v>20</v>
      </c>
      <c r="G72" s="324" t="s">
        <v>502</v>
      </c>
    </row>
    <row r="73" spans="1:7" ht="3" customHeight="1"/>
    <row r="74" spans="1:7" ht="12" customHeight="1">
      <c r="A74" s="324">
        <v>25</v>
      </c>
      <c r="C74" s="324" t="s">
        <v>2980</v>
      </c>
      <c r="F74" s="848">
        <f>'Part III-A-Uses of Funds'!$G$131</f>
        <v>1325612.3682879163</v>
      </c>
    </row>
    <row r="75" spans="1:7" ht="3" customHeight="1">
      <c r="F75" s="848"/>
    </row>
    <row r="76" spans="1:7" ht="12" customHeight="1">
      <c r="A76" s="324">
        <v>26</v>
      </c>
      <c r="C76" s="324" t="s">
        <v>2981</v>
      </c>
      <c r="F76" s="848">
        <f>'Part III-A-Uses of Funds'!$G$132</f>
        <v>0</v>
      </c>
    </row>
    <row r="77" spans="1:7" ht="3" customHeight="1">
      <c r="F77" s="848"/>
    </row>
    <row r="78" spans="1:7" ht="12" customHeight="1">
      <c r="A78" s="324">
        <v>27</v>
      </c>
      <c r="C78" s="324" t="s">
        <v>2982</v>
      </c>
      <c r="F78" s="848">
        <f>'Part III-A-Uses of Funds'!$G$130</f>
        <v>50000</v>
      </c>
    </row>
    <row r="79" spans="1:7" ht="3" customHeight="1">
      <c r="F79" s="848"/>
    </row>
    <row r="80" spans="1:7" ht="12" customHeight="1">
      <c r="A80" s="324">
        <v>28</v>
      </c>
      <c r="C80" s="324" t="s">
        <v>2983</v>
      </c>
      <c r="F80" s="84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324" customWidth="1"/>
    <col min="2" max="2" width="11" style="324" customWidth="1"/>
    <col min="3" max="3" width="31" style="324" customWidth="1"/>
    <col min="4" max="4" width="14" style="324" customWidth="1"/>
    <col min="5" max="10" width="11.28515625" style="324" customWidth="1"/>
    <col min="11" max="16384" width="9.28515625" style="324"/>
  </cols>
  <sheetData>
    <row r="1" spans="1:13" ht="15">
      <c r="A1" s="4706" t="s">
        <v>2984</v>
      </c>
      <c r="B1" s="4706"/>
      <c r="C1" s="4706"/>
      <c r="D1" s="4706"/>
      <c r="E1" s="4706"/>
      <c r="F1" s="4706"/>
      <c r="G1" s="4706"/>
      <c r="H1" s="4706"/>
      <c r="I1" s="4706"/>
      <c r="J1" s="4706"/>
    </row>
    <row r="2" spans="1:13" ht="15">
      <c r="A2" s="4706" t="str">
        <f>'Sensitivity Analysis'!E8&amp;"  "&amp;'Sensitivity Analysis'!C8</f>
        <v>2023-5  Ashley Collegetown Phase I</v>
      </c>
      <c r="B2" s="4706"/>
      <c r="C2" s="4706"/>
      <c r="D2" s="4706"/>
      <c r="E2" s="4706"/>
      <c r="F2" s="4706"/>
      <c r="G2" s="4706"/>
      <c r="H2" s="4706"/>
      <c r="I2" s="4706"/>
      <c r="J2" s="4706"/>
    </row>
    <row r="3" spans="1:13" ht="6" customHeight="1">
      <c r="K3" s="4700" t="s">
        <v>2929</v>
      </c>
      <c r="L3" s="4700"/>
      <c r="M3" s="4700"/>
    </row>
    <row r="4" spans="1:13" ht="12" customHeight="1">
      <c r="A4" s="479" t="s">
        <v>2985</v>
      </c>
      <c r="K4" s="4700"/>
      <c r="L4" s="4700"/>
      <c r="M4" s="4700"/>
    </row>
    <row r="5" spans="1:13" ht="12" customHeight="1">
      <c r="A5" s="324" t="s">
        <v>2986</v>
      </c>
      <c r="C5" s="434" t="str">
        <f>'Subsidy Layering Memo'!D6</f>
        <v>(Underwriter)</v>
      </c>
      <c r="I5" s="434"/>
      <c r="K5" s="4700"/>
      <c r="L5" s="4700"/>
      <c r="M5" s="4700"/>
    </row>
    <row r="6" spans="1:13" ht="6" customHeight="1">
      <c r="C6" s="434"/>
      <c r="D6" s="434"/>
      <c r="I6" s="434"/>
      <c r="K6" s="4700"/>
      <c r="L6" s="4700"/>
      <c r="M6" s="4700"/>
    </row>
    <row r="7" spans="1:13" ht="12" customHeight="1">
      <c r="A7" s="479" t="s">
        <v>2987</v>
      </c>
      <c r="C7" s="434"/>
      <c r="D7" s="434"/>
      <c r="I7" s="434"/>
      <c r="K7" s="4700"/>
      <c r="L7" s="4700"/>
      <c r="M7" s="4700"/>
    </row>
    <row r="8" spans="1:13" ht="12" customHeight="1">
      <c r="A8" s="324" t="s">
        <v>2988</v>
      </c>
      <c r="C8" s="434">
        <f>'Sensitivity Analysis'!$H$9</f>
        <v>0</v>
      </c>
      <c r="I8" s="434"/>
      <c r="K8" s="4700"/>
      <c r="L8" s="4700"/>
      <c r="M8" s="4700"/>
    </row>
    <row r="9" spans="1:13" ht="3" customHeight="1">
      <c r="C9" s="434"/>
      <c r="D9" s="434"/>
      <c r="I9" s="434"/>
    </row>
    <row r="10" spans="1:13" ht="12" customHeight="1">
      <c r="A10" s="324" t="s">
        <v>2989</v>
      </c>
      <c r="C10" s="798" t="s">
        <v>712</v>
      </c>
      <c r="I10" s="434"/>
    </row>
    <row r="11" spans="1:13" ht="12" customHeight="1">
      <c r="C11" s="798" t="s">
        <v>712</v>
      </c>
      <c r="I11" s="434"/>
    </row>
    <row r="12" spans="1:13" ht="12" customHeight="1">
      <c r="C12" s="434" t="s">
        <v>1985</v>
      </c>
      <c r="D12" s="492" t="s">
        <v>712</v>
      </c>
      <c r="I12" s="434"/>
    </row>
    <row r="13" spans="1:13" ht="12" customHeight="1">
      <c r="C13" s="434" t="s">
        <v>2990</v>
      </c>
      <c r="D13" s="4705"/>
      <c r="E13" s="4705"/>
      <c r="F13" s="4705"/>
      <c r="G13" s="4705"/>
      <c r="H13" s="4705"/>
      <c r="I13" s="4705"/>
      <c r="J13" s="4705"/>
    </row>
    <row r="14" spans="1:13" ht="3" customHeight="1">
      <c r="G14" s="434"/>
      <c r="H14" s="434"/>
      <c r="I14" s="434"/>
    </row>
    <row r="15" spans="1:13" ht="12" customHeight="1">
      <c r="A15" s="324" t="s">
        <v>2991</v>
      </c>
      <c r="C15" s="480">
        <f>'Preview term'!E10</f>
        <v>0</v>
      </c>
      <c r="G15" s="434"/>
      <c r="I15" s="434"/>
    </row>
    <row r="16" spans="1:13" ht="12" customHeight="1">
      <c r="A16" s="486" t="s">
        <v>2992</v>
      </c>
      <c r="C16" s="480">
        <f>'Part II-Development Team'!Q7</f>
        <v>0</v>
      </c>
      <c r="G16" s="434"/>
      <c r="I16" s="434"/>
    </row>
    <row r="17" spans="1:9" ht="3" customHeight="1">
      <c r="G17" s="434"/>
      <c r="H17" s="434"/>
      <c r="I17" s="434"/>
    </row>
    <row r="18" spans="1:9" ht="12" customHeight="1">
      <c r="A18" s="324" t="s">
        <v>2993</v>
      </c>
      <c r="C18" s="480">
        <f>'Preview term'!$E$7</f>
        <v>0</v>
      </c>
      <c r="G18" s="434"/>
      <c r="I18" s="434"/>
    </row>
    <row r="19" spans="1:9" ht="12" customHeight="1">
      <c r="C19" s="480">
        <f>'Preview term'!$E$8</f>
        <v>0</v>
      </c>
      <c r="G19" s="434"/>
      <c r="I19" s="434"/>
    </row>
    <row r="20" spans="1:9" ht="3" customHeight="1">
      <c r="G20" s="434"/>
      <c r="H20" s="434"/>
      <c r="I20" s="434"/>
    </row>
    <row r="21" spans="1:9" ht="12" customHeight="1">
      <c r="A21" s="324" t="s">
        <v>2994</v>
      </c>
      <c r="C21" s="480" t="str">
        <f>CONCATENATE('Preview term'!E50," of  ",'Preview term'!G50)</f>
        <v xml:space="preserve"> of  </v>
      </c>
      <c r="G21" s="434"/>
      <c r="I21" s="434"/>
    </row>
    <row r="22" spans="1:9" ht="3" customHeight="1">
      <c r="C22" s="480"/>
      <c r="G22" s="434"/>
      <c r="I22" s="434"/>
    </row>
    <row r="23" spans="1:9" ht="12" customHeight="1">
      <c r="A23" s="324" t="s">
        <v>2995</v>
      </c>
      <c r="C23" s="480">
        <f>'Preview term'!E12</f>
        <v>0</v>
      </c>
      <c r="G23" s="434"/>
      <c r="I23" s="434"/>
    </row>
    <row r="24" spans="1:9" ht="3" customHeight="1">
      <c r="C24" s="480"/>
      <c r="G24" s="434"/>
      <c r="I24" s="434"/>
    </row>
    <row r="25" spans="1:9" ht="12" customHeight="1">
      <c r="A25" s="324" t="s">
        <v>2996</v>
      </c>
      <c r="C25" s="800">
        <f>'Preview term'!E11</f>
        <v>0</v>
      </c>
      <c r="G25" s="434"/>
    </row>
    <row r="26" spans="1:9" ht="6" customHeight="1">
      <c r="G26" s="434"/>
      <c r="H26" s="434"/>
      <c r="I26" s="434"/>
    </row>
    <row r="27" spans="1:9" ht="12" customHeight="1">
      <c r="A27" s="479" t="s">
        <v>2997</v>
      </c>
      <c r="G27" s="434"/>
      <c r="H27" s="434"/>
      <c r="I27" s="434"/>
    </row>
    <row r="28" spans="1:9" ht="12" customHeight="1">
      <c r="A28" s="324" t="s">
        <v>2998</v>
      </c>
      <c r="C28" s="480" t="str">
        <f>'Sensitivity Analysis'!$C$8</f>
        <v>Ashley Collegetown Phase I</v>
      </c>
      <c r="I28" s="434"/>
    </row>
    <row r="29" spans="1:9" ht="3" customHeight="1">
      <c r="C29" s="480"/>
      <c r="I29" s="434"/>
    </row>
    <row r="30" spans="1:9" ht="12" customHeight="1">
      <c r="A30" s="324" t="s">
        <v>2999</v>
      </c>
      <c r="C30" s="480">
        <f>'Preview term'!E16</f>
        <v>0</v>
      </c>
      <c r="I30" s="434"/>
    </row>
    <row r="31" spans="1:9">
      <c r="C31" s="434" t="str">
        <f>'Preview term'!E17</f>
        <v>Atlanta</v>
      </c>
      <c r="I31" s="434"/>
    </row>
    <row r="32" spans="1:9" ht="3" customHeight="1">
      <c r="C32" s="434"/>
      <c r="D32" s="434"/>
      <c r="I32" s="434"/>
    </row>
    <row r="33" spans="1:10" ht="12" customHeight="1">
      <c r="A33" s="324" t="s">
        <v>3000</v>
      </c>
      <c r="C33" s="434" t="s">
        <v>3001</v>
      </c>
      <c r="D33" s="799" t="e">
        <f>'Preview term'!F55</f>
        <v>#VALUE!</v>
      </c>
      <c r="I33" s="434"/>
    </row>
    <row r="34" spans="1:10" ht="12" customHeight="1">
      <c r="C34" s="434" t="s">
        <v>3002</v>
      </c>
      <c r="D34" s="1663">
        <f>'Part V-Revenues &amp; Expenses'!$P$64</f>
        <v>81</v>
      </c>
      <c r="I34" s="434"/>
    </row>
    <row r="35" spans="1:10" ht="12" customHeight="1">
      <c r="C35" s="434" t="s">
        <v>3003</v>
      </c>
      <c r="D35" s="2864" t="e">
        <f>SUM(D33:D34)</f>
        <v>#VALUE!</v>
      </c>
      <c r="I35" s="434"/>
    </row>
    <row r="36" spans="1:10" ht="3" customHeight="1">
      <c r="C36" s="434"/>
      <c r="D36" s="434"/>
      <c r="I36" s="434"/>
    </row>
    <row r="37" spans="1:10" ht="12" customHeight="1">
      <c r="A37" s="324" t="s">
        <v>3004</v>
      </c>
      <c r="C37" s="846" t="s">
        <v>712</v>
      </c>
      <c r="D37" s="797">
        <f>'Preview term'!F57</f>
        <v>0</v>
      </c>
      <c r="E37" s="434" t="s">
        <v>3005</v>
      </c>
      <c r="I37" s="434"/>
    </row>
    <row r="38" spans="1:10" ht="3" customHeight="1">
      <c r="G38" s="482"/>
      <c r="H38" s="434"/>
      <c r="I38" s="434"/>
    </row>
    <row r="39" spans="1:10" ht="25.5" customHeight="1">
      <c r="A39" s="483" t="s">
        <v>3006</v>
      </c>
      <c r="C39" s="4707" t="str">
        <f>_xlfn.CONCAT('Part VII-Threshold Criteria OLD'!K192," and ",'Part VII-Threshold Criteria OLD'!K193)</f>
        <v>&lt;&lt;Select&gt;&gt; and &lt;&lt;Select&gt;&gt;</v>
      </c>
      <c r="D39" s="4707"/>
      <c r="E39" s="4707"/>
      <c r="F39" s="4707"/>
      <c r="G39" s="4707"/>
      <c r="H39" s="4707"/>
      <c r="I39" s="4707"/>
      <c r="J39" s="4707"/>
    </row>
    <row r="40" spans="1:10" ht="25.5" customHeight="1">
      <c r="A40" s="483" t="s">
        <v>3007</v>
      </c>
      <c r="C40" s="470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07"/>
      <c r="E40" s="4707"/>
      <c r="F40" s="4707"/>
      <c r="G40" s="4707"/>
      <c r="H40" s="4707"/>
      <c r="I40" s="4707"/>
      <c r="J40" s="4707"/>
    </row>
    <row r="41" spans="1:10" ht="3" customHeight="1">
      <c r="G41" s="434"/>
      <c r="H41" s="434"/>
      <c r="I41" s="434"/>
    </row>
    <row r="42" spans="1:10" ht="25.5" customHeight="1">
      <c r="A42" s="483" t="s">
        <v>3008</v>
      </c>
      <c r="C42" s="4707" t="s">
        <v>3009</v>
      </c>
      <c r="D42" s="4707"/>
      <c r="E42" s="4707"/>
      <c r="F42" s="4707"/>
      <c r="G42" s="4707"/>
      <c r="H42" s="4707"/>
      <c r="I42" s="4707"/>
      <c r="J42" s="4707"/>
    </row>
    <row r="43" spans="1:10" ht="3" customHeight="1">
      <c r="C43" s="330"/>
      <c r="D43" s="330"/>
      <c r="E43" s="330"/>
      <c r="F43" s="330"/>
      <c r="G43" s="330"/>
      <c r="H43" s="331"/>
      <c r="I43" s="331"/>
      <c r="J43" s="331"/>
    </row>
    <row r="44" spans="1:10" ht="12" customHeight="1">
      <c r="A44" s="324" t="s">
        <v>3010</v>
      </c>
      <c r="C44" s="379" t="str">
        <f>'Part I-Project Identification'!J26</f>
        <v>Fulton</v>
      </c>
      <c r="D44" s="330"/>
      <c r="F44" s="331"/>
      <c r="I44" s="331"/>
      <c r="J44" s="331"/>
    </row>
    <row r="45" spans="1:10" ht="3" customHeight="1">
      <c r="C45" s="330"/>
      <c r="D45" s="330"/>
      <c r="E45" s="330"/>
      <c r="F45" s="331"/>
      <c r="I45" s="331"/>
      <c r="J45" s="331"/>
    </row>
    <row r="46" spans="1:10" ht="12" customHeight="1">
      <c r="A46" s="324" t="s">
        <v>3011</v>
      </c>
      <c r="C46" s="492" t="s">
        <v>712</v>
      </c>
      <c r="I46" s="331"/>
      <c r="J46" s="331"/>
    </row>
    <row r="47" spans="1:10" ht="3" customHeight="1">
      <c r="C47" s="434"/>
      <c r="D47" s="482"/>
      <c r="I47" s="434"/>
    </row>
    <row r="48" spans="1:10" ht="12" customHeight="1">
      <c r="A48" s="324" t="s">
        <v>3012</v>
      </c>
      <c r="C48" s="1266">
        <f>'Preview term'!F59</f>
        <v>0</v>
      </c>
      <c r="I48" s="484"/>
      <c r="J48" s="484"/>
    </row>
    <row r="49" spans="1:10" ht="3" customHeight="1">
      <c r="D49" s="484"/>
      <c r="E49" s="484"/>
      <c r="F49" s="484"/>
      <c r="G49" s="484"/>
      <c r="H49" s="434"/>
      <c r="I49" s="484"/>
      <c r="J49" s="484"/>
    </row>
    <row r="50" spans="1:10" ht="12" customHeight="1">
      <c r="A50" s="434"/>
      <c r="B50" s="324" t="s">
        <v>3013</v>
      </c>
      <c r="C50" s="4707" t="s">
        <v>3014</v>
      </c>
      <c r="D50" s="4707"/>
      <c r="E50" s="4707"/>
      <c r="F50" s="4707"/>
      <c r="G50" s="4707"/>
      <c r="H50" s="4707"/>
      <c r="I50" s="4707"/>
      <c r="J50" s="4707"/>
    </row>
    <row r="51" spans="1:10" ht="12" customHeight="1">
      <c r="C51" s="4709" t="s">
        <v>3015</v>
      </c>
      <c r="D51" s="4709"/>
      <c r="E51" s="4709"/>
      <c r="F51" s="4709"/>
      <c r="G51" s="4709"/>
      <c r="H51" s="4709"/>
      <c r="I51" s="4709"/>
      <c r="J51" s="4709"/>
    </row>
    <row r="52" spans="1:10" ht="3" customHeight="1">
      <c r="D52" s="484"/>
      <c r="E52" s="484"/>
      <c r="F52" s="484"/>
      <c r="G52" s="484"/>
      <c r="H52" s="434"/>
      <c r="I52" s="484"/>
      <c r="J52" s="484"/>
    </row>
    <row r="53" spans="1:10" ht="12" customHeight="1">
      <c r="A53" s="483" t="s">
        <v>3016</v>
      </c>
      <c r="B53" s="483"/>
      <c r="C53" s="485" t="s">
        <v>3017</v>
      </c>
      <c r="D53" s="485" t="s">
        <v>3018</v>
      </c>
      <c r="E53" s="4710"/>
      <c r="F53" s="4710"/>
      <c r="G53" s="4710"/>
      <c r="H53" s="4710"/>
      <c r="I53" s="4710"/>
      <c r="J53" s="4710"/>
    </row>
    <row r="54" spans="1:10" ht="12" customHeight="1">
      <c r="A54" s="483"/>
      <c r="B54" s="483"/>
      <c r="C54" s="483"/>
      <c r="D54" s="485" t="s">
        <v>3019</v>
      </c>
      <c r="E54" s="4711"/>
      <c r="F54" s="4711"/>
      <c r="G54" s="4711"/>
      <c r="H54" s="4711"/>
      <c r="I54" s="4711"/>
      <c r="J54" s="4711"/>
    </row>
    <row r="55" spans="1:10" ht="12" customHeight="1">
      <c r="A55" s="479" t="s">
        <v>3020</v>
      </c>
      <c r="G55" s="434"/>
      <c r="H55" s="434"/>
      <c r="I55" s="434"/>
    </row>
    <row r="56" spans="1:10" ht="18" customHeight="1">
      <c r="A56" s="324" t="s">
        <v>3021</v>
      </c>
      <c r="C56" s="480">
        <f>'Sensitivity Analysis'!C10</f>
        <v>0</v>
      </c>
      <c r="G56" s="434"/>
      <c r="I56" s="434"/>
    </row>
    <row r="57" spans="1:10" ht="3" customHeight="1">
      <c r="C57" s="480"/>
      <c r="G57" s="434"/>
      <c r="I57" s="434"/>
    </row>
    <row r="58" spans="1:10" ht="12" customHeight="1">
      <c r="A58" s="324" t="s">
        <v>3022</v>
      </c>
      <c r="C58" s="480">
        <f>'Sensitivity Analysis'!C11</f>
        <v>0</v>
      </c>
      <c r="E58" s="480">
        <f>'Sensitivity Analysis'!E11</f>
        <v>0</v>
      </c>
      <c r="G58" s="434"/>
      <c r="I58" s="434"/>
    </row>
    <row r="59" spans="1:10" ht="3" customHeight="1">
      <c r="C59" s="480"/>
      <c r="G59" s="434"/>
      <c r="I59" s="434"/>
    </row>
    <row r="60" spans="1:10" ht="12" customHeight="1">
      <c r="A60" s="324" t="s">
        <v>3023</v>
      </c>
      <c r="C60" s="480" t="s">
        <v>2016</v>
      </c>
      <c r="G60" s="434"/>
      <c r="I60" s="434"/>
    </row>
    <row r="61" spans="1:10" ht="6" customHeight="1">
      <c r="G61" s="434"/>
      <c r="H61" s="434"/>
      <c r="I61" s="434"/>
    </row>
    <row r="62" spans="1:10" ht="12" customHeight="1">
      <c r="A62" s="479" t="s">
        <v>3024</v>
      </c>
      <c r="G62" s="434"/>
      <c r="H62" s="434"/>
      <c r="I62" s="434"/>
    </row>
    <row r="63" spans="1:10" ht="12" customHeight="1">
      <c r="A63" s="324" t="s">
        <v>3025</v>
      </c>
      <c r="C63" s="324" t="s">
        <v>3026</v>
      </c>
      <c r="D63" s="801">
        <f>'Preview term'!F31</f>
        <v>19630835</v>
      </c>
      <c r="G63" s="434"/>
      <c r="I63" s="434"/>
    </row>
    <row r="64" spans="1:10" ht="3" customHeight="1">
      <c r="D64" s="486"/>
      <c r="G64" s="434"/>
      <c r="H64" s="487"/>
      <c r="I64" s="434"/>
    </row>
    <row r="65" spans="1:10" ht="12" customHeight="1">
      <c r="A65" s="324" t="s">
        <v>3027</v>
      </c>
      <c r="C65" s="324" t="s">
        <v>3028</v>
      </c>
      <c r="D65" s="480" t="s">
        <v>2593</v>
      </c>
      <c r="G65" s="434"/>
      <c r="I65" s="434"/>
    </row>
    <row r="66" spans="1:10" ht="3" customHeight="1">
      <c r="D66" s="486"/>
      <c r="G66" s="434"/>
      <c r="H66" s="434"/>
      <c r="I66" s="434"/>
    </row>
    <row r="67" spans="1:10" ht="12" customHeight="1">
      <c r="A67" s="324" t="s">
        <v>3029</v>
      </c>
      <c r="C67" s="802" t="s">
        <v>712</v>
      </c>
      <c r="D67" s="486"/>
      <c r="I67" s="434"/>
    </row>
    <row r="68" spans="1:10" ht="12" customHeight="1">
      <c r="C68" s="324" t="s">
        <v>3030</v>
      </c>
      <c r="D68" s="836" t="s">
        <v>712</v>
      </c>
      <c r="I68" s="434"/>
    </row>
    <row r="69" spans="1:10" ht="12" customHeight="1">
      <c r="C69" s="324" t="s">
        <v>2990</v>
      </c>
      <c r="D69" s="4705"/>
      <c r="E69" s="4705"/>
      <c r="F69" s="4705"/>
      <c r="G69" s="4705"/>
      <c r="H69" s="4705"/>
      <c r="I69" s="4705"/>
      <c r="J69" s="4705"/>
    </row>
    <row r="70" spans="1:10" ht="3" customHeight="1">
      <c r="D70" s="486"/>
      <c r="E70" s="434"/>
      <c r="F70" s="434"/>
      <c r="I70" s="434"/>
    </row>
    <row r="71" spans="1:10" ht="12" customHeight="1">
      <c r="A71" s="324" t="s">
        <v>3031</v>
      </c>
      <c r="C71" s="324" t="s">
        <v>2945</v>
      </c>
      <c r="D71" s="492" t="s">
        <v>712</v>
      </c>
      <c r="I71" s="434"/>
    </row>
    <row r="72" spans="1:10" ht="3" customHeight="1">
      <c r="D72" s="434"/>
      <c r="E72" s="434"/>
      <c r="I72" s="434"/>
    </row>
    <row r="73" spans="1:10" ht="12" customHeight="1">
      <c r="A73" s="324" t="s">
        <v>3032</v>
      </c>
      <c r="C73" s="802" t="s">
        <v>712</v>
      </c>
      <c r="I73" s="434"/>
    </row>
    <row r="74" spans="1:10" ht="3" customHeight="1">
      <c r="C74" s="486"/>
      <c r="G74" s="434"/>
      <c r="H74" s="434"/>
      <c r="I74" s="434"/>
    </row>
    <row r="75" spans="1:10" ht="12" customHeight="1">
      <c r="A75" s="324" t="s">
        <v>3033</v>
      </c>
      <c r="C75" s="486" t="s">
        <v>3034</v>
      </c>
      <c r="D75" s="804">
        <v>0</v>
      </c>
      <c r="J75" s="434"/>
    </row>
    <row r="76" spans="1:10" ht="12" customHeight="1">
      <c r="C76" s="488" t="s">
        <v>3035</v>
      </c>
      <c r="D76" s="805">
        <v>0.01</v>
      </c>
      <c r="J76" s="434"/>
    </row>
    <row r="77" spans="1:10" ht="3" customHeight="1">
      <c r="C77" s="486"/>
      <c r="D77" s="486"/>
      <c r="G77" s="434"/>
      <c r="H77" s="434"/>
      <c r="I77" s="434"/>
    </row>
    <row r="78" spans="1:10" ht="12" customHeight="1">
      <c r="A78" s="324" t="s">
        <v>3036</v>
      </c>
      <c r="C78" s="486" t="s">
        <v>3037</v>
      </c>
      <c r="D78" s="490">
        <v>24</v>
      </c>
      <c r="I78" s="434"/>
    </row>
    <row r="79" spans="1:10" ht="3" customHeight="1">
      <c r="D79" s="486"/>
      <c r="E79" s="434"/>
      <c r="F79" s="434"/>
      <c r="I79" s="434"/>
    </row>
    <row r="80" spans="1:10" ht="12" customHeight="1">
      <c r="A80" s="324" t="s">
        <v>3038</v>
      </c>
      <c r="C80" s="324" t="s">
        <v>2945</v>
      </c>
      <c r="D80" s="490">
        <f>'Preview term'!F40</f>
        <v>216</v>
      </c>
      <c r="E80" s="434" t="s">
        <v>3039</v>
      </c>
      <c r="I80" s="434"/>
    </row>
    <row r="81" spans="1:9" ht="3" customHeight="1">
      <c r="D81" s="486"/>
      <c r="G81" s="434"/>
      <c r="H81" s="434"/>
      <c r="I81" s="434"/>
    </row>
    <row r="82" spans="1:9" ht="12" customHeight="1">
      <c r="A82" s="324" t="s">
        <v>3040</v>
      </c>
      <c r="D82" s="803">
        <v>0</v>
      </c>
      <c r="E82" s="491">
        <f>D82*12</f>
        <v>0</v>
      </c>
      <c r="F82" s="434" t="s">
        <v>3041</v>
      </c>
    </row>
    <row r="83" spans="1:9" ht="3" customHeight="1">
      <c r="D83" s="480"/>
      <c r="E83" s="434"/>
      <c r="G83" s="434"/>
    </row>
    <row r="84" spans="1:9" ht="12" customHeight="1">
      <c r="A84" s="324" t="s">
        <v>3042</v>
      </c>
      <c r="D84" s="836" t="s">
        <v>2593</v>
      </c>
      <c r="E84" s="434" t="s">
        <v>3043</v>
      </c>
      <c r="G84" s="434"/>
    </row>
    <row r="85" spans="1:9" ht="3" customHeight="1">
      <c r="G85" s="434"/>
      <c r="H85" s="434"/>
      <c r="I85" s="434"/>
    </row>
    <row r="86" spans="1:9" ht="12" customHeight="1">
      <c r="A86" s="324" t="s">
        <v>3044</v>
      </c>
      <c r="C86" s="1267">
        <f>'Subsidy Layering Memo'!L70</f>
        <v>11411498.157078296</v>
      </c>
      <c r="D86" s="493" t="s">
        <v>3045</v>
      </c>
      <c r="I86" s="434"/>
    </row>
    <row r="87" spans="1:9" ht="3" customHeight="1">
      <c r="C87" s="434" t="s">
        <v>712</v>
      </c>
      <c r="D87" s="434"/>
      <c r="E87" s="434"/>
      <c r="I87" s="434"/>
    </row>
    <row r="88" spans="1:9" ht="12" customHeight="1">
      <c r="A88" s="324" t="s">
        <v>3046</v>
      </c>
      <c r="B88" s="494"/>
      <c r="C88" s="802" t="s">
        <v>712</v>
      </c>
      <c r="D88" s="807"/>
      <c r="I88" s="434"/>
    </row>
    <row r="89" spans="1:9" ht="3" customHeight="1">
      <c r="G89" s="434"/>
      <c r="H89" s="434"/>
      <c r="I89" s="434"/>
    </row>
    <row r="90" spans="1:9" ht="12" customHeight="1">
      <c r="A90" s="324" t="s">
        <v>3047</v>
      </c>
      <c r="C90" s="486" t="s">
        <v>3048</v>
      </c>
      <c r="D90" s="480" t="s">
        <v>2956</v>
      </c>
      <c r="I90" s="434"/>
    </row>
    <row r="91" spans="1:9" ht="12" customHeight="1">
      <c r="C91" s="486" t="s">
        <v>3049</v>
      </c>
      <c r="D91" s="480" t="s">
        <v>2593</v>
      </c>
      <c r="I91" s="434"/>
    </row>
    <row r="92" spans="1:9" ht="3" customHeight="1">
      <c r="G92" s="434"/>
      <c r="H92" s="434"/>
      <c r="I92" s="434"/>
    </row>
    <row r="93" spans="1:9" ht="12" customHeight="1">
      <c r="A93" s="324" t="s">
        <v>3050</v>
      </c>
      <c r="C93" s="486" t="s">
        <v>3034</v>
      </c>
      <c r="D93" s="434" t="s">
        <v>3051</v>
      </c>
      <c r="E93" s="486">
        <f>'Part II-Sources of Funds'!H22</f>
        <v>0</v>
      </c>
      <c r="I93" s="434"/>
    </row>
    <row r="94" spans="1:9" ht="12" customHeight="1">
      <c r="C94" s="486"/>
      <c r="D94" s="434"/>
      <c r="E94" s="486" t="s">
        <v>36</v>
      </c>
      <c r="F94" s="4701"/>
      <c r="G94" s="4701"/>
      <c r="H94" s="4701"/>
      <c r="I94" s="434"/>
    </row>
    <row r="95" spans="1:9" ht="12" customHeight="1">
      <c r="C95" s="486"/>
      <c r="D95" s="434"/>
      <c r="E95" s="486" t="s">
        <v>3052</v>
      </c>
      <c r="F95" s="4712"/>
      <c r="G95" s="4712"/>
      <c r="H95" s="4712"/>
      <c r="I95" s="434"/>
    </row>
    <row r="96" spans="1:9" ht="12" customHeight="1">
      <c r="C96" s="486"/>
      <c r="D96" s="434"/>
      <c r="E96" s="486" t="s">
        <v>1752</v>
      </c>
      <c r="F96" s="4699"/>
      <c r="G96" s="4699"/>
      <c r="H96" s="4699"/>
      <c r="I96" s="434"/>
    </row>
    <row r="97" spans="1:10" ht="12" customHeight="1">
      <c r="B97" s="481"/>
      <c r="C97" s="488" t="s">
        <v>3035</v>
      </c>
      <c r="D97" s="434" t="s">
        <v>3051</v>
      </c>
      <c r="E97" s="486" t="str">
        <f>'Part II-Sources of Funds'!E40</f>
        <v>Freddie Mac TEL</v>
      </c>
      <c r="I97" s="434"/>
    </row>
    <row r="98" spans="1:10" ht="12" customHeight="1">
      <c r="C98" s="486"/>
      <c r="D98" s="434"/>
      <c r="E98" s="486" t="s">
        <v>36</v>
      </c>
      <c r="F98" s="4701"/>
      <c r="G98" s="4701"/>
      <c r="H98" s="4701"/>
      <c r="I98" s="434"/>
    </row>
    <row r="99" spans="1:10" ht="12" customHeight="1">
      <c r="C99" s="486"/>
      <c r="D99" s="434"/>
      <c r="E99" s="486" t="s">
        <v>3052</v>
      </c>
      <c r="F99" s="4712"/>
      <c r="G99" s="4712"/>
      <c r="H99" s="4712"/>
      <c r="I99" s="434"/>
    </row>
    <row r="100" spans="1:10" ht="12" customHeight="1">
      <c r="C100" s="486"/>
      <c r="D100" s="434"/>
      <c r="E100" s="486" t="s">
        <v>1752</v>
      </c>
      <c r="F100" s="4699"/>
      <c r="G100" s="4699"/>
      <c r="H100" s="4699"/>
      <c r="I100" s="434"/>
    </row>
    <row r="101" spans="1:10" ht="3" customHeight="1">
      <c r="D101" s="495"/>
      <c r="G101" s="434"/>
      <c r="H101" s="434"/>
      <c r="I101" s="434"/>
    </row>
    <row r="102" spans="1:10" ht="12" customHeight="1">
      <c r="A102" s="324" t="s">
        <v>3053</v>
      </c>
      <c r="D102" s="836">
        <f>'Part VIII Scoring Criteria OLD'!O265</f>
        <v>0</v>
      </c>
      <c r="E102" s="434" t="s">
        <v>3054</v>
      </c>
      <c r="G102" s="324">
        <f>'Part VIII Scoring Criteria OLD'!O261</f>
        <v>0</v>
      </c>
      <c r="H102" s="324" t="s">
        <v>3055</v>
      </c>
      <c r="I102" s="434"/>
    </row>
    <row r="103" spans="1:10" ht="3" customHeight="1">
      <c r="E103" s="434"/>
      <c r="F103" s="434"/>
      <c r="I103" s="434"/>
    </row>
    <row r="104" spans="1:10" ht="12" customHeight="1">
      <c r="A104" s="434" t="s">
        <v>3056</v>
      </c>
      <c r="D104" s="324" t="s">
        <v>2593</v>
      </c>
      <c r="E104" s="434"/>
      <c r="I104" s="434"/>
    </row>
    <row r="105" spans="1:10" ht="6" customHeight="1">
      <c r="G105" s="434"/>
      <c r="H105" s="434"/>
      <c r="I105" s="434"/>
    </row>
    <row r="106" spans="1:10" ht="12" customHeight="1">
      <c r="A106" s="479" t="s">
        <v>3057</v>
      </c>
      <c r="I106" s="434"/>
    </row>
    <row r="107" spans="1:10" ht="12" customHeight="1">
      <c r="A107" s="324" t="s">
        <v>3058</v>
      </c>
      <c r="C107" s="806" t="s">
        <v>712</v>
      </c>
      <c r="D107" s="4713"/>
      <c r="E107" s="4713"/>
      <c r="F107" s="4713"/>
      <c r="G107" s="4713"/>
      <c r="H107" s="4713"/>
      <c r="I107" s="4713"/>
      <c r="J107" s="4714"/>
    </row>
    <row r="108" spans="1:10" ht="3" customHeight="1">
      <c r="C108" s="486"/>
      <c r="D108" s="434"/>
      <c r="I108" s="434"/>
    </row>
    <row r="109" spans="1:10" ht="12" customHeight="1">
      <c r="A109" s="324" t="s">
        <v>3059</v>
      </c>
      <c r="C109" s="836" t="s">
        <v>712</v>
      </c>
    </row>
    <row r="110" spans="1:10" ht="3" customHeight="1">
      <c r="C110" s="486"/>
      <c r="E110" s="434"/>
      <c r="F110" s="434"/>
      <c r="I110" s="434"/>
    </row>
    <row r="111" spans="1:10" ht="12" customHeight="1">
      <c r="A111" s="324" t="s">
        <v>3060</v>
      </c>
      <c r="C111" s="836" t="s">
        <v>712</v>
      </c>
      <c r="I111" s="434"/>
    </row>
    <row r="112" spans="1:10" ht="3" customHeight="1">
      <c r="D112" s="482"/>
      <c r="I112" s="434"/>
    </row>
    <row r="113" spans="1:10" ht="12" customHeight="1">
      <c r="A113" s="324" t="s">
        <v>3061</v>
      </c>
      <c r="D113" s="490">
        <v>24</v>
      </c>
      <c r="E113" s="434" t="s">
        <v>3062</v>
      </c>
      <c r="I113" s="434"/>
    </row>
    <row r="114" spans="1:10" ht="12" customHeight="1">
      <c r="C114" s="480" t="s">
        <v>3063</v>
      </c>
      <c r="I114" s="434"/>
    </row>
    <row r="115" spans="1:10" ht="12" customHeight="1">
      <c r="C115" s="480" t="s">
        <v>3064</v>
      </c>
      <c r="G115" s="434"/>
      <c r="I115" s="434"/>
    </row>
    <row r="116" spans="1:10" ht="3" customHeight="1">
      <c r="G116" s="434"/>
      <c r="H116" s="434"/>
      <c r="I116" s="434"/>
    </row>
    <row r="117" spans="1:10" ht="12" customHeight="1">
      <c r="A117" s="324" t="s">
        <v>3065</v>
      </c>
      <c r="D117" s="496">
        <v>0</v>
      </c>
      <c r="E117" s="497" t="s">
        <v>3066</v>
      </c>
      <c r="I117" s="434"/>
    </row>
    <row r="118" spans="1:10" ht="3" customHeight="1">
      <c r="D118" s="486"/>
      <c r="E118" s="434"/>
      <c r="F118" s="434"/>
      <c r="I118" s="434"/>
    </row>
    <row r="119" spans="1:10" ht="12" customHeight="1">
      <c r="A119" s="324" t="s">
        <v>3067</v>
      </c>
      <c r="C119" s="802" t="s">
        <v>712</v>
      </c>
      <c r="D119" s="486"/>
      <c r="I119" s="434"/>
    </row>
    <row r="120" spans="1:10" ht="12" customHeight="1">
      <c r="C120" s="434" t="s">
        <v>3068</v>
      </c>
      <c r="D120" s="489"/>
      <c r="E120" s="4704" t="s">
        <v>3069</v>
      </c>
      <c r="F120" s="4704"/>
      <c r="G120" s="4704"/>
      <c r="H120" s="4704"/>
      <c r="I120" s="4704"/>
      <c r="J120" s="4704"/>
    </row>
    <row r="121" spans="1:10" ht="12" customHeight="1">
      <c r="C121" s="434" t="s">
        <v>3070</v>
      </c>
      <c r="D121" s="2957"/>
      <c r="E121" s="4704"/>
      <c r="F121" s="4704"/>
      <c r="G121" s="4704"/>
      <c r="H121" s="4704"/>
      <c r="I121" s="4704"/>
      <c r="J121" s="4704"/>
    </row>
    <row r="122" spans="1:10" ht="12" customHeight="1">
      <c r="C122" s="434" t="s">
        <v>3071</v>
      </c>
      <c r="D122" s="2957"/>
      <c r="E122" s="4704"/>
      <c r="F122" s="4704"/>
      <c r="G122" s="4704"/>
      <c r="H122" s="4704"/>
      <c r="I122" s="4704"/>
      <c r="J122" s="4704"/>
    </row>
    <row r="123" spans="1:10" ht="12" customHeight="1">
      <c r="C123" s="434" t="s">
        <v>3071</v>
      </c>
      <c r="D123" s="2957"/>
      <c r="E123" s="4704"/>
      <c r="F123" s="4704"/>
      <c r="G123" s="4704"/>
      <c r="H123" s="4704"/>
      <c r="I123" s="4704"/>
      <c r="J123" s="4704"/>
    </row>
    <row r="124" spans="1:10" ht="3" customHeight="1">
      <c r="E124" s="434"/>
      <c r="F124" s="434"/>
      <c r="I124" s="434"/>
    </row>
    <row r="125" spans="1:10" ht="12" customHeight="1">
      <c r="A125" s="324" t="s">
        <v>3072</v>
      </c>
      <c r="D125" s="491" t="s">
        <v>3054</v>
      </c>
      <c r="I125" s="434"/>
    </row>
    <row r="126" spans="1:10" ht="3" customHeight="1">
      <c r="D126" s="434"/>
      <c r="I126" s="434"/>
    </row>
    <row r="127" spans="1:10" ht="12" customHeight="1">
      <c r="A127" s="324" t="s">
        <v>3073</v>
      </c>
      <c r="D127" s="434" t="s">
        <v>3054</v>
      </c>
      <c r="I127" s="434"/>
    </row>
    <row r="128" spans="1:10" ht="3" customHeight="1">
      <c r="G128" s="434"/>
      <c r="H128" s="434"/>
      <c r="I128" s="434"/>
    </row>
    <row r="129" spans="1:10" ht="12" customHeight="1">
      <c r="A129" s="324" t="s">
        <v>3074</v>
      </c>
      <c r="D129" s="434" t="s">
        <v>3075</v>
      </c>
      <c r="G129" s="434"/>
      <c r="I129" s="434"/>
    </row>
    <row r="130" spans="1:10" ht="7.5" customHeight="1">
      <c r="G130" s="434"/>
      <c r="H130" s="434"/>
      <c r="I130" s="434"/>
    </row>
    <row r="131" spans="1:10" ht="12" customHeight="1">
      <c r="A131" s="479" t="s">
        <v>3076</v>
      </c>
      <c r="G131" s="434"/>
      <c r="H131" s="434"/>
      <c r="I131" s="434"/>
    </row>
    <row r="132" spans="1:10" ht="12" customHeight="1">
      <c r="A132" s="324" t="s">
        <v>3077</v>
      </c>
      <c r="C132" s="480">
        <f>'Sensitivity Analysis'!H11</f>
        <v>0</v>
      </c>
      <c r="D132" s="480">
        <f>'Sensitivity Analysis'!K11</f>
        <v>0</v>
      </c>
      <c r="G132" s="480">
        <f>'Sensitivity Analysis'!M11</f>
        <v>0</v>
      </c>
      <c r="I132" s="434"/>
    </row>
    <row r="133" spans="1:10" ht="12" customHeight="1">
      <c r="G133" s="434"/>
      <c r="I133" s="434"/>
    </row>
    <row r="134" spans="1:10" ht="3" customHeight="1">
      <c r="C134" s="434"/>
      <c r="G134" s="434"/>
      <c r="I134" s="434"/>
    </row>
    <row r="135" spans="1:10" ht="12" customHeight="1">
      <c r="A135" s="324" t="s">
        <v>3078</v>
      </c>
      <c r="C135" s="498">
        <f>('Part III-A-Uses of Funds'!G127-'Part II-Sources of Funds'!I45)/2</f>
        <v>1250318.5</v>
      </c>
      <c r="G135" s="434"/>
      <c r="I135" s="434"/>
    </row>
    <row r="136" spans="1:10" ht="3" customHeight="1">
      <c r="C136" s="434"/>
      <c r="G136" s="434"/>
      <c r="I136" s="434"/>
    </row>
    <row r="137" spans="1:10" ht="12" customHeight="1">
      <c r="A137" s="324" t="s">
        <v>3079</v>
      </c>
      <c r="C137" s="836" t="s">
        <v>3080</v>
      </c>
      <c r="G137" s="434"/>
      <c r="I137" s="434"/>
    </row>
    <row r="138" spans="1:10" ht="3" customHeight="1">
      <c r="C138" s="480"/>
      <c r="G138" s="434"/>
      <c r="I138" s="434"/>
    </row>
    <row r="139" spans="1:10" ht="12" customHeight="1">
      <c r="A139" s="324" t="s">
        <v>3081</v>
      </c>
      <c r="C139" s="480">
        <f>'Preview term'!E20</f>
        <v>0</v>
      </c>
      <c r="G139" s="434"/>
      <c r="I139" s="434"/>
      <c r="J139" s="499"/>
    </row>
    <row r="140" spans="1:10" ht="3" customHeight="1">
      <c r="C140" s="480"/>
      <c r="G140" s="434"/>
      <c r="I140" s="434"/>
    </row>
    <row r="141" spans="1:10" ht="12" customHeight="1">
      <c r="A141" s="324" t="s">
        <v>3082</v>
      </c>
      <c r="C141" s="480">
        <f>C8</f>
        <v>0</v>
      </c>
      <c r="G141" s="434"/>
      <c r="I141" s="434"/>
    </row>
    <row r="142" spans="1:10" ht="3" customHeight="1">
      <c r="C142" s="480"/>
      <c r="G142" s="434"/>
      <c r="I142" s="434"/>
    </row>
    <row r="143" spans="1:10" ht="12" customHeight="1">
      <c r="A143" s="324" t="s">
        <v>3083</v>
      </c>
      <c r="C143" s="480">
        <f>C18</f>
        <v>0</v>
      </c>
      <c r="G143" s="434"/>
      <c r="I143" s="434"/>
    </row>
    <row r="144" spans="1:10">
      <c r="C144" s="480">
        <f>C19</f>
        <v>0</v>
      </c>
      <c r="G144" s="434"/>
      <c r="I144" s="434"/>
    </row>
    <row r="145" spans="1:10" ht="3" customHeight="1">
      <c r="C145" s="434"/>
      <c r="G145" s="434"/>
      <c r="I145" s="434"/>
    </row>
    <row r="146" spans="1:10" ht="12" customHeight="1">
      <c r="A146" s="324" t="s">
        <v>3084</v>
      </c>
      <c r="C146" s="480">
        <f>'Sensitivity Analysis'!H10</f>
        <v>0</v>
      </c>
      <c r="G146" s="434"/>
      <c r="I146" s="434"/>
      <c r="J146" s="499"/>
    </row>
    <row r="147" spans="1:10" ht="3" customHeight="1">
      <c r="C147" s="480"/>
      <c r="G147" s="434"/>
      <c r="I147" s="434"/>
    </row>
    <row r="148" spans="1:10" ht="12" customHeight="1">
      <c r="A148" s="324" t="s">
        <v>3085</v>
      </c>
      <c r="C148" s="480">
        <f>'Sensitivity Analysis'!K10</f>
        <v>0</v>
      </c>
      <c r="G148" s="434"/>
      <c r="I148" s="434"/>
      <c r="J148" s="499"/>
    </row>
    <row r="149" spans="1:10" ht="3" customHeight="1">
      <c r="C149" s="434"/>
      <c r="G149" s="434"/>
      <c r="I149" s="434"/>
    </row>
    <row r="150" spans="1:10" ht="12" customHeight="1">
      <c r="A150" s="324" t="s">
        <v>3086</v>
      </c>
      <c r="C150" s="434" t="s">
        <v>3054</v>
      </c>
      <c r="G150" s="434"/>
      <c r="I150" s="434"/>
    </row>
    <row r="151" spans="1:10" ht="3" customHeight="1">
      <c r="C151" s="434"/>
      <c r="G151" s="434"/>
      <c r="I151" s="434"/>
    </row>
    <row r="152" spans="1:10" ht="12" customHeight="1">
      <c r="A152" s="324" t="s">
        <v>3087</v>
      </c>
      <c r="C152" s="434" t="s">
        <v>3054</v>
      </c>
      <c r="G152" s="434"/>
      <c r="I152" s="434"/>
    </row>
    <row r="153" spans="1:10" ht="7.5" customHeight="1">
      <c r="G153" s="434"/>
      <c r="H153" s="434"/>
      <c r="I153" s="434"/>
    </row>
    <row r="154" spans="1:10" ht="12" customHeight="1">
      <c r="A154" s="479" t="s">
        <v>3088</v>
      </c>
      <c r="G154" s="434"/>
      <c r="H154" s="434"/>
      <c r="I154" s="434"/>
    </row>
    <row r="155" spans="1:10" ht="3" customHeight="1">
      <c r="D155" s="434"/>
      <c r="E155" s="434"/>
      <c r="G155" s="434"/>
    </row>
    <row r="156" spans="1:10" ht="12" customHeight="1">
      <c r="A156" s="324" t="s">
        <v>3089</v>
      </c>
      <c r="C156" s="434" t="s">
        <v>3090</v>
      </c>
      <c r="D156" s="434"/>
      <c r="G156" s="434"/>
      <c r="H156" s="434"/>
      <c r="I156" s="434"/>
    </row>
    <row r="157" spans="1:10" ht="3" customHeight="1">
      <c r="D157" s="434"/>
      <c r="E157" s="434"/>
      <c r="G157" s="434"/>
    </row>
    <row r="158" spans="1:10" ht="12" customHeight="1">
      <c r="A158" s="324" t="s">
        <v>3091</v>
      </c>
      <c r="D158" s="836">
        <v>20</v>
      </c>
      <c r="E158" s="434" t="s">
        <v>2945</v>
      </c>
    </row>
    <row r="159" spans="1:10" ht="3" customHeight="1">
      <c r="D159" s="434"/>
      <c r="E159" s="434"/>
      <c r="G159" s="434"/>
    </row>
    <row r="160" spans="1:10" ht="12" customHeight="1">
      <c r="A160" s="324" t="s">
        <v>3092</v>
      </c>
      <c r="C160" s="802" t="str">
        <f>'Part V-Revenues &amp; Expenses'!$G$6</f>
        <v>&lt;Select&gt;</v>
      </c>
      <c r="D160" s="434" t="s">
        <v>3093</v>
      </c>
      <c r="G160" s="434"/>
    </row>
    <row r="161" spans="1:9" ht="3" customHeight="1">
      <c r="G161" s="434"/>
      <c r="H161" s="434"/>
      <c r="I161" s="434"/>
    </row>
    <row r="162" spans="1:9" ht="12" customHeight="1">
      <c r="A162" s="324" t="s">
        <v>3094</v>
      </c>
      <c r="G162" s="434"/>
      <c r="H162" s="434"/>
      <c r="I162" s="434"/>
    </row>
    <row r="163" spans="1:9" ht="7.5" customHeight="1">
      <c r="G163" s="434"/>
      <c r="H163" s="434"/>
      <c r="I163" s="434"/>
    </row>
    <row r="164" spans="1:9" ht="12" customHeight="1">
      <c r="A164" s="479" t="s">
        <v>3095</v>
      </c>
      <c r="G164" s="434"/>
      <c r="H164" s="434"/>
      <c r="I164" s="434"/>
    </row>
    <row r="165" spans="1:9" ht="12" customHeight="1">
      <c r="A165" s="324" t="s">
        <v>3096</v>
      </c>
      <c r="C165" s="324" t="s">
        <v>3097</v>
      </c>
      <c r="E165" s="492">
        <f>'Preview term'!F80</f>
        <v>0</v>
      </c>
      <c r="G165" s="434"/>
      <c r="I165" s="434"/>
    </row>
    <row r="166" spans="1:9" ht="12" customHeight="1">
      <c r="C166" s="324" t="s">
        <v>3098</v>
      </c>
      <c r="E166" s="4705"/>
      <c r="F166" s="4705"/>
      <c r="G166" s="4705"/>
      <c r="I166" s="434"/>
    </row>
    <row r="167" spans="1:9" ht="3" customHeight="1">
      <c r="E167" s="434"/>
      <c r="G167" s="434"/>
      <c r="I167" s="434"/>
    </row>
    <row r="168" spans="1:9" ht="12" customHeight="1">
      <c r="A168" s="324" t="s">
        <v>3099</v>
      </c>
      <c r="C168" s="324" t="s">
        <v>3100</v>
      </c>
      <c r="E168" s="498">
        <f>'Preview term'!F74</f>
        <v>1325612.3682879163</v>
      </c>
      <c r="G168" s="434"/>
      <c r="I168" s="434"/>
    </row>
    <row r="169" spans="1:9" ht="12" customHeight="1">
      <c r="C169" s="324" t="s">
        <v>3098</v>
      </c>
      <c r="E169" s="4705"/>
      <c r="F169" s="4705"/>
      <c r="G169" s="4705"/>
      <c r="I169" s="434"/>
    </row>
    <row r="170" spans="1:9" ht="12" customHeight="1">
      <c r="C170" s="324" t="s">
        <v>3101</v>
      </c>
      <c r="E170" s="480" t="s">
        <v>2016</v>
      </c>
      <c r="G170" s="434"/>
      <c r="I170" s="434"/>
    </row>
    <row r="171" spans="1:9" ht="3" customHeight="1">
      <c r="E171" s="480"/>
      <c r="G171" s="434"/>
      <c r="I171" s="434"/>
    </row>
    <row r="172" spans="1:9" ht="12" customHeight="1">
      <c r="A172" s="324" t="s">
        <v>3102</v>
      </c>
      <c r="C172" s="324" t="s">
        <v>3103</v>
      </c>
      <c r="E172" s="498">
        <f>'Preview term'!F76</f>
        <v>0</v>
      </c>
      <c r="G172" s="434"/>
      <c r="I172" s="434"/>
    </row>
    <row r="173" spans="1:9" ht="12" customHeight="1">
      <c r="C173" s="324" t="s">
        <v>3104</v>
      </c>
      <c r="E173" s="498">
        <f>'Preview term'!F76</f>
        <v>0</v>
      </c>
      <c r="G173" s="434"/>
      <c r="I173" s="434"/>
    </row>
    <row r="174" spans="1:9" ht="12" customHeight="1">
      <c r="C174" s="324" t="s">
        <v>3105</v>
      </c>
      <c r="E174" s="498">
        <f>'Part V-Revenues &amp; Expenses'!Q234</f>
        <v>69650</v>
      </c>
      <c r="F174" s="434" t="s">
        <v>3106</v>
      </c>
    </row>
    <row r="175" spans="1:9">
      <c r="E175" s="498">
        <f>E174/12</f>
        <v>5804.166666666667</v>
      </c>
      <c r="F175" s="434" t="s">
        <v>2926</v>
      </c>
    </row>
    <row r="176" spans="1:9" ht="12" customHeight="1">
      <c r="C176" s="324" t="s">
        <v>3107</v>
      </c>
      <c r="E176" s="4705"/>
      <c r="F176" s="4705"/>
      <c r="G176" s="4705"/>
      <c r="I176" s="434"/>
    </row>
    <row r="177" spans="1:10" ht="12" customHeight="1">
      <c r="C177" s="324" t="s">
        <v>3108</v>
      </c>
      <c r="E177" s="434" t="s">
        <v>1402</v>
      </c>
      <c r="I177" s="434"/>
    </row>
    <row r="178" spans="1:10" ht="12" customHeight="1">
      <c r="C178" s="324" t="s">
        <v>3109</v>
      </c>
      <c r="E178" s="434" t="s">
        <v>2016</v>
      </c>
      <c r="I178" s="434"/>
    </row>
    <row r="179" spans="1:10" ht="3" customHeight="1">
      <c r="E179" s="434"/>
      <c r="F179" s="434"/>
      <c r="I179" s="434"/>
    </row>
    <row r="180" spans="1:10" ht="12" customHeight="1">
      <c r="A180" s="324" t="s">
        <v>3110</v>
      </c>
      <c r="C180" s="324" t="s">
        <v>3111</v>
      </c>
      <c r="E180" s="492" t="s">
        <v>712</v>
      </c>
      <c r="I180" s="434"/>
    </row>
    <row r="181" spans="1:10" ht="12" customHeight="1">
      <c r="C181" s="324" t="s">
        <v>3112</v>
      </c>
      <c r="E181" s="492" t="s">
        <v>712</v>
      </c>
      <c r="F181" s="4705"/>
      <c r="G181" s="4705"/>
      <c r="H181" s="4705"/>
      <c r="I181" s="4705"/>
      <c r="J181" s="4705"/>
    </row>
    <row r="182" spans="1:10" ht="12" customHeight="1">
      <c r="C182" s="324" t="s">
        <v>3113</v>
      </c>
      <c r="E182" s="434" t="s">
        <v>3054</v>
      </c>
      <c r="I182" s="434"/>
    </row>
    <row r="183" spans="1:10" ht="12" customHeight="1">
      <c r="C183" s="324" t="s">
        <v>3114</v>
      </c>
      <c r="E183" s="434" t="s">
        <v>2016</v>
      </c>
      <c r="I183" s="434"/>
    </row>
    <row r="184" spans="1:10" ht="3" customHeight="1">
      <c r="G184" s="434"/>
      <c r="H184" s="434"/>
      <c r="I184" s="434"/>
    </row>
    <row r="185" spans="1:10" ht="12" customHeight="1">
      <c r="A185" s="324" t="s">
        <v>3115</v>
      </c>
      <c r="C185" s="324" t="s">
        <v>3116</v>
      </c>
      <c r="E185" s="498">
        <f>'Preview term'!F78</f>
        <v>50000</v>
      </c>
      <c r="G185" s="434"/>
      <c r="I185" s="434"/>
    </row>
    <row r="186" spans="1:10" ht="12" customHeight="1">
      <c r="C186" s="324" t="s">
        <v>3098</v>
      </c>
      <c r="E186" s="480">
        <f>E169</f>
        <v>0</v>
      </c>
      <c r="G186" s="434"/>
      <c r="I186" s="434"/>
    </row>
    <row r="187" spans="1:10" ht="12" customHeight="1">
      <c r="C187" s="324" t="s">
        <v>3117</v>
      </c>
      <c r="E187" s="480" t="s">
        <v>3054</v>
      </c>
      <c r="G187" s="434"/>
      <c r="I187" s="434"/>
    </row>
    <row r="188" spans="1:10" ht="3" customHeight="1">
      <c r="E188" s="480"/>
      <c r="G188" s="434"/>
      <c r="I188" s="434"/>
    </row>
    <row r="189" spans="1:10" ht="12" customHeight="1">
      <c r="A189" s="324" t="s">
        <v>3118</v>
      </c>
      <c r="C189" s="324" t="s">
        <v>3119</v>
      </c>
      <c r="E189" s="480" t="s">
        <v>3054</v>
      </c>
      <c r="G189" s="434"/>
      <c r="I189" s="434"/>
    </row>
    <row r="190" spans="1:10" ht="12" customHeight="1">
      <c r="C190" s="324" t="s">
        <v>3100</v>
      </c>
      <c r="E190" s="486"/>
      <c r="G190" s="434"/>
      <c r="H190" s="491"/>
      <c r="I190" s="434"/>
    </row>
    <row r="191" spans="1:10" ht="12" customHeight="1">
      <c r="C191" s="324" t="s">
        <v>3098</v>
      </c>
      <c r="E191" s="486"/>
      <c r="I191" s="480"/>
    </row>
    <row r="192" spans="1:10" ht="12" customHeight="1">
      <c r="C192" s="324" t="s">
        <v>3101</v>
      </c>
      <c r="E192" s="486"/>
      <c r="G192" s="434"/>
      <c r="H192" s="434"/>
      <c r="I192" s="434"/>
    </row>
    <row r="193" spans="1:10" ht="9" customHeight="1">
      <c r="G193" s="434"/>
      <c r="H193" s="434"/>
      <c r="I193" s="434"/>
    </row>
    <row r="194" spans="1:10" ht="12" customHeight="1">
      <c r="A194" s="479" t="s">
        <v>3120</v>
      </c>
      <c r="C194" s="434" t="s">
        <v>3121</v>
      </c>
      <c r="E194" s="434"/>
      <c r="I194" s="434"/>
    </row>
    <row r="195" spans="1:10" ht="9" customHeight="1">
      <c r="E195" s="434"/>
      <c r="F195" s="434"/>
      <c r="I195" s="434"/>
    </row>
    <row r="196" spans="1:10" ht="12" customHeight="1">
      <c r="A196" s="479" t="s">
        <v>3122</v>
      </c>
      <c r="E196" s="434"/>
      <c r="F196" s="434"/>
      <c r="I196" s="434"/>
    </row>
    <row r="197" spans="1:10" ht="12" customHeight="1">
      <c r="A197" s="324" t="s">
        <v>3123</v>
      </c>
      <c r="C197" s="798" t="s">
        <v>712</v>
      </c>
      <c r="E197" s="434"/>
      <c r="F197" s="434"/>
      <c r="I197" s="434"/>
    </row>
    <row r="198" spans="1:10" ht="3" customHeight="1">
      <c r="G198" s="434"/>
      <c r="H198" s="434"/>
      <c r="I198" s="434"/>
    </row>
    <row r="199" spans="1:10">
      <c r="A199" s="483" t="s">
        <v>3124</v>
      </c>
      <c r="B199" s="483"/>
      <c r="C199" s="483"/>
      <c r="D199" s="483"/>
      <c r="E199" s="485" t="s">
        <v>3125</v>
      </c>
      <c r="F199" s="4703">
        <f>'Part VII-Threshold Criteria OLD'!E372</f>
        <v>0</v>
      </c>
      <c r="G199" s="4703"/>
      <c r="H199" s="4703"/>
      <c r="I199" s="4703"/>
      <c r="J199" s="4703"/>
    </row>
    <row r="200" spans="1:10" ht="9" customHeight="1">
      <c r="G200" s="434"/>
      <c r="H200" s="434"/>
      <c r="I200" s="434"/>
    </row>
    <row r="201" spans="1:10" ht="12" customHeight="1">
      <c r="A201" s="500" t="s">
        <v>3126</v>
      </c>
      <c r="G201" s="434"/>
      <c r="H201" s="434"/>
      <c r="I201" s="491"/>
    </row>
    <row r="202" spans="1:10" ht="25.5" hidden="1" customHeight="1">
      <c r="A202" s="4708" t="str">
        <f>'Subsidy Layering Memo'!A105</f>
        <v>Include any reserve requirements; explain any reserves far in excess of 6 month ODR, 3 mo lease up, 1 year RR, 6 mo T&amp;I standards.</v>
      </c>
      <c r="B202" s="4708"/>
      <c r="C202" s="4708"/>
      <c r="D202" s="4708"/>
      <c r="E202" s="4708"/>
      <c r="F202" s="4708"/>
      <c r="G202" s="4708"/>
      <c r="H202" s="4708"/>
      <c r="I202" s="4708"/>
      <c r="J202" s="4708"/>
    </row>
    <row r="203" spans="1:10">
      <c r="A203" s="434"/>
      <c r="G203" s="434"/>
      <c r="H203" s="434"/>
      <c r="I203" s="434"/>
    </row>
    <row r="204" spans="1:10" s="391" customFormat="1" ht="15">
      <c r="A204" s="397" t="s">
        <v>2780</v>
      </c>
    </row>
    <row r="205" spans="1:10" s="391" customFormat="1" ht="14.25" customHeight="1">
      <c r="A205" s="467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75"/>
      <c r="C205" s="4675"/>
      <c r="D205" s="4675"/>
      <c r="E205" s="4675"/>
      <c r="F205" s="4675"/>
      <c r="G205" s="4675"/>
      <c r="H205" s="4675"/>
      <c r="I205" s="4675"/>
      <c r="J205" s="4675"/>
    </row>
    <row r="206" spans="1:10" s="391" customFormat="1" ht="14.25" customHeight="1">
      <c r="A206" s="4675"/>
      <c r="B206" s="4675"/>
      <c r="C206" s="4675"/>
      <c r="D206" s="4675"/>
      <c r="E206" s="4675"/>
      <c r="F206" s="4675"/>
      <c r="G206" s="4675"/>
      <c r="H206" s="4675"/>
      <c r="I206" s="4675"/>
      <c r="J206" s="4675"/>
    </row>
    <row r="207" spans="1:10" s="391" customFormat="1" ht="6.75" customHeight="1">
      <c r="A207" s="4675"/>
      <c r="B207" s="4675"/>
      <c r="C207" s="4675"/>
      <c r="D207" s="4675"/>
      <c r="E207" s="4675"/>
      <c r="F207" s="4675"/>
      <c r="G207" s="4675"/>
      <c r="H207" s="4675"/>
      <c r="I207" s="4675"/>
      <c r="J207" s="4675"/>
    </row>
    <row r="208" spans="1:10" s="391" customFormat="1" ht="21.75" customHeight="1">
      <c r="A208" s="4675"/>
      <c r="B208" s="4675"/>
      <c r="C208" s="4675"/>
      <c r="D208" s="4675"/>
      <c r="E208" s="4675"/>
      <c r="F208" s="4675"/>
      <c r="G208" s="4675"/>
      <c r="H208" s="4675"/>
      <c r="I208" s="4675"/>
      <c r="J208" s="4675"/>
    </row>
    <row r="209" spans="1:10" s="391" customFormat="1" ht="20.25" customHeight="1">
      <c r="A209" s="4675"/>
      <c r="B209" s="4675"/>
      <c r="C209" s="4675"/>
      <c r="D209" s="4675"/>
      <c r="E209" s="4675"/>
      <c r="F209" s="4675"/>
      <c r="G209" s="4675"/>
      <c r="H209" s="4675"/>
      <c r="I209" s="4675"/>
      <c r="J209" s="4675"/>
    </row>
    <row r="210" spans="1:10" s="391" customFormat="1" ht="54.75" customHeight="1">
      <c r="A210" s="4675"/>
      <c r="B210" s="4675"/>
      <c r="C210" s="4675"/>
      <c r="D210" s="4675"/>
      <c r="E210" s="4675"/>
      <c r="F210" s="4675"/>
      <c r="G210" s="4675"/>
      <c r="H210" s="4675"/>
      <c r="I210" s="4675"/>
      <c r="J210" s="4675"/>
    </row>
    <row r="211" spans="1:10" s="391" customFormat="1" ht="0.75" hidden="1" customHeight="1">
      <c r="A211" s="4675"/>
      <c r="B211" s="4675"/>
      <c r="C211" s="4675"/>
      <c r="D211" s="4675"/>
      <c r="E211" s="4675"/>
      <c r="F211" s="4675"/>
      <c r="G211" s="4675"/>
      <c r="H211" s="4675"/>
      <c r="I211" s="4675"/>
      <c r="J211" s="4675"/>
    </row>
    <row r="212" spans="1:10" s="391" customFormat="1" ht="3.75" hidden="1" customHeight="1">
      <c r="A212" s="4675"/>
      <c r="B212" s="4675"/>
      <c r="C212" s="4675"/>
      <c r="D212" s="4675"/>
      <c r="E212" s="4675"/>
      <c r="F212" s="4675"/>
      <c r="G212" s="4675"/>
      <c r="H212" s="4675"/>
      <c r="I212" s="4675"/>
      <c r="J212" s="4675"/>
    </row>
    <row r="213" spans="1:10" s="391" customFormat="1" ht="5.25" customHeight="1">
      <c r="A213" s="1010"/>
      <c r="B213" s="1010"/>
      <c r="C213" s="1010"/>
      <c r="D213" s="1010"/>
      <c r="E213" s="1010"/>
      <c r="F213" s="1010"/>
      <c r="G213" s="1010"/>
      <c r="H213" s="1010"/>
      <c r="I213" s="1010"/>
      <c r="J213" s="1010"/>
    </row>
    <row r="214" spans="1:10" s="391" customFormat="1" ht="19.5" customHeight="1">
      <c r="A214" s="4674" t="s">
        <v>2782</v>
      </c>
      <c r="B214" s="4674"/>
      <c r="C214" s="4674"/>
      <c r="D214" s="1008"/>
      <c r="E214" s="1008"/>
      <c r="F214" s="1008"/>
      <c r="G214" s="1008"/>
      <c r="H214" s="1008"/>
      <c r="I214" s="1008"/>
      <c r="J214" s="1008"/>
    </row>
    <row r="215" spans="1:10" s="391" customFormat="1" ht="22.5" customHeight="1">
      <c r="A215" s="4659" t="str">
        <f>'Subsidy Layering Memo'!A37</f>
        <v>1)</v>
      </c>
      <c r="B215" s="4659"/>
      <c r="C215" s="4659"/>
      <c r="D215" s="4659"/>
      <c r="E215" s="4659"/>
      <c r="F215" s="4659"/>
      <c r="G215" s="4659"/>
      <c r="H215" s="4659"/>
      <c r="I215" s="4659"/>
      <c r="J215" s="4659"/>
    </row>
    <row r="216" spans="1:10" s="391" customFormat="1" ht="22.5" customHeight="1">
      <c r="A216" s="4659" t="str">
        <f>'Subsidy Layering Memo'!A38</f>
        <v>2)</v>
      </c>
      <c r="B216" s="4659"/>
      <c r="C216" s="4659"/>
      <c r="D216" s="4659"/>
      <c r="E216" s="4659"/>
      <c r="F216" s="4659"/>
      <c r="G216" s="4659"/>
      <c r="H216" s="4659"/>
      <c r="I216" s="4659"/>
      <c r="J216" s="4659"/>
    </row>
    <row r="217" spans="1:10" s="391" customFormat="1" ht="22.5" customHeight="1">
      <c r="A217" s="4659" t="str">
        <f>'Subsidy Layering Memo'!A39</f>
        <v>3)</v>
      </c>
      <c r="B217" s="4659"/>
      <c r="C217" s="4659"/>
      <c r="D217" s="4659"/>
      <c r="E217" s="4659"/>
      <c r="F217" s="4659"/>
      <c r="G217" s="4659"/>
      <c r="H217" s="4659"/>
      <c r="I217" s="4659"/>
      <c r="J217" s="4659"/>
    </row>
    <row r="218" spans="1:10" s="391" customFormat="1" ht="22.5" customHeight="1">
      <c r="A218" s="4659" t="str">
        <f>'Subsidy Layering Memo'!A40</f>
        <v>4)</v>
      </c>
      <c r="B218" s="4659"/>
      <c r="C218" s="4659"/>
      <c r="D218" s="4659"/>
      <c r="E218" s="4659"/>
      <c r="F218" s="4659"/>
      <c r="G218" s="4659"/>
      <c r="H218" s="4659"/>
      <c r="I218" s="4659"/>
      <c r="J218" s="4659"/>
    </row>
    <row r="219" spans="1:10" s="391" customFormat="1" ht="22.5" customHeight="1">
      <c r="A219" s="4659" t="str">
        <f>'Subsidy Layering Memo'!A41</f>
        <v>5)</v>
      </c>
      <c r="B219" s="4659"/>
      <c r="C219" s="4659"/>
      <c r="D219" s="4659"/>
      <c r="E219" s="4659"/>
      <c r="F219" s="4659"/>
      <c r="G219" s="4659"/>
      <c r="H219" s="4659"/>
      <c r="I219" s="4659"/>
      <c r="J219" s="4659"/>
    </row>
    <row r="220" spans="1:10" s="391" customFormat="1" ht="22.5" customHeight="1">
      <c r="A220" s="4659" t="str">
        <f>'Subsidy Layering Memo'!A42</f>
        <v>6)</v>
      </c>
      <c r="B220" s="4659"/>
      <c r="C220" s="4659"/>
      <c r="D220" s="4659"/>
      <c r="E220" s="4659"/>
      <c r="F220" s="4659"/>
      <c r="G220" s="4659"/>
      <c r="H220" s="4659"/>
      <c r="I220" s="4659"/>
      <c r="J220" s="4659"/>
    </row>
    <row r="221" spans="1:10" s="391" customFormat="1" ht="22.5" customHeight="1">
      <c r="A221" s="4659" t="str">
        <f>'Subsidy Layering Memo'!A43</f>
        <v>7)</v>
      </c>
      <c r="B221" s="4659"/>
      <c r="C221" s="4659"/>
      <c r="D221" s="4659"/>
      <c r="E221" s="4659"/>
      <c r="F221" s="4659"/>
      <c r="G221" s="4659"/>
      <c r="H221" s="4659"/>
      <c r="I221" s="4659"/>
      <c r="J221" s="4659"/>
    </row>
    <row r="222" spans="1:10" s="391" customFormat="1" ht="22.5" customHeight="1">
      <c r="A222" s="4659" t="str">
        <f>'Subsidy Layering Memo'!A44</f>
        <v>8)</v>
      </c>
      <c r="B222" s="4659"/>
      <c r="C222" s="4659"/>
      <c r="D222" s="4659"/>
      <c r="E222" s="4659"/>
      <c r="F222" s="4659"/>
      <c r="G222" s="4659"/>
      <c r="H222" s="4659"/>
      <c r="I222" s="4659"/>
      <c r="J222" s="4659"/>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072" customWidth="1"/>
    <col min="2" max="2" width="6.28515625" style="1072" customWidth="1"/>
    <col min="3" max="3" width="9.7109375" style="1072" customWidth="1"/>
    <col min="4" max="4" width="10.42578125" style="1072" customWidth="1"/>
    <col min="5" max="5" width="7.7109375" style="1073" customWidth="1"/>
    <col min="6" max="6" width="8" style="1072" customWidth="1"/>
    <col min="7" max="7" width="8.7109375" style="1072" customWidth="1"/>
    <col min="8" max="8" width="10.28515625" style="1072" customWidth="1"/>
    <col min="9" max="9" width="10.7109375" style="1072" customWidth="1"/>
    <col min="10" max="11" width="11.7109375" style="1072" customWidth="1"/>
    <col min="12" max="16384" width="9.28515625" style="1072"/>
  </cols>
  <sheetData>
    <row r="1" spans="1:11" ht="18.75">
      <c r="A1" s="1104" t="s">
        <v>2090</v>
      </c>
      <c r="B1" s="1104"/>
      <c r="C1" s="1104"/>
      <c r="D1" s="1104"/>
      <c r="E1" s="1104"/>
      <c r="F1" s="1104"/>
      <c r="G1" s="1104"/>
      <c r="H1" s="1104"/>
    </row>
    <row r="2" spans="1:11" ht="19.5" thickBot="1">
      <c r="A2" s="1104" t="s">
        <v>2091</v>
      </c>
      <c r="B2" s="1104"/>
      <c r="C2" s="1104"/>
      <c r="D2" s="1104"/>
      <c r="E2" s="1104"/>
      <c r="F2" s="1104"/>
      <c r="G2" s="1104"/>
      <c r="H2" s="1104"/>
    </row>
    <row r="3" spans="1:11" ht="15" customHeight="1" thickBot="1">
      <c r="A3" s="2927" t="s">
        <v>2092</v>
      </c>
      <c r="B3" s="2822"/>
      <c r="C3" s="2823"/>
      <c r="D3" s="4112" t="str">
        <f>'Part I-Project Identification'!F25</f>
        <v>Ashley Collegetown Phase I</v>
      </c>
      <c r="E3" s="4113"/>
      <c r="F3" s="4113"/>
      <c r="G3" s="4113"/>
      <c r="H3" s="4113"/>
      <c r="I3" s="4113"/>
      <c r="J3" s="4744" t="s">
        <v>3127</v>
      </c>
      <c r="K3" s="4745"/>
    </row>
    <row r="4" spans="1:11" ht="15" customHeight="1">
      <c r="A4" s="1074" t="s">
        <v>2094</v>
      </c>
      <c r="B4" s="1075"/>
      <c r="C4" s="1076"/>
      <c r="D4" s="4740">
        <f>'Preview term'!$E$16</f>
        <v>0</v>
      </c>
      <c r="E4" s="4741"/>
      <c r="F4" s="4741"/>
      <c r="G4" s="4741"/>
      <c r="H4" s="4741"/>
      <c r="I4" s="4741"/>
      <c r="J4" s="4118" t="s">
        <v>2095</v>
      </c>
      <c r="K4" s="4119"/>
    </row>
    <row r="5" spans="1:11" ht="15" customHeight="1" thickBot="1">
      <c r="A5" s="1077" t="s">
        <v>2096</v>
      </c>
      <c r="B5" s="1078"/>
      <c r="C5" s="1079"/>
      <c r="D5" s="4742"/>
      <c r="E5" s="4743"/>
      <c r="F5" s="4743"/>
      <c r="G5" s="4743"/>
      <c r="H5" s="4743"/>
      <c r="I5" s="4743"/>
      <c r="J5" s="4120"/>
      <c r="K5" s="4121"/>
    </row>
    <row r="6" spans="1:11" ht="9" customHeight="1" thickBot="1">
      <c r="E6" s="1072"/>
    </row>
    <row r="7" spans="1:11">
      <c r="A7" s="4130" t="s">
        <v>2097</v>
      </c>
      <c r="B7" s="4131"/>
      <c r="C7" s="4131"/>
      <c r="D7" s="4131"/>
      <c r="E7" s="4131"/>
      <c r="F7" s="4131"/>
      <c r="G7" s="4131"/>
      <c r="H7" s="4131"/>
      <c r="I7" s="4131"/>
      <c r="J7" s="4131"/>
      <c r="K7" s="4132"/>
    </row>
    <row r="8" spans="1:11" ht="14.25" customHeight="1">
      <c r="A8" s="1075"/>
      <c r="B8" s="1075"/>
      <c r="C8" s="1097">
        <v>1</v>
      </c>
      <c r="D8" s="2928" t="s">
        <v>2098</v>
      </c>
      <c r="E8" s="2928"/>
      <c r="F8" s="2928"/>
      <c r="G8" s="2928"/>
      <c r="H8" s="2928"/>
      <c r="I8" s="2928"/>
      <c r="J8" s="4721"/>
      <c r="K8" s="4722"/>
    </row>
    <row r="9" spans="1:11" ht="7.15" customHeight="1">
      <c r="A9" s="4067"/>
      <c r="B9" s="4067"/>
      <c r="C9" s="4067"/>
      <c r="D9" s="4068"/>
      <c r="E9" s="4068"/>
      <c r="F9" s="4068"/>
      <c r="G9" s="4068"/>
      <c r="H9" s="4068"/>
      <c r="I9" s="4068"/>
      <c r="J9" s="4068"/>
      <c r="K9" s="2930"/>
    </row>
    <row r="10" spans="1:11">
      <c r="A10" s="4133" t="s">
        <v>2099</v>
      </c>
      <c r="B10" s="4134"/>
      <c r="C10" s="4134"/>
      <c r="D10" s="4134"/>
      <c r="E10" s="4134"/>
      <c r="F10" s="4134"/>
      <c r="G10" s="4134"/>
      <c r="H10" s="4134"/>
      <c r="I10" s="4134"/>
      <c r="J10" s="4134"/>
      <c r="K10" s="4135"/>
    </row>
    <row r="11" spans="1:11" ht="14.25" customHeight="1">
      <c r="A11" s="1075"/>
      <c r="B11" s="1075"/>
      <c r="C11" s="1097">
        <v>2</v>
      </c>
      <c r="D11" s="2928" t="s">
        <v>2100</v>
      </c>
      <c r="E11" s="2931"/>
      <c r="F11" s="2931"/>
      <c r="G11" s="2931"/>
      <c r="H11" s="2931"/>
      <c r="I11" s="2931"/>
      <c r="J11" s="4719"/>
      <c r="K11" s="4720"/>
    </row>
    <row r="12" spans="1:11" ht="7.15" customHeight="1">
      <c r="A12" s="4067"/>
      <c r="B12" s="4067"/>
      <c r="C12" s="4067"/>
      <c r="D12" s="4068"/>
      <c r="E12" s="4068"/>
      <c r="F12" s="4068"/>
      <c r="G12" s="4068"/>
      <c r="H12" s="4068"/>
      <c r="I12" s="4068"/>
      <c r="J12" s="4068"/>
      <c r="K12" s="2929"/>
    </row>
    <row r="13" spans="1:11">
      <c r="A13" s="4133" t="s">
        <v>2101</v>
      </c>
      <c r="B13" s="4134"/>
      <c r="C13" s="4134"/>
      <c r="D13" s="4134"/>
      <c r="E13" s="4134"/>
      <c r="F13" s="4134"/>
      <c r="G13" s="4134"/>
      <c r="H13" s="4134"/>
      <c r="I13" s="4134"/>
      <c r="J13" s="4134"/>
      <c r="K13" s="4135"/>
    </row>
    <row r="14" spans="1:11" ht="14.25" customHeight="1">
      <c r="A14" s="1075"/>
      <c r="B14" s="1075"/>
      <c r="C14" s="2958">
        <v>3</v>
      </c>
      <c r="D14" s="2824" t="s">
        <v>2102</v>
      </c>
      <c r="E14" s="2824"/>
      <c r="F14" s="2824"/>
      <c r="G14" s="2824"/>
      <c r="H14" s="2824"/>
      <c r="I14" s="2824"/>
      <c r="J14" s="4717"/>
      <c r="K14" s="4718"/>
    </row>
    <row r="15" spans="1:11" ht="14.25" customHeight="1">
      <c r="A15" s="1075"/>
      <c r="B15" s="1075"/>
      <c r="C15" s="1098">
        <v>4</v>
      </c>
      <c r="D15" s="1075" t="s">
        <v>2103</v>
      </c>
      <c r="E15" s="1075"/>
      <c r="F15" s="1075"/>
      <c r="G15" s="1075"/>
      <c r="H15" s="1075"/>
      <c r="I15" s="1075"/>
      <c r="J15" s="4715"/>
      <c r="K15" s="4716"/>
    </row>
    <row r="16" spans="1:11" ht="14.25" customHeight="1">
      <c r="A16" s="1075"/>
      <c r="B16" s="1075"/>
      <c r="C16" s="1098">
        <v>5</v>
      </c>
      <c r="D16" s="1075" t="s">
        <v>2104</v>
      </c>
      <c r="E16" s="1075"/>
      <c r="F16" s="1075"/>
      <c r="G16" s="1075"/>
      <c r="H16" s="1075"/>
      <c r="I16" s="1075"/>
      <c r="J16" s="4715"/>
      <c r="K16" s="4716"/>
    </row>
    <row r="17" spans="1:13" ht="14.25" customHeight="1">
      <c r="A17" s="1075"/>
      <c r="B17" s="1075"/>
      <c r="C17" s="1099">
        <v>6</v>
      </c>
      <c r="D17" s="1078" t="s">
        <v>2105</v>
      </c>
      <c r="E17" s="1078"/>
      <c r="F17" s="1078"/>
      <c r="G17" s="1078"/>
      <c r="H17" s="1078"/>
      <c r="I17" s="1078"/>
      <c r="J17" s="4723"/>
      <c r="K17" s="4724"/>
    </row>
    <row r="18" spans="1:13" ht="7.15" customHeight="1">
      <c r="A18" s="4067"/>
      <c r="B18" s="4067"/>
      <c r="C18" s="4067"/>
      <c r="D18" s="4068"/>
      <c r="E18" s="4068"/>
      <c r="F18" s="4068"/>
      <c r="G18" s="4068"/>
      <c r="H18" s="4068"/>
      <c r="I18" s="4068"/>
      <c r="J18" s="4068"/>
      <c r="K18" s="2929"/>
    </row>
    <row r="19" spans="1:13" ht="14.25" customHeight="1">
      <c r="A19" s="1075"/>
      <c r="B19" s="1075"/>
      <c r="C19" s="2958">
        <v>7</v>
      </c>
      <c r="D19" s="2824" t="s">
        <v>2106</v>
      </c>
      <c r="E19" s="2824"/>
      <c r="F19" s="2824"/>
      <c r="G19" s="2824"/>
      <c r="H19" s="2824"/>
      <c r="I19" s="2824"/>
      <c r="J19" s="4061" t="str">
        <f>IF(J17="No",J14-J15,IF(J17="Yes",J14-J15-J16,"Error"))</f>
        <v>Error</v>
      </c>
      <c r="K19" s="4062"/>
    </row>
    <row r="20" spans="1:13" ht="14.25" customHeight="1">
      <c r="A20" s="1075"/>
      <c r="B20" s="1075"/>
      <c r="C20" s="1099">
        <v>8</v>
      </c>
      <c r="D20" s="1078" t="s">
        <v>2107</v>
      </c>
      <c r="E20" s="1078"/>
      <c r="F20" s="1078"/>
      <c r="G20" s="1078"/>
      <c r="H20" s="1078"/>
      <c r="I20" s="1078"/>
      <c r="J20" s="4059" t="e">
        <f>ROUNDDOWN(J19/J8,2)</f>
        <v>#VALUE!</v>
      </c>
      <c r="K20" s="4060"/>
    </row>
    <row r="21" spans="1:13" ht="7.15" customHeight="1">
      <c r="A21" s="4067"/>
      <c r="B21" s="4067"/>
      <c r="C21" s="4067"/>
      <c r="D21" s="4068"/>
      <c r="E21" s="4068"/>
      <c r="F21" s="4068"/>
      <c r="G21" s="4068"/>
      <c r="H21" s="4068"/>
      <c r="I21" s="4068"/>
      <c r="J21" s="4068"/>
      <c r="K21" s="2929"/>
    </row>
    <row r="22" spans="1:13" ht="14.25" customHeight="1" thickBot="1">
      <c r="A22" s="1075"/>
      <c r="B22" s="1075"/>
      <c r="C22" s="1097">
        <v>9</v>
      </c>
      <c r="D22" s="1091" t="s">
        <v>2108</v>
      </c>
      <c r="E22" s="1091"/>
      <c r="F22" s="1091"/>
      <c r="G22" s="1091"/>
      <c r="H22" s="1091"/>
      <c r="I22" s="1091"/>
      <c r="J22" s="4057" t="e">
        <f>J11/J19</f>
        <v>#VALUE!</v>
      </c>
      <c r="K22" s="4058"/>
    </row>
    <row r="23" spans="1:13" ht="9" customHeight="1">
      <c r="A23" s="1082"/>
      <c r="C23" s="1083"/>
      <c r="D23" s="1083"/>
      <c r="E23" s="1083"/>
      <c r="F23" s="1083"/>
      <c r="G23" s="1083"/>
      <c r="H23" s="1083"/>
      <c r="I23" s="1083"/>
      <c r="J23" s="1083"/>
      <c r="K23" s="1084"/>
    </row>
    <row r="24" spans="1:13" ht="18.75">
      <c r="A24" s="1085" t="s">
        <v>2109</v>
      </c>
      <c r="C24" s="1083"/>
      <c r="D24" s="1083"/>
      <c r="E24" s="1083"/>
      <c r="F24" s="1083"/>
      <c r="G24" s="1083"/>
      <c r="H24" s="1083"/>
      <c r="I24" s="1083"/>
      <c r="J24" s="1083"/>
      <c r="K24" s="1084"/>
    </row>
    <row r="25" spans="1:13" ht="14.25" customHeight="1">
      <c r="A25" s="1125" t="s">
        <v>2110</v>
      </c>
      <c r="C25" s="1083"/>
      <c r="D25" s="1083"/>
      <c r="E25" s="1083"/>
      <c r="F25" s="1083"/>
      <c r="G25" s="1083"/>
      <c r="H25" s="1083"/>
      <c r="I25" s="1083"/>
      <c r="J25" s="1083"/>
      <c r="K25" s="1084"/>
    </row>
    <row r="26" spans="1:13" ht="14.25" customHeight="1">
      <c r="A26" s="1125" t="s">
        <v>2111</v>
      </c>
      <c r="C26" s="1083"/>
      <c r="D26" s="1083"/>
      <c r="E26" s="1083"/>
      <c r="F26" s="1083"/>
      <c r="G26" s="1083"/>
      <c r="H26" s="1083"/>
      <c r="I26" s="1083"/>
      <c r="J26" s="1083"/>
      <c r="K26" s="1084"/>
    </row>
    <row r="27" spans="1:13" ht="14.25" customHeight="1">
      <c r="A27" s="1125" t="s">
        <v>2112</v>
      </c>
      <c r="C27" s="1083"/>
      <c r="D27" s="1083"/>
      <c r="E27" s="1083"/>
      <c r="F27" s="1083"/>
      <c r="G27" s="1083"/>
      <c r="H27" s="1083"/>
      <c r="I27" s="1083"/>
      <c r="J27" s="1083"/>
      <c r="K27" s="1084"/>
    </row>
    <row r="28" spans="1:13" ht="14.25" customHeight="1">
      <c r="A28" s="1125" t="s">
        <v>2113</v>
      </c>
      <c r="C28" s="1083"/>
      <c r="D28" s="1083"/>
      <c r="E28" s="1083"/>
      <c r="F28" s="1083"/>
      <c r="G28" s="1083"/>
      <c r="H28" s="1083"/>
      <c r="I28" s="1083"/>
      <c r="J28" s="1083"/>
      <c r="K28" s="1084"/>
    </row>
    <row r="29" spans="1:13" ht="9" customHeight="1">
      <c r="A29" s="1083"/>
      <c r="C29" s="1083"/>
      <c r="D29" s="1083"/>
      <c r="E29" s="1083"/>
      <c r="F29" s="1083"/>
      <c r="G29" s="1083"/>
      <c r="H29" s="1083"/>
      <c r="I29" s="1083"/>
      <c r="J29" s="1083"/>
      <c r="K29" s="1084"/>
    </row>
    <row r="30" spans="1:13">
      <c r="A30" s="4100" t="s">
        <v>2114</v>
      </c>
      <c r="B30" s="4101"/>
      <c r="C30" s="4101"/>
      <c r="D30" s="4101"/>
      <c r="E30" s="4101"/>
      <c r="F30" s="4101"/>
      <c r="G30" s="4101"/>
      <c r="H30" s="4101"/>
      <c r="I30" s="4101"/>
      <c r="J30" s="4101"/>
      <c r="K30" s="4102"/>
    </row>
    <row r="31" spans="1:13">
      <c r="B31" s="4729" t="s">
        <v>3127</v>
      </c>
      <c r="C31" s="4729"/>
      <c r="D31" s="4729"/>
      <c r="E31" s="4729"/>
      <c r="F31" s="4729"/>
      <c r="G31" s="4104" t="s">
        <v>2115</v>
      </c>
      <c r="H31" s="4105"/>
      <c r="I31" s="4105"/>
      <c r="J31" s="4105"/>
      <c r="K31" s="4106"/>
    </row>
    <row r="32" spans="1:13" ht="56.25" customHeight="1">
      <c r="A32" s="1090"/>
      <c r="B32" s="1100" t="s">
        <v>2116</v>
      </c>
      <c r="C32" s="1101" t="s">
        <v>2117</v>
      </c>
      <c r="D32" s="1101" t="s">
        <v>2118</v>
      </c>
      <c r="E32" s="4107" t="s">
        <v>2119</v>
      </c>
      <c r="F32" s="4108"/>
      <c r="G32" s="1102" t="s">
        <v>2120</v>
      </c>
      <c r="H32" s="1102" t="s">
        <v>2121</v>
      </c>
      <c r="J32" s="1102" t="s">
        <v>2122</v>
      </c>
      <c r="K32" s="1102" t="s">
        <v>2123</v>
      </c>
      <c r="L32" s="4109" t="s">
        <v>2124</v>
      </c>
      <c r="M32" s="4109"/>
    </row>
    <row r="33" spans="2:14" ht="12.75" customHeight="1">
      <c r="B33" s="1213"/>
      <c r="C33" s="1214"/>
      <c r="D33" s="1215"/>
      <c r="E33" s="4738"/>
      <c r="F33" s="4739"/>
      <c r="G33" s="1115" t="e">
        <f t="shared" ref="G33:G51" si="0">$J$22*B33</f>
        <v>#VALUE!</v>
      </c>
      <c r="H33" s="1116" t="e">
        <f>ROUNDUP(G33,0)</f>
        <v>#VALUE!</v>
      </c>
      <c r="I33" s="1117"/>
      <c r="J33" s="1118" t="e">
        <f t="shared" ref="J33:J51" si="1">$J$20*E33</f>
        <v>#VALUE!</v>
      </c>
      <c r="K33" s="1118" t="e">
        <f t="shared" ref="K33:K51" si="2">ROUNDDOWN(J33*H33,0)</f>
        <v>#VALUE!</v>
      </c>
      <c r="L33" s="4109"/>
      <c r="M33" s="4109"/>
    </row>
    <row r="34" spans="2:14" ht="12.75" customHeight="1">
      <c r="B34" s="1216"/>
      <c r="C34" s="1217"/>
      <c r="D34" s="1218"/>
      <c r="E34" s="4727"/>
      <c r="F34" s="4728"/>
      <c r="G34" s="1119" t="e">
        <f t="shared" si="0"/>
        <v>#VALUE!</v>
      </c>
      <c r="H34" s="1120" t="e">
        <f t="shared" ref="H34:H51" si="3">ROUNDUP(G34,0)</f>
        <v>#VALUE!</v>
      </c>
      <c r="I34" s="1117"/>
      <c r="J34" s="1121" t="e">
        <f t="shared" si="1"/>
        <v>#VALUE!</v>
      </c>
      <c r="K34" s="1121" t="e">
        <f t="shared" si="2"/>
        <v>#VALUE!</v>
      </c>
      <c r="L34" s="4109"/>
      <c r="M34" s="4109"/>
    </row>
    <row r="35" spans="2:14" ht="12.75" customHeight="1">
      <c r="B35" s="1216"/>
      <c r="C35" s="1217"/>
      <c r="D35" s="1218"/>
      <c r="E35" s="4727"/>
      <c r="F35" s="4728"/>
      <c r="G35" s="1119" t="e">
        <f t="shared" si="0"/>
        <v>#VALUE!</v>
      </c>
      <c r="H35" s="1120" t="e">
        <f t="shared" si="3"/>
        <v>#VALUE!</v>
      </c>
      <c r="I35" s="1117"/>
      <c r="J35" s="1121" t="e">
        <f t="shared" si="1"/>
        <v>#VALUE!</v>
      </c>
      <c r="K35" s="1121" t="e">
        <f t="shared" si="2"/>
        <v>#VALUE!</v>
      </c>
      <c r="L35" s="4109"/>
      <c r="M35" s="4109"/>
    </row>
    <row r="36" spans="2:14" ht="12.75" customHeight="1">
      <c r="B36" s="1216"/>
      <c r="C36" s="1217"/>
      <c r="D36" s="1218"/>
      <c r="E36" s="4727"/>
      <c r="F36" s="4728"/>
      <c r="G36" s="1119" t="e">
        <f t="shared" si="0"/>
        <v>#VALUE!</v>
      </c>
      <c r="H36" s="1120" t="e">
        <f t="shared" si="3"/>
        <v>#VALUE!</v>
      </c>
      <c r="I36" s="1117"/>
      <c r="J36" s="1121" t="e">
        <f t="shared" si="1"/>
        <v>#VALUE!</v>
      </c>
      <c r="K36" s="1121" t="e">
        <f t="shared" si="2"/>
        <v>#VALUE!</v>
      </c>
      <c r="L36" s="4109"/>
      <c r="M36" s="4109"/>
      <c r="N36" s="1086"/>
    </row>
    <row r="37" spans="2:14" ht="12.75" customHeight="1">
      <c r="B37" s="1216"/>
      <c r="C37" s="1217"/>
      <c r="D37" s="1218"/>
      <c r="E37" s="4727"/>
      <c r="F37" s="4728"/>
      <c r="G37" s="1119" t="e">
        <f t="shared" si="0"/>
        <v>#VALUE!</v>
      </c>
      <c r="H37" s="1120" t="e">
        <f t="shared" si="3"/>
        <v>#VALUE!</v>
      </c>
      <c r="I37" s="1117"/>
      <c r="J37" s="1121" t="e">
        <f t="shared" si="1"/>
        <v>#VALUE!</v>
      </c>
      <c r="K37" s="1121" t="e">
        <f t="shared" si="2"/>
        <v>#VALUE!</v>
      </c>
      <c r="L37" s="4109"/>
      <c r="M37" s="4109"/>
    </row>
    <row r="38" spans="2:14" ht="12.75" customHeight="1">
      <c r="B38" s="1216"/>
      <c r="C38" s="1217"/>
      <c r="D38" s="1218"/>
      <c r="E38" s="4727"/>
      <c r="F38" s="4728"/>
      <c r="G38" s="1119" t="e">
        <f t="shared" si="0"/>
        <v>#VALUE!</v>
      </c>
      <c r="H38" s="1120" t="e">
        <f t="shared" si="3"/>
        <v>#VALUE!</v>
      </c>
      <c r="I38" s="1117"/>
      <c r="J38" s="1121" t="e">
        <f t="shared" si="1"/>
        <v>#VALUE!</v>
      </c>
      <c r="K38" s="1121" t="e">
        <f t="shared" si="2"/>
        <v>#VALUE!</v>
      </c>
      <c r="L38" s="4109"/>
      <c r="M38" s="4109"/>
    </row>
    <row r="39" spans="2:14" ht="12.75" customHeight="1">
      <c r="B39" s="1216"/>
      <c r="C39" s="1217"/>
      <c r="D39" s="1218"/>
      <c r="E39" s="4727"/>
      <c r="F39" s="4728"/>
      <c r="G39" s="1119" t="e">
        <f t="shared" si="0"/>
        <v>#VALUE!</v>
      </c>
      <c r="H39" s="1120" t="e">
        <f t="shared" si="3"/>
        <v>#VALUE!</v>
      </c>
      <c r="I39" s="1117"/>
      <c r="J39" s="1121" t="e">
        <f t="shared" si="1"/>
        <v>#VALUE!</v>
      </c>
      <c r="K39" s="1121" t="e">
        <f t="shared" si="2"/>
        <v>#VALUE!</v>
      </c>
      <c r="L39" s="4109"/>
      <c r="M39" s="4109"/>
    </row>
    <row r="40" spans="2:14" ht="12.75" customHeight="1">
      <c r="B40" s="1216"/>
      <c r="C40" s="1217"/>
      <c r="D40" s="1218"/>
      <c r="E40" s="4727"/>
      <c r="F40" s="4728"/>
      <c r="G40" s="1119" t="e">
        <f t="shared" si="0"/>
        <v>#VALUE!</v>
      </c>
      <c r="H40" s="1120" t="e">
        <f t="shared" si="3"/>
        <v>#VALUE!</v>
      </c>
      <c r="I40" s="1117"/>
      <c r="J40" s="1121" t="e">
        <f t="shared" si="1"/>
        <v>#VALUE!</v>
      </c>
      <c r="K40" s="1121" t="e">
        <f t="shared" si="2"/>
        <v>#VALUE!</v>
      </c>
      <c r="L40" s="4109"/>
      <c r="M40" s="4109"/>
    </row>
    <row r="41" spans="2:14" ht="12.75" customHeight="1">
      <c r="B41" s="1216"/>
      <c r="C41" s="1217"/>
      <c r="D41" s="1218"/>
      <c r="E41" s="4727"/>
      <c r="F41" s="4728"/>
      <c r="G41" s="1119" t="e">
        <f t="shared" si="0"/>
        <v>#VALUE!</v>
      </c>
      <c r="H41" s="1120" t="e">
        <f t="shared" si="3"/>
        <v>#VALUE!</v>
      </c>
      <c r="I41" s="1117"/>
      <c r="J41" s="1121" t="e">
        <f t="shared" si="1"/>
        <v>#VALUE!</v>
      </c>
      <c r="K41" s="1121" t="e">
        <f t="shared" si="2"/>
        <v>#VALUE!</v>
      </c>
      <c r="L41" s="4109"/>
      <c r="M41" s="4109"/>
    </row>
    <row r="42" spans="2:14" ht="12.75" customHeight="1">
      <c r="B42" s="1216"/>
      <c r="C42" s="1217"/>
      <c r="D42" s="1218"/>
      <c r="E42" s="4727"/>
      <c r="F42" s="4728"/>
      <c r="G42" s="1119" t="e">
        <f t="shared" si="0"/>
        <v>#VALUE!</v>
      </c>
      <c r="H42" s="1120" t="e">
        <f>ROUNDUP(G42,0)</f>
        <v>#VALUE!</v>
      </c>
      <c r="I42" s="1117"/>
      <c r="J42" s="1121" t="e">
        <f t="shared" si="1"/>
        <v>#VALUE!</v>
      </c>
      <c r="K42" s="1121" t="e">
        <f t="shared" si="2"/>
        <v>#VALUE!</v>
      </c>
      <c r="L42" s="4109"/>
      <c r="M42" s="4109"/>
    </row>
    <row r="43" spans="2:14" ht="12.75" customHeight="1">
      <c r="B43" s="1216"/>
      <c r="C43" s="1217"/>
      <c r="D43" s="1218"/>
      <c r="E43" s="4727"/>
      <c r="F43" s="4728"/>
      <c r="G43" s="1119" t="e">
        <f t="shared" si="0"/>
        <v>#VALUE!</v>
      </c>
      <c r="H43" s="1120" t="e">
        <f>ROUNDUP(G43,0)</f>
        <v>#VALUE!</v>
      </c>
      <c r="I43" s="1117"/>
      <c r="J43" s="1121" t="e">
        <f t="shared" si="1"/>
        <v>#VALUE!</v>
      </c>
      <c r="K43" s="1121" t="e">
        <f t="shared" si="2"/>
        <v>#VALUE!</v>
      </c>
      <c r="L43" s="4109"/>
      <c r="M43" s="4109"/>
    </row>
    <row r="44" spans="2:14" ht="12.75" customHeight="1">
      <c r="B44" s="1216"/>
      <c r="C44" s="1217"/>
      <c r="D44" s="1218"/>
      <c r="E44" s="4727"/>
      <c r="F44" s="4728"/>
      <c r="G44" s="1119" t="e">
        <f t="shared" si="0"/>
        <v>#VALUE!</v>
      </c>
      <c r="H44" s="1120" t="e">
        <f>ROUNDUP(G44,0)</f>
        <v>#VALUE!</v>
      </c>
      <c r="I44" s="1117"/>
      <c r="J44" s="1121" t="e">
        <f t="shared" si="1"/>
        <v>#VALUE!</v>
      </c>
      <c r="K44" s="1121" t="e">
        <f t="shared" si="2"/>
        <v>#VALUE!</v>
      </c>
      <c r="L44" s="4109"/>
      <c r="M44" s="4109"/>
    </row>
    <row r="45" spans="2:14" ht="12.75" customHeight="1">
      <c r="B45" s="1216"/>
      <c r="C45" s="1217"/>
      <c r="D45" s="1218"/>
      <c r="E45" s="4727"/>
      <c r="F45" s="4728"/>
      <c r="G45" s="1119" t="e">
        <f t="shared" si="0"/>
        <v>#VALUE!</v>
      </c>
      <c r="H45" s="1120" t="e">
        <f>ROUNDUP(G45,0)</f>
        <v>#VALUE!</v>
      </c>
      <c r="I45" s="1117"/>
      <c r="J45" s="1121" t="e">
        <f t="shared" si="1"/>
        <v>#VALUE!</v>
      </c>
      <c r="K45" s="1121" t="e">
        <f t="shared" si="2"/>
        <v>#VALUE!</v>
      </c>
      <c r="L45" s="4109"/>
      <c r="M45" s="4109"/>
    </row>
    <row r="46" spans="2:14" ht="12.75" customHeight="1">
      <c r="B46" s="1216"/>
      <c r="C46" s="1217"/>
      <c r="D46" s="1218"/>
      <c r="E46" s="4727"/>
      <c r="F46" s="4728"/>
      <c r="G46" s="1119" t="e">
        <f t="shared" si="0"/>
        <v>#VALUE!</v>
      </c>
      <c r="H46" s="1120" t="e">
        <f t="shared" si="3"/>
        <v>#VALUE!</v>
      </c>
      <c r="I46" s="1117"/>
      <c r="J46" s="1121" t="e">
        <f t="shared" si="1"/>
        <v>#VALUE!</v>
      </c>
      <c r="K46" s="1121" t="e">
        <f t="shared" si="2"/>
        <v>#VALUE!</v>
      </c>
      <c r="L46" s="4109"/>
      <c r="M46" s="4109"/>
    </row>
    <row r="47" spans="2:14" ht="12.75" customHeight="1">
      <c r="B47" s="1216"/>
      <c r="C47" s="1217"/>
      <c r="D47" s="1218"/>
      <c r="E47" s="4727"/>
      <c r="F47" s="4728"/>
      <c r="G47" s="1119" t="e">
        <f t="shared" si="0"/>
        <v>#VALUE!</v>
      </c>
      <c r="H47" s="1120" t="e">
        <f t="shared" si="3"/>
        <v>#VALUE!</v>
      </c>
      <c r="I47" s="1117"/>
      <c r="J47" s="1121" t="e">
        <f t="shared" si="1"/>
        <v>#VALUE!</v>
      </c>
      <c r="K47" s="1121" t="e">
        <f t="shared" si="2"/>
        <v>#VALUE!</v>
      </c>
      <c r="L47" s="4109"/>
      <c r="M47" s="4109"/>
    </row>
    <row r="48" spans="2:14" ht="12.75" customHeight="1">
      <c r="B48" s="1216"/>
      <c r="C48" s="1217"/>
      <c r="D48" s="1218"/>
      <c r="E48" s="4727"/>
      <c r="F48" s="4728"/>
      <c r="G48" s="1119" t="e">
        <f t="shared" si="0"/>
        <v>#VALUE!</v>
      </c>
      <c r="H48" s="1120" t="e">
        <f>ROUNDUP(G48,0)</f>
        <v>#VALUE!</v>
      </c>
      <c r="I48" s="1117"/>
      <c r="J48" s="1121" t="e">
        <f t="shared" si="1"/>
        <v>#VALUE!</v>
      </c>
      <c r="K48" s="1121" t="e">
        <f t="shared" si="2"/>
        <v>#VALUE!</v>
      </c>
      <c r="L48" s="4109"/>
      <c r="M48" s="4109"/>
    </row>
    <row r="49" spans="1:13" ht="12.75" customHeight="1">
      <c r="B49" s="1216"/>
      <c r="C49" s="1217"/>
      <c r="D49" s="1218"/>
      <c r="E49" s="4727"/>
      <c r="F49" s="4728"/>
      <c r="G49" s="1119" t="e">
        <f t="shared" si="0"/>
        <v>#VALUE!</v>
      </c>
      <c r="H49" s="1120" t="e">
        <f t="shared" si="3"/>
        <v>#VALUE!</v>
      </c>
      <c r="I49" s="1117"/>
      <c r="J49" s="1121" t="e">
        <f t="shared" si="1"/>
        <v>#VALUE!</v>
      </c>
      <c r="K49" s="1121" t="e">
        <f t="shared" si="2"/>
        <v>#VALUE!</v>
      </c>
      <c r="L49" s="4109"/>
      <c r="M49" s="4109"/>
    </row>
    <row r="50" spans="1:13" ht="12.75" customHeight="1">
      <c r="B50" s="1216"/>
      <c r="C50" s="1217"/>
      <c r="D50" s="1218"/>
      <c r="E50" s="4727"/>
      <c r="F50" s="4728"/>
      <c r="G50" s="1119" t="e">
        <f t="shared" si="0"/>
        <v>#VALUE!</v>
      </c>
      <c r="H50" s="1120" t="e">
        <f t="shared" si="3"/>
        <v>#VALUE!</v>
      </c>
      <c r="I50" s="1117"/>
      <c r="J50" s="1121" t="e">
        <f t="shared" si="1"/>
        <v>#VALUE!</v>
      </c>
      <c r="K50" s="1121" t="e">
        <f t="shared" si="2"/>
        <v>#VALUE!</v>
      </c>
      <c r="L50" s="4109"/>
      <c r="M50" s="4109"/>
    </row>
    <row r="51" spans="1:13" ht="12.75" customHeight="1" thickBot="1">
      <c r="B51" s="1219"/>
      <c r="C51" s="1220"/>
      <c r="D51" s="1221"/>
      <c r="E51" s="4725"/>
      <c r="F51" s="4726"/>
      <c r="G51" s="1122" t="e">
        <f t="shared" si="0"/>
        <v>#VALUE!</v>
      </c>
      <c r="H51" s="1123" t="e">
        <f t="shared" si="3"/>
        <v>#VALUE!</v>
      </c>
      <c r="I51" s="1117"/>
      <c r="J51" s="1124" t="e">
        <f t="shared" si="1"/>
        <v>#VALUE!</v>
      </c>
      <c r="K51" s="1124" t="e">
        <f t="shared" si="2"/>
        <v>#VALUE!</v>
      </c>
      <c r="L51" s="4109"/>
      <c r="M51" s="4109"/>
    </row>
    <row r="52" spans="1:13" ht="15" customHeight="1" thickBot="1">
      <c r="B52" s="2825"/>
      <c r="D52" s="2824"/>
      <c r="E52" s="2824"/>
      <c r="F52" s="2824"/>
      <c r="G52" s="2933" t="s">
        <v>2125</v>
      </c>
      <c r="H52" s="1103" t="e">
        <f>SUM(H33:H51)</f>
        <v>#VALUE!</v>
      </c>
      <c r="I52" s="2824"/>
      <c r="J52" s="2825" t="s">
        <v>2126</v>
      </c>
      <c r="K52" s="2934" t="e">
        <f>SUM(K33:K51)</f>
        <v>#VALUE!</v>
      </c>
      <c r="L52" s="4109"/>
      <c r="M52" s="4109"/>
    </row>
    <row r="53" spans="1:13" ht="15" customHeight="1">
      <c r="B53" s="1095"/>
      <c r="C53" s="4095" t="s">
        <v>2127</v>
      </c>
      <c r="D53" s="4095"/>
      <c r="E53" s="4095"/>
      <c r="F53" s="4095"/>
      <c r="G53" s="4095"/>
      <c r="H53" s="4095"/>
      <c r="I53" s="4095"/>
      <c r="J53" s="4096"/>
      <c r="K53" s="1096" t="str">
        <f>IF(J17="no",0,IF(J17="yes",J16,"Error"))</f>
        <v>Error</v>
      </c>
      <c r="L53" s="4109"/>
      <c r="M53" s="4109"/>
    </row>
    <row r="54" spans="1:13" ht="15" customHeight="1" thickBot="1">
      <c r="B54" s="1095"/>
      <c r="C54" s="4097" t="s">
        <v>2128</v>
      </c>
      <c r="D54" s="4097"/>
      <c r="E54" s="4097"/>
      <c r="F54" s="4097"/>
      <c r="G54" s="4097"/>
      <c r="H54" s="4097"/>
      <c r="I54" s="4097"/>
      <c r="J54" s="4098"/>
      <c r="K54" s="1105" t="e">
        <f>K52+K53</f>
        <v>#VALUE!</v>
      </c>
    </row>
    <row r="55" spans="1:13" ht="7.9" customHeight="1">
      <c r="A55" s="4099"/>
      <c r="B55" s="4069"/>
      <c r="C55" s="4069"/>
      <c r="D55" s="4069"/>
      <c r="E55" s="4069"/>
      <c r="F55" s="4069"/>
      <c r="G55" s="4069"/>
      <c r="H55" s="4069"/>
      <c r="I55" s="4069"/>
      <c r="J55" s="4069"/>
      <c r="K55" s="1114"/>
    </row>
    <row r="56" spans="1:13" ht="15" customHeight="1">
      <c r="A56" s="4070" t="s">
        <v>2129</v>
      </c>
      <c r="B56" s="4071"/>
      <c r="C56" s="4071"/>
      <c r="D56" s="4071"/>
      <c r="E56" s="4071"/>
      <c r="F56" s="4071"/>
      <c r="G56" s="4071"/>
      <c r="H56" s="4071"/>
      <c r="I56" s="4071"/>
      <c r="J56" s="4071"/>
      <c r="K56" s="4072"/>
    </row>
    <row r="57" spans="1:13" ht="48" customHeight="1">
      <c r="A57" s="2935"/>
      <c r="B57" s="2826"/>
      <c r="C57" s="1089" t="s">
        <v>2130</v>
      </c>
      <c r="D57" s="1202" t="s">
        <v>2131</v>
      </c>
      <c r="E57" s="4082" t="s">
        <v>2132</v>
      </c>
      <c r="F57" s="4083"/>
      <c r="G57" s="4734" t="s">
        <v>2133</v>
      </c>
      <c r="H57" s="4735"/>
      <c r="I57" s="4082" t="s">
        <v>2134</v>
      </c>
      <c r="J57" s="4083"/>
      <c r="K57" s="4086"/>
    </row>
    <row r="58" spans="1:13" ht="15" customHeight="1">
      <c r="A58" s="1185"/>
      <c r="B58" s="1110"/>
      <c r="C58" s="1092">
        <f>SUMIF(C33:C51, "0", H33:H51)</f>
        <v>0</v>
      </c>
      <c r="D58" s="1203">
        <f t="shared" ref="D58:D63" si="4">ROUNDUP(C58*1.1,0)</f>
        <v>0</v>
      </c>
      <c r="E58" s="4088" t="s">
        <v>2135</v>
      </c>
      <c r="F58" s="4089"/>
      <c r="G58" s="4736">
        <f>'DCA Underwriting Assumptions'!H129</f>
        <v>159753.60000000001</v>
      </c>
      <c r="H58" s="4737"/>
      <c r="I58" s="4090">
        <f t="shared" ref="I58:I63" si="5">D58*G58</f>
        <v>0</v>
      </c>
      <c r="J58" s="4090"/>
      <c r="K58" s="4087"/>
    </row>
    <row r="59" spans="1:13">
      <c r="A59" s="1185"/>
      <c r="B59" s="1110"/>
      <c r="C59" s="1093">
        <f>SUMIF(C33:C51, "1", H33:H51)</f>
        <v>0</v>
      </c>
      <c r="D59" s="1204">
        <f t="shared" si="4"/>
        <v>0</v>
      </c>
      <c r="E59" s="4074" t="s">
        <v>2136</v>
      </c>
      <c r="F59" s="4075"/>
      <c r="G59" s="4732">
        <f>'DCA Underwriting Assumptions'!H130</f>
        <v>183132</v>
      </c>
      <c r="H59" s="4733"/>
      <c r="I59" s="4078">
        <f t="shared" si="5"/>
        <v>0</v>
      </c>
      <c r="J59" s="4078"/>
      <c r="K59" s="4087"/>
    </row>
    <row r="60" spans="1:13" ht="15" customHeight="1">
      <c r="A60" s="1185"/>
      <c r="B60" s="1110"/>
      <c r="C60" s="1093">
        <f>SUMIF(C33:C51, "2", H33:H51)</f>
        <v>0</v>
      </c>
      <c r="D60" s="1204">
        <f t="shared" si="4"/>
        <v>0</v>
      </c>
      <c r="E60" s="4074" t="s">
        <v>2137</v>
      </c>
      <c r="F60" s="4075"/>
      <c r="G60" s="4732">
        <f>'DCA Underwriting Assumptions'!H131</f>
        <v>222693.6</v>
      </c>
      <c r="H60" s="4733"/>
      <c r="I60" s="4078">
        <f t="shared" si="5"/>
        <v>0</v>
      </c>
      <c r="J60" s="4078"/>
      <c r="K60" s="4087"/>
    </row>
    <row r="61" spans="1:13">
      <c r="A61" s="1185"/>
      <c r="B61" s="1110"/>
      <c r="C61" s="1093">
        <f>SUMIF(C33:C51, "3", H33:H51)</f>
        <v>0</v>
      </c>
      <c r="D61" s="1204">
        <f t="shared" si="4"/>
        <v>0</v>
      </c>
      <c r="E61" s="4074" t="s">
        <v>2138</v>
      </c>
      <c r="F61" s="4075"/>
      <c r="G61" s="4732">
        <f>'DCA Underwriting Assumptions'!H132</f>
        <v>288093.59999999998</v>
      </c>
      <c r="H61" s="4733"/>
      <c r="I61" s="4078">
        <f t="shared" si="5"/>
        <v>0</v>
      </c>
      <c r="J61" s="4078"/>
      <c r="K61" s="4087"/>
    </row>
    <row r="62" spans="1:13">
      <c r="A62" s="1185"/>
      <c r="B62" s="1110"/>
      <c r="C62" s="1093">
        <f>SUMIF(C33:C51, "4", H33:H51)</f>
        <v>0</v>
      </c>
      <c r="D62" s="1204">
        <f t="shared" si="4"/>
        <v>0</v>
      </c>
      <c r="E62" s="4074" t="s">
        <v>2139</v>
      </c>
      <c r="F62" s="4075"/>
      <c r="G62" s="4732">
        <f>'DCA Underwriting Assumptions'!H133</f>
        <v>316236</v>
      </c>
      <c r="H62" s="4733"/>
      <c r="I62" s="4078">
        <f t="shared" si="5"/>
        <v>0</v>
      </c>
      <c r="J62" s="4078"/>
      <c r="K62" s="4087"/>
    </row>
    <row r="63" spans="1:13">
      <c r="A63" s="1201"/>
      <c r="B63" s="1111"/>
      <c r="C63" s="1094">
        <f>SUMIF(C33:C51, "5", H33:H51)</f>
        <v>0</v>
      </c>
      <c r="D63" s="1205">
        <f t="shared" si="4"/>
        <v>0</v>
      </c>
      <c r="E63" s="4079" t="s">
        <v>2140</v>
      </c>
      <c r="F63" s="4080"/>
      <c r="G63" s="4730">
        <f>'DCA Underwriting Assumptions'!H133</f>
        <v>316236</v>
      </c>
      <c r="H63" s="4731"/>
      <c r="I63" s="4081">
        <f t="shared" si="5"/>
        <v>0</v>
      </c>
      <c r="J63" s="4081"/>
      <c r="K63" s="1113"/>
    </row>
    <row r="64" spans="1:13" ht="17.25" thickBot="1">
      <c r="A64" s="1200" t="s">
        <v>2141</v>
      </c>
      <c r="B64" s="1107">
        <f>SUM(C58:C63)</f>
        <v>0</v>
      </c>
      <c r="C64" s="1206"/>
      <c r="D64" s="1206">
        <f>SUM(D58:D63)</f>
        <v>0</v>
      </c>
      <c r="E64" s="1199"/>
      <c r="F64" s="1199"/>
      <c r="G64" s="1199"/>
      <c r="H64" s="1199"/>
      <c r="I64" s="1199"/>
      <c r="J64" s="1186" t="s">
        <v>2142</v>
      </c>
      <c r="K64" s="1106">
        <f>SUM(I58:I62)</f>
        <v>0</v>
      </c>
    </row>
    <row r="65" spans="1:11">
      <c r="A65" s="4069"/>
      <c r="B65" s="4069"/>
      <c r="C65" s="4069"/>
      <c r="D65" s="4069"/>
      <c r="E65" s="4069"/>
      <c r="F65" s="4069"/>
      <c r="G65" s="4069"/>
      <c r="H65" s="4069"/>
      <c r="I65" s="4069"/>
      <c r="J65" s="4069"/>
    </row>
    <row r="66" spans="1:11">
      <c r="A66" s="4070" t="s">
        <v>2143</v>
      </c>
      <c r="B66" s="4071"/>
      <c r="C66" s="4071"/>
      <c r="D66" s="4071"/>
      <c r="E66" s="4071"/>
      <c r="F66" s="4071"/>
      <c r="G66" s="4071"/>
      <c r="H66" s="4071"/>
      <c r="I66" s="4071"/>
      <c r="J66" s="4071"/>
      <c r="K66" s="4072"/>
    </row>
    <row r="67" spans="1:11" ht="15" customHeight="1">
      <c r="A67" s="2936"/>
      <c r="B67" s="2827"/>
      <c r="C67" s="2827"/>
      <c r="D67" s="2827"/>
      <c r="E67" s="2827" t="s">
        <v>2144</v>
      </c>
      <c r="F67" s="2827"/>
      <c r="G67" s="2827"/>
      <c r="H67" s="2827"/>
      <c r="I67" s="2827"/>
      <c r="J67" s="2826"/>
      <c r="K67" s="1087">
        <f>J11</f>
        <v>0</v>
      </c>
    </row>
    <row r="68" spans="1:11">
      <c r="A68" s="1108"/>
      <c r="E68" s="1072" t="s">
        <v>2145</v>
      </c>
      <c r="J68" s="1110"/>
      <c r="K68" s="1087" t="e">
        <f>K54</f>
        <v>#VALUE!</v>
      </c>
    </row>
    <row r="69" spans="1:11" ht="17.25" thickBot="1">
      <c r="A69" s="1109"/>
      <c r="B69" s="1080"/>
      <c r="C69" s="1080"/>
      <c r="D69" s="1080"/>
      <c r="E69" s="1080" t="s">
        <v>2146</v>
      </c>
      <c r="F69" s="1080"/>
      <c r="G69" s="1080"/>
      <c r="H69" s="1080"/>
      <c r="I69" s="1080"/>
      <c r="J69" s="1111"/>
      <c r="K69" s="2937">
        <f>K64</f>
        <v>0</v>
      </c>
    </row>
    <row r="70" spans="1:11" ht="17.25" thickBot="1">
      <c r="A70" s="1088"/>
      <c r="B70" s="1081"/>
      <c r="C70" s="4073" t="s">
        <v>2147</v>
      </c>
      <c r="D70" s="4073"/>
      <c r="E70" s="4073"/>
      <c r="F70" s="4073"/>
      <c r="G70" s="4073"/>
      <c r="H70" s="4073"/>
      <c r="I70" s="4073"/>
      <c r="J70" s="4073"/>
      <c r="K70" s="1112" t="e">
        <f>IF(ISBLANK(J11),MIN(K68:K69),MIN(K67:K69))</f>
        <v>#VALUE!</v>
      </c>
    </row>
    <row r="71" spans="1:11">
      <c r="E71" s="1072"/>
    </row>
    <row r="72" spans="1:11">
      <c r="E72" s="1072"/>
    </row>
    <row r="73" spans="1:11">
      <c r="E73" s="1072"/>
    </row>
    <row r="74" spans="1:11">
      <c r="E74" s="1072"/>
    </row>
    <row r="75" spans="1:11">
      <c r="E75" s="1072"/>
    </row>
    <row r="76" spans="1:11">
      <c r="E76" s="1072"/>
    </row>
    <row r="77" spans="1:11">
      <c r="E77" s="1072"/>
    </row>
    <row r="78" spans="1:11">
      <c r="E78" s="1072"/>
    </row>
    <row r="79" spans="1:11">
      <c r="E79" s="1072"/>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324" customWidth="1"/>
    <col min="2" max="2" width="4.28515625" style="324" customWidth="1"/>
    <col min="3" max="3" width="18.5703125" style="324" customWidth="1"/>
    <col min="4" max="4" width="2.7109375" style="324" customWidth="1"/>
    <col min="5" max="5" width="6.5703125" style="324" customWidth="1"/>
    <col min="6" max="6" width="39.28515625" style="324" customWidth="1"/>
    <col min="7" max="8" width="8.42578125" style="324" customWidth="1"/>
    <col min="9" max="9" width="9.28515625" style="324"/>
    <col min="10" max="10" width="14.28515625" style="324" customWidth="1"/>
    <col min="11" max="16384" width="9.28515625" style="324"/>
  </cols>
  <sheetData>
    <row r="1" spans="1:11">
      <c r="A1" s="434" t="s">
        <v>3128</v>
      </c>
      <c r="H1" s="481" t="str">
        <f>'Sensitivity Analysis'!C8</f>
        <v>Ashley Collegetown Phase I</v>
      </c>
    </row>
    <row r="2" spans="1:11">
      <c r="A2" s="434" t="s">
        <v>3129</v>
      </c>
      <c r="H2" s="324" t="str">
        <f>'Sensitivity Analysis'!E8</f>
        <v>2023-5</v>
      </c>
    </row>
    <row r="3" spans="1:11" ht="3" customHeight="1"/>
    <row r="4" spans="1:11" ht="51.75" customHeight="1">
      <c r="A4" s="4746" t="s">
        <v>3130</v>
      </c>
      <c r="B4" s="4746"/>
      <c r="C4" s="4746"/>
      <c r="D4" s="4746"/>
      <c r="E4" s="4746"/>
      <c r="F4" s="4746"/>
      <c r="G4" s="4746"/>
      <c r="H4" s="4746"/>
      <c r="J4" s="819">
        <f>SUM('Part VI-Pro Forma'!B15:B17)/12</f>
        <v>243515.106</v>
      </c>
      <c r="K4" s="818" t="s">
        <v>3131</v>
      </c>
    </row>
    <row r="5" spans="1:11" ht="1.5" customHeight="1"/>
    <row r="6" spans="1:11" ht="12.75" customHeight="1">
      <c r="B6" s="501" t="s">
        <v>2218</v>
      </c>
      <c r="C6" s="4746" t="s">
        <v>3132</v>
      </c>
      <c r="D6" s="4746"/>
      <c r="E6" s="4746"/>
      <c r="F6" s="4746"/>
      <c r="G6" s="4746"/>
      <c r="H6" s="4746"/>
    </row>
    <row r="7" spans="1:11" ht="12.75" customHeight="1">
      <c r="B7" s="501" t="s">
        <v>2220</v>
      </c>
      <c r="C7" s="4746" t="s">
        <v>3133</v>
      </c>
      <c r="D7" s="4746"/>
      <c r="E7" s="4746"/>
      <c r="F7" s="4746"/>
      <c r="G7" s="4746"/>
      <c r="H7" s="4746"/>
    </row>
    <row r="8" spans="1:11" ht="3" customHeight="1"/>
    <row r="9" spans="1:11">
      <c r="A9" s="324" t="s">
        <v>3134</v>
      </c>
    </row>
    <row r="10" spans="1:11" ht="1.5" customHeight="1"/>
    <row r="11" spans="1:11" ht="26.25" customHeight="1">
      <c r="A11" s="502" t="s">
        <v>194</v>
      </c>
      <c r="B11" s="4750" t="s">
        <v>3135</v>
      </c>
      <c r="C11" s="4750"/>
      <c r="D11" s="4750"/>
      <c r="E11" s="4750"/>
      <c r="F11" s="4750"/>
      <c r="G11" s="4751">
        <f ca="1">'Part II-Sources of Funds'!I51+'Part II-Sources of Funds'!I52</f>
        <v>12454371.033019999</v>
      </c>
      <c r="H11" s="4751"/>
    </row>
    <row r="12" spans="1:11" ht="1.5" customHeight="1">
      <c r="G12" s="483"/>
      <c r="H12" s="483"/>
    </row>
    <row r="13" spans="1:11" ht="26.25" customHeight="1">
      <c r="A13" s="502" t="s">
        <v>206</v>
      </c>
      <c r="B13" s="4750" t="s">
        <v>3136</v>
      </c>
      <c r="C13" s="4750"/>
      <c r="D13" s="4750"/>
      <c r="E13" s="4750"/>
      <c r="F13" s="4750"/>
      <c r="G13" s="4752" t="s">
        <v>3054</v>
      </c>
      <c r="H13" s="4752"/>
    </row>
    <row r="14" spans="1:11" ht="12" hidden="1" customHeight="1">
      <c r="A14" s="502"/>
      <c r="B14" s="4707"/>
      <c r="C14" s="4707"/>
      <c r="D14" s="4707"/>
      <c r="E14" s="4707"/>
      <c r="F14" s="4707"/>
      <c r="G14" s="4707"/>
      <c r="H14" s="4707"/>
    </row>
    <row r="15" spans="1:11" ht="1.5" customHeight="1"/>
    <row r="16" spans="1:11" ht="12" customHeight="1">
      <c r="A16" s="502" t="s">
        <v>227</v>
      </c>
      <c r="B16" s="324" t="s">
        <v>3137</v>
      </c>
      <c r="G16" s="4753" t="s">
        <v>63</v>
      </c>
      <c r="H16" s="4753"/>
    </row>
    <row r="17" spans="1:8" ht="1.5" customHeight="1">
      <c r="G17" s="486"/>
    </row>
    <row r="18" spans="1:8" ht="12" customHeight="1">
      <c r="A18" s="502" t="s">
        <v>229</v>
      </c>
      <c r="B18" s="483" t="s">
        <v>3138</v>
      </c>
      <c r="C18" s="502"/>
      <c r="D18" s="502"/>
      <c r="E18" s="502"/>
      <c r="G18" s="4707" t="s">
        <v>2016</v>
      </c>
      <c r="H18" s="4707"/>
    </row>
    <row r="19" spans="1:8" ht="12" hidden="1" customHeight="1">
      <c r="B19" s="4707"/>
      <c r="C19" s="4707"/>
      <c r="D19" s="4707"/>
      <c r="E19" s="4707"/>
      <c r="F19" s="4707"/>
      <c r="G19" s="4707"/>
      <c r="H19" s="4707"/>
    </row>
    <row r="20" spans="1:8" ht="13.5" customHeight="1"/>
    <row r="21" spans="1:8" ht="12" customHeight="1">
      <c r="A21" s="434" t="s">
        <v>2921</v>
      </c>
    </row>
    <row r="22" spans="1:8" ht="3" customHeight="1"/>
    <row r="23" spans="1:8" ht="24.75" customHeight="1">
      <c r="A23" s="4754" t="s">
        <v>3139</v>
      </c>
      <c r="B23" s="4754"/>
      <c r="C23" s="4754"/>
      <c r="D23" s="4754"/>
      <c r="E23" s="4754"/>
      <c r="F23" s="4754"/>
      <c r="G23" s="4754"/>
      <c r="H23" s="4754"/>
    </row>
    <row r="24" spans="1:8" ht="9" customHeight="1" thickBot="1">
      <c r="A24" s="478"/>
    </row>
    <row r="25" spans="1:8" ht="16.149999999999999" customHeight="1" thickBot="1">
      <c r="A25" s="4747">
        <v>20</v>
      </c>
      <c r="B25" s="4748"/>
      <c r="C25" s="1171" t="s">
        <v>1165</v>
      </c>
    </row>
    <row r="26" spans="1:8" ht="9" customHeight="1">
      <c r="A26" s="478"/>
    </row>
    <row r="27" spans="1:8" ht="28.15" customHeight="1">
      <c r="A27" s="4746" t="s">
        <v>3140</v>
      </c>
      <c r="B27" s="4746"/>
      <c r="C27" s="4746"/>
      <c r="D27" s="4746"/>
      <c r="E27" s="4746"/>
      <c r="F27" s="4746"/>
      <c r="G27" s="4746"/>
      <c r="H27" s="4746"/>
    </row>
    <row r="28" spans="1:8" ht="9" customHeight="1">
      <c r="A28" s="478"/>
    </row>
    <row r="29" spans="1:8">
      <c r="A29" s="486" t="s">
        <v>3141</v>
      </c>
      <c r="B29" s="503" t="str">
        <f>IF('Part V-Revenues &amp; Expenses'!$K$62=0,"",'Part V-Revenues &amp; Expenses'!$K$62)</f>
        <v/>
      </c>
      <c r="C29" s="486" t="s">
        <v>3142</v>
      </c>
      <c r="D29" s="504" t="s">
        <v>3143</v>
      </c>
    </row>
    <row r="30" spans="1:8" ht="1.9" customHeight="1"/>
    <row r="31" spans="1:8" ht="12.75" customHeight="1">
      <c r="C31" s="483" t="s">
        <v>3144</v>
      </c>
      <c r="D31" s="505" t="s">
        <v>209</v>
      </c>
      <c r="E31" s="506"/>
      <c r="F31" s="4746" t="s">
        <v>3145</v>
      </c>
      <c r="G31" s="4746"/>
      <c r="H31" s="4746"/>
    </row>
    <row r="32" spans="1:8" ht="12.75" customHeight="1">
      <c r="C32" s="507" t="s">
        <v>335</v>
      </c>
      <c r="D32" s="505" t="s">
        <v>217</v>
      </c>
      <c r="E32" s="4746" t="s">
        <v>3146</v>
      </c>
      <c r="F32" s="4746"/>
      <c r="G32" s="4746"/>
      <c r="H32" s="4746"/>
    </row>
    <row r="33" spans="1:11" ht="12.75" customHeight="1">
      <c r="C33" s="1169" t="s">
        <v>3147</v>
      </c>
      <c r="E33" s="4746" t="s">
        <v>3148</v>
      </c>
      <c r="F33" s="4746"/>
      <c r="G33" s="4746"/>
      <c r="H33" s="4746"/>
    </row>
    <row r="34" spans="1:11" ht="12.75" customHeight="1">
      <c r="C34" s="1170"/>
      <c r="D34" s="1168" t="s">
        <v>2518</v>
      </c>
      <c r="E34" s="4749" t="s">
        <v>3149</v>
      </c>
      <c r="F34" s="4749"/>
      <c r="G34" s="4749"/>
      <c r="H34" s="4749"/>
    </row>
    <row r="35" spans="1:11" ht="3" customHeight="1">
      <c r="D35" s="505"/>
      <c r="E35" s="835"/>
      <c r="F35" s="835"/>
      <c r="G35" s="835"/>
      <c r="H35" s="835"/>
    </row>
    <row r="36" spans="1:11" ht="12.75" customHeight="1">
      <c r="C36" s="483" t="s">
        <v>3144</v>
      </c>
      <c r="D36" s="505" t="s">
        <v>209</v>
      </c>
      <c r="E36" s="506"/>
      <c r="F36" s="502" t="s">
        <v>3145</v>
      </c>
      <c r="G36" s="502"/>
      <c r="H36" s="502"/>
    </row>
    <row r="37" spans="1:11" ht="12.75" customHeight="1">
      <c r="C37" s="507" t="s">
        <v>335</v>
      </c>
      <c r="D37" s="505" t="s">
        <v>217</v>
      </c>
      <c r="E37" s="4746" t="s">
        <v>3146</v>
      </c>
      <c r="F37" s="4746"/>
      <c r="G37" s="4746"/>
      <c r="H37" s="4746"/>
    </row>
    <row r="38" spans="1:11" ht="12.75" customHeight="1">
      <c r="C38" s="1169" t="s">
        <v>3147</v>
      </c>
      <c r="E38" s="4746" t="s">
        <v>3148</v>
      </c>
      <c r="F38" s="4746"/>
      <c r="G38" s="4746"/>
      <c r="H38" s="4746"/>
    </row>
    <row r="39" spans="1:11" ht="12.75" customHeight="1">
      <c r="C39" s="1170"/>
      <c r="D39" s="1168" t="s">
        <v>2518</v>
      </c>
      <c r="E39" s="4749" t="s">
        <v>3149</v>
      </c>
      <c r="F39" s="4749"/>
      <c r="G39" s="4749"/>
      <c r="H39" s="4749"/>
    </row>
    <row r="40" spans="1:11" ht="3" customHeight="1">
      <c r="D40" s="505"/>
      <c r="E40" s="835"/>
      <c r="F40" s="835"/>
      <c r="G40" s="835"/>
      <c r="H40" s="835"/>
    </row>
    <row r="41" spans="1:11" ht="12.75" customHeight="1">
      <c r="C41" s="483" t="s">
        <v>3144</v>
      </c>
      <c r="D41" s="505" t="s">
        <v>209</v>
      </c>
      <c r="E41" s="506"/>
      <c r="F41" s="502" t="s">
        <v>3145</v>
      </c>
      <c r="G41" s="502"/>
      <c r="H41" s="502"/>
    </row>
    <row r="42" spans="1:11" ht="12.75" customHeight="1">
      <c r="C42" s="507" t="s">
        <v>335</v>
      </c>
      <c r="D42" s="505" t="s">
        <v>217</v>
      </c>
      <c r="E42" s="4746" t="s">
        <v>3146</v>
      </c>
      <c r="F42" s="4746"/>
      <c r="G42" s="4746"/>
      <c r="H42" s="4746"/>
    </row>
    <row r="43" spans="1:11" ht="12.75" customHeight="1">
      <c r="C43" s="1169" t="s">
        <v>3147</v>
      </c>
      <c r="E43" s="4746" t="s">
        <v>3148</v>
      </c>
      <c r="F43" s="4746"/>
      <c r="G43" s="4746"/>
      <c r="H43" s="4746"/>
    </row>
    <row r="44" spans="1:11" ht="12.75" customHeight="1">
      <c r="C44" s="1170"/>
      <c r="D44" s="1168" t="s">
        <v>2518</v>
      </c>
      <c r="E44" s="4749" t="s">
        <v>3149</v>
      </c>
      <c r="F44" s="4749"/>
      <c r="G44" s="4749"/>
      <c r="H44" s="4749"/>
    </row>
    <row r="45" spans="1:11" ht="6" customHeight="1">
      <c r="D45" s="505"/>
      <c r="E45" s="835"/>
      <c r="F45" s="835"/>
      <c r="G45" s="835"/>
      <c r="H45" s="835"/>
    </row>
    <row r="46" spans="1:11">
      <c r="A46" s="486" t="s">
        <v>3141</v>
      </c>
      <c r="B46" s="503" t="str">
        <f>IF('Part V-Revenues &amp; Expenses'!$L$62=0,"",'Part V-Revenues &amp; Expenses'!$L$62)</f>
        <v/>
      </c>
      <c r="C46" s="486" t="s">
        <v>3150</v>
      </c>
      <c r="D46" s="504" t="s">
        <v>3151</v>
      </c>
    </row>
    <row r="47" spans="1:11" ht="1.9" customHeight="1">
      <c r="K47" s="477"/>
    </row>
    <row r="48" spans="1:11" ht="12.75" customHeight="1">
      <c r="C48" s="483" t="s">
        <v>3144</v>
      </c>
      <c r="D48" s="505" t="s">
        <v>209</v>
      </c>
      <c r="E48" s="506"/>
      <c r="F48" s="502" t="s">
        <v>3145</v>
      </c>
      <c r="G48" s="502"/>
      <c r="H48" s="502"/>
      <c r="K48" s="477"/>
    </row>
    <row r="49" spans="1:11" ht="12.75" customHeight="1">
      <c r="C49" s="507" t="s">
        <v>335</v>
      </c>
      <c r="D49" s="505" t="s">
        <v>217</v>
      </c>
      <c r="E49" s="4746" t="s">
        <v>3146</v>
      </c>
      <c r="F49" s="4746"/>
      <c r="G49" s="4746"/>
      <c r="H49" s="4746"/>
      <c r="K49" s="477"/>
    </row>
    <row r="50" spans="1:11" ht="12.75" customHeight="1">
      <c r="C50" s="1169" t="s">
        <v>3147</v>
      </c>
      <c r="E50" s="4746" t="s">
        <v>3148</v>
      </c>
      <c r="F50" s="4746"/>
      <c r="G50" s="4746"/>
      <c r="H50" s="4746"/>
    </row>
    <row r="51" spans="1:11" ht="12.75" customHeight="1">
      <c r="C51" s="1170"/>
      <c r="D51" s="508" t="s">
        <v>2518</v>
      </c>
      <c r="E51" s="4746" t="s">
        <v>3149</v>
      </c>
      <c r="F51" s="4746"/>
      <c r="G51" s="4746"/>
      <c r="H51" s="4746"/>
    </row>
    <row r="52" spans="1:11" ht="3" customHeight="1">
      <c r="D52" s="505"/>
      <c r="E52" s="835"/>
      <c r="F52" s="835"/>
      <c r="G52" s="835"/>
      <c r="H52" s="835"/>
    </row>
    <row r="53" spans="1:11" ht="12.75" customHeight="1">
      <c r="C53" s="483" t="s">
        <v>3144</v>
      </c>
      <c r="D53" s="505" t="s">
        <v>209</v>
      </c>
      <c r="E53" s="506"/>
      <c r="F53" s="502" t="s">
        <v>3145</v>
      </c>
      <c r="G53" s="502"/>
      <c r="H53" s="502"/>
    </row>
    <row r="54" spans="1:11" ht="12.75" customHeight="1">
      <c r="C54" s="507" t="s">
        <v>335</v>
      </c>
      <c r="D54" s="505" t="s">
        <v>217</v>
      </c>
      <c r="E54" s="4746" t="s">
        <v>3146</v>
      </c>
      <c r="F54" s="4746"/>
      <c r="G54" s="4746"/>
      <c r="H54" s="4746"/>
    </row>
    <row r="55" spans="1:11" ht="12.75" customHeight="1">
      <c r="C55" s="1169" t="s">
        <v>3147</v>
      </c>
      <c r="E55" s="4746" t="s">
        <v>3148</v>
      </c>
      <c r="F55" s="4746"/>
      <c r="G55" s="4746"/>
      <c r="H55" s="4746"/>
    </row>
    <row r="56" spans="1:11" ht="12.75" customHeight="1">
      <c r="C56" s="1170"/>
      <c r="D56" s="1168" t="s">
        <v>2518</v>
      </c>
      <c r="E56" s="4749" t="s">
        <v>3149</v>
      </c>
      <c r="F56" s="4749"/>
      <c r="G56" s="4749"/>
      <c r="H56" s="4749"/>
    </row>
    <row r="57" spans="1:11" ht="3" customHeight="1">
      <c r="D57" s="505"/>
      <c r="E57" s="835"/>
      <c r="F57" s="835"/>
      <c r="G57" s="835"/>
      <c r="H57" s="835"/>
    </row>
    <row r="58" spans="1:11" ht="12.75" customHeight="1">
      <c r="C58" s="483" t="s">
        <v>3144</v>
      </c>
      <c r="D58" s="505" t="s">
        <v>209</v>
      </c>
      <c r="E58" s="506"/>
      <c r="F58" s="502" t="s">
        <v>3145</v>
      </c>
      <c r="G58" s="502"/>
      <c r="H58" s="502"/>
    </row>
    <row r="59" spans="1:11" ht="12.75" customHeight="1">
      <c r="C59" s="507" t="s">
        <v>335</v>
      </c>
      <c r="D59" s="505" t="s">
        <v>217</v>
      </c>
      <c r="E59" s="4746" t="s">
        <v>3146</v>
      </c>
      <c r="F59" s="4746"/>
      <c r="G59" s="4746"/>
      <c r="H59" s="4746"/>
    </row>
    <row r="60" spans="1:11" ht="12.75" customHeight="1">
      <c r="C60" s="1169" t="s">
        <v>3147</v>
      </c>
      <c r="E60" s="4746" t="s">
        <v>3148</v>
      </c>
      <c r="F60" s="4746"/>
      <c r="G60" s="4746"/>
      <c r="H60" s="4746"/>
    </row>
    <row r="61" spans="1:11" ht="12.75" customHeight="1">
      <c r="C61" s="1170"/>
      <c r="D61" s="1168" t="s">
        <v>2518</v>
      </c>
      <c r="E61" s="4749" t="s">
        <v>3149</v>
      </c>
      <c r="F61" s="4749"/>
      <c r="G61" s="4749"/>
      <c r="H61" s="4749"/>
    </row>
    <row r="62" spans="1:11" ht="6" customHeight="1">
      <c r="D62" s="505"/>
      <c r="E62" s="835"/>
      <c r="F62" s="835"/>
      <c r="G62" s="835"/>
      <c r="H62" s="835"/>
    </row>
    <row r="63" spans="1:11">
      <c r="A63" s="486" t="s">
        <v>3141</v>
      </c>
      <c r="B63" s="503" t="str">
        <f>IF('Part V-Revenues &amp; Expenses'!$M$62=0,"",'Part V-Revenues &amp; Expenses'!$M$62)</f>
        <v/>
      </c>
      <c r="C63" s="486" t="s">
        <v>3152</v>
      </c>
      <c r="D63" s="504" t="s">
        <v>3153</v>
      </c>
    </row>
    <row r="64" spans="1:11" ht="1.9" customHeight="1"/>
    <row r="65" spans="1:8" ht="12.75" customHeight="1">
      <c r="C65" s="483" t="s">
        <v>3144</v>
      </c>
      <c r="D65" s="505" t="s">
        <v>209</v>
      </c>
      <c r="E65" s="506"/>
      <c r="F65" s="502" t="s">
        <v>3145</v>
      </c>
      <c r="G65" s="502"/>
      <c r="H65" s="502"/>
    </row>
    <row r="66" spans="1:8" ht="12.75" customHeight="1">
      <c r="C66" s="507" t="s">
        <v>335</v>
      </c>
      <c r="D66" s="505" t="s">
        <v>217</v>
      </c>
      <c r="E66" s="4746" t="s">
        <v>3146</v>
      </c>
      <c r="F66" s="4746"/>
      <c r="G66" s="4746"/>
      <c r="H66" s="4746"/>
    </row>
    <row r="67" spans="1:8" ht="12.75" customHeight="1">
      <c r="C67" s="1169" t="s">
        <v>3147</v>
      </c>
      <c r="E67" s="4746" t="s">
        <v>3148</v>
      </c>
      <c r="F67" s="4746"/>
      <c r="G67" s="4746"/>
      <c r="H67" s="4746"/>
    </row>
    <row r="68" spans="1:8" ht="12.75" customHeight="1">
      <c r="C68" s="1170"/>
      <c r="D68" s="508" t="s">
        <v>2518</v>
      </c>
      <c r="E68" s="4746" t="s">
        <v>3149</v>
      </c>
      <c r="F68" s="4746"/>
      <c r="G68" s="4746"/>
      <c r="H68" s="4746"/>
    </row>
    <row r="69" spans="1:8" ht="3" customHeight="1">
      <c r="D69" s="505"/>
      <c r="E69" s="835"/>
      <c r="F69" s="835"/>
      <c r="G69" s="835"/>
      <c r="H69" s="835"/>
    </row>
    <row r="70" spans="1:8" ht="12.75" customHeight="1">
      <c r="C70" s="483" t="s">
        <v>3144</v>
      </c>
      <c r="D70" s="505" t="s">
        <v>209</v>
      </c>
      <c r="E70" s="506"/>
      <c r="F70" s="502" t="s">
        <v>3145</v>
      </c>
      <c r="G70" s="502"/>
      <c r="H70" s="502"/>
    </row>
    <row r="71" spans="1:8" ht="12.75" customHeight="1">
      <c r="C71" s="507" t="s">
        <v>335</v>
      </c>
      <c r="D71" s="505" t="s">
        <v>217</v>
      </c>
      <c r="E71" s="4746" t="s">
        <v>3146</v>
      </c>
      <c r="F71" s="4746"/>
      <c r="G71" s="4746"/>
      <c r="H71" s="4746"/>
    </row>
    <row r="72" spans="1:8" ht="12.75" customHeight="1">
      <c r="C72" s="1169" t="s">
        <v>3147</v>
      </c>
      <c r="E72" s="4746" t="s">
        <v>3148</v>
      </c>
      <c r="F72" s="4746"/>
      <c r="G72" s="4746"/>
      <c r="H72" s="4746"/>
    </row>
    <row r="73" spans="1:8" ht="12.75" customHeight="1">
      <c r="C73" s="1170"/>
      <c r="D73" s="1168" t="s">
        <v>2518</v>
      </c>
      <c r="E73" s="4749" t="s">
        <v>3149</v>
      </c>
      <c r="F73" s="4749"/>
      <c r="G73" s="4749"/>
      <c r="H73" s="4749"/>
    </row>
    <row r="74" spans="1:8" ht="3" customHeight="1">
      <c r="D74" s="505"/>
      <c r="E74" s="835"/>
      <c r="F74" s="835"/>
      <c r="G74" s="835"/>
      <c r="H74" s="835"/>
    </row>
    <row r="75" spans="1:8" ht="12.75" customHeight="1">
      <c r="C75" s="483" t="s">
        <v>3144</v>
      </c>
      <c r="D75" s="505" t="s">
        <v>209</v>
      </c>
      <c r="E75" s="506"/>
      <c r="F75" s="502" t="s">
        <v>3145</v>
      </c>
      <c r="G75" s="502"/>
      <c r="H75" s="502"/>
    </row>
    <row r="76" spans="1:8" ht="12.75" customHeight="1">
      <c r="C76" s="507" t="s">
        <v>335</v>
      </c>
      <c r="D76" s="505" t="s">
        <v>217</v>
      </c>
      <c r="E76" s="4746" t="s">
        <v>3146</v>
      </c>
      <c r="F76" s="4746"/>
      <c r="G76" s="4746"/>
      <c r="H76" s="4746"/>
    </row>
    <row r="77" spans="1:8" ht="12.75" customHeight="1">
      <c r="C77" s="1169" t="s">
        <v>3147</v>
      </c>
      <c r="E77" s="4746" t="s">
        <v>3148</v>
      </c>
      <c r="F77" s="4746"/>
      <c r="G77" s="4746"/>
      <c r="H77" s="4746"/>
    </row>
    <row r="78" spans="1:8" ht="12.75" customHeight="1">
      <c r="C78" s="1170"/>
      <c r="D78" s="1168" t="s">
        <v>2518</v>
      </c>
      <c r="E78" s="4749" t="s">
        <v>3149</v>
      </c>
      <c r="F78" s="4749"/>
      <c r="G78" s="4749"/>
      <c r="H78" s="4749"/>
    </row>
    <row r="79" spans="1:8" ht="6" customHeight="1">
      <c r="D79" s="505"/>
      <c r="E79" s="835"/>
      <c r="F79" s="835"/>
      <c r="G79" s="835"/>
      <c r="H79" s="835"/>
    </row>
    <row r="80" spans="1:8">
      <c r="A80" s="486" t="s">
        <v>3141</v>
      </c>
      <c r="B80" s="503" t="str">
        <f>IF('Part V-Revenues &amp; Expenses'!$N$62=0,"",'Part V-Revenues &amp; Expenses'!$N$62)</f>
        <v/>
      </c>
      <c r="C80" s="486" t="s">
        <v>3154</v>
      </c>
      <c r="D80" s="504" t="s">
        <v>3155</v>
      </c>
    </row>
    <row r="81" spans="3:8" ht="1.9" customHeight="1"/>
    <row r="82" spans="3:8" ht="12.75" customHeight="1">
      <c r="C82" s="483" t="s">
        <v>3144</v>
      </c>
      <c r="D82" s="505" t="s">
        <v>209</v>
      </c>
      <c r="E82" s="506"/>
      <c r="F82" s="502" t="s">
        <v>3145</v>
      </c>
      <c r="G82" s="502"/>
      <c r="H82" s="502"/>
    </row>
    <row r="83" spans="3:8" ht="12.75" customHeight="1">
      <c r="C83" s="507" t="s">
        <v>335</v>
      </c>
      <c r="D83" s="505" t="s">
        <v>217</v>
      </c>
      <c r="E83" s="4746" t="s">
        <v>3146</v>
      </c>
      <c r="F83" s="4746"/>
      <c r="G83" s="4746"/>
      <c r="H83" s="4746"/>
    </row>
    <row r="84" spans="3:8" ht="12.75" customHeight="1">
      <c r="C84" s="1169" t="s">
        <v>3147</v>
      </c>
      <c r="E84" s="4746" t="s">
        <v>3148</v>
      </c>
      <c r="F84" s="4746"/>
      <c r="G84" s="4746"/>
      <c r="H84" s="4746"/>
    </row>
    <row r="85" spans="3:8" ht="12.75" customHeight="1">
      <c r="C85" s="1170"/>
      <c r="D85" s="508" t="s">
        <v>2518</v>
      </c>
      <c r="E85" s="4746" t="s">
        <v>3149</v>
      </c>
      <c r="F85" s="4746"/>
      <c r="G85" s="4746"/>
      <c r="H85" s="4746"/>
    </row>
    <row r="86" spans="3:8" ht="3" customHeight="1">
      <c r="D86" s="505"/>
      <c r="E86" s="835"/>
      <c r="F86" s="835"/>
      <c r="G86" s="835"/>
      <c r="H86" s="835"/>
    </row>
    <row r="87" spans="3:8" ht="12.75" customHeight="1">
      <c r="C87" s="483" t="s">
        <v>3144</v>
      </c>
      <c r="D87" s="505" t="s">
        <v>209</v>
      </c>
      <c r="E87" s="506"/>
      <c r="F87" s="502" t="s">
        <v>3145</v>
      </c>
      <c r="G87" s="502"/>
      <c r="H87" s="502"/>
    </row>
    <row r="88" spans="3:8" ht="12.75" customHeight="1">
      <c r="C88" s="507" t="s">
        <v>335</v>
      </c>
      <c r="D88" s="505" t="s">
        <v>217</v>
      </c>
      <c r="E88" s="4746" t="s">
        <v>3146</v>
      </c>
      <c r="F88" s="4746"/>
      <c r="G88" s="4746"/>
      <c r="H88" s="4746"/>
    </row>
    <row r="89" spans="3:8" ht="12.75" customHeight="1">
      <c r="C89" s="1169" t="s">
        <v>3147</v>
      </c>
      <c r="E89" s="4746" t="s">
        <v>3148</v>
      </c>
      <c r="F89" s="4746"/>
      <c r="G89" s="4746"/>
      <c r="H89" s="4746"/>
    </row>
    <row r="90" spans="3:8" ht="12.75" customHeight="1">
      <c r="C90" s="1170"/>
      <c r="D90" s="1168" t="s">
        <v>2518</v>
      </c>
      <c r="E90" s="4749" t="s">
        <v>3149</v>
      </c>
      <c r="F90" s="4749"/>
      <c r="G90" s="4749"/>
      <c r="H90" s="4749"/>
    </row>
    <row r="91" spans="3:8" ht="3" customHeight="1">
      <c r="D91" s="505"/>
      <c r="E91" s="835"/>
      <c r="F91" s="835"/>
      <c r="G91" s="835"/>
      <c r="H91" s="835"/>
    </row>
    <row r="92" spans="3:8" ht="12.75" customHeight="1">
      <c r="C92" s="483" t="s">
        <v>3144</v>
      </c>
      <c r="D92" s="505" t="s">
        <v>209</v>
      </c>
      <c r="E92" s="506"/>
      <c r="F92" s="502" t="s">
        <v>3145</v>
      </c>
      <c r="G92" s="502"/>
      <c r="H92" s="502"/>
    </row>
    <row r="93" spans="3:8" ht="12.75" customHeight="1">
      <c r="C93" s="507" t="s">
        <v>335</v>
      </c>
      <c r="D93" s="505" t="s">
        <v>217</v>
      </c>
      <c r="E93" s="4746" t="s">
        <v>3146</v>
      </c>
      <c r="F93" s="4746"/>
      <c r="G93" s="4746"/>
      <c r="H93" s="4746"/>
    </row>
    <row r="94" spans="3:8" ht="12.75" customHeight="1">
      <c r="C94" s="1169" t="s">
        <v>3147</v>
      </c>
      <c r="E94" s="4746" t="s">
        <v>3148</v>
      </c>
      <c r="F94" s="4746"/>
      <c r="G94" s="4746"/>
      <c r="H94" s="4746"/>
    </row>
    <row r="95" spans="3:8" ht="12.75" customHeight="1">
      <c r="C95" s="1170"/>
      <c r="D95" s="1168" t="s">
        <v>2518</v>
      </c>
      <c r="E95" s="4749" t="s">
        <v>3149</v>
      </c>
      <c r="F95" s="4749"/>
      <c r="G95" s="4749"/>
      <c r="H95" s="4749"/>
    </row>
    <row r="96" spans="3:8" ht="6" customHeight="1">
      <c r="D96" s="505"/>
      <c r="E96" s="835"/>
      <c r="F96" s="835"/>
      <c r="G96" s="835"/>
      <c r="H96" s="835"/>
    </row>
    <row r="97" spans="1:11">
      <c r="A97" s="486" t="s">
        <v>3141</v>
      </c>
      <c r="B97" s="503" t="str">
        <f>IF('Part V-Revenues &amp; Expenses'!$O$62=0,"",'Part V-Revenues &amp; Expenses'!$O$62)</f>
        <v/>
      </c>
      <c r="C97" s="486" t="s">
        <v>3156</v>
      </c>
      <c r="D97" s="504" t="s">
        <v>3157</v>
      </c>
    </row>
    <row r="98" spans="1:11" ht="1.9" customHeight="1"/>
    <row r="99" spans="1:11" ht="12.75" customHeight="1">
      <c r="C99" s="483" t="s">
        <v>3144</v>
      </c>
      <c r="D99" s="505" t="s">
        <v>209</v>
      </c>
      <c r="E99" s="506"/>
      <c r="F99" s="4746" t="s">
        <v>3145</v>
      </c>
      <c r="G99" s="4746"/>
      <c r="H99" s="4746"/>
      <c r="K99" s="324" t="s">
        <v>2682</v>
      </c>
    </row>
    <row r="100" spans="1:11" ht="12.75" customHeight="1">
      <c r="C100" s="507" t="s">
        <v>335</v>
      </c>
      <c r="D100" s="505" t="s">
        <v>217</v>
      </c>
      <c r="E100" s="4746" t="s">
        <v>3158</v>
      </c>
      <c r="F100" s="4746"/>
      <c r="G100" s="4746"/>
      <c r="H100" s="4746"/>
    </row>
    <row r="101" spans="1:11" ht="12.75" customHeight="1">
      <c r="E101" s="4746" t="s">
        <v>3148</v>
      </c>
      <c r="F101" s="4746"/>
      <c r="G101" s="4746"/>
      <c r="H101" s="4746"/>
    </row>
    <row r="102" spans="1:11" ht="12.75" customHeight="1">
      <c r="D102" s="508" t="s">
        <v>2518</v>
      </c>
      <c r="E102" s="4746" t="s">
        <v>3149</v>
      </c>
      <c r="F102" s="4746"/>
      <c r="G102" s="4746"/>
      <c r="H102" s="4746"/>
    </row>
    <row r="103" spans="1:11" ht="9" customHeight="1" thickBot="1"/>
    <row r="104" spans="1:11" ht="16.149999999999999" customHeight="1" thickBot="1">
      <c r="A104" s="4747">
        <v>30</v>
      </c>
      <c r="B104" s="4748"/>
      <c r="C104" s="1171" t="s">
        <v>1165</v>
      </c>
    </row>
    <row r="105" spans="1:11" ht="9" customHeight="1">
      <c r="A105" s="478"/>
    </row>
    <row r="106" spans="1:11" ht="28.15" customHeight="1">
      <c r="A106" s="4746" t="s">
        <v>3159</v>
      </c>
      <c r="B106" s="4746"/>
      <c r="C106" s="4746"/>
      <c r="D106" s="4746"/>
      <c r="E106" s="4746"/>
      <c r="F106" s="4746"/>
      <c r="G106" s="4746"/>
      <c r="H106" s="4746"/>
    </row>
    <row r="107" spans="1:11" ht="9" customHeight="1">
      <c r="A107" s="478"/>
    </row>
    <row r="108" spans="1:11">
      <c r="A108" s="486" t="s">
        <v>3141</v>
      </c>
      <c r="B108" s="503" t="str">
        <f>IF('Part V-Revenues &amp; Expenses'!$K$61=0,"",'Part V-Revenues &amp; Expenses'!$K$61)</f>
        <v/>
      </c>
      <c r="C108" s="486" t="s">
        <v>3142</v>
      </c>
      <c r="D108" s="504" t="s">
        <v>3143</v>
      </c>
    </row>
    <row r="109" spans="1:11" ht="1.9" customHeight="1"/>
    <row r="110" spans="1:11" ht="12.75" customHeight="1">
      <c r="C110" s="483" t="s">
        <v>3144</v>
      </c>
      <c r="D110" s="505" t="s">
        <v>209</v>
      </c>
      <c r="E110" s="506"/>
      <c r="F110" s="4746" t="s">
        <v>3145</v>
      </c>
      <c r="G110" s="4746"/>
      <c r="H110" s="4746"/>
    </row>
    <row r="111" spans="1:11" ht="12.75" customHeight="1">
      <c r="C111" s="507" t="s">
        <v>335</v>
      </c>
      <c r="D111" s="505" t="s">
        <v>217</v>
      </c>
      <c r="E111" s="4746" t="s">
        <v>3146</v>
      </c>
      <c r="F111" s="4746"/>
      <c r="G111" s="4746"/>
      <c r="H111" s="4746"/>
    </row>
    <row r="112" spans="1:11" ht="12.75" customHeight="1">
      <c r="C112" s="1169" t="s">
        <v>3147</v>
      </c>
      <c r="E112" s="4746" t="s">
        <v>3148</v>
      </c>
      <c r="F112" s="4746"/>
      <c r="G112" s="4746"/>
      <c r="H112" s="4746"/>
    </row>
    <row r="113" spans="1:8" ht="12.75" customHeight="1">
      <c r="C113" s="1170"/>
      <c r="D113" s="1168" t="s">
        <v>2518</v>
      </c>
      <c r="E113" s="4749" t="s">
        <v>3149</v>
      </c>
      <c r="F113" s="4749"/>
      <c r="G113" s="4749"/>
      <c r="H113" s="4749"/>
    </row>
    <row r="114" spans="1:8" ht="3" customHeight="1">
      <c r="D114" s="505"/>
      <c r="E114" s="835"/>
      <c r="F114" s="835"/>
      <c r="G114" s="835"/>
      <c r="H114" s="835"/>
    </row>
    <row r="115" spans="1:8" ht="12.75" customHeight="1">
      <c r="C115" s="483" t="s">
        <v>3144</v>
      </c>
      <c r="D115" s="505" t="s">
        <v>209</v>
      </c>
      <c r="E115" s="506"/>
      <c r="F115" s="502" t="s">
        <v>3145</v>
      </c>
      <c r="G115" s="502"/>
      <c r="H115" s="502"/>
    </row>
    <row r="116" spans="1:8" ht="12.75" customHeight="1">
      <c r="C116" s="507" t="s">
        <v>335</v>
      </c>
      <c r="D116" s="505" t="s">
        <v>217</v>
      </c>
      <c r="E116" s="4746" t="s">
        <v>3146</v>
      </c>
      <c r="F116" s="4746"/>
      <c r="G116" s="4746"/>
      <c r="H116" s="4746"/>
    </row>
    <row r="117" spans="1:8" ht="12.75" customHeight="1">
      <c r="C117" s="1169" t="s">
        <v>3147</v>
      </c>
      <c r="E117" s="4746" t="s">
        <v>3148</v>
      </c>
      <c r="F117" s="4746"/>
      <c r="G117" s="4746"/>
      <c r="H117" s="4746"/>
    </row>
    <row r="118" spans="1:8" ht="12.75" customHeight="1">
      <c r="C118" s="1170"/>
      <c r="D118" s="1168" t="s">
        <v>2518</v>
      </c>
      <c r="E118" s="4749" t="s">
        <v>3149</v>
      </c>
      <c r="F118" s="4749"/>
      <c r="G118" s="4749"/>
      <c r="H118" s="4749"/>
    </row>
    <row r="119" spans="1:8" ht="3" customHeight="1">
      <c r="D119" s="505"/>
      <c r="E119" s="835"/>
      <c r="F119" s="835"/>
      <c r="G119" s="835"/>
      <c r="H119" s="835"/>
    </row>
    <row r="120" spans="1:8" ht="12.75" customHeight="1">
      <c r="C120" s="483" t="s">
        <v>3144</v>
      </c>
      <c r="D120" s="505" t="s">
        <v>209</v>
      </c>
      <c r="E120" s="506"/>
      <c r="F120" s="502" t="s">
        <v>3145</v>
      </c>
      <c r="G120" s="502"/>
      <c r="H120" s="502"/>
    </row>
    <row r="121" spans="1:8" ht="12.75" customHeight="1">
      <c r="C121" s="507" t="s">
        <v>335</v>
      </c>
      <c r="D121" s="505" t="s">
        <v>217</v>
      </c>
      <c r="E121" s="4746" t="s">
        <v>3146</v>
      </c>
      <c r="F121" s="4746"/>
      <c r="G121" s="4746"/>
      <c r="H121" s="4746"/>
    </row>
    <row r="122" spans="1:8" ht="12.75" customHeight="1">
      <c r="C122" s="1169" t="s">
        <v>3147</v>
      </c>
      <c r="E122" s="4746" t="s">
        <v>3148</v>
      </c>
      <c r="F122" s="4746"/>
      <c r="G122" s="4746"/>
      <c r="H122" s="4746"/>
    </row>
    <row r="123" spans="1:8" ht="12.75" customHeight="1">
      <c r="C123" s="1170"/>
      <c r="D123" s="1168" t="s">
        <v>2518</v>
      </c>
      <c r="E123" s="4749" t="s">
        <v>3149</v>
      </c>
      <c r="F123" s="4749"/>
      <c r="G123" s="4749"/>
      <c r="H123" s="4749"/>
    </row>
    <row r="124" spans="1:8" ht="6" customHeight="1">
      <c r="D124" s="505"/>
      <c r="E124" s="835"/>
      <c r="F124" s="835"/>
      <c r="G124" s="835"/>
      <c r="H124" s="835"/>
    </row>
    <row r="125" spans="1:8">
      <c r="A125" s="486" t="s">
        <v>3141</v>
      </c>
      <c r="B125" s="503" t="str">
        <f>IF('Part V-Revenues &amp; Expenses'!$L$61=0,"",'Part V-Revenues &amp; Expenses'!$L$61)</f>
        <v/>
      </c>
      <c r="C125" s="486" t="s">
        <v>3150</v>
      </c>
      <c r="D125" s="504" t="s">
        <v>3151</v>
      </c>
    </row>
    <row r="126" spans="1:8" ht="1.9" customHeight="1"/>
    <row r="127" spans="1:8" ht="12.75" customHeight="1">
      <c r="C127" s="483" t="s">
        <v>3144</v>
      </c>
      <c r="D127" s="505" t="s">
        <v>209</v>
      </c>
      <c r="E127" s="506"/>
      <c r="F127" s="502" t="s">
        <v>3145</v>
      </c>
      <c r="G127" s="502"/>
      <c r="H127" s="502"/>
    </row>
    <row r="128" spans="1:8" ht="12.75" customHeight="1">
      <c r="C128" s="507" t="s">
        <v>335</v>
      </c>
      <c r="D128" s="505" t="s">
        <v>217</v>
      </c>
      <c r="E128" s="4746" t="s">
        <v>3146</v>
      </c>
      <c r="F128" s="4746"/>
      <c r="G128" s="4746"/>
      <c r="H128" s="4746"/>
    </row>
    <row r="129" spans="1:8" ht="12.75" customHeight="1">
      <c r="C129" s="1169" t="s">
        <v>3147</v>
      </c>
      <c r="E129" s="4746" t="s">
        <v>3148</v>
      </c>
      <c r="F129" s="4746"/>
      <c r="G129" s="4746"/>
      <c r="H129" s="4746"/>
    </row>
    <row r="130" spans="1:8" ht="12.75" customHeight="1">
      <c r="C130" s="1170"/>
      <c r="D130" s="508" t="s">
        <v>2518</v>
      </c>
      <c r="E130" s="4746" t="s">
        <v>3149</v>
      </c>
      <c r="F130" s="4746"/>
      <c r="G130" s="4746"/>
      <c r="H130" s="4746"/>
    </row>
    <row r="131" spans="1:8" ht="3" customHeight="1">
      <c r="D131" s="505"/>
      <c r="E131" s="835"/>
      <c r="F131" s="835"/>
      <c r="G131" s="835"/>
      <c r="H131" s="835"/>
    </row>
    <row r="132" spans="1:8" ht="12.75" customHeight="1">
      <c r="C132" s="483" t="s">
        <v>3144</v>
      </c>
      <c r="D132" s="505" t="s">
        <v>209</v>
      </c>
      <c r="E132" s="506"/>
      <c r="F132" s="502" t="s">
        <v>3145</v>
      </c>
      <c r="G132" s="502"/>
      <c r="H132" s="502"/>
    </row>
    <row r="133" spans="1:8" ht="12.75" customHeight="1">
      <c r="C133" s="507" t="s">
        <v>335</v>
      </c>
      <c r="D133" s="505" t="s">
        <v>217</v>
      </c>
      <c r="E133" s="4746" t="s">
        <v>3146</v>
      </c>
      <c r="F133" s="4746"/>
      <c r="G133" s="4746"/>
      <c r="H133" s="4746"/>
    </row>
    <row r="134" spans="1:8" ht="12.75" customHeight="1">
      <c r="C134" s="1169" t="s">
        <v>3147</v>
      </c>
      <c r="E134" s="4746" t="s">
        <v>3148</v>
      </c>
      <c r="F134" s="4746"/>
      <c r="G134" s="4746"/>
      <c r="H134" s="4746"/>
    </row>
    <row r="135" spans="1:8" ht="12.75" customHeight="1">
      <c r="C135" s="1170"/>
      <c r="D135" s="1168" t="s">
        <v>2518</v>
      </c>
      <c r="E135" s="4749" t="s">
        <v>3149</v>
      </c>
      <c r="F135" s="4749"/>
      <c r="G135" s="4749"/>
      <c r="H135" s="4749"/>
    </row>
    <row r="136" spans="1:8" ht="3" customHeight="1">
      <c r="D136" s="505"/>
      <c r="E136" s="835"/>
      <c r="F136" s="835"/>
      <c r="G136" s="835"/>
      <c r="H136" s="835"/>
    </row>
    <row r="137" spans="1:8" ht="12.75" customHeight="1">
      <c r="C137" s="483" t="s">
        <v>3144</v>
      </c>
      <c r="D137" s="505" t="s">
        <v>209</v>
      </c>
      <c r="E137" s="506"/>
      <c r="F137" s="502" t="s">
        <v>3145</v>
      </c>
      <c r="G137" s="502"/>
      <c r="H137" s="502"/>
    </row>
    <row r="138" spans="1:8" ht="12.75" customHeight="1">
      <c r="C138" s="507" t="s">
        <v>335</v>
      </c>
      <c r="D138" s="505" t="s">
        <v>217</v>
      </c>
      <c r="E138" s="4746" t="s">
        <v>3146</v>
      </c>
      <c r="F138" s="4746"/>
      <c r="G138" s="4746"/>
      <c r="H138" s="4746"/>
    </row>
    <row r="139" spans="1:8" ht="12.75" customHeight="1">
      <c r="C139" s="1169" t="s">
        <v>3147</v>
      </c>
      <c r="E139" s="4746" t="s">
        <v>3148</v>
      </c>
      <c r="F139" s="4746"/>
      <c r="G139" s="4746"/>
      <c r="H139" s="4746"/>
    </row>
    <row r="140" spans="1:8" ht="12.75" customHeight="1">
      <c r="C140" s="1170"/>
      <c r="D140" s="1168" t="s">
        <v>2518</v>
      </c>
      <c r="E140" s="4749" t="s">
        <v>3149</v>
      </c>
      <c r="F140" s="4749"/>
      <c r="G140" s="4749"/>
      <c r="H140" s="4749"/>
    </row>
    <row r="141" spans="1:8" ht="6" customHeight="1">
      <c r="D141" s="505"/>
      <c r="E141" s="835"/>
      <c r="F141" s="835"/>
      <c r="G141" s="835"/>
      <c r="H141" s="835"/>
    </row>
    <row r="142" spans="1:8">
      <c r="A142" s="486" t="s">
        <v>3141</v>
      </c>
      <c r="B142" s="503" t="str">
        <f>IF('Part V-Revenues &amp; Expenses'!$M$61=0,"",'Part V-Revenues &amp; Expenses'!$M$61)</f>
        <v/>
      </c>
      <c r="C142" s="486" t="s">
        <v>3152</v>
      </c>
      <c r="D142" s="504" t="s">
        <v>3153</v>
      </c>
    </row>
    <row r="143" spans="1:8" ht="1.9" customHeight="1"/>
    <row r="144" spans="1:8" ht="12.75" customHeight="1">
      <c r="C144" s="483" t="s">
        <v>3144</v>
      </c>
      <c r="D144" s="505" t="s">
        <v>209</v>
      </c>
      <c r="E144" s="506"/>
      <c r="F144" s="502" t="s">
        <v>3145</v>
      </c>
      <c r="G144" s="502"/>
      <c r="H144" s="502"/>
    </row>
    <row r="145" spans="1:8" ht="12.75" customHeight="1">
      <c r="C145" s="507" t="s">
        <v>335</v>
      </c>
      <c r="D145" s="505" t="s">
        <v>217</v>
      </c>
      <c r="E145" s="4746" t="s">
        <v>3146</v>
      </c>
      <c r="F145" s="4746"/>
      <c r="G145" s="4746"/>
      <c r="H145" s="4746"/>
    </row>
    <row r="146" spans="1:8" ht="12.75" customHeight="1">
      <c r="C146" s="1169" t="s">
        <v>3147</v>
      </c>
      <c r="E146" s="4746" t="s">
        <v>3148</v>
      </c>
      <c r="F146" s="4746"/>
      <c r="G146" s="4746"/>
      <c r="H146" s="4746"/>
    </row>
    <row r="147" spans="1:8" ht="12.75" customHeight="1">
      <c r="C147" s="1170"/>
      <c r="D147" s="508" t="s">
        <v>2518</v>
      </c>
      <c r="E147" s="4746" t="s">
        <v>3149</v>
      </c>
      <c r="F147" s="4746"/>
      <c r="G147" s="4746"/>
      <c r="H147" s="4746"/>
    </row>
    <row r="148" spans="1:8" ht="3" customHeight="1">
      <c r="D148" s="505"/>
      <c r="E148" s="835"/>
      <c r="F148" s="835"/>
      <c r="G148" s="835"/>
      <c r="H148" s="835"/>
    </row>
    <row r="149" spans="1:8" ht="12.75" customHeight="1">
      <c r="C149" s="483" t="s">
        <v>3144</v>
      </c>
      <c r="D149" s="505" t="s">
        <v>209</v>
      </c>
      <c r="E149" s="506"/>
      <c r="F149" s="502" t="s">
        <v>3145</v>
      </c>
      <c r="G149" s="502"/>
      <c r="H149" s="502"/>
    </row>
    <row r="150" spans="1:8" ht="12.75" customHeight="1">
      <c r="C150" s="507" t="s">
        <v>335</v>
      </c>
      <c r="D150" s="505" t="s">
        <v>217</v>
      </c>
      <c r="E150" s="4746" t="s">
        <v>3146</v>
      </c>
      <c r="F150" s="4746"/>
      <c r="G150" s="4746"/>
      <c r="H150" s="4746"/>
    </row>
    <row r="151" spans="1:8" ht="12.75" customHeight="1">
      <c r="C151" s="1169" t="s">
        <v>3147</v>
      </c>
      <c r="E151" s="4746" t="s">
        <v>3148</v>
      </c>
      <c r="F151" s="4746"/>
      <c r="G151" s="4746"/>
      <c r="H151" s="4746"/>
    </row>
    <row r="152" spans="1:8" ht="12.75" customHeight="1">
      <c r="C152" s="1170"/>
      <c r="D152" s="1168" t="s">
        <v>2518</v>
      </c>
      <c r="E152" s="4749" t="s">
        <v>3149</v>
      </c>
      <c r="F152" s="4749"/>
      <c r="G152" s="4749"/>
      <c r="H152" s="4749"/>
    </row>
    <row r="153" spans="1:8" ht="3" customHeight="1">
      <c r="D153" s="505"/>
      <c r="E153" s="835"/>
      <c r="F153" s="835"/>
      <c r="G153" s="835"/>
      <c r="H153" s="835"/>
    </row>
    <row r="154" spans="1:8" ht="12.75" customHeight="1">
      <c r="C154" s="483" t="s">
        <v>3144</v>
      </c>
      <c r="D154" s="505" t="s">
        <v>209</v>
      </c>
      <c r="E154" s="506"/>
      <c r="F154" s="502" t="s">
        <v>3145</v>
      </c>
      <c r="G154" s="502"/>
      <c r="H154" s="502"/>
    </row>
    <row r="155" spans="1:8" ht="12.75" customHeight="1">
      <c r="C155" s="507" t="s">
        <v>335</v>
      </c>
      <c r="D155" s="505" t="s">
        <v>217</v>
      </c>
      <c r="E155" s="4746" t="s">
        <v>3146</v>
      </c>
      <c r="F155" s="4746"/>
      <c r="G155" s="4746"/>
      <c r="H155" s="4746"/>
    </row>
    <row r="156" spans="1:8" ht="12.75" customHeight="1">
      <c r="C156" s="1169" t="s">
        <v>3147</v>
      </c>
      <c r="E156" s="4746" t="s">
        <v>3148</v>
      </c>
      <c r="F156" s="4746"/>
      <c r="G156" s="4746"/>
      <c r="H156" s="4746"/>
    </row>
    <row r="157" spans="1:8" ht="12.75" customHeight="1">
      <c r="C157" s="1170"/>
      <c r="D157" s="1168" t="s">
        <v>2518</v>
      </c>
      <c r="E157" s="4749" t="s">
        <v>3149</v>
      </c>
      <c r="F157" s="4749"/>
      <c r="G157" s="4749"/>
      <c r="H157" s="4749"/>
    </row>
    <row r="158" spans="1:8" ht="6" customHeight="1">
      <c r="D158" s="505"/>
      <c r="E158" s="835"/>
      <c r="F158" s="835"/>
      <c r="G158" s="835"/>
      <c r="H158" s="835"/>
    </row>
    <row r="159" spans="1:8">
      <c r="A159" s="486" t="s">
        <v>3141</v>
      </c>
      <c r="B159" s="503" t="str">
        <f>IF('Part V-Revenues &amp; Expenses'!$N$61=0,"",'Part V-Revenues &amp; Expenses'!$N$61)</f>
        <v/>
      </c>
      <c r="C159" s="486" t="s">
        <v>3154</v>
      </c>
      <c r="D159" s="504" t="s">
        <v>3155</v>
      </c>
    </row>
    <row r="160" spans="1:8" ht="1.9" customHeight="1"/>
    <row r="161" spans="1:8" ht="12.75" customHeight="1">
      <c r="C161" s="483" t="s">
        <v>3144</v>
      </c>
      <c r="D161" s="505" t="s">
        <v>209</v>
      </c>
      <c r="E161" s="506"/>
      <c r="F161" s="502" t="s">
        <v>3145</v>
      </c>
      <c r="G161" s="502"/>
      <c r="H161" s="502"/>
    </row>
    <row r="162" spans="1:8" ht="12.75" customHeight="1">
      <c r="C162" s="507" t="s">
        <v>335</v>
      </c>
      <c r="D162" s="505" t="s">
        <v>217</v>
      </c>
      <c r="E162" s="4746" t="s">
        <v>3146</v>
      </c>
      <c r="F162" s="4746"/>
      <c r="G162" s="4746"/>
      <c r="H162" s="4746"/>
    </row>
    <row r="163" spans="1:8" ht="12.75" customHeight="1">
      <c r="C163" s="1169" t="s">
        <v>3147</v>
      </c>
      <c r="E163" s="4746" t="s">
        <v>3148</v>
      </c>
      <c r="F163" s="4746"/>
      <c r="G163" s="4746"/>
      <c r="H163" s="4746"/>
    </row>
    <row r="164" spans="1:8" ht="12.75" customHeight="1">
      <c r="C164" s="1170"/>
      <c r="D164" s="508" t="s">
        <v>2518</v>
      </c>
      <c r="E164" s="4746" t="s">
        <v>3149</v>
      </c>
      <c r="F164" s="4746"/>
      <c r="G164" s="4746"/>
      <c r="H164" s="4746"/>
    </row>
    <row r="165" spans="1:8" ht="3" customHeight="1">
      <c r="D165" s="505"/>
      <c r="E165" s="835"/>
      <c r="F165" s="835"/>
      <c r="G165" s="835"/>
      <c r="H165" s="835"/>
    </row>
    <row r="166" spans="1:8" ht="12.75" customHeight="1">
      <c r="C166" s="483" t="s">
        <v>3144</v>
      </c>
      <c r="D166" s="505" t="s">
        <v>209</v>
      </c>
      <c r="E166" s="506"/>
      <c r="F166" s="502" t="s">
        <v>3145</v>
      </c>
      <c r="G166" s="502"/>
      <c r="H166" s="502"/>
    </row>
    <row r="167" spans="1:8" ht="12.75" customHeight="1">
      <c r="C167" s="507" t="s">
        <v>335</v>
      </c>
      <c r="D167" s="505" t="s">
        <v>217</v>
      </c>
      <c r="E167" s="4746" t="s">
        <v>3146</v>
      </c>
      <c r="F167" s="4746"/>
      <c r="G167" s="4746"/>
      <c r="H167" s="4746"/>
    </row>
    <row r="168" spans="1:8" ht="12.75" customHeight="1">
      <c r="C168" s="1169" t="s">
        <v>3147</v>
      </c>
      <c r="E168" s="4746" t="s">
        <v>3148</v>
      </c>
      <c r="F168" s="4746"/>
      <c r="G168" s="4746"/>
      <c r="H168" s="4746"/>
    </row>
    <row r="169" spans="1:8" ht="12.75" customHeight="1">
      <c r="C169" s="1170"/>
      <c r="D169" s="1168" t="s">
        <v>2518</v>
      </c>
      <c r="E169" s="4749" t="s">
        <v>3149</v>
      </c>
      <c r="F169" s="4749"/>
      <c r="G169" s="4749"/>
      <c r="H169" s="4749"/>
    </row>
    <row r="170" spans="1:8" ht="3" customHeight="1">
      <c r="D170" s="505"/>
      <c r="E170" s="835"/>
      <c r="F170" s="835"/>
      <c r="G170" s="835"/>
      <c r="H170" s="835"/>
    </row>
    <row r="171" spans="1:8" ht="12.75" customHeight="1">
      <c r="C171" s="483" t="s">
        <v>3144</v>
      </c>
      <c r="D171" s="505" t="s">
        <v>209</v>
      </c>
      <c r="E171" s="506"/>
      <c r="F171" s="502" t="s">
        <v>3145</v>
      </c>
      <c r="G171" s="502"/>
      <c r="H171" s="502"/>
    </row>
    <row r="172" spans="1:8" ht="12.75" customHeight="1">
      <c r="C172" s="507" t="s">
        <v>335</v>
      </c>
      <c r="D172" s="505" t="s">
        <v>217</v>
      </c>
      <c r="E172" s="4746" t="s">
        <v>3146</v>
      </c>
      <c r="F172" s="4746"/>
      <c r="G172" s="4746"/>
      <c r="H172" s="4746"/>
    </row>
    <row r="173" spans="1:8" ht="12.75" customHeight="1">
      <c r="C173" s="1169" t="s">
        <v>3147</v>
      </c>
      <c r="E173" s="4746" t="s">
        <v>3148</v>
      </c>
      <c r="F173" s="4746"/>
      <c r="G173" s="4746"/>
      <c r="H173" s="4746"/>
    </row>
    <row r="174" spans="1:8" ht="12.75" customHeight="1">
      <c r="C174" s="1170"/>
      <c r="D174" s="1168" t="s">
        <v>2518</v>
      </c>
      <c r="E174" s="4749" t="s">
        <v>3149</v>
      </c>
      <c r="F174" s="4749"/>
      <c r="G174" s="4749"/>
      <c r="H174" s="4749"/>
    </row>
    <row r="175" spans="1:8" ht="6" customHeight="1">
      <c r="D175" s="505"/>
      <c r="E175" s="835"/>
      <c r="F175" s="835"/>
      <c r="G175" s="835"/>
      <c r="H175" s="835"/>
    </row>
    <row r="176" spans="1:8">
      <c r="A176" s="486" t="s">
        <v>3141</v>
      </c>
      <c r="B176" s="503" t="str">
        <f>IF('Part V-Revenues &amp; Expenses'!$O61=0,"",'Part V-Revenues &amp; Expenses'!$O$61)</f>
        <v/>
      </c>
      <c r="C176" s="486" t="s">
        <v>3156</v>
      </c>
      <c r="D176" s="504" t="s">
        <v>3157</v>
      </c>
    </row>
    <row r="177" spans="1:11" ht="1.9" customHeight="1"/>
    <row r="178" spans="1:11" ht="12.75" customHeight="1">
      <c r="C178" s="483" t="s">
        <v>3144</v>
      </c>
      <c r="D178" s="505" t="s">
        <v>209</v>
      </c>
      <c r="E178" s="506"/>
      <c r="F178" s="4746" t="s">
        <v>3145</v>
      </c>
      <c r="G178" s="4746"/>
      <c r="H178" s="4746"/>
      <c r="K178" s="324" t="s">
        <v>2682</v>
      </c>
    </row>
    <row r="179" spans="1:11" ht="12.75" customHeight="1">
      <c r="C179" s="507" t="s">
        <v>335</v>
      </c>
      <c r="D179" s="505" t="s">
        <v>217</v>
      </c>
      <c r="E179" s="4746" t="s">
        <v>3158</v>
      </c>
      <c r="F179" s="4746"/>
      <c r="G179" s="4746"/>
      <c r="H179" s="4746"/>
    </row>
    <row r="180" spans="1:11" ht="12.75" customHeight="1">
      <c r="E180" s="4746" t="s">
        <v>3148</v>
      </c>
      <c r="F180" s="4746"/>
      <c r="G180" s="4746"/>
      <c r="H180" s="4746"/>
    </row>
    <row r="181" spans="1:11" ht="12.75" customHeight="1">
      <c r="D181" s="508" t="s">
        <v>2518</v>
      </c>
      <c r="E181" s="4746" t="s">
        <v>3149</v>
      </c>
      <c r="F181" s="4746"/>
      <c r="G181" s="4746"/>
      <c r="H181" s="4746"/>
    </row>
    <row r="182" spans="1:11" ht="9" customHeight="1" thickBot="1"/>
    <row r="183" spans="1:11" ht="16.149999999999999" customHeight="1" thickBot="1">
      <c r="A183" s="4747">
        <v>40</v>
      </c>
      <c r="B183" s="4748"/>
      <c r="C183" s="1171" t="s">
        <v>1165</v>
      </c>
    </row>
    <row r="184" spans="1:11" ht="9" customHeight="1">
      <c r="A184" s="478"/>
    </row>
    <row r="185" spans="1:11" ht="28.15" customHeight="1">
      <c r="A185" s="4746" t="s">
        <v>3160</v>
      </c>
      <c r="B185" s="4746"/>
      <c r="C185" s="4746"/>
      <c r="D185" s="4746"/>
      <c r="E185" s="4746"/>
      <c r="F185" s="4746"/>
      <c r="G185" s="4746"/>
      <c r="H185" s="4746"/>
    </row>
    <row r="186" spans="1:11" ht="9" customHeight="1">
      <c r="A186" s="478"/>
    </row>
    <row r="187" spans="1:11">
      <c r="A187" s="486" t="s">
        <v>3141</v>
      </c>
      <c r="B187" s="503" t="str">
        <f>IF('Part V-Revenues &amp; Expenses'!$K$60=0,"",'Part V-Revenues &amp; Expenses'!$K$60)</f>
        <v/>
      </c>
      <c r="C187" s="486" t="s">
        <v>3142</v>
      </c>
      <c r="D187" s="504" t="s">
        <v>3143</v>
      </c>
    </row>
    <row r="188" spans="1:11" ht="1.9" customHeight="1"/>
    <row r="189" spans="1:11" ht="12.75" customHeight="1">
      <c r="C189" s="483" t="s">
        <v>3144</v>
      </c>
      <c r="D189" s="505" t="s">
        <v>209</v>
      </c>
      <c r="E189" s="506"/>
      <c r="F189" s="4746" t="s">
        <v>3145</v>
      </c>
      <c r="G189" s="4746"/>
      <c r="H189" s="4746"/>
    </row>
    <row r="190" spans="1:11" ht="12.75" customHeight="1">
      <c r="C190" s="507" t="s">
        <v>335</v>
      </c>
      <c r="D190" s="505" t="s">
        <v>217</v>
      </c>
      <c r="E190" s="4746" t="s">
        <v>3146</v>
      </c>
      <c r="F190" s="4746"/>
      <c r="G190" s="4746"/>
      <c r="H190" s="4746"/>
    </row>
    <row r="191" spans="1:11" ht="12.75" customHeight="1">
      <c r="C191" s="1169" t="s">
        <v>3147</v>
      </c>
      <c r="E191" s="4746" t="s">
        <v>3148</v>
      </c>
      <c r="F191" s="4746"/>
      <c r="G191" s="4746"/>
      <c r="H191" s="4746"/>
    </row>
    <row r="192" spans="1:11" ht="12.75" customHeight="1">
      <c r="C192" s="1170"/>
      <c r="D192" s="1168" t="s">
        <v>2518</v>
      </c>
      <c r="E192" s="4749" t="s">
        <v>3149</v>
      </c>
      <c r="F192" s="4749"/>
      <c r="G192" s="4749"/>
      <c r="H192" s="4749"/>
    </row>
    <row r="193" spans="1:8" ht="3" customHeight="1">
      <c r="D193" s="505"/>
      <c r="E193" s="835"/>
      <c r="F193" s="835"/>
      <c r="G193" s="835"/>
      <c r="H193" s="835"/>
    </row>
    <row r="194" spans="1:8" ht="12.75" customHeight="1">
      <c r="C194" s="483" t="s">
        <v>3144</v>
      </c>
      <c r="D194" s="505" t="s">
        <v>209</v>
      </c>
      <c r="E194" s="506"/>
      <c r="F194" s="502" t="s">
        <v>3145</v>
      </c>
      <c r="G194" s="502"/>
      <c r="H194" s="502"/>
    </row>
    <row r="195" spans="1:8" ht="12.75" customHeight="1">
      <c r="C195" s="507" t="s">
        <v>335</v>
      </c>
      <c r="D195" s="505" t="s">
        <v>217</v>
      </c>
      <c r="E195" s="4746" t="s">
        <v>3146</v>
      </c>
      <c r="F195" s="4746"/>
      <c r="G195" s="4746"/>
      <c r="H195" s="4746"/>
    </row>
    <row r="196" spans="1:8" ht="12.75" customHeight="1">
      <c r="C196" s="1169" t="s">
        <v>3147</v>
      </c>
      <c r="E196" s="4746" t="s">
        <v>3148</v>
      </c>
      <c r="F196" s="4746"/>
      <c r="G196" s="4746"/>
      <c r="H196" s="4746"/>
    </row>
    <row r="197" spans="1:8" ht="12.75" customHeight="1">
      <c r="C197" s="1170"/>
      <c r="D197" s="1168" t="s">
        <v>2518</v>
      </c>
      <c r="E197" s="4749" t="s">
        <v>3149</v>
      </c>
      <c r="F197" s="4749"/>
      <c r="G197" s="4749"/>
      <c r="H197" s="4749"/>
    </row>
    <row r="198" spans="1:8" ht="3" customHeight="1">
      <c r="D198" s="505"/>
      <c r="E198" s="835"/>
      <c r="F198" s="835"/>
      <c r="G198" s="835"/>
      <c r="H198" s="835"/>
    </row>
    <row r="199" spans="1:8" ht="12.75" customHeight="1">
      <c r="C199" s="483" t="s">
        <v>3144</v>
      </c>
      <c r="D199" s="505" t="s">
        <v>209</v>
      </c>
      <c r="E199" s="506"/>
      <c r="F199" s="502" t="s">
        <v>3145</v>
      </c>
      <c r="G199" s="502"/>
      <c r="H199" s="502"/>
    </row>
    <row r="200" spans="1:8" ht="12.75" customHeight="1">
      <c r="C200" s="507" t="s">
        <v>335</v>
      </c>
      <c r="D200" s="505" t="s">
        <v>217</v>
      </c>
      <c r="E200" s="4746" t="s">
        <v>3146</v>
      </c>
      <c r="F200" s="4746"/>
      <c r="G200" s="4746"/>
      <c r="H200" s="4746"/>
    </row>
    <row r="201" spans="1:8" ht="12.75" customHeight="1">
      <c r="C201" s="1169" t="s">
        <v>3147</v>
      </c>
      <c r="E201" s="4746" t="s">
        <v>3148</v>
      </c>
      <c r="F201" s="4746"/>
      <c r="G201" s="4746"/>
      <c r="H201" s="4746"/>
    </row>
    <row r="202" spans="1:8" ht="12.75" customHeight="1">
      <c r="C202" s="1170"/>
      <c r="D202" s="1168" t="s">
        <v>2518</v>
      </c>
      <c r="E202" s="4749" t="s">
        <v>3149</v>
      </c>
      <c r="F202" s="4749"/>
      <c r="G202" s="4749"/>
      <c r="H202" s="4749"/>
    </row>
    <row r="203" spans="1:8" ht="6" customHeight="1">
      <c r="D203" s="505"/>
      <c r="E203" s="835"/>
      <c r="F203" s="835"/>
      <c r="G203" s="835"/>
      <c r="H203" s="835"/>
    </row>
    <row r="204" spans="1:8">
      <c r="A204" s="486" t="s">
        <v>3141</v>
      </c>
      <c r="B204" s="503" t="str">
        <f>IF('Part V-Revenues &amp; Expenses'!$L$60=0,"",'Part V-Revenues &amp; Expenses'!$L$60)</f>
        <v/>
      </c>
      <c r="C204" s="486" t="s">
        <v>3150</v>
      </c>
      <c r="D204" s="504" t="s">
        <v>3151</v>
      </c>
    </row>
    <row r="205" spans="1:8" ht="1.9" customHeight="1"/>
    <row r="206" spans="1:8" ht="12.75" customHeight="1">
      <c r="C206" s="483" t="s">
        <v>3144</v>
      </c>
      <c r="D206" s="505" t="s">
        <v>209</v>
      </c>
      <c r="E206" s="506"/>
      <c r="F206" s="502" t="s">
        <v>3145</v>
      </c>
      <c r="G206" s="502"/>
      <c r="H206" s="502"/>
    </row>
    <row r="207" spans="1:8" ht="12.75" customHeight="1">
      <c r="C207" s="507" t="s">
        <v>335</v>
      </c>
      <c r="D207" s="505" t="s">
        <v>217</v>
      </c>
      <c r="E207" s="4746" t="s">
        <v>3146</v>
      </c>
      <c r="F207" s="4746"/>
      <c r="G207" s="4746"/>
      <c r="H207" s="4746"/>
    </row>
    <row r="208" spans="1:8" ht="12.75" customHeight="1">
      <c r="C208" s="1169" t="s">
        <v>3147</v>
      </c>
      <c r="E208" s="4746" t="s">
        <v>3148</v>
      </c>
      <c r="F208" s="4746"/>
      <c r="G208" s="4746"/>
      <c r="H208" s="4746"/>
    </row>
    <row r="209" spans="1:8" ht="12.75" customHeight="1">
      <c r="C209" s="1170"/>
      <c r="D209" s="508" t="s">
        <v>2518</v>
      </c>
      <c r="E209" s="4746" t="s">
        <v>3149</v>
      </c>
      <c r="F209" s="4746"/>
      <c r="G209" s="4746"/>
      <c r="H209" s="4746"/>
    </row>
    <row r="210" spans="1:8" ht="3" customHeight="1">
      <c r="D210" s="505"/>
      <c r="E210" s="835"/>
      <c r="F210" s="835"/>
      <c r="G210" s="835"/>
      <c r="H210" s="835"/>
    </row>
    <row r="211" spans="1:8" ht="12.75" customHeight="1">
      <c r="C211" s="483" t="s">
        <v>3144</v>
      </c>
      <c r="D211" s="505" t="s">
        <v>209</v>
      </c>
      <c r="E211" s="506"/>
      <c r="F211" s="502" t="s">
        <v>3145</v>
      </c>
      <c r="G211" s="502"/>
      <c r="H211" s="502"/>
    </row>
    <row r="212" spans="1:8" ht="12.75" customHeight="1">
      <c r="C212" s="507" t="s">
        <v>335</v>
      </c>
      <c r="D212" s="505" t="s">
        <v>217</v>
      </c>
      <c r="E212" s="4746" t="s">
        <v>3146</v>
      </c>
      <c r="F212" s="4746"/>
      <c r="G212" s="4746"/>
      <c r="H212" s="4746"/>
    </row>
    <row r="213" spans="1:8" ht="12.75" customHeight="1">
      <c r="C213" s="1169" t="s">
        <v>3147</v>
      </c>
      <c r="E213" s="4746" t="s">
        <v>3148</v>
      </c>
      <c r="F213" s="4746"/>
      <c r="G213" s="4746"/>
      <c r="H213" s="4746"/>
    </row>
    <row r="214" spans="1:8" ht="12.75" customHeight="1">
      <c r="C214" s="1170"/>
      <c r="D214" s="1168" t="s">
        <v>2518</v>
      </c>
      <c r="E214" s="4749" t="s">
        <v>3149</v>
      </c>
      <c r="F214" s="4749"/>
      <c r="G214" s="4749"/>
      <c r="H214" s="4749"/>
    </row>
    <row r="215" spans="1:8" ht="3" customHeight="1">
      <c r="D215" s="505"/>
      <c r="E215" s="835"/>
      <c r="F215" s="835"/>
      <c r="G215" s="835"/>
      <c r="H215" s="835"/>
    </row>
    <row r="216" spans="1:8" ht="12.75" customHeight="1">
      <c r="C216" s="483" t="s">
        <v>3144</v>
      </c>
      <c r="D216" s="505" t="s">
        <v>209</v>
      </c>
      <c r="E216" s="506"/>
      <c r="F216" s="502" t="s">
        <v>3145</v>
      </c>
      <c r="G216" s="502"/>
      <c r="H216" s="502"/>
    </row>
    <row r="217" spans="1:8" ht="12.75" customHeight="1">
      <c r="C217" s="507" t="s">
        <v>335</v>
      </c>
      <c r="D217" s="505" t="s">
        <v>217</v>
      </c>
      <c r="E217" s="4746" t="s">
        <v>3146</v>
      </c>
      <c r="F217" s="4746"/>
      <c r="G217" s="4746"/>
      <c r="H217" s="4746"/>
    </row>
    <row r="218" spans="1:8" ht="12.75" customHeight="1">
      <c r="C218" s="1169" t="s">
        <v>3147</v>
      </c>
      <c r="E218" s="4746" t="s">
        <v>3148</v>
      </c>
      <c r="F218" s="4746"/>
      <c r="G218" s="4746"/>
      <c r="H218" s="4746"/>
    </row>
    <row r="219" spans="1:8" ht="12.75" customHeight="1">
      <c r="C219" s="1170"/>
      <c r="D219" s="1168" t="s">
        <v>2518</v>
      </c>
      <c r="E219" s="4749" t="s">
        <v>3149</v>
      </c>
      <c r="F219" s="4749"/>
      <c r="G219" s="4749"/>
      <c r="H219" s="4749"/>
    </row>
    <row r="220" spans="1:8" ht="6" customHeight="1">
      <c r="D220" s="505"/>
      <c r="E220" s="835"/>
      <c r="F220" s="835"/>
      <c r="G220" s="835"/>
      <c r="H220" s="835"/>
    </row>
    <row r="221" spans="1:8">
      <c r="A221" s="486" t="s">
        <v>3141</v>
      </c>
      <c r="B221" s="503" t="str">
        <f>IF('Part V-Revenues &amp; Expenses'!$M$60=0,"",'Part V-Revenues &amp; Expenses'!$M$60)</f>
        <v/>
      </c>
      <c r="C221" s="486" t="s">
        <v>3152</v>
      </c>
      <c r="D221" s="504" t="s">
        <v>3153</v>
      </c>
    </row>
    <row r="222" spans="1:8" ht="1.9" customHeight="1"/>
    <row r="223" spans="1:8" ht="12.75" customHeight="1">
      <c r="C223" s="483" t="s">
        <v>3144</v>
      </c>
      <c r="D223" s="505" t="s">
        <v>209</v>
      </c>
      <c r="E223" s="506"/>
      <c r="F223" s="502" t="s">
        <v>3145</v>
      </c>
      <c r="G223" s="502"/>
      <c r="H223" s="502"/>
    </row>
    <row r="224" spans="1:8" ht="12.75" customHeight="1">
      <c r="C224" s="507" t="s">
        <v>335</v>
      </c>
      <c r="D224" s="505" t="s">
        <v>217</v>
      </c>
      <c r="E224" s="4746" t="s">
        <v>3146</v>
      </c>
      <c r="F224" s="4746"/>
      <c r="G224" s="4746"/>
      <c r="H224" s="4746"/>
    </row>
    <row r="225" spans="1:8" ht="12.75" customHeight="1">
      <c r="C225" s="1169" t="s">
        <v>3147</v>
      </c>
      <c r="E225" s="4746" t="s">
        <v>3148</v>
      </c>
      <c r="F225" s="4746"/>
      <c r="G225" s="4746"/>
      <c r="H225" s="4746"/>
    </row>
    <row r="226" spans="1:8" ht="12.75" customHeight="1">
      <c r="C226" s="1170"/>
      <c r="D226" s="508" t="s">
        <v>2518</v>
      </c>
      <c r="E226" s="4746" t="s">
        <v>3149</v>
      </c>
      <c r="F226" s="4746"/>
      <c r="G226" s="4746"/>
      <c r="H226" s="4746"/>
    </row>
    <row r="227" spans="1:8" ht="3" customHeight="1">
      <c r="D227" s="505"/>
      <c r="E227" s="835"/>
      <c r="F227" s="835"/>
      <c r="G227" s="835"/>
      <c r="H227" s="835"/>
    </row>
    <row r="228" spans="1:8" ht="12.75" customHeight="1">
      <c r="C228" s="483" t="s">
        <v>3144</v>
      </c>
      <c r="D228" s="505" t="s">
        <v>209</v>
      </c>
      <c r="E228" s="506"/>
      <c r="F228" s="502" t="s">
        <v>3145</v>
      </c>
      <c r="G228" s="502"/>
      <c r="H228" s="502"/>
    </row>
    <row r="229" spans="1:8" ht="12.75" customHeight="1">
      <c r="C229" s="507" t="s">
        <v>335</v>
      </c>
      <c r="D229" s="505" t="s">
        <v>217</v>
      </c>
      <c r="E229" s="4746" t="s">
        <v>3146</v>
      </c>
      <c r="F229" s="4746"/>
      <c r="G229" s="4746"/>
      <c r="H229" s="4746"/>
    </row>
    <row r="230" spans="1:8" ht="12.75" customHeight="1">
      <c r="C230" s="1169" t="s">
        <v>3147</v>
      </c>
      <c r="E230" s="4746" t="s">
        <v>3148</v>
      </c>
      <c r="F230" s="4746"/>
      <c r="G230" s="4746"/>
      <c r="H230" s="4746"/>
    </row>
    <row r="231" spans="1:8" ht="12.75" customHeight="1">
      <c r="C231" s="1170"/>
      <c r="D231" s="1168" t="s">
        <v>2518</v>
      </c>
      <c r="E231" s="4749" t="s">
        <v>3149</v>
      </c>
      <c r="F231" s="4749"/>
      <c r="G231" s="4749"/>
      <c r="H231" s="4749"/>
    </row>
    <row r="232" spans="1:8" ht="3" customHeight="1">
      <c r="D232" s="505"/>
      <c r="E232" s="835"/>
      <c r="F232" s="835"/>
      <c r="G232" s="835"/>
      <c r="H232" s="835"/>
    </row>
    <row r="233" spans="1:8" ht="12.75" customHeight="1">
      <c r="C233" s="483" t="s">
        <v>3144</v>
      </c>
      <c r="D233" s="505" t="s">
        <v>209</v>
      </c>
      <c r="E233" s="506"/>
      <c r="F233" s="502" t="s">
        <v>3145</v>
      </c>
      <c r="G233" s="502"/>
      <c r="H233" s="502"/>
    </row>
    <row r="234" spans="1:8" ht="12.75" customHeight="1">
      <c r="C234" s="507" t="s">
        <v>335</v>
      </c>
      <c r="D234" s="505" t="s">
        <v>217</v>
      </c>
      <c r="E234" s="4746" t="s">
        <v>3146</v>
      </c>
      <c r="F234" s="4746"/>
      <c r="G234" s="4746"/>
      <c r="H234" s="4746"/>
    </row>
    <row r="235" spans="1:8" ht="12.75" customHeight="1">
      <c r="C235" s="1169" t="s">
        <v>3147</v>
      </c>
      <c r="E235" s="4746" t="s">
        <v>3148</v>
      </c>
      <c r="F235" s="4746"/>
      <c r="G235" s="4746"/>
      <c r="H235" s="4746"/>
    </row>
    <row r="236" spans="1:8" ht="12.75" customHeight="1">
      <c r="C236" s="1170"/>
      <c r="D236" s="1168" t="s">
        <v>2518</v>
      </c>
      <c r="E236" s="4749" t="s">
        <v>3149</v>
      </c>
      <c r="F236" s="4749"/>
      <c r="G236" s="4749"/>
      <c r="H236" s="4749"/>
    </row>
    <row r="237" spans="1:8" ht="6" customHeight="1">
      <c r="D237" s="505"/>
      <c r="E237" s="835"/>
      <c r="F237" s="835"/>
      <c r="G237" s="835"/>
      <c r="H237" s="835"/>
    </row>
    <row r="238" spans="1:8">
      <c r="A238" s="486" t="s">
        <v>3141</v>
      </c>
      <c r="B238" s="503" t="str">
        <f>IF('Part V-Revenues &amp; Expenses'!$N$60=0,"",'Part V-Revenues &amp; Expenses'!$N$60)</f>
        <v/>
      </c>
      <c r="C238" s="486" t="s">
        <v>3154</v>
      </c>
      <c r="D238" s="504" t="s">
        <v>3155</v>
      </c>
    </row>
    <row r="239" spans="1:8" ht="1.9" customHeight="1"/>
    <row r="240" spans="1:8" ht="12.75" customHeight="1">
      <c r="C240" s="483" t="s">
        <v>3144</v>
      </c>
      <c r="D240" s="505" t="s">
        <v>209</v>
      </c>
      <c r="E240" s="506"/>
      <c r="F240" s="502" t="s">
        <v>3145</v>
      </c>
      <c r="G240" s="502"/>
      <c r="H240" s="502"/>
    </row>
    <row r="241" spans="1:8" ht="12.75" customHeight="1">
      <c r="C241" s="507" t="s">
        <v>335</v>
      </c>
      <c r="D241" s="505" t="s">
        <v>217</v>
      </c>
      <c r="E241" s="4746" t="s">
        <v>3146</v>
      </c>
      <c r="F241" s="4746"/>
      <c r="G241" s="4746"/>
      <c r="H241" s="4746"/>
    </row>
    <row r="242" spans="1:8" ht="12.75" customHeight="1">
      <c r="C242" s="1169" t="s">
        <v>3147</v>
      </c>
      <c r="E242" s="4746" t="s">
        <v>3148</v>
      </c>
      <c r="F242" s="4746"/>
      <c r="G242" s="4746"/>
      <c r="H242" s="4746"/>
    </row>
    <row r="243" spans="1:8" ht="12.75" customHeight="1">
      <c r="C243" s="1170"/>
      <c r="D243" s="508" t="s">
        <v>2518</v>
      </c>
      <c r="E243" s="4746" t="s">
        <v>3149</v>
      </c>
      <c r="F243" s="4746"/>
      <c r="G243" s="4746"/>
      <c r="H243" s="4746"/>
    </row>
    <row r="244" spans="1:8" ht="3" customHeight="1">
      <c r="D244" s="505"/>
      <c r="E244" s="835"/>
      <c r="F244" s="835"/>
      <c r="G244" s="835"/>
      <c r="H244" s="835"/>
    </row>
    <row r="245" spans="1:8" ht="12.75" customHeight="1">
      <c r="C245" s="483" t="s">
        <v>3144</v>
      </c>
      <c r="D245" s="505" t="s">
        <v>209</v>
      </c>
      <c r="E245" s="506"/>
      <c r="F245" s="502" t="s">
        <v>3145</v>
      </c>
      <c r="G245" s="502"/>
      <c r="H245" s="502"/>
    </row>
    <row r="246" spans="1:8" ht="12.75" customHeight="1">
      <c r="C246" s="507" t="s">
        <v>335</v>
      </c>
      <c r="D246" s="505" t="s">
        <v>217</v>
      </c>
      <c r="E246" s="4746" t="s">
        <v>3146</v>
      </c>
      <c r="F246" s="4746"/>
      <c r="G246" s="4746"/>
      <c r="H246" s="4746"/>
    </row>
    <row r="247" spans="1:8" ht="12.75" customHeight="1">
      <c r="C247" s="1169" t="s">
        <v>3147</v>
      </c>
      <c r="E247" s="4746" t="s">
        <v>3148</v>
      </c>
      <c r="F247" s="4746"/>
      <c r="G247" s="4746"/>
      <c r="H247" s="4746"/>
    </row>
    <row r="248" spans="1:8" ht="12.75" customHeight="1">
      <c r="C248" s="1170"/>
      <c r="D248" s="1168" t="s">
        <v>2518</v>
      </c>
      <c r="E248" s="4749" t="s">
        <v>3149</v>
      </c>
      <c r="F248" s="4749"/>
      <c r="G248" s="4749"/>
      <c r="H248" s="4749"/>
    </row>
    <row r="249" spans="1:8" ht="3" customHeight="1">
      <c r="D249" s="505"/>
      <c r="E249" s="835"/>
      <c r="F249" s="835"/>
      <c r="G249" s="835"/>
      <c r="H249" s="835"/>
    </row>
    <row r="250" spans="1:8" ht="12.75" customHeight="1">
      <c r="C250" s="483" t="s">
        <v>3144</v>
      </c>
      <c r="D250" s="505" t="s">
        <v>209</v>
      </c>
      <c r="E250" s="506"/>
      <c r="F250" s="502" t="s">
        <v>3145</v>
      </c>
      <c r="G250" s="502"/>
      <c r="H250" s="502"/>
    </row>
    <row r="251" spans="1:8" ht="12.75" customHeight="1">
      <c r="C251" s="507" t="s">
        <v>335</v>
      </c>
      <c r="D251" s="505" t="s">
        <v>217</v>
      </c>
      <c r="E251" s="4746" t="s">
        <v>3146</v>
      </c>
      <c r="F251" s="4746"/>
      <c r="G251" s="4746"/>
      <c r="H251" s="4746"/>
    </row>
    <row r="252" spans="1:8" ht="12.75" customHeight="1">
      <c r="C252" s="1169" t="s">
        <v>3147</v>
      </c>
      <c r="E252" s="4746" t="s">
        <v>3148</v>
      </c>
      <c r="F252" s="4746"/>
      <c r="G252" s="4746"/>
      <c r="H252" s="4746"/>
    </row>
    <row r="253" spans="1:8" ht="12.75" customHeight="1">
      <c r="C253" s="1170"/>
      <c r="D253" s="1168" t="s">
        <v>2518</v>
      </c>
      <c r="E253" s="4749" t="s">
        <v>3149</v>
      </c>
      <c r="F253" s="4749"/>
      <c r="G253" s="4749"/>
      <c r="H253" s="4749"/>
    </row>
    <row r="254" spans="1:8" ht="6" customHeight="1">
      <c r="D254" s="505"/>
      <c r="E254" s="835"/>
      <c r="F254" s="835"/>
      <c r="G254" s="835"/>
      <c r="H254" s="835"/>
    </row>
    <row r="255" spans="1:8">
      <c r="A255" s="486" t="s">
        <v>3141</v>
      </c>
      <c r="B255" s="503" t="str">
        <f>IF('Part V-Revenues &amp; Expenses'!$O$60=0,"",'Part V-Revenues &amp; Expenses'!$O$60)</f>
        <v/>
      </c>
      <c r="C255" s="486" t="s">
        <v>3156</v>
      </c>
      <c r="D255" s="504" t="s">
        <v>3157</v>
      </c>
    </row>
    <row r="256" spans="1:8" ht="1.9" customHeight="1"/>
    <row r="257" spans="1:11" ht="12.75" customHeight="1">
      <c r="C257" s="483" t="s">
        <v>3144</v>
      </c>
      <c r="D257" s="505" t="s">
        <v>209</v>
      </c>
      <c r="E257" s="506"/>
      <c r="F257" s="4746" t="s">
        <v>3145</v>
      </c>
      <c r="G257" s="4746"/>
      <c r="H257" s="4746"/>
      <c r="K257" s="324" t="s">
        <v>2682</v>
      </c>
    </row>
    <row r="258" spans="1:11" ht="12.75" customHeight="1">
      <c r="C258" s="507" t="s">
        <v>335</v>
      </c>
      <c r="D258" s="505" t="s">
        <v>217</v>
      </c>
      <c r="E258" s="4746" t="s">
        <v>3158</v>
      </c>
      <c r="F258" s="4746"/>
      <c r="G258" s="4746"/>
      <c r="H258" s="4746"/>
    </row>
    <row r="259" spans="1:11" ht="12.75" customHeight="1">
      <c r="E259" s="4746" t="s">
        <v>3148</v>
      </c>
      <c r="F259" s="4746"/>
      <c r="G259" s="4746"/>
      <c r="H259" s="4746"/>
    </row>
    <row r="260" spans="1:11" ht="12.75" customHeight="1">
      <c r="D260" s="508" t="s">
        <v>2518</v>
      </c>
      <c r="E260" s="4746" t="s">
        <v>3149</v>
      </c>
      <c r="F260" s="4746"/>
      <c r="G260" s="4746"/>
      <c r="H260" s="4746"/>
    </row>
    <row r="261" spans="1:11" ht="9" customHeight="1" thickBot="1"/>
    <row r="262" spans="1:11" ht="16.149999999999999" customHeight="1" thickBot="1">
      <c r="A262" s="4747">
        <v>50</v>
      </c>
      <c r="B262" s="4748"/>
      <c r="C262" s="1171" t="s">
        <v>1165</v>
      </c>
    </row>
    <row r="263" spans="1:11" ht="9" customHeight="1">
      <c r="A263" s="478"/>
    </row>
    <row r="264" spans="1:11" ht="28.15" customHeight="1">
      <c r="A264" s="4746" t="s">
        <v>3161</v>
      </c>
      <c r="B264" s="4746"/>
      <c r="C264" s="4746"/>
      <c r="D264" s="4746"/>
      <c r="E264" s="4746"/>
      <c r="F264" s="4746"/>
      <c r="G264" s="4746"/>
      <c r="H264" s="4746"/>
    </row>
    <row r="265" spans="1:11" ht="9" customHeight="1">
      <c r="A265" s="478"/>
    </row>
    <row r="266" spans="1:11">
      <c r="A266" s="486" t="s">
        <v>3141</v>
      </c>
      <c r="B266" s="503" t="str">
        <f>IF('Part V-Revenues &amp; Expenses'!$K$59=0,"",'Part V-Revenues &amp; Expenses'!$K$59)</f>
        <v/>
      </c>
      <c r="C266" s="486" t="s">
        <v>3142</v>
      </c>
      <c r="D266" s="504" t="s">
        <v>3143</v>
      </c>
    </row>
    <row r="267" spans="1:11" ht="1.9" customHeight="1"/>
    <row r="268" spans="1:11" ht="12.75" customHeight="1">
      <c r="C268" s="483" t="s">
        <v>3144</v>
      </c>
      <c r="D268" s="505" t="s">
        <v>209</v>
      </c>
      <c r="E268" s="506"/>
      <c r="F268" s="4746" t="s">
        <v>3145</v>
      </c>
      <c r="G268" s="4746"/>
      <c r="H268" s="4746"/>
    </row>
    <row r="269" spans="1:11" ht="12.75" customHeight="1">
      <c r="C269" s="507" t="s">
        <v>335</v>
      </c>
      <c r="D269" s="505" t="s">
        <v>217</v>
      </c>
      <c r="E269" s="4746" t="s">
        <v>3146</v>
      </c>
      <c r="F269" s="4746"/>
      <c r="G269" s="4746"/>
      <c r="H269" s="4746"/>
    </row>
    <row r="270" spans="1:11" ht="12.75" customHeight="1">
      <c r="C270" s="1169" t="s">
        <v>3147</v>
      </c>
      <c r="E270" s="4746" t="s">
        <v>3148</v>
      </c>
      <c r="F270" s="4746"/>
      <c r="G270" s="4746"/>
      <c r="H270" s="4746"/>
    </row>
    <row r="271" spans="1:11" ht="12.75" customHeight="1">
      <c r="C271" s="1170"/>
      <c r="D271" s="1168" t="s">
        <v>2518</v>
      </c>
      <c r="E271" s="4749" t="s">
        <v>3149</v>
      </c>
      <c r="F271" s="4749"/>
      <c r="G271" s="4749"/>
      <c r="H271" s="4749"/>
    </row>
    <row r="272" spans="1:11" ht="3" customHeight="1">
      <c r="D272" s="505"/>
      <c r="E272" s="835"/>
      <c r="F272" s="835"/>
      <c r="G272" s="835"/>
      <c r="H272" s="835"/>
    </row>
    <row r="273" spans="1:8" ht="12.75" customHeight="1">
      <c r="C273" s="483" t="s">
        <v>3144</v>
      </c>
      <c r="D273" s="505" t="s">
        <v>209</v>
      </c>
      <c r="E273" s="506"/>
      <c r="F273" s="502" t="s">
        <v>3145</v>
      </c>
      <c r="G273" s="502"/>
      <c r="H273" s="502"/>
    </row>
    <row r="274" spans="1:8" ht="12.75" customHeight="1">
      <c r="C274" s="507" t="s">
        <v>335</v>
      </c>
      <c r="D274" s="505" t="s">
        <v>217</v>
      </c>
      <c r="E274" s="4746" t="s">
        <v>3146</v>
      </c>
      <c r="F274" s="4746"/>
      <c r="G274" s="4746"/>
      <c r="H274" s="4746"/>
    </row>
    <row r="275" spans="1:8" ht="12.75" customHeight="1">
      <c r="C275" s="1169" t="s">
        <v>3147</v>
      </c>
      <c r="E275" s="4746" t="s">
        <v>3148</v>
      </c>
      <c r="F275" s="4746"/>
      <c r="G275" s="4746"/>
      <c r="H275" s="4746"/>
    </row>
    <row r="276" spans="1:8" ht="12.75" customHeight="1">
      <c r="C276" s="1170"/>
      <c r="D276" s="1168" t="s">
        <v>2518</v>
      </c>
      <c r="E276" s="4749" t="s">
        <v>3149</v>
      </c>
      <c r="F276" s="4749"/>
      <c r="G276" s="4749"/>
      <c r="H276" s="4749"/>
    </row>
    <row r="277" spans="1:8" ht="3" customHeight="1">
      <c r="D277" s="505"/>
      <c r="E277" s="835"/>
      <c r="F277" s="835"/>
      <c r="G277" s="835"/>
      <c r="H277" s="835"/>
    </row>
    <row r="278" spans="1:8" ht="12.75" customHeight="1">
      <c r="C278" s="483" t="s">
        <v>3144</v>
      </c>
      <c r="D278" s="505" t="s">
        <v>209</v>
      </c>
      <c r="E278" s="506"/>
      <c r="F278" s="502" t="s">
        <v>3145</v>
      </c>
      <c r="G278" s="502"/>
      <c r="H278" s="502"/>
    </row>
    <row r="279" spans="1:8" ht="12.75" customHeight="1">
      <c r="C279" s="507" t="s">
        <v>335</v>
      </c>
      <c r="D279" s="505" t="s">
        <v>217</v>
      </c>
      <c r="E279" s="4746" t="s">
        <v>3146</v>
      </c>
      <c r="F279" s="4746"/>
      <c r="G279" s="4746"/>
      <c r="H279" s="4746"/>
    </row>
    <row r="280" spans="1:8" ht="12.75" customHeight="1">
      <c r="C280" s="1169" t="s">
        <v>3147</v>
      </c>
      <c r="E280" s="4746" t="s">
        <v>3148</v>
      </c>
      <c r="F280" s="4746"/>
      <c r="G280" s="4746"/>
      <c r="H280" s="4746"/>
    </row>
    <row r="281" spans="1:8" ht="12.75" customHeight="1">
      <c r="C281" s="1170"/>
      <c r="D281" s="1168" t="s">
        <v>2518</v>
      </c>
      <c r="E281" s="4749" t="s">
        <v>3149</v>
      </c>
      <c r="F281" s="4749"/>
      <c r="G281" s="4749"/>
      <c r="H281" s="4749"/>
    </row>
    <row r="282" spans="1:8" ht="6" customHeight="1">
      <c r="D282" s="505"/>
      <c r="E282" s="835"/>
      <c r="F282" s="835"/>
      <c r="G282" s="835"/>
      <c r="H282" s="835"/>
    </row>
    <row r="283" spans="1:8">
      <c r="A283" s="486" t="s">
        <v>3141</v>
      </c>
      <c r="B283" s="503" t="str">
        <f>IF('Part V-Revenues &amp; Expenses'!$L$59=0,"",'Part V-Revenues &amp; Expenses'!$L$59)</f>
        <v/>
      </c>
      <c r="C283" s="486" t="s">
        <v>3150</v>
      </c>
      <c r="D283" s="504" t="s">
        <v>3151</v>
      </c>
    </row>
    <row r="284" spans="1:8" ht="1.9" customHeight="1"/>
    <row r="285" spans="1:8" ht="12.75" customHeight="1">
      <c r="C285" s="483" t="s">
        <v>3144</v>
      </c>
      <c r="D285" s="505" t="s">
        <v>209</v>
      </c>
      <c r="E285" s="506"/>
      <c r="F285" s="502" t="s">
        <v>3145</v>
      </c>
      <c r="G285" s="502"/>
      <c r="H285" s="502"/>
    </row>
    <row r="286" spans="1:8" ht="12.75" customHeight="1">
      <c r="C286" s="507" t="s">
        <v>335</v>
      </c>
      <c r="D286" s="505" t="s">
        <v>217</v>
      </c>
      <c r="E286" s="4746" t="s">
        <v>3146</v>
      </c>
      <c r="F286" s="4746"/>
      <c r="G286" s="4746"/>
      <c r="H286" s="4746"/>
    </row>
    <row r="287" spans="1:8" ht="12.75" customHeight="1">
      <c r="C287" s="1169" t="s">
        <v>3147</v>
      </c>
      <c r="E287" s="4746" t="s">
        <v>3148</v>
      </c>
      <c r="F287" s="4746"/>
      <c r="G287" s="4746"/>
      <c r="H287" s="4746"/>
    </row>
    <row r="288" spans="1:8" ht="12.75" customHeight="1">
      <c r="C288" s="1170"/>
      <c r="D288" s="508" t="s">
        <v>2518</v>
      </c>
      <c r="E288" s="4746" t="s">
        <v>3149</v>
      </c>
      <c r="F288" s="4746"/>
      <c r="G288" s="4746"/>
      <c r="H288" s="4746"/>
    </row>
    <row r="289" spans="1:8" ht="3" customHeight="1">
      <c r="D289" s="505"/>
      <c r="E289" s="835"/>
      <c r="F289" s="835"/>
      <c r="G289" s="835"/>
      <c r="H289" s="835"/>
    </row>
    <row r="290" spans="1:8" ht="12.75" customHeight="1">
      <c r="C290" s="483" t="s">
        <v>3144</v>
      </c>
      <c r="D290" s="505" t="s">
        <v>209</v>
      </c>
      <c r="E290" s="506"/>
      <c r="F290" s="502" t="s">
        <v>3145</v>
      </c>
      <c r="G290" s="502"/>
      <c r="H290" s="502"/>
    </row>
    <row r="291" spans="1:8" ht="12.75" customHeight="1">
      <c r="C291" s="507" t="s">
        <v>335</v>
      </c>
      <c r="D291" s="505" t="s">
        <v>217</v>
      </c>
      <c r="E291" s="4746" t="s">
        <v>3146</v>
      </c>
      <c r="F291" s="4746"/>
      <c r="G291" s="4746"/>
      <c r="H291" s="4746"/>
    </row>
    <row r="292" spans="1:8" ht="12.75" customHeight="1">
      <c r="C292" s="1169" t="s">
        <v>3147</v>
      </c>
      <c r="E292" s="4746" t="s">
        <v>3148</v>
      </c>
      <c r="F292" s="4746"/>
      <c r="G292" s="4746"/>
      <c r="H292" s="4746"/>
    </row>
    <row r="293" spans="1:8" ht="12.75" customHeight="1">
      <c r="C293" s="1170"/>
      <c r="D293" s="1168" t="s">
        <v>2518</v>
      </c>
      <c r="E293" s="4749" t="s">
        <v>3149</v>
      </c>
      <c r="F293" s="4749"/>
      <c r="G293" s="4749"/>
      <c r="H293" s="4749"/>
    </row>
    <row r="294" spans="1:8" ht="3" customHeight="1">
      <c r="D294" s="505"/>
      <c r="E294" s="835"/>
      <c r="F294" s="835"/>
      <c r="G294" s="835"/>
      <c r="H294" s="835"/>
    </row>
    <row r="295" spans="1:8" ht="12.75" customHeight="1">
      <c r="C295" s="483" t="s">
        <v>3144</v>
      </c>
      <c r="D295" s="505" t="s">
        <v>209</v>
      </c>
      <c r="E295" s="506"/>
      <c r="F295" s="502" t="s">
        <v>3145</v>
      </c>
      <c r="G295" s="502"/>
      <c r="H295" s="502"/>
    </row>
    <row r="296" spans="1:8" ht="12.75" customHeight="1">
      <c r="C296" s="507" t="s">
        <v>335</v>
      </c>
      <c r="D296" s="505" t="s">
        <v>217</v>
      </c>
      <c r="E296" s="4746" t="s">
        <v>3146</v>
      </c>
      <c r="F296" s="4746"/>
      <c r="G296" s="4746"/>
      <c r="H296" s="4746"/>
    </row>
    <row r="297" spans="1:8" ht="12.75" customHeight="1">
      <c r="C297" s="1169" t="s">
        <v>3147</v>
      </c>
      <c r="E297" s="4746" t="s">
        <v>3148</v>
      </c>
      <c r="F297" s="4746"/>
      <c r="G297" s="4746"/>
      <c r="H297" s="4746"/>
    </row>
    <row r="298" spans="1:8" ht="12.75" customHeight="1">
      <c r="C298" s="1170"/>
      <c r="D298" s="1168" t="s">
        <v>2518</v>
      </c>
      <c r="E298" s="4749" t="s">
        <v>3149</v>
      </c>
      <c r="F298" s="4749"/>
      <c r="G298" s="4749"/>
      <c r="H298" s="4749"/>
    </row>
    <row r="299" spans="1:8" ht="6" customHeight="1">
      <c r="D299" s="505"/>
      <c r="E299" s="835"/>
      <c r="F299" s="835"/>
      <c r="G299" s="835"/>
      <c r="H299" s="835"/>
    </row>
    <row r="300" spans="1:8">
      <c r="A300" s="486" t="s">
        <v>3141</v>
      </c>
      <c r="B300" s="503" t="str">
        <f>IF('Part V-Revenues &amp; Expenses'!$M$59=0,"",'Part V-Revenues &amp; Expenses'!$M$59)</f>
        <v/>
      </c>
      <c r="C300" s="486" t="s">
        <v>3152</v>
      </c>
      <c r="D300" s="504" t="s">
        <v>3153</v>
      </c>
    </row>
    <row r="301" spans="1:8" ht="1.9" customHeight="1"/>
    <row r="302" spans="1:8" ht="12.75" customHeight="1">
      <c r="C302" s="483" t="s">
        <v>3144</v>
      </c>
      <c r="D302" s="505" t="s">
        <v>209</v>
      </c>
      <c r="E302" s="506"/>
      <c r="F302" s="502" t="s">
        <v>3145</v>
      </c>
      <c r="G302" s="502"/>
      <c r="H302" s="502"/>
    </row>
    <row r="303" spans="1:8" ht="12.75" customHeight="1">
      <c r="C303" s="507" t="s">
        <v>335</v>
      </c>
      <c r="D303" s="505" t="s">
        <v>217</v>
      </c>
      <c r="E303" s="4746" t="s">
        <v>3146</v>
      </c>
      <c r="F303" s="4746"/>
      <c r="G303" s="4746"/>
      <c r="H303" s="4746"/>
    </row>
    <row r="304" spans="1:8" ht="12.75" customHeight="1">
      <c r="C304" s="1169" t="s">
        <v>3147</v>
      </c>
      <c r="E304" s="4746" t="s">
        <v>3148</v>
      </c>
      <c r="F304" s="4746"/>
      <c r="G304" s="4746"/>
      <c r="H304" s="4746"/>
    </row>
    <row r="305" spans="1:8" ht="12.75" customHeight="1">
      <c r="C305" s="1170"/>
      <c r="D305" s="508" t="s">
        <v>2518</v>
      </c>
      <c r="E305" s="4746" t="s">
        <v>3149</v>
      </c>
      <c r="F305" s="4746"/>
      <c r="G305" s="4746"/>
      <c r="H305" s="4746"/>
    </row>
    <row r="306" spans="1:8" ht="3" customHeight="1">
      <c r="D306" s="505"/>
      <c r="E306" s="835"/>
      <c r="F306" s="835"/>
      <c r="G306" s="835"/>
      <c r="H306" s="835"/>
    </row>
    <row r="307" spans="1:8" ht="12.75" customHeight="1">
      <c r="C307" s="483" t="s">
        <v>3144</v>
      </c>
      <c r="D307" s="505" t="s">
        <v>209</v>
      </c>
      <c r="E307" s="506"/>
      <c r="F307" s="502" t="s">
        <v>3145</v>
      </c>
      <c r="G307" s="502"/>
      <c r="H307" s="502"/>
    </row>
    <row r="308" spans="1:8" ht="12.75" customHeight="1">
      <c r="C308" s="507" t="s">
        <v>335</v>
      </c>
      <c r="D308" s="505" t="s">
        <v>217</v>
      </c>
      <c r="E308" s="4746" t="s">
        <v>3146</v>
      </c>
      <c r="F308" s="4746"/>
      <c r="G308" s="4746"/>
      <c r="H308" s="4746"/>
    </row>
    <row r="309" spans="1:8" ht="12.75" customHeight="1">
      <c r="C309" s="1169" t="s">
        <v>3147</v>
      </c>
      <c r="E309" s="4746" t="s">
        <v>3148</v>
      </c>
      <c r="F309" s="4746"/>
      <c r="G309" s="4746"/>
      <c r="H309" s="4746"/>
    </row>
    <row r="310" spans="1:8" ht="12.75" customHeight="1">
      <c r="C310" s="1170"/>
      <c r="D310" s="1168" t="s">
        <v>2518</v>
      </c>
      <c r="E310" s="4749" t="s">
        <v>3149</v>
      </c>
      <c r="F310" s="4749"/>
      <c r="G310" s="4749"/>
      <c r="H310" s="4749"/>
    </row>
    <row r="311" spans="1:8" ht="3" customHeight="1">
      <c r="D311" s="505"/>
      <c r="E311" s="835"/>
      <c r="F311" s="835"/>
      <c r="G311" s="835"/>
      <c r="H311" s="835"/>
    </row>
    <row r="312" spans="1:8" ht="12.75" customHeight="1">
      <c r="C312" s="483" t="s">
        <v>3144</v>
      </c>
      <c r="D312" s="505" t="s">
        <v>209</v>
      </c>
      <c r="E312" s="506"/>
      <c r="F312" s="502" t="s">
        <v>3145</v>
      </c>
      <c r="G312" s="502"/>
      <c r="H312" s="502"/>
    </row>
    <row r="313" spans="1:8" ht="12.75" customHeight="1">
      <c r="C313" s="507" t="s">
        <v>335</v>
      </c>
      <c r="D313" s="505" t="s">
        <v>217</v>
      </c>
      <c r="E313" s="4746" t="s">
        <v>3146</v>
      </c>
      <c r="F313" s="4746"/>
      <c r="G313" s="4746"/>
      <c r="H313" s="4746"/>
    </row>
    <row r="314" spans="1:8" ht="12.75" customHeight="1">
      <c r="C314" s="1169" t="s">
        <v>3147</v>
      </c>
      <c r="E314" s="4746" t="s">
        <v>3148</v>
      </c>
      <c r="F314" s="4746"/>
      <c r="G314" s="4746"/>
      <c r="H314" s="4746"/>
    </row>
    <row r="315" spans="1:8" ht="12.75" customHeight="1">
      <c r="C315" s="1170"/>
      <c r="D315" s="1168" t="s">
        <v>2518</v>
      </c>
      <c r="E315" s="4749" t="s">
        <v>3149</v>
      </c>
      <c r="F315" s="4749"/>
      <c r="G315" s="4749"/>
      <c r="H315" s="4749"/>
    </row>
    <row r="316" spans="1:8" ht="6" customHeight="1">
      <c r="D316" s="505"/>
      <c r="E316" s="835"/>
      <c r="F316" s="835"/>
      <c r="G316" s="835"/>
      <c r="H316" s="835"/>
    </row>
    <row r="317" spans="1:8">
      <c r="A317" s="486" t="s">
        <v>3141</v>
      </c>
      <c r="B317" s="503" t="str">
        <f>IF('Part V-Revenues &amp; Expenses'!$N$59=0,"",'Part V-Revenues &amp; Expenses'!$N$59)</f>
        <v/>
      </c>
      <c r="C317" s="486" t="s">
        <v>3154</v>
      </c>
      <c r="D317" s="504" t="s">
        <v>3155</v>
      </c>
    </row>
    <row r="318" spans="1:8" ht="1.9" customHeight="1"/>
    <row r="319" spans="1:8" ht="12.75" customHeight="1">
      <c r="C319" s="483" t="s">
        <v>3144</v>
      </c>
      <c r="D319" s="505" t="s">
        <v>209</v>
      </c>
      <c r="E319" s="506"/>
      <c r="F319" s="502" t="s">
        <v>3145</v>
      </c>
      <c r="G319" s="502"/>
      <c r="H319" s="502"/>
    </row>
    <row r="320" spans="1:8" ht="12.75" customHeight="1">
      <c r="C320" s="507" t="s">
        <v>335</v>
      </c>
      <c r="D320" s="505" t="s">
        <v>217</v>
      </c>
      <c r="E320" s="4746" t="s">
        <v>3146</v>
      </c>
      <c r="F320" s="4746"/>
      <c r="G320" s="4746"/>
      <c r="H320" s="4746"/>
    </row>
    <row r="321" spans="1:11" ht="12.75" customHeight="1">
      <c r="C321" s="1169" t="s">
        <v>3147</v>
      </c>
      <c r="E321" s="4746" t="s">
        <v>3148</v>
      </c>
      <c r="F321" s="4746"/>
      <c r="G321" s="4746"/>
      <c r="H321" s="4746"/>
    </row>
    <row r="322" spans="1:11" ht="12.75" customHeight="1">
      <c r="C322" s="1170"/>
      <c r="D322" s="508" t="s">
        <v>2518</v>
      </c>
      <c r="E322" s="4746" t="s">
        <v>3149</v>
      </c>
      <c r="F322" s="4746"/>
      <c r="G322" s="4746"/>
      <c r="H322" s="4746"/>
    </row>
    <row r="323" spans="1:11" ht="3" customHeight="1">
      <c r="D323" s="505"/>
      <c r="E323" s="835"/>
      <c r="F323" s="835"/>
      <c r="G323" s="835"/>
      <c r="H323" s="835"/>
    </row>
    <row r="324" spans="1:11" ht="12.75" customHeight="1">
      <c r="C324" s="483" t="s">
        <v>3144</v>
      </c>
      <c r="D324" s="505" t="s">
        <v>209</v>
      </c>
      <c r="E324" s="506"/>
      <c r="F324" s="502" t="s">
        <v>3145</v>
      </c>
      <c r="G324" s="502"/>
      <c r="H324" s="502"/>
    </row>
    <row r="325" spans="1:11" ht="12.75" customHeight="1">
      <c r="C325" s="507" t="s">
        <v>335</v>
      </c>
      <c r="D325" s="505" t="s">
        <v>217</v>
      </c>
      <c r="E325" s="4746" t="s">
        <v>3146</v>
      </c>
      <c r="F325" s="4746"/>
      <c r="G325" s="4746"/>
      <c r="H325" s="4746"/>
    </row>
    <row r="326" spans="1:11" ht="12.75" customHeight="1">
      <c r="C326" s="1169" t="s">
        <v>3147</v>
      </c>
      <c r="E326" s="4746" t="s">
        <v>3148</v>
      </c>
      <c r="F326" s="4746"/>
      <c r="G326" s="4746"/>
      <c r="H326" s="4746"/>
    </row>
    <row r="327" spans="1:11" ht="12.75" customHeight="1">
      <c r="C327" s="1170"/>
      <c r="D327" s="1168" t="s">
        <v>2518</v>
      </c>
      <c r="E327" s="4749" t="s">
        <v>3149</v>
      </c>
      <c r="F327" s="4749"/>
      <c r="G327" s="4749"/>
      <c r="H327" s="4749"/>
    </row>
    <row r="328" spans="1:11" ht="3" customHeight="1">
      <c r="D328" s="505"/>
      <c r="E328" s="835"/>
      <c r="F328" s="835"/>
      <c r="G328" s="835"/>
      <c r="H328" s="835"/>
    </row>
    <row r="329" spans="1:11" ht="12.75" customHeight="1">
      <c r="C329" s="483" t="s">
        <v>3144</v>
      </c>
      <c r="D329" s="505" t="s">
        <v>209</v>
      </c>
      <c r="E329" s="506"/>
      <c r="F329" s="502" t="s">
        <v>3145</v>
      </c>
      <c r="G329" s="502"/>
      <c r="H329" s="502"/>
    </row>
    <row r="330" spans="1:11" ht="12.75" customHeight="1">
      <c r="C330" s="507" t="s">
        <v>335</v>
      </c>
      <c r="D330" s="505" t="s">
        <v>217</v>
      </c>
      <c r="E330" s="4746" t="s">
        <v>3146</v>
      </c>
      <c r="F330" s="4746"/>
      <c r="G330" s="4746"/>
      <c r="H330" s="4746"/>
    </row>
    <row r="331" spans="1:11" ht="12.75" customHeight="1">
      <c r="C331" s="1169" t="s">
        <v>3147</v>
      </c>
      <c r="E331" s="4746" t="s">
        <v>3148</v>
      </c>
      <c r="F331" s="4746"/>
      <c r="G331" s="4746"/>
      <c r="H331" s="4746"/>
    </row>
    <row r="332" spans="1:11" ht="12.75" customHeight="1">
      <c r="C332" s="1170"/>
      <c r="D332" s="1168" t="s">
        <v>2518</v>
      </c>
      <c r="E332" s="4749" t="s">
        <v>3149</v>
      </c>
      <c r="F332" s="4749"/>
      <c r="G332" s="4749"/>
      <c r="H332" s="4749"/>
    </row>
    <row r="333" spans="1:11" ht="6" customHeight="1">
      <c r="D333" s="505"/>
      <c r="E333" s="835"/>
      <c r="F333" s="835"/>
      <c r="G333" s="835"/>
      <c r="H333" s="835"/>
    </row>
    <row r="334" spans="1:11">
      <c r="A334" s="486" t="s">
        <v>3141</v>
      </c>
      <c r="B334" s="503" t="str">
        <f>IF('Part V-Revenues &amp; Expenses'!$O$59=0,"",'Part V-Revenues &amp; Expenses'!$O$59)</f>
        <v/>
      </c>
      <c r="C334" s="486" t="s">
        <v>3156</v>
      </c>
      <c r="D334" s="504" t="s">
        <v>3157</v>
      </c>
    </row>
    <row r="335" spans="1:11" ht="1.9" customHeight="1"/>
    <row r="336" spans="1:11" ht="12.75" customHeight="1">
      <c r="C336" s="483" t="s">
        <v>3144</v>
      </c>
      <c r="D336" s="505" t="s">
        <v>209</v>
      </c>
      <c r="E336" s="506"/>
      <c r="F336" s="4746" t="s">
        <v>3145</v>
      </c>
      <c r="G336" s="4746"/>
      <c r="H336" s="4746"/>
      <c r="K336" s="324" t="s">
        <v>2682</v>
      </c>
    </row>
    <row r="337" spans="1:8" ht="12.75" customHeight="1">
      <c r="C337" s="507" t="s">
        <v>335</v>
      </c>
      <c r="D337" s="505" t="s">
        <v>217</v>
      </c>
      <c r="E337" s="4746" t="s">
        <v>3158</v>
      </c>
      <c r="F337" s="4746"/>
      <c r="G337" s="4746"/>
      <c r="H337" s="4746"/>
    </row>
    <row r="338" spans="1:8" ht="12.75" customHeight="1">
      <c r="E338" s="4746" t="s">
        <v>3148</v>
      </c>
      <c r="F338" s="4746"/>
      <c r="G338" s="4746"/>
      <c r="H338" s="4746"/>
    </row>
    <row r="339" spans="1:8" ht="12.75" customHeight="1">
      <c r="D339" s="508" t="s">
        <v>2518</v>
      </c>
      <c r="E339" s="4746" t="s">
        <v>3149</v>
      </c>
      <c r="F339" s="4746"/>
      <c r="G339" s="4746"/>
      <c r="H339" s="4746"/>
    </row>
    <row r="340" spans="1:8" ht="9" customHeight="1"/>
    <row r="341" spans="1:8" ht="7.5" customHeight="1" thickBot="1">
      <c r="E341" s="4746"/>
      <c r="F341" s="4746"/>
      <c r="G341" s="4746"/>
      <c r="H341" s="4746"/>
    </row>
    <row r="342" spans="1:8" ht="16.149999999999999" customHeight="1" thickBot="1">
      <c r="A342" s="4747">
        <v>60</v>
      </c>
      <c r="B342" s="4748"/>
      <c r="C342" s="1171" t="s">
        <v>1165</v>
      </c>
    </row>
    <row r="343" spans="1:8" ht="9" customHeight="1">
      <c r="A343" s="478"/>
    </row>
    <row r="344" spans="1:8" ht="28.15" customHeight="1">
      <c r="A344" s="4746" t="s">
        <v>3162</v>
      </c>
      <c r="B344" s="4746"/>
      <c r="C344" s="4746"/>
      <c r="D344" s="4746"/>
      <c r="E344" s="4746"/>
      <c r="F344" s="4746"/>
      <c r="G344" s="4746"/>
      <c r="H344" s="4746"/>
    </row>
    <row r="345" spans="1:8" ht="9" customHeight="1">
      <c r="A345" s="478"/>
    </row>
    <row r="346" spans="1:8">
      <c r="A346" s="486" t="s">
        <v>3141</v>
      </c>
      <c r="B346" s="503" t="str">
        <f>IF('Part V-Revenues &amp; Expenses'!$K$58=0,"",'Part V-Revenues &amp; Expenses'!$K$58)</f>
        <v/>
      </c>
      <c r="C346" s="486" t="s">
        <v>3142</v>
      </c>
      <c r="D346" s="504" t="s">
        <v>3143</v>
      </c>
    </row>
    <row r="347" spans="1:8" ht="1.9" customHeight="1"/>
    <row r="348" spans="1:8" ht="12.75" customHeight="1">
      <c r="C348" s="483" t="s">
        <v>3144</v>
      </c>
      <c r="D348" s="505" t="s">
        <v>209</v>
      </c>
      <c r="E348" s="506"/>
      <c r="F348" s="4746" t="s">
        <v>3145</v>
      </c>
      <c r="G348" s="4746"/>
      <c r="H348" s="4746"/>
    </row>
    <row r="349" spans="1:8" ht="12.75" customHeight="1">
      <c r="C349" s="507" t="s">
        <v>335</v>
      </c>
      <c r="D349" s="505" t="s">
        <v>217</v>
      </c>
      <c r="E349" s="4746" t="s">
        <v>3146</v>
      </c>
      <c r="F349" s="4746"/>
      <c r="G349" s="4746"/>
      <c r="H349" s="4746"/>
    </row>
    <row r="350" spans="1:8" ht="12.75" customHeight="1">
      <c r="C350" s="1169" t="s">
        <v>3147</v>
      </c>
      <c r="E350" s="4746" t="s">
        <v>3148</v>
      </c>
      <c r="F350" s="4746"/>
      <c r="G350" s="4746"/>
      <c r="H350" s="4746"/>
    </row>
    <row r="351" spans="1:8" ht="12.75" customHeight="1">
      <c r="C351" s="1170"/>
      <c r="D351" s="1168" t="s">
        <v>2518</v>
      </c>
      <c r="E351" s="4749" t="s">
        <v>3149</v>
      </c>
      <c r="F351" s="4749"/>
      <c r="G351" s="4749"/>
      <c r="H351" s="4749"/>
    </row>
    <row r="352" spans="1:8" ht="3" customHeight="1">
      <c r="D352" s="505"/>
      <c r="E352" s="835"/>
      <c r="F352" s="835"/>
      <c r="G352" s="835"/>
      <c r="H352" s="835"/>
    </row>
    <row r="353" spans="1:8" ht="12.75" customHeight="1">
      <c r="C353" s="483" t="s">
        <v>3144</v>
      </c>
      <c r="D353" s="505" t="s">
        <v>209</v>
      </c>
      <c r="E353" s="506"/>
      <c r="F353" s="502" t="s">
        <v>3145</v>
      </c>
      <c r="G353" s="502"/>
      <c r="H353" s="502"/>
    </row>
    <row r="354" spans="1:8" ht="12.75" customHeight="1">
      <c r="C354" s="507" t="s">
        <v>335</v>
      </c>
      <c r="D354" s="505" t="s">
        <v>217</v>
      </c>
      <c r="E354" s="4746" t="s">
        <v>3146</v>
      </c>
      <c r="F354" s="4746"/>
      <c r="G354" s="4746"/>
      <c r="H354" s="4746"/>
    </row>
    <row r="355" spans="1:8" ht="12.75" customHeight="1">
      <c r="C355" s="1169" t="s">
        <v>3147</v>
      </c>
      <c r="E355" s="4746" t="s">
        <v>3148</v>
      </c>
      <c r="F355" s="4746"/>
      <c r="G355" s="4746"/>
      <c r="H355" s="4746"/>
    </row>
    <row r="356" spans="1:8" ht="12.75" customHeight="1">
      <c r="C356" s="1170"/>
      <c r="D356" s="1168" t="s">
        <v>2518</v>
      </c>
      <c r="E356" s="4749" t="s">
        <v>3149</v>
      </c>
      <c r="F356" s="4749"/>
      <c r="G356" s="4749"/>
      <c r="H356" s="4749"/>
    </row>
    <row r="357" spans="1:8" ht="3" customHeight="1">
      <c r="D357" s="505"/>
      <c r="E357" s="835"/>
      <c r="F357" s="835"/>
      <c r="G357" s="835"/>
      <c r="H357" s="835"/>
    </row>
    <row r="358" spans="1:8" ht="12.75" customHeight="1">
      <c r="C358" s="483" t="s">
        <v>3144</v>
      </c>
      <c r="D358" s="505" t="s">
        <v>209</v>
      </c>
      <c r="E358" s="506"/>
      <c r="F358" s="502" t="s">
        <v>3145</v>
      </c>
      <c r="G358" s="502"/>
      <c r="H358" s="502"/>
    </row>
    <row r="359" spans="1:8" ht="12.75" customHeight="1">
      <c r="C359" s="507" t="s">
        <v>335</v>
      </c>
      <c r="D359" s="505" t="s">
        <v>217</v>
      </c>
      <c r="E359" s="4746" t="s">
        <v>3146</v>
      </c>
      <c r="F359" s="4746"/>
      <c r="G359" s="4746"/>
      <c r="H359" s="4746"/>
    </row>
    <row r="360" spans="1:8" ht="12.75" customHeight="1">
      <c r="C360" s="1169" t="s">
        <v>3147</v>
      </c>
      <c r="E360" s="4746" t="s">
        <v>3148</v>
      </c>
      <c r="F360" s="4746"/>
      <c r="G360" s="4746"/>
      <c r="H360" s="4746"/>
    </row>
    <row r="361" spans="1:8" ht="12.75" customHeight="1">
      <c r="C361" s="1170"/>
      <c r="D361" s="1168" t="s">
        <v>2518</v>
      </c>
      <c r="E361" s="4749" t="s">
        <v>3149</v>
      </c>
      <c r="F361" s="4749"/>
      <c r="G361" s="4749"/>
      <c r="H361" s="4749"/>
    </row>
    <row r="362" spans="1:8" ht="6" customHeight="1">
      <c r="D362" s="505"/>
      <c r="E362" s="835"/>
      <c r="F362" s="835"/>
      <c r="G362" s="835"/>
      <c r="H362" s="835"/>
    </row>
    <row r="363" spans="1:8">
      <c r="A363" s="486" t="s">
        <v>3141</v>
      </c>
      <c r="B363" s="503">
        <f>IF('Part V-Revenues &amp; Expenses'!$L$58=0,"",'Part V-Revenues &amp; Expenses'!$L$58)</f>
        <v>38</v>
      </c>
      <c r="C363" s="486" t="s">
        <v>3150</v>
      </c>
      <c r="D363" s="504" t="s">
        <v>3151</v>
      </c>
    </row>
    <row r="364" spans="1:8" ht="1.9" customHeight="1"/>
    <row r="365" spans="1:8" ht="12.75" customHeight="1">
      <c r="C365" s="483" t="s">
        <v>3144</v>
      </c>
      <c r="D365" s="505" t="s">
        <v>209</v>
      </c>
      <c r="E365" s="506"/>
      <c r="F365" s="502" t="s">
        <v>3145</v>
      </c>
      <c r="G365" s="502"/>
      <c r="H365" s="502"/>
    </row>
    <row r="366" spans="1:8" ht="12.75" customHeight="1">
      <c r="C366" s="507" t="s">
        <v>335</v>
      </c>
      <c r="D366" s="505" t="s">
        <v>217</v>
      </c>
      <c r="E366" s="4746" t="s">
        <v>3146</v>
      </c>
      <c r="F366" s="4746"/>
      <c r="G366" s="4746"/>
      <c r="H366" s="4746"/>
    </row>
    <row r="367" spans="1:8" ht="12.75" customHeight="1">
      <c r="C367" s="1169" t="s">
        <v>3147</v>
      </c>
      <c r="E367" s="4746" t="s">
        <v>3148</v>
      </c>
      <c r="F367" s="4746"/>
      <c r="G367" s="4746"/>
      <c r="H367" s="4746"/>
    </row>
    <row r="368" spans="1:8" ht="12.75" customHeight="1">
      <c r="C368" s="1170"/>
      <c r="D368" s="508" t="s">
        <v>2518</v>
      </c>
      <c r="E368" s="4746" t="s">
        <v>3149</v>
      </c>
      <c r="F368" s="4746"/>
      <c r="G368" s="4746"/>
      <c r="H368" s="4746"/>
    </row>
    <row r="369" spans="1:8" ht="3" customHeight="1">
      <c r="D369" s="505"/>
      <c r="E369" s="835"/>
      <c r="F369" s="835"/>
      <c r="G369" s="835"/>
      <c r="H369" s="835"/>
    </row>
    <row r="370" spans="1:8" ht="12.75" customHeight="1">
      <c r="C370" s="483" t="s">
        <v>3144</v>
      </c>
      <c r="D370" s="505" t="s">
        <v>209</v>
      </c>
      <c r="E370" s="506"/>
      <c r="F370" s="502" t="s">
        <v>3145</v>
      </c>
      <c r="G370" s="502"/>
      <c r="H370" s="502"/>
    </row>
    <row r="371" spans="1:8" ht="12.75" customHeight="1">
      <c r="C371" s="507" t="s">
        <v>335</v>
      </c>
      <c r="D371" s="505" t="s">
        <v>217</v>
      </c>
      <c r="E371" s="4746" t="s">
        <v>3146</v>
      </c>
      <c r="F371" s="4746"/>
      <c r="G371" s="4746"/>
      <c r="H371" s="4746"/>
    </row>
    <row r="372" spans="1:8" ht="12.75" customHeight="1">
      <c r="C372" s="1169" t="s">
        <v>3147</v>
      </c>
      <c r="E372" s="4746" t="s">
        <v>3148</v>
      </c>
      <c r="F372" s="4746"/>
      <c r="G372" s="4746"/>
      <c r="H372" s="4746"/>
    </row>
    <row r="373" spans="1:8" ht="12.75" customHeight="1">
      <c r="C373" s="1170"/>
      <c r="D373" s="1168" t="s">
        <v>2518</v>
      </c>
      <c r="E373" s="4749" t="s">
        <v>3149</v>
      </c>
      <c r="F373" s="4749"/>
      <c r="G373" s="4749"/>
      <c r="H373" s="4749"/>
    </row>
    <row r="374" spans="1:8" ht="3" customHeight="1">
      <c r="D374" s="505"/>
      <c r="E374" s="835"/>
      <c r="F374" s="835"/>
      <c r="G374" s="835"/>
      <c r="H374" s="835"/>
    </row>
    <row r="375" spans="1:8" ht="12.75" customHeight="1">
      <c r="C375" s="483" t="s">
        <v>3144</v>
      </c>
      <c r="D375" s="505" t="s">
        <v>209</v>
      </c>
      <c r="E375" s="506"/>
      <c r="F375" s="502" t="s">
        <v>3145</v>
      </c>
      <c r="G375" s="502"/>
      <c r="H375" s="502"/>
    </row>
    <row r="376" spans="1:8" ht="12.75" customHeight="1">
      <c r="C376" s="507" t="s">
        <v>335</v>
      </c>
      <c r="D376" s="505" t="s">
        <v>217</v>
      </c>
      <c r="E376" s="4746" t="s">
        <v>3146</v>
      </c>
      <c r="F376" s="4746"/>
      <c r="G376" s="4746"/>
      <c r="H376" s="4746"/>
    </row>
    <row r="377" spans="1:8" ht="12.75" customHeight="1">
      <c r="C377" s="1169" t="s">
        <v>3147</v>
      </c>
      <c r="E377" s="4746" t="s">
        <v>3148</v>
      </c>
      <c r="F377" s="4746"/>
      <c r="G377" s="4746"/>
      <c r="H377" s="4746"/>
    </row>
    <row r="378" spans="1:8" ht="12.75" customHeight="1">
      <c r="C378" s="1170"/>
      <c r="D378" s="1168" t="s">
        <v>2518</v>
      </c>
      <c r="E378" s="4749" t="s">
        <v>3149</v>
      </c>
      <c r="F378" s="4749"/>
      <c r="G378" s="4749"/>
      <c r="H378" s="4749"/>
    </row>
    <row r="379" spans="1:8" ht="6" customHeight="1">
      <c r="D379" s="505"/>
      <c r="E379" s="835"/>
      <c r="F379" s="835"/>
      <c r="G379" s="835"/>
      <c r="H379" s="835"/>
    </row>
    <row r="380" spans="1:8">
      <c r="A380" s="486" t="s">
        <v>3141</v>
      </c>
      <c r="B380" s="503">
        <f>IF('Part V-Revenues &amp; Expenses'!$M$58=0,"",'Part V-Revenues &amp; Expenses'!$M$58)</f>
        <v>60</v>
      </c>
      <c r="C380" s="486" t="s">
        <v>3152</v>
      </c>
      <c r="D380" s="504" t="s">
        <v>3153</v>
      </c>
    </row>
    <row r="381" spans="1:8" ht="1.9" customHeight="1"/>
    <row r="382" spans="1:8" ht="12.75" customHeight="1">
      <c r="C382" s="483" t="s">
        <v>3144</v>
      </c>
      <c r="D382" s="505" t="s">
        <v>209</v>
      </c>
      <c r="E382" s="506"/>
      <c r="F382" s="502" t="s">
        <v>3145</v>
      </c>
      <c r="G382" s="502"/>
      <c r="H382" s="502"/>
    </row>
    <row r="383" spans="1:8" ht="12.75" customHeight="1">
      <c r="C383" s="507" t="s">
        <v>335</v>
      </c>
      <c r="D383" s="505" t="s">
        <v>217</v>
      </c>
      <c r="E383" s="4746" t="s">
        <v>3146</v>
      </c>
      <c r="F383" s="4746"/>
      <c r="G383" s="4746"/>
      <c r="H383" s="4746"/>
    </row>
    <row r="384" spans="1:8" ht="12.75" customHeight="1">
      <c r="C384" s="1169" t="s">
        <v>3147</v>
      </c>
      <c r="E384" s="4746" t="s">
        <v>3148</v>
      </c>
      <c r="F384" s="4746"/>
      <c r="G384" s="4746"/>
      <c r="H384" s="4746"/>
    </row>
    <row r="385" spans="1:8" ht="12.75" customHeight="1">
      <c r="C385" s="1170"/>
      <c r="D385" s="508" t="s">
        <v>2518</v>
      </c>
      <c r="E385" s="4746" t="s">
        <v>3149</v>
      </c>
      <c r="F385" s="4746"/>
      <c r="G385" s="4746"/>
      <c r="H385" s="4746"/>
    </row>
    <row r="386" spans="1:8" ht="3" customHeight="1">
      <c r="D386" s="505"/>
      <c r="E386" s="835"/>
      <c r="F386" s="835"/>
      <c r="G386" s="835"/>
      <c r="H386" s="835"/>
    </row>
    <row r="387" spans="1:8" ht="12.75" customHeight="1">
      <c r="C387" s="483" t="s">
        <v>3144</v>
      </c>
      <c r="D387" s="505" t="s">
        <v>209</v>
      </c>
      <c r="E387" s="506"/>
      <c r="F387" s="502" t="s">
        <v>3145</v>
      </c>
      <c r="G387" s="502"/>
      <c r="H387" s="502"/>
    </row>
    <row r="388" spans="1:8" ht="12.75" customHeight="1">
      <c r="C388" s="507" t="s">
        <v>335</v>
      </c>
      <c r="D388" s="505" t="s">
        <v>217</v>
      </c>
      <c r="E388" s="4746" t="s">
        <v>3146</v>
      </c>
      <c r="F388" s="4746"/>
      <c r="G388" s="4746"/>
      <c r="H388" s="4746"/>
    </row>
    <row r="389" spans="1:8" ht="12.75" customHeight="1">
      <c r="C389" s="1169" t="s">
        <v>3147</v>
      </c>
      <c r="E389" s="4746" t="s">
        <v>3148</v>
      </c>
      <c r="F389" s="4746"/>
      <c r="G389" s="4746"/>
      <c r="H389" s="4746"/>
    </row>
    <row r="390" spans="1:8" ht="12.75" customHeight="1">
      <c r="C390" s="1170"/>
      <c r="D390" s="1168" t="s">
        <v>2518</v>
      </c>
      <c r="E390" s="4749" t="s">
        <v>3149</v>
      </c>
      <c r="F390" s="4749"/>
      <c r="G390" s="4749"/>
      <c r="H390" s="4749"/>
    </row>
    <row r="391" spans="1:8" ht="3" customHeight="1">
      <c r="D391" s="505"/>
      <c r="E391" s="835"/>
      <c r="F391" s="835"/>
      <c r="G391" s="835"/>
      <c r="H391" s="835"/>
    </row>
    <row r="392" spans="1:8" ht="12.75" customHeight="1">
      <c r="C392" s="483" t="s">
        <v>3144</v>
      </c>
      <c r="D392" s="505" t="s">
        <v>209</v>
      </c>
      <c r="E392" s="506"/>
      <c r="F392" s="502" t="s">
        <v>3145</v>
      </c>
      <c r="G392" s="502"/>
      <c r="H392" s="502"/>
    </row>
    <row r="393" spans="1:8" ht="12.75" customHeight="1">
      <c r="C393" s="507" t="s">
        <v>335</v>
      </c>
      <c r="D393" s="505" t="s">
        <v>217</v>
      </c>
      <c r="E393" s="4746" t="s">
        <v>3146</v>
      </c>
      <c r="F393" s="4746"/>
      <c r="G393" s="4746"/>
      <c r="H393" s="4746"/>
    </row>
    <row r="394" spans="1:8" ht="12.75" customHeight="1">
      <c r="C394" s="1169" t="s">
        <v>3147</v>
      </c>
      <c r="E394" s="4746" t="s">
        <v>3148</v>
      </c>
      <c r="F394" s="4746"/>
      <c r="G394" s="4746"/>
      <c r="H394" s="4746"/>
    </row>
    <row r="395" spans="1:8" ht="12.75" customHeight="1">
      <c r="C395" s="1170"/>
      <c r="D395" s="1168" t="s">
        <v>2518</v>
      </c>
      <c r="E395" s="4749" t="s">
        <v>3149</v>
      </c>
      <c r="F395" s="4749"/>
      <c r="G395" s="4749"/>
      <c r="H395" s="4749"/>
    </row>
    <row r="396" spans="1:8" ht="6" customHeight="1">
      <c r="D396" s="505"/>
      <c r="E396" s="835"/>
      <c r="F396" s="835"/>
      <c r="G396" s="835"/>
      <c r="H396" s="835"/>
    </row>
    <row r="397" spans="1:8">
      <c r="A397" s="486" t="s">
        <v>3141</v>
      </c>
      <c r="B397" s="503">
        <f>IF('Part V-Revenues &amp; Expenses'!$N$58=0,"",'Part V-Revenues &amp; Expenses'!$N$58)</f>
        <v>20</v>
      </c>
      <c r="C397" s="486" t="s">
        <v>3154</v>
      </c>
      <c r="D397" s="504" t="s">
        <v>3155</v>
      </c>
    </row>
    <row r="398" spans="1:8" ht="1.9" customHeight="1"/>
    <row r="399" spans="1:8" ht="12.75" customHeight="1">
      <c r="C399" s="483" t="s">
        <v>3144</v>
      </c>
      <c r="D399" s="505" t="s">
        <v>209</v>
      </c>
      <c r="E399" s="506"/>
      <c r="F399" s="502" t="s">
        <v>3145</v>
      </c>
      <c r="G399" s="502"/>
      <c r="H399" s="502"/>
    </row>
    <row r="400" spans="1:8" ht="12.75" customHeight="1">
      <c r="C400" s="507" t="s">
        <v>335</v>
      </c>
      <c r="D400" s="505" t="s">
        <v>217</v>
      </c>
      <c r="E400" s="4746" t="s">
        <v>3146</v>
      </c>
      <c r="F400" s="4746"/>
      <c r="G400" s="4746"/>
      <c r="H400" s="4746"/>
    </row>
    <row r="401" spans="1:11" ht="12.75" customHeight="1">
      <c r="C401" s="1169" t="s">
        <v>3147</v>
      </c>
      <c r="E401" s="4746" t="s">
        <v>3148</v>
      </c>
      <c r="F401" s="4746"/>
      <c r="G401" s="4746"/>
      <c r="H401" s="4746"/>
    </row>
    <row r="402" spans="1:11" ht="12.75" customHeight="1">
      <c r="C402" s="1170"/>
      <c r="D402" s="508" t="s">
        <v>2518</v>
      </c>
      <c r="E402" s="4746" t="s">
        <v>3149</v>
      </c>
      <c r="F402" s="4746"/>
      <c r="G402" s="4746"/>
      <c r="H402" s="4746"/>
    </row>
    <row r="403" spans="1:11" ht="3" customHeight="1">
      <c r="D403" s="505"/>
      <c r="E403" s="835"/>
      <c r="F403" s="835"/>
      <c r="G403" s="835"/>
      <c r="H403" s="835"/>
    </row>
    <row r="404" spans="1:11" ht="12.75" customHeight="1">
      <c r="C404" s="483" t="s">
        <v>3144</v>
      </c>
      <c r="D404" s="505" t="s">
        <v>209</v>
      </c>
      <c r="E404" s="506"/>
      <c r="F404" s="502" t="s">
        <v>3145</v>
      </c>
      <c r="G404" s="502"/>
      <c r="H404" s="502"/>
    </row>
    <row r="405" spans="1:11" ht="12.75" customHeight="1">
      <c r="C405" s="507" t="s">
        <v>335</v>
      </c>
      <c r="D405" s="505" t="s">
        <v>217</v>
      </c>
      <c r="E405" s="4746" t="s">
        <v>3146</v>
      </c>
      <c r="F405" s="4746"/>
      <c r="G405" s="4746"/>
      <c r="H405" s="4746"/>
    </row>
    <row r="406" spans="1:11" ht="12.75" customHeight="1">
      <c r="C406" s="1169" t="s">
        <v>3147</v>
      </c>
      <c r="E406" s="4746" t="s">
        <v>3148</v>
      </c>
      <c r="F406" s="4746"/>
      <c r="G406" s="4746"/>
      <c r="H406" s="4746"/>
    </row>
    <row r="407" spans="1:11" ht="12.75" customHeight="1">
      <c r="C407" s="1170"/>
      <c r="D407" s="1168" t="s">
        <v>2518</v>
      </c>
      <c r="E407" s="4749" t="s">
        <v>3149</v>
      </c>
      <c r="F407" s="4749"/>
      <c r="G407" s="4749"/>
      <c r="H407" s="4749"/>
    </row>
    <row r="408" spans="1:11" ht="3" customHeight="1">
      <c r="D408" s="505"/>
      <c r="E408" s="835"/>
      <c r="F408" s="835"/>
      <c r="G408" s="835"/>
      <c r="H408" s="835"/>
    </row>
    <row r="409" spans="1:11" ht="12.75" customHeight="1">
      <c r="C409" s="483" t="s">
        <v>3144</v>
      </c>
      <c r="D409" s="505" t="s">
        <v>209</v>
      </c>
      <c r="E409" s="506"/>
      <c r="F409" s="502" t="s">
        <v>3145</v>
      </c>
      <c r="G409" s="502"/>
      <c r="H409" s="502"/>
    </row>
    <row r="410" spans="1:11" ht="12.75" customHeight="1">
      <c r="C410" s="507" t="s">
        <v>335</v>
      </c>
      <c r="D410" s="505" t="s">
        <v>217</v>
      </c>
      <c r="E410" s="4746" t="s">
        <v>3146</v>
      </c>
      <c r="F410" s="4746"/>
      <c r="G410" s="4746"/>
      <c r="H410" s="4746"/>
    </row>
    <row r="411" spans="1:11" ht="12.75" customHeight="1">
      <c r="C411" s="1169" t="s">
        <v>3147</v>
      </c>
      <c r="E411" s="4746" t="s">
        <v>3148</v>
      </c>
      <c r="F411" s="4746"/>
      <c r="G411" s="4746"/>
      <c r="H411" s="4746"/>
    </row>
    <row r="412" spans="1:11" ht="12.75" customHeight="1">
      <c r="C412" s="1170"/>
      <c r="D412" s="1168" t="s">
        <v>2518</v>
      </c>
      <c r="E412" s="4749" t="s">
        <v>3149</v>
      </c>
      <c r="F412" s="4749"/>
      <c r="G412" s="4749"/>
      <c r="H412" s="4749"/>
    </row>
    <row r="413" spans="1:11" ht="6" customHeight="1">
      <c r="D413" s="505"/>
      <c r="E413" s="835"/>
      <c r="F413" s="835"/>
      <c r="G413" s="835"/>
      <c r="H413" s="835"/>
    </row>
    <row r="414" spans="1:11">
      <c r="A414" s="486" t="s">
        <v>3141</v>
      </c>
      <c r="B414" s="503" t="str">
        <f>IF('Part V-Revenues &amp; Expenses'!$O$58=0,"",'Part V-Revenues &amp; Expenses'!$O$58)</f>
        <v/>
      </c>
      <c r="C414" s="486" t="s">
        <v>3156</v>
      </c>
      <c r="D414" s="504" t="s">
        <v>3157</v>
      </c>
    </row>
    <row r="415" spans="1:11" ht="1.9" customHeight="1"/>
    <row r="416" spans="1:11" ht="12.75" customHeight="1">
      <c r="C416" s="483" t="s">
        <v>3144</v>
      </c>
      <c r="D416" s="505" t="s">
        <v>209</v>
      </c>
      <c r="E416" s="506"/>
      <c r="F416" s="4746" t="s">
        <v>3145</v>
      </c>
      <c r="G416" s="4746"/>
      <c r="H416" s="4746"/>
      <c r="K416" s="324" t="s">
        <v>2682</v>
      </c>
    </row>
    <row r="417" spans="1:8" ht="12.75" customHeight="1">
      <c r="C417" s="507" t="s">
        <v>335</v>
      </c>
      <c r="D417" s="505" t="s">
        <v>217</v>
      </c>
      <c r="E417" s="4746" t="s">
        <v>3158</v>
      </c>
      <c r="F417" s="4746"/>
      <c r="G417" s="4746"/>
      <c r="H417" s="4746"/>
    </row>
    <row r="418" spans="1:8" ht="12.75" customHeight="1">
      <c r="E418" s="4746" t="s">
        <v>3148</v>
      </c>
      <c r="F418" s="4746"/>
      <c r="G418" s="4746"/>
      <c r="H418" s="4746"/>
    </row>
    <row r="419" spans="1:8" ht="12.75" customHeight="1">
      <c r="D419" s="508" t="s">
        <v>2518</v>
      </c>
      <c r="E419" s="4746" t="s">
        <v>3149</v>
      </c>
      <c r="F419" s="4746"/>
      <c r="G419" s="4746"/>
      <c r="H419" s="4746"/>
    </row>
    <row r="420" spans="1:8" ht="9" customHeight="1" thickBot="1"/>
    <row r="421" spans="1:8" ht="16.149999999999999" customHeight="1" thickBot="1">
      <c r="A421" s="4747">
        <v>70</v>
      </c>
      <c r="B421" s="4748"/>
      <c r="C421" s="1171" t="s">
        <v>1165</v>
      </c>
    </row>
    <row r="422" spans="1:8" ht="9" customHeight="1">
      <c r="A422" s="478"/>
    </row>
    <row r="423" spans="1:8" ht="28.15" customHeight="1">
      <c r="A423" s="4746" t="s">
        <v>3163</v>
      </c>
      <c r="B423" s="4746"/>
      <c r="C423" s="4746"/>
      <c r="D423" s="4746"/>
      <c r="E423" s="4746"/>
      <c r="F423" s="4746"/>
      <c r="G423" s="4746"/>
      <c r="H423" s="4746"/>
    </row>
    <row r="424" spans="1:8" ht="9" customHeight="1">
      <c r="A424" s="478"/>
    </row>
    <row r="425" spans="1:8">
      <c r="A425" s="486" t="s">
        <v>3141</v>
      </c>
      <c r="B425" s="503" t="str">
        <f>IF('Part V-Revenues &amp; Expenses'!$K$57=0,"",'Part V-Revenues &amp; Expenses'!$K$57)</f>
        <v/>
      </c>
      <c r="C425" s="486" t="s">
        <v>3142</v>
      </c>
      <c r="D425" s="504" t="s">
        <v>3143</v>
      </c>
    </row>
    <row r="426" spans="1:8" ht="1.9" customHeight="1"/>
    <row r="427" spans="1:8" ht="12.75" customHeight="1">
      <c r="C427" s="483" t="s">
        <v>3144</v>
      </c>
      <c r="D427" s="505" t="s">
        <v>209</v>
      </c>
      <c r="E427" s="506"/>
      <c r="F427" s="4746" t="s">
        <v>3145</v>
      </c>
      <c r="G427" s="4746"/>
      <c r="H427" s="4746"/>
    </row>
    <row r="428" spans="1:8" ht="12.75" customHeight="1">
      <c r="C428" s="507" t="s">
        <v>335</v>
      </c>
      <c r="D428" s="505" t="s">
        <v>217</v>
      </c>
      <c r="E428" s="4746" t="s">
        <v>3146</v>
      </c>
      <c r="F428" s="4746"/>
      <c r="G428" s="4746"/>
      <c r="H428" s="4746"/>
    </row>
    <row r="429" spans="1:8" ht="12.75" customHeight="1">
      <c r="C429" s="1169" t="s">
        <v>3147</v>
      </c>
      <c r="E429" s="4746" t="s">
        <v>3148</v>
      </c>
      <c r="F429" s="4746"/>
      <c r="G429" s="4746"/>
      <c r="H429" s="4746"/>
    </row>
    <row r="430" spans="1:8" ht="12.75" customHeight="1">
      <c r="C430" s="1170"/>
      <c r="D430" s="1168" t="s">
        <v>2518</v>
      </c>
      <c r="E430" s="4749" t="s">
        <v>3149</v>
      </c>
      <c r="F430" s="4749"/>
      <c r="G430" s="4749"/>
      <c r="H430" s="4749"/>
    </row>
    <row r="431" spans="1:8" ht="3" customHeight="1">
      <c r="D431" s="505"/>
      <c r="E431" s="835"/>
      <c r="F431" s="835"/>
      <c r="G431" s="835"/>
      <c r="H431" s="835"/>
    </row>
    <row r="432" spans="1:8" ht="12.75" customHeight="1">
      <c r="C432" s="483" t="s">
        <v>3144</v>
      </c>
      <c r="D432" s="505" t="s">
        <v>209</v>
      </c>
      <c r="E432" s="506"/>
      <c r="F432" s="502" t="s">
        <v>3145</v>
      </c>
      <c r="G432" s="502"/>
      <c r="H432" s="502"/>
    </row>
    <row r="433" spans="1:8" ht="12.75" customHeight="1">
      <c r="C433" s="507" t="s">
        <v>335</v>
      </c>
      <c r="D433" s="505" t="s">
        <v>217</v>
      </c>
      <c r="E433" s="4746" t="s">
        <v>3146</v>
      </c>
      <c r="F433" s="4746"/>
      <c r="G433" s="4746"/>
      <c r="H433" s="4746"/>
    </row>
    <row r="434" spans="1:8" ht="12.75" customHeight="1">
      <c r="C434" s="1169" t="s">
        <v>3147</v>
      </c>
      <c r="E434" s="4746" t="s">
        <v>3148</v>
      </c>
      <c r="F434" s="4746"/>
      <c r="G434" s="4746"/>
      <c r="H434" s="4746"/>
    </row>
    <row r="435" spans="1:8" ht="12.75" customHeight="1">
      <c r="C435" s="1170"/>
      <c r="D435" s="1168" t="s">
        <v>2518</v>
      </c>
      <c r="E435" s="4749" t="s">
        <v>3149</v>
      </c>
      <c r="F435" s="4749"/>
      <c r="G435" s="4749"/>
      <c r="H435" s="4749"/>
    </row>
    <row r="436" spans="1:8" ht="3" customHeight="1">
      <c r="D436" s="505"/>
      <c r="E436" s="835"/>
      <c r="F436" s="835"/>
      <c r="G436" s="835"/>
      <c r="H436" s="835"/>
    </row>
    <row r="437" spans="1:8" ht="12.75" customHeight="1">
      <c r="C437" s="483" t="s">
        <v>3144</v>
      </c>
      <c r="D437" s="505" t="s">
        <v>209</v>
      </c>
      <c r="E437" s="506"/>
      <c r="F437" s="502" t="s">
        <v>3145</v>
      </c>
      <c r="G437" s="502"/>
      <c r="H437" s="502"/>
    </row>
    <row r="438" spans="1:8" ht="12.75" customHeight="1">
      <c r="C438" s="507" t="s">
        <v>335</v>
      </c>
      <c r="D438" s="505" t="s">
        <v>217</v>
      </c>
      <c r="E438" s="4746" t="s">
        <v>3146</v>
      </c>
      <c r="F438" s="4746"/>
      <c r="G438" s="4746"/>
      <c r="H438" s="4746"/>
    </row>
    <row r="439" spans="1:8" ht="12.75" customHeight="1">
      <c r="C439" s="1169" t="s">
        <v>3147</v>
      </c>
      <c r="E439" s="4746" t="s">
        <v>3148</v>
      </c>
      <c r="F439" s="4746"/>
      <c r="G439" s="4746"/>
      <c r="H439" s="4746"/>
    </row>
    <row r="440" spans="1:8" ht="12.75" customHeight="1">
      <c r="C440" s="1170"/>
      <c r="D440" s="1168" t="s">
        <v>2518</v>
      </c>
      <c r="E440" s="4749" t="s">
        <v>3149</v>
      </c>
      <c r="F440" s="4749"/>
      <c r="G440" s="4749"/>
      <c r="H440" s="4749"/>
    </row>
    <row r="441" spans="1:8" ht="6" customHeight="1">
      <c r="D441" s="505"/>
      <c r="E441" s="835"/>
      <c r="F441" s="835"/>
      <c r="G441" s="835"/>
      <c r="H441" s="835"/>
    </row>
    <row r="442" spans="1:8">
      <c r="A442" s="486" t="s">
        <v>3141</v>
      </c>
      <c r="B442" s="503" t="str">
        <f>IF('Part V-Revenues &amp; Expenses'!$L$57=0,"",'Part V-Revenues &amp; Expenses'!$L$57)</f>
        <v/>
      </c>
      <c r="C442" s="486" t="s">
        <v>3150</v>
      </c>
      <c r="D442" s="504" t="s">
        <v>3151</v>
      </c>
    </row>
    <row r="443" spans="1:8" ht="1.9" customHeight="1"/>
    <row r="444" spans="1:8" ht="12.75" customHeight="1">
      <c r="C444" s="483" t="s">
        <v>3144</v>
      </c>
      <c r="D444" s="505" t="s">
        <v>209</v>
      </c>
      <c r="E444" s="506"/>
      <c r="F444" s="502" t="s">
        <v>3145</v>
      </c>
      <c r="G444" s="502"/>
      <c r="H444" s="502"/>
    </row>
    <row r="445" spans="1:8" ht="12.75" customHeight="1">
      <c r="C445" s="507" t="s">
        <v>335</v>
      </c>
      <c r="D445" s="505" t="s">
        <v>217</v>
      </c>
      <c r="E445" s="4746" t="s">
        <v>3146</v>
      </c>
      <c r="F445" s="4746"/>
      <c r="G445" s="4746"/>
      <c r="H445" s="4746"/>
    </row>
    <row r="446" spans="1:8" ht="12.75" customHeight="1">
      <c r="C446" s="1169" t="s">
        <v>3147</v>
      </c>
      <c r="E446" s="4746" t="s">
        <v>3148</v>
      </c>
      <c r="F446" s="4746"/>
      <c r="G446" s="4746"/>
      <c r="H446" s="4746"/>
    </row>
    <row r="447" spans="1:8" ht="12.75" customHeight="1">
      <c r="C447" s="1170"/>
      <c r="D447" s="508" t="s">
        <v>2518</v>
      </c>
      <c r="E447" s="4746" t="s">
        <v>3149</v>
      </c>
      <c r="F447" s="4746"/>
      <c r="G447" s="4746"/>
      <c r="H447" s="4746"/>
    </row>
    <row r="448" spans="1:8" ht="3" customHeight="1">
      <c r="D448" s="505"/>
      <c r="E448" s="835"/>
      <c r="F448" s="835"/>
      <c r="G448" s="835"/>
      <c r="H448" s="835"/>
    </row>
    <row r="449" spans="1:8" ht="12.75" customHeight="1">
      <c r="C449" s="483" t="s">
        <v>3144</v>
      </c>
      <c r="D449" s="505" t="s">
        <v>209</v>
      </c>
      <c r="E449" s="506"/>
      <c r="F449" s="502" t="s">
        <v>3145</v>
      </c>
      <c r="G449" s="502"/>
      <c r="H449" s="502"/>
    </row>
    <row r="450" spans="1:8" ht="12.75" customHeight="1">
      <c r="C450" s="507" t="s">
        <v>335</v>
      </c>
      <c r="D450" s="505" t="s">
        <v>217</v>
      </c>
      <c r="E450" s="4746" t="s">
        <v>3146</v>
      </c>
      <c r="F450" s="4746"/>
      <c r="G450" s="4746"/>
      <c r="H450" s="4746"/>
    </row>
    <row r="451" spans="1:8" ht="12.75" customHeight="1">
      <c r="C451" s="1169" t="s">
        <v>3147</v>
      </c>
      <c r="E451" s="4746" t="s">
        <v>3148</v>
      </c>
      <c r="F451" s="4746"/>
      <c r="G451" s="4746"/>
      <c r="H451" s="4746"/>
    </row>
    <row r="452" spans="1:8" ht="12.75" customHeight="1">
      <c r="C452" s="1170"/>
      <c r="D452" s="1168" t="s">
        <v>2518</v>
      </c>
      <c r="E452" s="4749" t="s">
        <v>3149</v>
      </c>
      <c r="F452" s="4749"/>
      <c r="G452" s="4749"/>
      <c r="H452" s="4749"/>
    </row>
    <row r="453" spans="1:8" ht="3" customHeight="1">
      <c r="D453" s="505"/>
      <c r="E453" s="835"/>
      <c r="F453" s="835"/>
      <c r="G453" s="835"/>
      <c r="H453" s="835"/>
    </row>
    <row r="454" spans="1:8" ht="12.75" customHeight="1">
      <c r="C454" s="483" t="s">
        <v>3144</v>
      </c>
      <c r="D454" s="505" t="s">
        <v>209</v>
      </c>
      <c r="E454" s="506"/>
      <c r="F454" s="502" t="s">
        <v>3145</v>
      </c>
      <c r="G454" s="502"/>
      <c r="H454" s="502"/>
    </row>
    <row r="455" spans="1:8" ht="12.75" customHeight="1">
      <c r="C455" s="507" t="s">
        <v>335</v>
      </c>
      <c r="D455" s="505" t="s">
        <v>217</v>
      </c>
      <c r="E455" s="4746" t="s">
        <v>3146</v>
      </c>
      <c r="F455" s="4746"/>
      <c r="G455" s="4746"/>
      <c r="H455" s="4746"/>
    </row>
    <row r="456" spans="1:8" ht="12.75" customHeight="1">
      <c r="C456" s="1169" t="s">
        <v>3147</v>
      </c>
      <c r="E456" s="4746" t="s">
        <v>3148</v>
      </c>
      <c r="F456" s="4746"/>
      <c r="G456" s="4746"/>
      <c r="H456" s="4746"/>
    </row>
    <row r="457" spans="1:8" ht="12.75" customHeight="1">
      <c r="C457" s="1170"/>
      <c r="D457" s="1168" t="s">
        <v>2518</v>
      </c>
      <c r="E457" s="4749" t="s">
        <v>3149</v>
      </c>
      <c r="F457" s="4749"/>
      <c r="G457" s="4749"/>
      <c r="H457" s="4749"/>
    </row>
    <row r="458" spans="1:8" ht="6" customHeight="1">
      <c r="D458" s="505"/>
      <c r="E458" s="835"/>
      <c r="F458" s="835"/>
      <c r="G458" s="835"/>
      <c r="H458" s="835"/>
    </row>
    <row r="459" spans="1:8">
      <c r="A459" s="486" t="s">
        <v>3141</v>
      </c>
      <c r="B459" s="503" t="str">
        <f>IF('Part V-Revenues &amp; Expenses'!$M$57=0,"",'Part V-Revenues &amp; Expenses'!$M$57)</f>
        <v/>
      </c>
      <c r="C459" s="486" t="s">
        <v>3152</v>
      </c>
      <c r="D459" s="504" t="s">
        <v>3153</v>
      </c>
    </row>
    <row r="460" spans="1:8" ht="1.9" customHeight="1"/>
    <row r="461" spans="1:8" ht="12.75" customHeight="1">
      <c r="C461" s="483" t="s">
        <v>3144</v>
      </c>
      <c r="D461" s="505" t="s">
        <v>209</v>
      </c>
      <c r="E461" s="506"/>
      <c r="F461" s="502" t="s">
        <v>3145</v>
      </c>
      <c r="G461" s="502"/>
      <c r="H461" s="502"/>
    </row>
    <row r="462" spans="1:8" ht="12.75" customHeight="1">
      <c r="C462" s="507" t="s">
        <v>335</v>
      </c>
      <c r="D462" s="505" t="s">
        <v>217</v>
      </c>
      <c r="E462" s="4746" t="s">
        <v>3146</v>
      </c>
      <c r="F462" s="4746"/>
      <c r="G462" s="4746"/>
      <c r="H462" s="4746"/>
    </row>
    <row r="463" spans="1:8" ht="12.75" customHeight="1">
      <c r="C463" s="1169" t="s">
        <v>3147</v>
      </c>
      <c r="E463" s="4746" t="s">
        <v>3148</v>
      </c>
      <c r="F463" s="4746"/>
      <c r="G463" s="4746"/>
      <c r="H463" s="4746"/>
    </row>
    <row r="464" spans="1:8" ht="12.75" customHeight="1">
      <c r="C464" s="1170"/>
      <c r="D464" s="508" t="s">
        <v>2518</v>
      </c>
      <c r="E464" s="4746" t="s">
        <v>3149</v>
      </c>
      <c r="F464" s="4746"/>
      <c r="G464" s="4746"/>
      <c r="H464" s="4746"/>
    </row>
    <row r="465" spans="1:8" ht="3" customHeight="1">
      <c r="D465" s="505"/>
      <c r="E465" s="835"/>
      <c r="F465" s="835"/>
      <c r="G465" s="835"/>
      <c r="H465" s="835"/>
    </row>
    <row r="466" spans="1:8" ht="12.75" customHeight="1">
      <c r="C466" s="483" t="s">
        <v>3144</v>
      </c>
      <c r="D466" s="505" t="s">
        <v>209</v>
      </c>
      <c r="E466" s="506"/>
      <c r="F466" s="502" t="s">
        <v>3145</v>
      </c>
      <c r="G466" s="502"/>
      <c r="H466" s="502"/>
    </row>
    <row r="467" spans="1:8" ht="12.75" customHeight="1">
      <c r="C467" s="507" t="s">
        <v>335</v>
      </c>
      <c r="D467" s="505" t="s">
        <v>217</v>
      </c>
      <c r="E467" s="4746" t="s">
        <v>3146</v>
      </c>
      <c r="F467" s="4746"/>
      <c r="G467" s="4746"/>
      <c r="H467" s="4746"/>
    </row>
    <row r="468" spans="1:8" ht="12.75" customHeight="1">
      <c r="C468" s="1169" t="s">
        <v>3147</v>
      </c>
      <c r="E468" s="4746" t="s">
        <v>3148</v>
      </c>
      <c r="F468" s="4746"/>
      <c r="G468" s="4746"/>
      <c r="H468" s="4746"/>
    </row>
    <row r="469" spans="1:8" ht="12.75" customHeight="1">
      <c r="C469" s="1170"/>
      <c r="D469" s="1168" t="s">
        <v>2518</v>
      </c>
      <c r="E469" s="4749" t="s">
        <v>3149</v>
      </c>
      <c r="F469" s="4749"/>
      <c r="G469" s="4749"/>
      <c r="H469" s="4749"/>
    </row>
    <row r="470" spans="1:8" ht="3" customHeight="1">
      <c r="D470" s="505"/>
      <c r="E470" s="835"/>
      <c r="F470" s="835"/>
      <c r="G470" s="835"/>
      <c r="H470" s="835"/>
    </row>
    <row r="471" spans="1:8" ht="12.75" customHeight="1">
      <c r="C471" s="483" t="s">
        <v>3144</v>
      </c>
      <c r="D471" s="505" t="s">
        <v>209</v>
      </c>
      <c r="E471" s="506"/>
      <c r="F471" s="502" t="s">
        <v>3145</v>
      </c>
      <c r="G471" s="502"/>
      <c r="H471" s="502"/>
    </row>
    <row r="472" spans="1:8" ht="12.75" customHeight="1">
      <c r="C472" s="507" t="s">
        <v>335</v>
      </c>
      <c r="D472" s="505" t="s">
        <v>217</v>
      </c>
      <c r="E472" s="4746" t="s">
        <v>3146</v>
      </c>
      <c r="F472" s="4746"/>
      <c r="G472" s="4746"/>
      <c r="H472" s="4746"/>
    </row>
    <row r="473" spans="1:8" ht="12.75" customHeight="1">
      <c r="C473" s="1169" t="s">
        <v>3147</v>
      </c>
      <c r="E473" s="4746" t="s">
        <v>3148</v>
      </c>
      <c r="F473" s="4746"/>
      <c r="G473" s="4746"/>
      <c r="H473" s="4746"/>
    </row>
    <row r="474" spans="1:8" ht="12.75" customHeight="1">
      <c r="C474" s="1170"/>
      <c r="D474" s="1168" t="s">
        <v>2518</v>
      </c>
      <c r="E474" s="4749" t="s">
        <v>3149</v>
      </c>
      <c r="F474" s="4749"/>
      <c r="G474" s="4749"/>
      <c r="H474" s="4749"/>
    </row>
    <row r="475" spans="1:8" ht="6" customHeight="1">
      <c r="D475" s="505"/>
      <c r="E475" s="835"/>
      <c r="F475" s="835"/>
      <c r="G475" s="835"/>
      <c r="H475" s="835"/>
    </row>
    <row r="476" spans="1:8">
      <c r="A476" s="486" t="s">
        <v>3141</v>
      </c>
      <c r="B476" s="503" t="str">
        <f>IF('Part V-Revenues &amp; Expenses'!$N$57=0,"",'Part V-Revenues &amp; Expenses'!$N$57)</f>
        <v/>
      </c>
      <c r="C476" s="486" t="s">
        <v>3154</v>
      </c>
      <c r="D476" s="504" t="s">
        <v>3155</v>
      </c>
    </row>
    <row r="477" spans="1:8" ht="1.9" customHeight="1"/>
    <row r="478" spans="1:8" ht="12.75" customHeight="1">
      <c r="C478" s="483" t="s">
        <v>3144</v>
      </c>
      <c r="D478" s="505" t="s">
        <v>209</v>
      </c>
      <c r="E478" s="506"/>
      <c r="F478" s="502" t="s">
        <v>3145</v>
      </c>
      <c r="G478" s="502"/>
      <c r="H478" s="502"/>
    </row>
    <row r="479" spans="1:8" ht="12.75" customHeight="1">
      <c r="C479" s="507" t="s">
        <v>335</v>
      </c>
      <c r="D479" s="505" t="s">
        <v>217</v>
      </c>
      <c r="E479" s="4746" t="s">
        <v>3146</v>
      </c>
      <c r="F479" s="4746"/>
      <c r="G479" s="4746"/>
      <c r="H479" s="4746"/>
    </row>
    <row r="480" spans="1:8" ht="12.75" customHeight="1">
      <c r="C480" s="1169" t="s">
        <v>3147</v>
      </c>
      <c r="E480" s="4746" t="s">
        <v>3148</v>
      </c>
      <c r="F480" s="4746"/>
      <c r="G480" s="4746"/>
      <c r="H480" s="4746"/>
    </row>
    <row r="481" spans="1:11" ht="12.75" customHeight="1">
      <c r="C481" s="1170"/>
      <c r="D481" s="508" t="s">
        <v>2518</v>
      </c>
      <c r="E481" s="4746" t="s">
        <v>3149</v>
      </c>
      <c r="F481" s="4746"/>
      <c r="G481" s="4746"/>
      <c r="H481" s="4746"/>
    </row>
    <row r="482" spans="1:11" ht="3" customHeight="1">
      <c r="D482" s="505"/>
      <c r="E482" s="835"/>
      <c r="F482" s="835"/>
      <c r="G482" s="835"/>
      <c r="H482" s="835"/>
    </row>
    <row r="483" spans="1:11" ht="12.75" customHeight="1">
      <c r="C483" s="483" t="s">
        <v>3144</v>
      </c>
      <c r="D483" s="505" t="s">
        <v>209</v>
      </c>
      <c r="E483" s="506"/>
      <c r="F483" s="502" t="s">
        <v>3145</v>
      </c>
      <c r="G483" s="502"/>
      <c r="H483" s="502"/>
    </row>
    <row r="484" spans="1:11" ht="12.75" customHeight="1">
      <c r="C484" s="507" t="s">
        <v>335</v>
      </c>
      <c r="D484" s="505" t="s">
        <v>217</v>
      </c>
      <c r="E484" s="4746" t="s">
        <v>3146</v>
      </c>
      <c r="F484" s="4746"/>
      <c r="G484" s="4746"/>
      <c r="H484" s="4746"/>
    </row>
    <row r="485" spans="1:11" ht="12.75" customHeight="1">
      <c r="C485" s="1169" t="s">
        <v>3147</v>
      </c>
      <c r="E485" s="4746" t="s">
        <v>3148</v>
      </c>
      <c r="F485" s="4746"/>
      <c r="G485" s="4746"/>
      <c r="H485" s="4746"/>
    </row>
    <row r="486" spans="1:11" ht="12.75" customHeight="1">
      <c r="C486" s="1170"/>
      <c r="D486" s="1168" t="s">
        <v>2518</v>
      </c>
      <c r="E486" s="4749" t="s">
        <v>3149</v>
      </c>
      <c r="F486" s="4749"/>
      <c r="G486" s="4749"/>
      <c r="H486" s="4749"/>
    </row>
    <row r="487" spans="1:11" ht="3" customHeight="1">
      <c r="D487" s="505"/>
      <c r="E487" s="835"/>
      <c r="F487" s="835"/>
      <c r="G487" s="835"/>
      <c r="H487" s="835"/>
    </row>
    <row r="488" spans="1:11" ht="12.75" customHeight="1">
      <c r="C488" s="483" t="s">
        <v>3144</v>
      </c>
      <c r="D488" s="505" t="s">
        <v>209</v>
      </c>
      <c r="E488" s="506"/>
      <c r="F488" s="502" t="s">
        <v>3145</v>
      </c>
      <c r="G488" s="502"/>
      <c r="H488" s="502"/>
    </row>
    <row r="489" spans="1:11" ht="12.75" customHeight="1">
      <c r="C489" s="507" t="s">
        <v>335</v>
      </c>
      <c r="D489" s="505" t="s">
        <v>217</v>
      </c>
      <c r="E489" s="4746" t="s">
        <v>3146</v>
      </c>
      <c r="F489" s="4746"/>
      <c r="G489" s="4746"/>
      <c r="H489" s="4746"/>
    </row>
    <row r="490" spans="1:11" ht="12.75" customHeight="1">
      <c r="C490" s="1169" t="s">
        <v>3147</v>
      </c>
      <c r="E490" s="4746" t="s">
        <v>3148</v>
      </c>
      <c r="F490" s="4746"/>
      <c r="G490" s="4746"/>
      <c r="H490" s="4746"/>
    </row>
    <row r="491" spans="1:11" ht="12.75" customHeight="1">
      <c r="C491" s="1170"/>
      <c r="D491" s="1168" t="s">
        <v>2518</v>
      </c>
      <c r="E491" s="4749" t="s">
        <v>3149</v>
      </c>
      <c r="F491" s="4749"/>
      <c r="G491" s="4749"/>
      <c r="H491" s="4749"/>
    </row>
    <row r="492" spans="1:11" ht="6" customHeight="1">
      <c r="D492" s="505"/>
      <c r="E492" s="835"/>
      <c r="F492" s="835"/>
      <c r="G492" s="835"/>
      <c r="H492" s="835"/>
    </row>
    <row r="493" spans="1:11">
      <c r="A493" s="486" t="s">
        <v>3141</v>
      </c>
      <c r="B493" s="503" t="str">
        <f>IF('Part V-Revenues &amp; Expenses'!$O$57=0,"",'Part V-Revenues &amp; Expenses'!$O$57)</f>
        <v/>
      </c>
      <c r="C493" s="486" t="s">
        <v>3156</v>
      </c>
      <c r="D493" s="504" t="s">
        <v>3157</v>
      </c>
    </row>
    <row r="494" spans="1:11" ht="1.9" customHeight="1"/>
    <row r="495" spans="1:11" ht="12.75" customHeight="1">
      <c r="C495" s="483" t="s">
        <v>3144</v>
      </c>
      <c r="D495" s="505" t="s">
        <v>209</v>
      </c>
      <c r="E495" s="506"/>
      <c r="F495" s="4746" t="s">
        <v>3145</v>
      </c>
      <c r="G495" s="4746"/>
      <c r="H495" s="4746"/>
      <c r="K495" s="324" t="s">
        <v>2682</v>
      </c>
    </row>
    <row r="496" spans="1:11" ht="12.75" customHeight="1">
      <c r="C496" s="507" t="s">
        <v>335</v>
      </c>
      <c r="D496" s="505" t="s">
        <v>217</v>
      </c>
      <c r="E496" s="4746" t="s">
        <v>3158</v>
      </c>
      <c r="F496" s="4746"/>
      <c r="G496" s="4746"/>
      <c r="H496" s="4746"/>
    </row>
    <row r="497" spans="1:8" ht="12.75" customHeight="1">
      <c r="E497" s="4746" t="s">
        <v>3148</v>
      </c>
      <c r="F497" s="4746"/>
      <c r="G497" s="4746"/>
      <c r="H497" s="4746"/>
    </row>
    <row r="498" spans="1:8" ht="12.75" customHeight="1">
      <c r="D498" s="508" t="s">
        <v>2518</v>
      </c>
      <c r="E498" s="4746" t="s">
        <v>3149</v>
      </c>
      <c r="F498" s="4746"/>
      <c r="G498" s="4746"/>
      <c r="H498" s="4746"/>
    </row>
    <row r="499" spans="1:8" ht="9" customHeight="1" thickBot="1"/>
    <row r="500" spans="1:8" ht="16.149999999999999" customHeight="1" thickBot="1">
      <c r="A500" s="4747">
        <v>80</v>
      </c>
      <c r="B500" s="4748"/>
      <c r="C500" s="1171" t="s">
        <v>1165</v>
      </c>
    </row>
    <row r="501" spans="1:8" ht="9" customHeight="1">
      <c r="A501" s="478"/>
    </row>
    <row r="502" spans="1:8" ht="28.15" customHeight="1">
      <c r="A502" s="4746" t="s">
        <v>3164</v>
      </c>
      <c r="B502" s="4746"/>
      <c r="C502" s="4746"/>
      <c r="D502" s="4746"/>
      <c r="E502" s="4746"/>
      <c r="F502" s="4746"/>
      <c r="G502" s="4746"/>
      <c r="H502" s="4746"/>
    </row>
    <row r="503" spans="1:8" ht="9" customHeight="1">
      <c r="A503" s="478"/>
    </row>
    <row r="504" spans="1:8">
      <c r="A504" s="486" t="s">
        <v>3141</v>
      </c>
      <c r="B504" s="503" t="str">
        <f>IF('Part V-Revenues &amp; Expenses'!$K$56=0,"",'Part V-Revenues &amp; Expenses'!$K$56)</f>
        <v/>
      </c>
      <c r="C504" s="486" t="s">
        <v>3142</v>
      </c>
      <c r="D504" s="504" t="s">
        <v>3143</v>
      </c>
    </row>
    <row r="505" spans="1:8" ht="1.9" customHeight="1"/>
    <row r="506" spans="1:8" ht="12.75" customHeight="1">
      <c r="C506" s="483" t="s">
        <v>3144</v>
      </c>
      <c r="D506" s="505" t="s">
        <v>209</v>
      </c>
      <c r="E506" s="506"/>
      <c r="F506" s="4746" t="s">
        <v>3145</v>
      </c>
      <c r="G506" s="4746"/>
      <c r="H506" s="4746"/>
    </row>
    <row r="507" spans="1:8" ht="12.75" customHeight="1">
      <c r="C507" s="507" t="s">
        <v>335</v>
      </c>
      <c r="D507" s="505" t="s">
        <v>217</v>
      </c>
      <c r="E507" s="4746" t="s">
        <v>3146</v>
      </c>
      <c r="F507" s="4746"/>
      <c r="G507" s="4746"/>
      <c r="H507" s="4746"/>
    </row>
    <row r="508" spans="1:8" ht="12.75" customHeight="1">
      <c r="C508" s="1169" t="s">
        <v>3147</v>
      </c>
      <c r="E508" s="4746" t="s">
        <v>3148</v>
      </c>
      <c r="F508" s="4746"/>
      <c r="G508" s="4746"/>
      <c r="H508" s="4746"/>
    </row>
    <row r="509" spans="1:8" ht="12.75" customHeight="1">
      <c r="C509" s="1170"/>
      <c r="D509" s="1168" t="s">
        <v>2518</v>
      </c>
      <c r="E509" s="4749" t="s">
        <v>3149</v>
      </c>
      <c r="F509" s="4749"/>
      <c r="G509" s="4749"/>
      <c r="H509" s="4749"/>
    </row>
    <row r="510" spans="1:8" ht="3" customHeight="1">
      <c r="D510" s="505"/>
      <c r="E510" s="835"/>
      <c r="F510" s="835"/>
      <c r="G510" s="835"/>
      <c r="H510" s="835"/>
    </row>
    <row r="511" spans="1:8" ht="12.75" customHeight="1">
      <c r="C511" s="483" t="s">
        <v>3144</v>
      </c>
      <c r="D511" s="505" t="s">
        <v>209</v>
      </c>
      <c r="E511" s="506"/>
      <c r="F511" s="502" t="s">
        <v>3145</v>
      </c>
      <c r="G511" s="502"/>
      <c r="H511" s="502"/>
    </row>
    <row r="512" spans="1:8" ht="12.75" customHeight="1">
      <c r="C512" s="507" t="s">
        <v>335</v>
      </c>
      <c r="D512" s="505" t="s">
        <v>217</v>
      </c>
      <c r="E512" s="4746" t="s">
        <v>3146</v>
      </c>
      <c r="F512" s="4746"/>
      <c r="G512" s="4746"/>
      <c r="H512" s="4746"/>
    </row>
    <row r="513" spans="1:8" ht="12.75" customHeight="1">
      <c r="C513" s="1169" t="s">
        <v>3147</v>
      </c>
      <c r="E513" s="4746" t="s">
        <v>3148</v>
      </c>
      <c r="F513" s="4746"/>
      <c r="G513" s="4746"/>
      <c r="H513" s="4746"/>
    </row>
    <row r="514" spans="1:8" ht="12.75" customHeight="1">
      <c r="C514" s="1170"/>
      <c r="D514" s="1168" t="s">
        <v>2518</v>
      </c>
      <c r="E514" s="4749" t="s">
        <v>3149</v>
      </c>
      <c r="F514" s="4749"/>
      <c r="G514" s="4749"/>
      <c r="H514" s="4749"/>
    </row>
    <row r="515" spans="1:8" ht="3" customHeight="1">
      <c r="D515" s="505"/>
      <c r="E515" s="835"/>
      <c r="F515" s="835"/>
      <c r="G515" s="835"/>
      <c r="H515" s="835"/>
    </row>
    <row r="516" spans="1:8" ht="12.75" customHeight="1">
      <c r="C516" s="483" t="s">
        <v>3144</v>
      </c>
      <c r="D516" s="505" t="s">
        <v>209</v>
      </c>
      <c r="E516" s="506"/>
      <c r="F516" s="502" t="s">
        <v>3145</v>
      </c>
      <c r="G516" s="502"/>
      <c r="H516" s="502"/>
    </row>
    <row r="517" spans="1:8" ht="12.75" customHeight="1">
      <c r="C517" s="507" t="s">
        <v>335</v>
      </c>
      <c r="D517" s="505" t="s">
        <v>217</v>
      </c>
      <c r="E517" s="4746" t="s">
        <v>3146</v>
      </c>
      <c r="F517" s="4746"/>
      <c r="G517" s="4746"/>
      <c r="H517" s="4746"/>
    </row>
    <row r="518" spans="1:8" ht="12.75" customHeight="1">
      <c r="C518" s="1169" t="s">
        <v>3147</v>
      </c>
      <c r="E518" s="4746" t="s">
        <v>3148</v>
      </c>
      <c r="F518" s="4746"/>
      <c r="G518" s="4746"/>
      <c r="H518" s="4746"/>
    </row>
    <row r="519" spans="1:8" ht="12.75" customHeight="1">
      <c r="C519" s="1170"/>
      <c r="D519" s="1168" t="s">
        <v>2518</v>
      </c>
      <c r="E519" s="4749" t="s">
        <v>3149</v>
      </c>
      <c r="F519" s="4749"/>
      <c r="G519" s="4749"/>
      <c r="H519" s="4749"/>
    </row>
    <row r="520" spans="1:8" ht="6" customHeight="1">
      <c r="D520" s="505"/>
      <c r="E520" s="835"/>
      <c r="F520" s="835"/>
      <c r="G520" s="835"/>
      <c r="H520" s="835"/>
    </row>
    <row r="521" spans="1:8">
      <c r="A521" s="486" t="s">
        <v>3141</v>
      </c>
      <c r="B521" s="503" t="str">
        <f>IF('Part V-Revenues &amp; Expenses'!$L$56=0,"",'Part V-Revenues &amp; Expenses'!$L$56)</f>
        <v/>
      </c>
      <c r="C521" s="486" t="s">
        <v>3150</v>
      </c>
      <c r="D521" s="504" t="s">
        <v>3151</v>
      </c>
    </row>
    <row r="522" spans="1:8" ht="1.9" customHeight="1"/>
    <row r="523" spans="1:8" ht="12.75" customHeight="1">
      <c r="C523" s="483" t="s">
        <v>3144</v>
      </c>
      <c r="D523" s="505" t="s">
        <v>209</v>
      </c>
      <c r="E523" s="506"/>
      <c r="F523" s="502" t="s">
        <v>3145</v>
      </c>
      <c r="G523" s="502"/>
      <c r="H523" s="502"/>
    </row>
    <row r="524" spans="1:8" ht="12.75" customHeight="1">
      <c r="C524" s="507" t="s">
        <v>335</v>
      </c>
      <c r="D524" s="505" t="s">
        <v>217</v>
      </c>
      <c r="E524" s="4746" t="s">
        <v>3146</v>
      </c>
      <c r="F524" s="4746"/>
      <c r="G524" s="4746"/>
      <c r="H524" s="4746"/>
    </row>
    <row r="525" spans="1:8" ht="12.75" customHeight="1">
      <c r="C525" s="1169" t="s">
        <v>3147</v>
      </c>
      <c r="E525" s="4746" t="s">
        <v>3148</v>
      </c>
      <c r="F525" s="4746"/>
      <c r="G525" s="4746"/>
      <c r="H525" s="4746"/>
    </row>
    <row r="526" spans="1:8" ht="12.75" customHeight="1">
      <c r="C526" s="1170"/>
      <c r="D526" s="508" t="s">
        <v>2518</v>
      </c>
      <c r="E526" s="4746" t="s">
        <v>3149</v>
      </c>
      <c r="F526" s="4746"/>
      <c r="G526" s="4746"/>
      <c r="H526" s="4746"/>
    </row>
    <row r="527" spans="1:8" ht="3" customHeight="1">
      <c r="D527" s="505"/>
      <c r="E527" s="835"/>
      <c r="F527" s="835"/>
      <c r="G527" s="835"/>
      <c r="H527" s="835"/>
    </row>
    <row r="528" spans="1:8" ht="12.75" customHeight="1">
      <c r="C528" s="483" t="s">
        <v>3144</v>
      </c>
      <c r="D528" s="505" t="s">
        <v>209</v>
      </c>
      <c r="E528" s="506"/>
      <c r="F528" s="502" t="s">
        <v>3145</v>
      </c>
      <c r="G528" s="502"/>
      <c r="H528" s="502"/>
    </row>
    <row r="529" spans="1:8" ht="12.75" customHeight="1">
      <c r="C529" s="507" t="s">
        <v>335</v>
      </c>
      <c r="D529" s="505" t="s">
        <v>217</v>
      </c>
      <c r="E529" s="4746" t="s">
        <v>3146</v>
      </c>
      <c r="F529" s="4746"/>
      <c r="G529" s="4746"/>
      <c r="H529" s="4746"/>
    </row>
    <row r="530" spans="1:8" ht="12.75" customHeight="1">
      <c r="C530" s="1169" t="s">
        <v>3147</v>
      </c>
      <c r="E530" s="4746" t="s">
        <v>3148</v>
      </c>
      <c r="F530" s="4746"/>
      <c r="G530" s="4746"/>
      <c r="H530" s="4746"/>
    </row>
    <row r="531" spans="1:8" ht="12.75" customHeight="1">
      <c r="C531" s="1170"/>
      <c r="D531" s="1168" t="s">
        <v>2518</v>
      </c>
      <c r="E531" s="4749" t="s">
        <v>3149</v>
      </c>
      <c r="F531" s="4749"/>
      <c r="G531" s="4749"/>
      <c r="H531" s="4749"/>
    </row>
    <row r="532" spans="1:8" ht="3" customHeight="1">
      <c r="D532" s="505"/>
      <c r="E532" s="835"/>
      <c r="F532" s="835"/>
      <c r="G532" s="835"/>
      <c r="H532" s="835"/>
    </row>
    <row r="533" spans="1:8" ht="12.75" customHeight="1">
      <c r="C533" s="483" t="s">
        <v>3144</v>
      </c>
      <c r="D533" s="505" t="s">
        <v>209</v>
      </c>
      <c r="E533" s="506"/>
      <c r="F533" s="502" t="s">
        <v>3145</v>
      </c>
      <c r="G533" s="502"/>
      <c r="H533" s="502"/>
    </row>
    <row r="534" spans="1:8" ht="12.75" customHeight="1">
      <c r="C534" s="507" t="s">
        <v>335</v>
      </c>
      <c r="D534" s="505" t="s">
        <v>217</v>
      </c>
      <c r="E534" s="4746" t="s">
        <v>3146</v>
      </c>
      <c r="F534" s="4746"/>
      <c r="G534" s="4746"/>
      <c r="H534" s="4746"/>
    </row>
    <row r="535" spans="1:8" ht="12.75" customHeight="1">
      <c r="C535" s="1169" t="s">
        <v>3147</v>
      </c>
      <c r="E535" s="4746" t="s">
        <v>3148</v>
      </c>
      <c r="F535" s="4746"/>
      <c r="G535" s="4746"/>
      <c r="H535" s="4746"/>
    </row>
    <row r="536" spans="1:8" ht="12.75" customHeight="1">
      <c r="C536" s="1170"/>
      <c r="D536" s="1168" t="s">
        <v>2518</v>
      </c>
      <c r="E536" s="4749" t="s">
        <v>3149</v>
      </c>
      <c r="F536" s="4749"/>
      <c r="G536" s="4749"/>
      <c r="H536" s="4749"/>
    </row>
    <row r="537" spans="1:8" ht="6" customHeight="1">
      <c r="D537" s="505"/>
      <c r="E537" s="835"/>
      <c r="F537" s="835"/>
      <c r="G537" s="835"/>
      <c r="H537" s="835"/>
    </row>
    <row r="538" spans="1:8">
      <c r="A538" s="486" t="s">
        <v>3141</v>
      </c>
      <c r="B538" s="503" t="str">
        <f>IF('Part V-Revenues &amp; Expenses'!$M$56=0,"",'Part V-Revenues &amp; Expenses'!$M$56)</f>
        <v/>
      </c>
      <c r="C538" s="486" t="s">
        <v>3152</v>
      </c>
      <c r="D538" s="504" t="s">
        <v>3153</v>
      </c>
    </row>
    <row r="539" spans="1:8" ht="1.9" customHeight="1"/>
    <row r="540" spans="1:8" ht="12.75" customHeight="1">
      <c r="C540" s="483" t="s">
        <v>3144</v>
      </c>
      <c r="D540" s="505" t="s">
        <v>209</v>
      </c>
      <c r="E540" s="506"/>
      <c r="F540" s="502" t="s">
        <v>3145</v>
      </c>
      <c r="G540" s="502"/>
      <c r="H540" s="502"/>
    </row>
    <row r="541" spans="1:8" ht="12.75" customHeight="1">
      <c r="C541" s="507" t="s">
        <v>335</v>
      </c>
      <c r="D541" s="505" t="s">
        <v>217</v>
      </c>
      <c r="E541" s="4746" t="s">
        <v>3146</v>
      </c>
      <c r="F541" s="4746"/>
      <c r="G541" s="4746"/>
      <c r="H541" s="4746"/>
    </row>
    <row r="542" spans="1:8" ht="12.75" customHeight="1">
      <c r="C542" s="1169" t="s">
        <v>3147</v>
      </c>
      <c r="E542" s="4746" t="s">
        <v>3148</v>
      </c>
      <c r="F542" s="4746"/>
      <c r="G542" s="4746"/>
      <c r="H542" s="4746"/>
    </row>
    <row r="543" spans="1:8" ht="12.75" customHeight="1">
      <c r="C543" s="1170"/>
      <c r="D543" s="508" t="s">
        <v>2518</v>
      </c>
      <c r="E543" s="4746" t="s">
        <v>3149</v>
      </c>
      <c r="F543" s="4746"/>
      <c r="G543" s="4746"/>
      <c r="H543" s="4746"/>
    </row>
    <row r="544" spans="1:8" ht="3" customHeight="1">
      <c r="D544" s="505"/>
      <c r="E544" s="835"/>
      <c r="F544" s="835"/>
      <c r="G544" s="835"/>
      <c r="H544" s="835"/>
    </row>
    <row r="545" spans="1:8" ht="12.75" customHeight="1">
      <c r="C545" s="483" t="s">
        <v>3144</v>
      </c>
      <c r="D545" s="505" t="s">
        <v>209</v>
      </c>
      <c r="E545" s="506"/>
      <c r="F545" s="502" t="s">
        <v>3145</v>
      </c>
      <c r="G545" s="502"/>
      <c r="H545" s="502"/>
    </row>
    <row r="546" spans="1:8" ht="12.75" customHeight="1">
      <c r="C546" s="507" t="s">
        <v>335</v>
      </c>
      <c r="D546" s="505" t="s">
        <v>217</v>
      </c>
      <c r="E546" s="4746" t="s">
        <v>3146</v>
      </c>
      <c r="F546" s="4746"/>
      <c r="G546" s="4746"/>
      <c r="H546" s="4746"/>
    </row>
    <row r="547" spans="1:8" ht="12.75" customHeight="1">
      <c r="C547" s="1169" t="s">
        <v>3147</v>
      </c>
      <c r="E547" s="4746" t="s">
        <v>3148</v>
      </c>
      <c r="F547" s="4746"/>
      <c r="G547" s="4746"/>
      <c r="H547" s="4746"/>
    </row>
    <row r="548" spans="1:8" ht="12.75" customHeight="1">
      <c r="C548" s="1170"/>
      <c r="D548" s="1168" t="s">
        <v>2518</v>
      </c>
      <c r="E548" s="4749" t="s">
        <v>3149</v>
      </c>
      <c r="F548" s="4749"/>
      <c r="G548" s="4749"/>
      <c r="H548" s="4749"/>
    </row>
    <row r="549" spans="1:8" ht="3" customHeight="1">
      <c r="D549" s="505"/>
      <c r="E549" s="835"/>
      <c r="F549" s="835"/>
      <c r="G549" s="835"/>
      <c r="H549" s="835"/>
    </row>
    <row r="550" spans="1:8" ht="12.75" customHeight="1">
      <c r="C550" s="483" t="s">
        <v>3144</v>
      </c>
      <c r="D550" s="505" t="s">
        <v>209</v>
      </c>
      <c r="E550" s="506"/>
      <c r="F550" s="502" t="s">
        <v>3145</v>
      </c>
      <c r="G550" s="502"/>
      <c r="H550" s="502"/>
    </row>
    <row r="551" spans="1:8" ht="12.75" customHeight="1">
      <c r="C551" s="507" t="s">
        <v>335</v>
      </c>
      <c r="D551" s="505" t="s">
        <v>217</v>
      </c>
      <c r="E551" s="4746" t="s">
        <v>3146</v>
      </c>
      <c r="F551" s="4746"/>
      <c r="G551" s="4746"/>
      <c r="H551" s="4746"/>
    </row>
    <row r="552" spans="1:8" ht="12.75" customHeight="1">
      <c r="C552" s="1169" t="s">
        <v>3147</v>
      </c>
      <c r="E552" s="4746" t="s">
        <v>3148</v>
      </c>
      <c r="F552" s="4746"/>
      <c r="G552" s="4746"/>
      <c r="H552" s="4746"/>
    </row>
    <row r="553" spans="1:8" ht="12.75" customHeight="1">
      <c r="C553" s="1170"/>
      <c r="D553" s="1168" t="s">
        <v>2518</v>
      </c>
      <c r="E553" s="4749" t="s">
        <v>3149</v>
      </c>
      <c r="F553" s="4749"/>
      <c r="G553" s="4749"/>
      <c r="H553" s="4749"/>
    </row>
    <row r="554" spans="1:8" ht="6" customHeight="1">
      <c r="D554" s="505"/>
      <c r="E554" s="835"/>
      <c r="F554" s="835"/>
      <c r="G554" s="835"/>
      <c r="H554" s="835"/>
    </row>
    <row r="555" spans="1:8">
      <c r="A555" s="486" t="s">
        <v>3141</v>
      </c>
      <c r="B555" s="503" t="str">
        <f>IF('Part V-Revenues &amp; Expenses'!$N$56=0,"",'Part V-Revenues &amp; Expenses'!$N$56)</f>
        <v/>
      </c>
      <c r="C555" s="486" t="s">
        <v>3154</v>
      </c>
      <c r="D555" s="504" t="s">
        <v>3155</v>
      </c>
    </row>
    <row r="556" spans="1:8" ht="1.9" customHeight="1"/>
    <row r="557" spans="1:8" ht="12.75" customHeight="1">
      <c r="C557" s="483" t="s">
        <v>3144</v>
      </c>
      <c r="D557" s="505" t="s">
        <v>209</v>
      </c>
      <c r="E557" s="506"/>
      <c r="F557" s="502" t="s">
        <v>3145</v>
      </c>
      <c r="G557" s="502"/>
      <c r="H557" s="502"/>
    </row>
    <row r="558" spans="1:8" ht="12.75" customHeight="1">
      <c r="C558" s="507" t="s">
        <v>335</v>
      </c>
      <c r="D558" s="505" t="s">
        <v>217</v>
      </c>
      <c r="E558" s="4746" t="s">
        <v>3146</v>
      </c>
      <c r="F558" s="4746"/>
      <c r="G558" s="4746"/>
      <c r="H558" s="4746"/>
    </row>
    <row r="559" spans="1:8" ht="12.75" customHeight="1">
      <c r="C559" s="1169" t="s">
        <v>3147</v>
      </c>
      <c r="E559" s="4746" t="s">
        <v>3148</v>
      </c>
      <c r="F559" s="4746"/>
      <c r="G559" s="4746"/>
      <c r="H559" s="4746"/>
    </row>
    <row r="560" spans="1:8" ht="12.75" customHeight="1">
      <c r="C560" s="1170"/>
      <c r="D560" s="508" t="s">
        <v>2518</v>
      </c>
      <c r="E560" s="4746" t="s">
        <v>3149</v>
      </c>
      <c r="F560" s="4746"/>
      <c r="G560" s="4746"/>
      <c r="H560" s="4746"/>
    </row>
    <row r="561" spans="1:11" ht="3" customHeight="1">
      <c r="D561" s="505"/>
      <c r="E561" s="835"/>
      <c r="F561" s="835"/>
      <c r="G561" s="835"/>
      <c r="H561" s="835"/>
    </row>
    <row r="562" spans="1:11" ht="12.75" customHeight="1">
      <c r="C562" s="483" t="s">
        <v>3144</v>
      </c>
      <c r="D562" s="505" t="s">
        <v>209</v>
      </c>
      <c r="E562" s="506"/>
      <c r="F562" s="502" t="s">
        <v>3145</v>
      </c>
      <c r="G562" s="502"/>
      <c r="H562" s="502"/>
    </row>
    <row r="563" spans="1:11" ht="12.75" customHeight="1">
      <c r="C563" s="507" t="s">
        <v>335</v>
      </c>
      <c r="D563" s="505" t="s">
        <v>217</v>
      </c>
      <c r="E563" s="4746" t="s">
        <v>3146</v>
      </c>
      <c r="F563" s="4746"/>
      <c r="G563" s="4746"/>
      <c r="H563" s="4746"/>
    </row>
    <row r="564" spans="1:11" ht="12.75" customHeight="1">
      <c r="C564" s="1169" t="s">
        <v>3147</v>
      </c>
      <c r="E564" s="4746" t="s">
        <v>3148</v>
      </c>
      <c r="F564" s="4746"/>
      <c r="G564" s="4746"/>
      <c r="H564" s="4746"/>
    </row>
    <row r="565" spans="1:11" ht="12.75" customHeight="1">
      <c r="C565" s="1170"/>
      <c r="D565" s="1168" t="s">
        <v>2518</v>
      </c>
      <c r="E565" s="4749" t="s">
        <v>3149</v>
      </c>
      <c r="F565" s="4749"/>
      <c r="G565" s="4749"/>
      <c r="H565" s="4749"/>
    </row>
    <row r="566" spans="1:11" ht="3" customHeight="1">
      <c r="D566" s="505"/>
      <c r="E566" s="835"/>
      <c r="F566" s="835"/>
      <c r="G566" s="835"/>
      <c r="H566" s="835"/>
    </row>
    <row r="567" spans="1:11" ht="12.75" customHeight="1">
      <c r="C567" s="483" t="s">
        <v>3144</v>
      </c>
      <c r="D567" s="505" t="s">
        <v>209</v>
      </c>
      <c r="E567" s="506"/>
      <c r="F567" s="502" t="s">
        <v>3145</v>
      </c>
      <c r="G567" s="502"/>
      <c r="H567" s="502"/>
    </row>
    <row r="568" spans="1:11" ht="12.75" customHeight="1">
      <c r="C568" s="507" t="s">
        <v>335</v>
      </c>
      <c r="D568" s="505" t="s">
        <v>217</v>
      </c>
      <c r="E568" s="4746" t="s">
        <v>3146</v>
      </c>
      <c r="F568" s="4746"/>
      <c r="G568" s="4746"/>
      <c r="H568" s="4746"/>
    </row>
    <row r="569" spans="1:11" ht="12.75" customHeight="1">
      <c r="C569" s="1169" t="s">
        <v>3147</v>
      </c>
      <c r="E569" s="4746" t="s">
        <v>3148</v>
      </c>
      <c r="F569" s="4746"/>
      <c r="G569" s="4746"/>
      <c r="H569" s="4746"/>
    </row>
    <row r="570" spans="1:11" ht="12.75" customHeight="1">
      <c r="C570" s="1170"/>
      <c r="D570" s="1168" t="s">
        <v>2518</v>
      </c>
      <c r="E570" s="4749" t="s">
        <v>3149</v>
      </c>
      <c r="F570" s="4749"/>
      <c r="G570" s="4749"/>
      <c r="H570" s="4749"/>
    </row>
    <row r="571" spans="1:11" ht="6" customHeight="1">
      <c r="D571" s="505"/>
      <c r="E571" s="835"/>
      <c r="F571" s="835"/>
      <c r="G571" s="835"/>
      <c r="H571" s="835"/>
    </row>
    <row r="572" spans="1:11">
      <c r="A572" s="486" t="s">
        <v>3141</v>
      </c>
      <c r="B572" s="503" t="str">
        <f>IF('Part V-Revenues &amp; Expenses'!$O$56=0,"",'Part V-Revenues &amp; Expenses'!$O$56)</f>
        <v/>
      </c>
      <c r="C572" s="486" t="s">
        <v>3156</v>
      </c>
      <c r="D572" s="504" t="s">
        <v>3157</v>
      </c>
    </row>
    <row r="573" spans="1:11" ht="1.9" customHeight="1"/>
    <row r="574" spans="1:11" ht="12.75" customHeight="1">
      <c r="C574" s="483" t="s">
        <v>3144</v>
      </c>
      <c r="D574" s="505" t="s">
        <v>209</v>
      </c>
      <c r="E574" s="506"/>
      <c r="F574" s="4746" t="s">
        <v>3145</v>
      </c>
      <c r="G574" s="4746"/>
      <c r="H574" s="4746"/>
      <c r="K574" s="324" t="s">
        <v>2682</v>
      </c>
    </row>
    <row r="575" spans="1:11" ht="12.75" customHeight="1">
      <c r="C575" s="507" t="s">
        <v>335</v>
      </c>
      <c r="D575" s="505" t="s">
        <v>217</v>
      </c>
      <c r="E575" s="4746" t="s">
        <v>3158</v>
      </c>
      <c r="F575" s="4746"/>
      <c r="G575" s="4746"/>
      <c r="H575" s="4746"/>
    </row>
    <row r="576" spans="1:11" ht="12.75" customHeight="1">
      <c r="E576" s="4746" t="s">
        <v>3148</v>
      </c>
      <c r="F576" s="4746"/>
      <c r="G576" s="4746"/>
      <c r="H576" s="4746"/>
    </row>
    <row r="577" spans="4:8" ht="12.75" customHeight="1">
      <c r="D577" s="508" t="s">
        <v>2518</v>
      </c>
      <c r="E577" s="4746" t="s">
        <v>3149</v>
      </c>
      <c r="F577" s="4746"/>
      <c r="G577" s="4746"/>
      <c r="H577" s="4746"/>
    </row>
    <row r="578" spans="4:8" ht="9" customHeight="1"/>
    <row r="579" spans="4:8" ht="7.5" customHeight="1">
      <c r="E579" s="4746"/>
      <c r="F579" s="4746"/>
      <c r="G579" s="4746"/>
      <c r="H579" s="4746"/>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0" customWidth="1"/>
    <col min="2" max="4" width="1.7109375" style="100" customWidth="1"/>
    <col min="5" max="5" width="14.7109375" style="100" customWidth="1"/>
    <col min="6" max="6" width="6.28515625" style="100" customWidth="1"/>
    <col min="7" max="7" width="2.7109375" style="100" customWidth="1"/>
    <col min="8" max="8" width="8" style="100" customWidth="1"/>
    <col min="9" max="9" width="6.28515625" style="100" customWidth="1"/>
    <col min="10" max="10" width="8.28515625" style="100" customWidth="1"/>
    <col min="11" max="11" width="9.7109375" style="100" customWidth="1"/>
    <col min="12" max="13" width="8.7109375" style="100" customWidth="1"/>
    <col min="14" max="14" width="9.42578125" style="100" customWidth="1"/>
    <col min="15" max="15" width="9.7109375" style="100" customWidth="1"/>
    <col min="16" max="19" width="6.28515625" style="100" customWidth="1"/>
    <col min="20" max="24" width="11.5703125" style="100" customWidth="1"/>
    <col min="25" max="25" width="9.28515625" style="100"/>
    <col min="26" max="26" width="9.28515625" style="1402"/>
    <col min="27" max="16384" width="9.28515625" style="100"/>
  </cols>
  <sheetData>
    <row r="1" spans="1:26" s="1433" customFormat="1" ht="13.5" hidden="1" customHeight="1">
      <c r="A1" s="1399"/>
      <c r="D1" s="1433" t="s">
        <v>182</v>
      </c>
      <c r="E1" s="1433" t="s">
        <v>3</v>
      </c>
      <c r="F1" s="1433" t="s">
        <v>183</v>
      </c>
      <c r="H1" s="1433" t="s">
        <v>184</v>
      </c>
      <c r="J1" s="1433" t="s">
        <v>185</v>
      </c>
      <c r="K1" s="1433" t="s">
        <v>186</v>
      </c>
      <c r="L1" s="1433" t="s">
        <v>187</v>
      </c>
      <c r="M1" s="1433" t="s">
        <v>188</v>
      </c>
      <c r="O1" s="1433" t="s">
        <v>189</v>
      </c>
      <c r="Q1" s="1433" t="s">
        <v>190</v>
      </c>
      <c r="Z1" s="1401">
        <v>1</v>
      </c>
    </row>
    <row r="2" spans="1:26" s="99" customFormat="1" ht="14.1" customHeight="1">
      <c r="A2" s="3056" t="str">
        <f>CONCATENATE("PART TWO - DEVELOPMENT TEAM INFORMATION","  -  ",'Part I-Project Identification'!$O$7," ",'Part I-Project Identification'!$F$25,", ",'Part I-Project Identification'!F26,", ",'Part I-Project Identification'!J26," County")</f>
        <v>PART TWO - DEVELOPMENT TEAM INFORMATION  -  2023-5 Ashley Collegetown Phase I, Atlanta, Fulton County</v>
      </c>
      <c r="B2" s="3057"/>
      <c r="C2" s="3057"/>
      <c r="D2" s="3057"/>
      <c r="E2" s="3057"/>
      <c r="F2" s="3057"/>
      <c r="G2" s="3057"/>
      <c r="H2" s="3057"/>
      <c r="I2" s="3057"/>
      <c r="J2" s="3057"/>
      <c r="K2" s="3057"/>
      <c r="L2" s="3057"/>
      <c r="M2" s="3057"/>
      <c r="N2" s="3057"/>
      <c r="O2" s="3057"/>
      <c r="P2" s="3057"/>
      <c r="Q2" s="3057"/>
      <c r="R2" s="3057"/>
      <c r="S2" s="3058"/>
      <c r="Z2" s="1401">
        <v>2</v>
      </c>
    </row>
    <row r="3" spans="1:26" ht="12" customHeight="1" thickBot="1">
      <c r="A3" s="590" t="s">
        <v>191</v>
      </c>
      <c r="B3" s="591"/>
      <c r="C3" s="591"/>
      <c r="D3" s="591"/>
      <c r="E3" s="591"/>
      <c r="F3" s="591"/>
      <c r="G3" s="591"/>
      <c r="H3" s="591"/>
      <c r="I3" s="591"/>
      <c r="J3" s="591"/>
      <c r="K3" s="591"/>
      <c r="L3" s="591"/>
      <c r="M3" s="591"/>
      <c r="N3" s="591"/>
      <c r="O3" s="591"/>
      <c r="P3" s="591"/>
      <c r="Q3" s="591"/>
      <c r="R3" s="591"/>
      <c r="S3" s="591"/>
      <c r="Z3" s="1401">
        <v>3</v>
      </c>
    </row>
    <row r="4" spans="1:26" s="99" customFormat="1" ht="13.35" customHeight="1" thickBot="1">
      <c r="A4" s="158" t="s">
        <v>21</v>
      </c>
      <c r="B4" s="140" t="s">
        <v>192</v>
      </c>
      <c r="C4" s="140"/>
      <c r="E4" s="140"/>
      <c r="F4" s="140"/>
      <c r="G4" s="140"/>
      <c r="H4" s="757" t="s">
        <v>193</v>
      </c>
      <c r="O4" s="3060" t="str">
        <f>'Part I-Project Identification'!$A$6</f>
        <v>Sept 2023</v>
      </c>
      <c r="P4" s="3061"/>
      <c r="Q4" s="3061"/>
      <c r="R4" s="3061"/>
      <c r="S4" s="3062"/>
      <c r="Z4" s="1401">
        <v>4</v>
      </c>
    </row>
    <row r="5" spans="1:26" s="99" customFormat="1" ht="8.65" customHeight="1">
      <c r="A5" s="158"/>
      <c r="B5" s="158"/>
      <c r="C5" s="158"/>
      <c r="D5" s="140"/>
      <c r="E5" s="140"/>
      <c r="F5" s="140"/>
      <c r="G5" s="140"/>
      <c r="H5" s="140"/>
      <c r="I5" s="140"/>
      <c r="J5" s="140"/>
      <c r="Z5" s="1401">
        <v>5</v>
      </c>
    </row>
    <row r="6" spans="1:26" s="99" customFormat="1" ht="11.25" customHeight="1">
      <c r="B6" s="158" t="s">
        <v>194</v>
      </c>
      <c r="C6" s="140" t="s">
        <v>195</v>
      </c>
      <c r="H6" s="2970" t="s">
        <v>196</v>
      </c>
      <c r="I6" s="3045"/>
      <c r="J6" s="3045"/>
      <c r="K6" s="3045"/>
      <c r="L6" s="3045"/>
      <c r="M6" s="3045"/>
      <c r="N6" s="3046"/>
      <c r="O6" s="172" t="s">
        <v>197</v>
      </c>
      <c r="P6" s="172"/>
      <c r="Q6" s="2970"/>
      <c r="R6" s="3045"/>
      <c r="S6" s="3046"/>
      <c r="Y6" s="666"/>
      <c r="Z6" s="1401">
        <v>6</v>
      </c>
    </row>
    <row r="7" spans="1:26" s="99" customFormat="1" ht="11.25" customHeight="1">
      <c r="D7" s="173"/>
      <c r="E7" s="160" t="s">
        <v>198</v>
      </c>
      <c r="F7" s="161"/>
      <c r="H7" s="3012"/>
      <c r="I7" s="3047"/>
      <c r="J7" s="3047"/>
      <c r="K7" s="3048"/>
      <c r="L7" s="3047"/>
      <c r="M7" s="3047"/>
      <c r="N7" s="3049"/>
      <c r="O7" s="172" t="s">
        <v>199</v>
      </c>
      <c r="P7" s="174"/>
      <c r="Q7" s="3050"/>
      <c r="R7" s="3051"/>
      <c r="S7" s="3052"/>
      <c r="V7" s="666"/>
      <c r="W7" s="666"/>
      <c r="X7" s="666"/>
      <c r="Y7" s="666"/>
      <c r="Z7" s="1401">
        <v>7</v>
      </c>
    </row>
    <row r="8" spans="1:26" s="99" customFormat="1" ht="11.25" customHeight="1">
      <c r="D8" s="173"/>
      <c r="E8" s="160" t="s">
        <v>54</v>
      </c>
      <c r="H8" s="3012"/>
      <c r="I8" s="3048"/>
      <c r="J8" s="3053"/>
      <c r="K8" s="240" t="s">
        <v>200</v>
      </c>
      <c r="L8" s="3059"/>
      <c r="M8" s="3047"/>
      <c r="N8" s="3049"/>
      <c r="O8" s="172" t="s">
        <v>42</v>
      </c>
      <c r="P8" s="174"/>
      <c r="Q8" s="2967"/>
      <c r="R8" s="2968"/>
      <c r="S8" s="2969"/>
      <c r="Z8" s="1401">
        <v>8</v>
      </c>
    </row>
    <row r="9" spans="1:26" s="99" customFormat="1" ht="11.25" customHeight="1">
      <c r="D9" s="173"/>
      <c r="E9" s="160" t="s">
        <v>201</v>
      </c>
      <c r="H9" s="808"/>
      <c r="I9" s="534" t="s">
        <v>202</v>
      </c>
      <c r="J9" s="3036"/>
      <c r="K9" s="3037"/>
      <c r="L9" s="174" t="s">
        <v>203</v>
      </c>
      <c r="M9" s="3038"/>
      <c r="N9" s="3039"/>
      <c r="O9" s="172" t="s">
        <v>45</v>
      </c>
      <c r="P9" s="174"/>
      <c r="Q9" s="2967"/>
      <c r="R9" s="2968"/>
      <c r="S9" s="2969"/>
      <c r="Z9" s="1401">
        <v>9</v>
      </c>
    </row>
    <row r="10" spans="1:26" s="99" customFormat="1" ht="11.25" customHeight="1">
      <c r="D10" s="173"/>
      <c r="E10" s="160" t="s">
        <v>204</v>
      </c>
      <c r="H10" s="3040"/>
      <c r="I10" s="3041"/>
      <c r="J10" s="2885"/>
      <c r="K10" s="175" t="s">
        <v>43</v>
      </c>
      <c r="L10" s="3042"/>
      <c r="M10" s="2977"/>
      <c r="N10" s="2977"/>
      <c r="O10" s="3043"/>
      <c r="P10" s="3043"/>
      <c r="Q10" s="2977"/>
      <c r="R10" s="2977"/>
      <c r="S10" s="3044"/>
      <c r="Z10" s="1401">
        <v>10</v>
      </c>
    </row>
    <row r="11" spans="1:26" s="99" customFormat="1" ht="11.25" customHeight="1">
      <c r="D11" s="173"/>
      <c r="E11" s="757" t="s">
        <v>193</v>
      </c>
      <c r="H11" s="176"/>
      <c r="I11" s="174"/>
      <c r="J11" s="174"/>
      <c r="K11" s="215"/>
      <c r="L11" s="174"/>
      <c r="M11" s="174"/>
      <c r="N11" s="241" t="s">
        <v>205</v>
      </c>
      <c r="O11" s="174"/>
      <c r="P11" s="174"/>
      <c r="Q11" s="175"/>
      <c r="R11" s="174"/>
      <c r="S11" s="174"/>
      <c r="T11" s="174"/>
      <c r="Z11" s="1401">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401">
        <v>12</v>
      </c>
    </row>
    <row r="13" spans="1:26" s="99" customFormat="1" ht="11.25" customHeight="1">
      <c r="B13" s="167" t="s">
        <v>206</v>
      </c>
      <c r="C13" s="140" t="s">
        <v>207</v>
      </c>
      <c r="F13" s="140"/>
      <c r="G13" s="140"/>
      <c r="H13" s="177"/>
      <c r="I13" s="177"/>
      <c r="J13" s="174"/>
      <c r="K13" s="174"/>
      <c r="L13" s="174"/>
      <c r="M13" s="174"/>
      <c r="N13" s="287" t="s">
        <v>208</v>
      </c>
      <c r="O13" s="174"/>
      <c r="P13" s="174"/>
      <c r="Q13" s="174"/>
      <c r="R13" s="174"/>
      <c r="S13" s="174"/>
      <c r="W13" s="287"/>
      <c r="X13" s="287"/>
      <c r="Y13" s="287"/>
      <c r="Z13" s="1401">
        <v>13</v>
      </c>
    </row>
    <row r="14" spans="1:26" s="99" customFormat="1" ht="11.25" customHeight="1">
      <c r="C14" s="179" t="s">
        <v>209</v>
      </c>
      <c r="D14" s="167" t="s">
        <v>210</v>
      </c>
      <c r="H14" s="174"/>
      <c r="I14" s="174"/>
      <c r="J14" s="174"/>
      <c r="K14" s="174"/>
      <c r="L14" s="174"/>
      <c r="M14" s="174"/>
      <c r="N14" s="215"/>
      <c r="O14" s="174"/>
      <c r="P14" s="174"/>
      <c r="Q14" s="174"/>
      <c r="R14" s="174"/>
      <c r="S14" s="174"/>
      <c r="W14" s="289"/>
      <c r="X14" s="289"/>
      <c r="Y14" s="289"/>
      <c r="Z14" s="1401">
        <v>14</v>
      </c>
    </row>
    <row r="15" spans="1:26" s="99" customFormat="1" ht="11.25" customHeight="1">
      <c r="D15" s="158" t="s">
        <v>211</v>
      </c>
      <c r="E15" s="99" t="s">
        <v>212</v>
      </c>
      <c r="H15" s="2970"/>
      <c r="I15" s="3045"/>
      <c r="J15" s="3045"/>
      <c r="K15" s="3045"/>
      <c r="L15" s="3045"/>
      <c r="M15" s="3045"/>
      <c r="N15" s="3046"/>
      <c r="O15" s="172" t="s">
        <v>197</v>
      </c>
      <c r="P15" s="172"/>
      <c r="Q15" s="2970"/>
      <c r="R15" s="3045"/>
      <c r="S15" s="3046"/>
      <c r="Z15" s="1401">
        <v>15</v>
      </c>
    </row>
    <row r="16" spans="1:26" s="99" customFormat="1" ht="11.25" customHeight="1">
      <c r="D16" s="173"/>
      <c r="E16" s="160" t="s">
        <v>198</v>
      </c>
      <c r="F16" s="161"/>
      <c r="H16" s="3012"/>
      <c r="I16" s="3047"/>
      <c r="J16" s="3047"/>
      <c r="K16" s="3048"/>
      <c r="L16" s="3047"/>
      <c r="M16" s="3047"/>
      <c r="N16" s="3049"/>
      <c r="O16" s="172" t="s">
        <v>199</v>
      </c>
      <c r="P16" s="174"/>
      <c r="Q16" s="3050"/>
      <c r="R16" s="3051"/>
      <c r="S16" s="3052"/>
      <c r="Z16" s="1401">
        <v>16</v>
      </c>
    </row>
    <row r="17" spans="4:26" s="99" customFormat="1" ht="11.25" customHeight="1">
      <c r="D17" s="173"/>
      <c r="E17" s="160" t="s">
        <v>54</v>
      </c>
      <c r="H17" s="3012"/>
      <c r="I17" s="3048"/>
      <c r="J17" s="3053"/>
      <c r="K17" s="175" t="s">
        <v>213</v>
      </c>
      <c r="L17" s="3012"/>
      <c r="M17" s="3047"/>
      <c r="N17" s="3053"/>
      <c r="O17" s="172" t="s">
        <v>42</v>
      </c>
      <c r="P17" s="174"/>
      <c r="Q17" s="2967"/>
      <c r="R17" s="2968"/>
      <c r="S17" s="2969"/>
      <c r="Z17" s="1401">
        <v>17</v>
      </c>
    </row>
    <row r="18" spans="4:26" s="99" customFormat="1" ht="11.25" customHeight="1">
      <c r="D18" s="158"/>
      <c r="E18" s="160" t="s">
        <v>201</v>
      </c>
      <c r="H18" s="808"/>
      <c r="I18" s="174"/>
      <c r="J18" s="174"/>
      <c r="K18" s="534" t="s">
        <v>202</v>
      </c>
      <c r="L18" s="3054"/>
      <c r="M18" s="3055"/>
      <c r="N18" s="174"/>
      <c r="O18" s="172" t="s">
        <v>45</v>
      </c>
      <c r="P18" s="174"/>
      <c r="Q18" s="2967"/>
      <c r="R18" s="2968"/>
      <c r="S18" s="2969"/>
      <c r="Z18" s="1401">
        <v>18</v>
      </c>
    </row>
    <row r="19" spans="4:26" s="99" customFormat="1" ht="11.25" customHeight="1">
      <c r="D19" s="173"/>
      <c r="E19" s="160" t="s">
        <v>204</v>
      </c>
      <c r="H19" s="3040"/>
      <c r="I19" s="3041"/>
      <c r="J19" s="2885"/>
      <c r="K19" s="175" t="s">
        <v>43</v>
      </c>
      <c r="L19" s="2976"/>
      <c r="M19" s="2977"/>
      <c r="N19" s="3043"/>
      <c r="O19" s="3043"/>
      <c r="P19" s="3043"/>
      <c r="Q19" s="2977"/>
      <c r="R19" s="2977"/>
      <c r="S19" s="3044"/>
      <c r="Z19" s="1401">
        <v>19</v>
      </c>
    </row>
    <row r="20" spans="4:26" ht="4.3499999999999996" customHeight="1">
      <c r="D20" s="167"/>
      <c r="H20" s="2886"/>
      <c r="I20" s="2886"/>
      <c r="J20" s="2886"/>
      <c r="K20" s="175"/>
      <c r="L20" s="2886"/>
      <c r="M20" s="2886"/>
      <c r="N20" s="181"/>
      <c r="O20" s="182"/>
      <c r="P20" s="182"/>
      <c r="Q20" s="175"/>
      <c r="R20" s="182"/>
      <c r="S20" s="182"/>
      <c r="Z20" s="1401">
        <v>20</v>
      </c>
    </row>
    <row r="21" spans="4:26" s="99" customFormat="1" ht="11.25" customHeight="1">
      <c r="D21" s="158" t="s">
        <v>214</v>
      </c>
      <c r="E21" s="99" t="s">
        <v>215</v>
      </c>
      <c r="H21" s="2970"/>
      <c r="I21" s="3045"/>
      <c r="J21" s="3045"/>
      <c r="K21" s="3045"/>
      <c r="L21" s="3045"/>
      <c r="M21" s="3045"/>
      <c r="N21" s="3046"/>
      <c r="O21" s="172" t="s">
        <v>197</v>
      </c>
      <c r="P21" s="172"/>
      <c r="Q21" s="2970"/>
      <c r="R21" s="3045"/>
      <c r="S21" s="3046"/>
      <c r="Z21" s="1401">
        <v>21</v>
      </c>
    </row>
    <row r="22" spans="4:26" s="99" customFormat="1" ht="11.25" customHeight="1">
      <c r="D22" s="173"/>
      <c r="E22" s="160" t="s">
        <v>198</v>
      </c>
      <c r="F22" s="161"/>
      <c r="H22" s="3012"/>
      <c r="I22" s="3047"/>
      <c r="J22" s="3047"/>
      <c r="K22" s="3048"/>
      <c r="L22" s="3047"/>
      <c r="M22" s="3047"/>
      <c r="N22" s="3049"/>
      <c r="O22" s="172" t="s">
        <v>199</v>
      </c>
      <c r="P22" s="174"/>
      <c r="Q22" s="3050"/>
      <c r="R22" s="3051"/>
      <c r="S22" s="3052"/>
      <c r="Z22" s="1401">
        <v>22</v>
      </c>
    </row>
    <row r="23" spans="4:26" s="99" customFormat="1" ht="11.25" customHeight="1">
      <c r="D23" s="173"/>
      <c r="E23" s="160" t="s">
        <v>54</v>
      </c>
      <c r="H23" s="3012"/>
      <c r="I23" s="3048"/>
      <c r="J23" s="3053"/>
      <c r="K23" s="175" t="s">
        <v>213</v>
      </c>
      <c r="L23" s="3012"/>
      <c r="M23" s="3047"/>
      <c r="N23" s="3053"/>
      <c r="O23" s="172" t="s">
        <v>42</v>
      </c>
      <c r="P23" s="174"/>
      <c r="Q23" s="2967"/>
      <c r="R23" s="2968"/>
      <c r="S23" s="2969"/>
      <c r="Z23" s="1401">
        <v>23</v>
      </c>
    </row>
    <row r="24" spans="4:26" s="99" customFormat="1" ht="11.25" customHeight="1">
      <c r="E24" s="160" t="s">
        <v>201</v>
      </c>
      <c r="H24" s="808"/>
      <c r="I24" s="174"/>
      <c r="J24" s="174"/>
      <c r="K24" s="534" t="s">
        <v>202</v>
      </c>
      <c r="L24" s="3054"/>
      <c r="M24" s="3055"/>
      <c r="N24" s="174"/>
      <c r="O24" s="172" t="s">
        <v>45</v>
      </c>
      <c r="P24" s="174"/>
      <c r="Q24" s="2967"/>
      <c r="R24" s="2968"/>
      <c r="S24" s="2969"/>
      <c r="Z24" s="1401">
        <v>24</v>
      </c>
    </row>
    <row r="25" spans="4:26" s="99" customFormat="1" ht="11.25" customHeight="1">
      <c r="D25" s="173"/>
      <c r="E25" s="160" t="s">
        <v>204</v>
      </c>
      <c r="H25" s="3040"/>
      <c r="I25" s="3041"/>
      <c r="J25" s="2885"/>
      <c r="K25" s="175" t="s">
        <v>43</v>
      </c>
      <c r="L25" s="2976"/>
      <c r="M25" s="2977"/>
      <c r="N25" s="3043"/>
      <c r="O25" s="3043"/>
      <c r="P25" s="3043"/>
      <c r="Q25" s="2977"/>
      <c r="R25" s="2977"/>
      <c r="S25" s="3044"/>
      <c r="Z25" s="1401">
        <v>25</v>
      </c>
    </row>
    <row r="26" spans="4:26" s="99" customFormat="1" ht="4.3499999999999996" customHeight="1">
      <c r="D26" s="173"/>
      <c r="G26" s="160"/>
      <c r="H26" s="2886"/>
      <c r="I26" s="2886"/>
      <c r="J26" s="2886"/>
      <c r="K26" s="175"/>
      <c r="L26" s="2886"/>
      <c r="M26" s="2886"/>
      <c r="N26" s="181"/>
      <c r="O26" s="182"/>
      <c r="P26" s="182"/>
      <c r="Q26" s="175"/>
      <c r="R26" s="182"/>
      <c r="S26" s="182"/>
      <c r="Z26" s="1401">
        <v>26</v>
      </c>
    </row>
    <row r="27" spans="4:26" s="99" customFormat="1" ht="11.25" customHeight="1">
      <c r="D27" s="158" t="s">
        <v>216</v>
      </c>
      <c r="E27" s="99" t="s">
        <v>215</v>
      </c>
      <c r="H27" s="2970"/>
      <c r="I27" s="3045"/>
      <c r="J27" s="3045"/>
      <c r="K27" s="3045"/>
      <c r="L27" s="3045"/>
      <c r="M27" s="3045"/>
      <c r="N27" s="3046"/>
      <c r="O27" s="172" t="s">
        <v>197</v>
      </c>
      <c r="P27" s="172"/>
      <c r="Q27" s="2970"/>
      <c r="R27" s="3045"/>
      <c r="S27" s="3046"/>
      <c r="Z27" s="1401">
        <v>27</v>
      </c>
    </row>
    <row r="28" spans="4:26" s="99" customFormat="1" ht="11.25" customHeight="1">
      <c r="D28" s="173"/>
      <c r="E28" s="160" t="s">
        <v>198</v>
      </c>
      <c r="F28" s="161"/>
      <c r="H28" s="3012"/>
      <c r="I28" s="3047"/>
      <c r="J28" s="3047"/>
      <c r="K28" s="3048"/>
      <c r="L28" s="3047"/>
      <c r="M28" s="3047"/>
      <c r="N28" s="3049"/>
      <c r="O28" s="172" t="s">
        <v>199</v>
      </c>
      <c r="P28" s="174"/>
      <c r="Q28" s="3050"/>
      <c r="R28" s="3051"/>
      <c r="S28" s="3052"/>
      <c r="Z28" s="1401">
        <v>28</v>
      </c>
    </row>
    <row r="29" spans="4:26" s="99" customFormat="1" ht="11.25" customHeight="1">
      <c r="D29" s="173"/>
      <c r="E29" s="160" t="s">
        <v>54</v>
      </c>
      <c r="H29" s="3012"/>
      <c r="I29" s="3048"/>
      <c r="J29" s="3053"/>
      <c r="K29" s="175" t="s">
        <v>213</v>
      </c>
      <c r="L29" s="3012"/>
      <c r="M29" s="3047"/>
      <c r="N29" s="3053"/>
      <c r="O29" s="172" t="s">
        <v>42</v>
      </c>
      <c r="P29" s="174"/>
      <c r="Q29" s="2967"/>
      <c r="R29" s="2968"/>
      <c r="S29" s="2969"/>
      <c r="Z29" s="1401">
        <v>29</v>
      </c>
    </row>
    <row r="30" spans="4:26" s="99" customFormat="1" ht="11.25" customHeight="1">
      <c r="E30" s="160" t="s">
        <v>201</v>
      </c>
      <c r="H30" s="808"/>
      <c r="I30" s="174"/>
      <c r="J30" s="174"/>
      <c r="K30" s="534" t="s">
        <v>202</v>
      </c>
      <c r="L30" s="3054"/>
      <c r="M30" s="3055"/>
      <c r="N30" s="174"/>
      <c r="O30" s="172" t="s">
        <v>45</v>
      </c>
      <c r="P30" s="174"/>
      <c r="Q30" s="2967"/>
      <c r="R30" s="2968"/>
      <c r="S30" s="2969"/>
      <c r="Z30" s="1401">
        <v>30</v>
      </c>
    </row>
    <row r="31" spans="4:26" s="99" customFormat="1" ht="11.25" customHeight="1">
      <c r="D31" s="173"/>
      <c r="E31" s="160" t="s">
        <v>204</v>
      </c>
      <c r="H31" s="3040"/>
      <c r="I31" s="3041"/>
      <c r="J31" s="2885"/>
      <c r="K31" s="175" t="s">
        <v>43</v>
      </c>
      <c r="L31" s="2976"/>
      <c r="M31" s="2977"/>
      <c r="N31" s="3043"/>
      <c r="O31" s="3043"/>
      <c r="P31" s="3043"/>
      <c r="Q31" s="2977"/>
      <c r="R31" s="2977"/>
      <c r="S31" s="3044"/>
      <c r="Z31" s="1401">
        <v>31</v>
      </c>
    </row>
    <row r="32" spans="4:26" ht="4.3499999999999996" customHeight="1">
      <c r="H32" s="183"/>
      <c r="I32" s="183"/>
      <c r="J32" s="183"/>
      <c r="K32" s="183"/>
      <c r="L32" s="183"/>
      <c r="M32" s="183"/>
      <c r="N32" s="183"/>
      <c r="O32" s="183"/>
      <c r="P32" s="183"/>
      <c r="Q32" s="183"/>
      <c r="R32" s="183"/>
      <c r="S32" s="183"/>
      <c r="Z32" s="1401">
        <v>32</v>
      </c>
    </row>
    <row r="33" spans="3:26" s="99" customFormat="1" ht="11.25" customHeight="1">
      <c r="C33" s="179" t="s">
        <v>217</v>
      </c>
      <c r="D33" s="167" t="s">
        <v>218</v>
      </c>
      <c r="H33" s="174"/>
      <c r="I33" s="174"/>
      <c r="J33" s="174"/>
      <c r="K33" s="1035" t="s">
        <v>193</v>
      </c>
      <c r="L33" s="174"/>
      <c r="M33" s="174"/>
      <c r="N33" s="174"/>
      <c r="O33" s="174"/>
      <c r="P33" s="174"/>
      <c r="Q33" s="174"/>
      <c r="R33" s="174"/>
      <c r="S33" s="174"/>
      <c r="Z33" s="1401">
        <v>33</v>
      </c>
    </row>
    <row r="34" spans="3:26" s="99" customFormat="1" ht="11.25" customHeight="1">
      <c r="D34" s="158" t="s">
        <v>211</v>
      </c>
      <c r="E34" s="99" t="s">
        <v>219</v>
      </c>
      <c r="H34" s="2970"/>
      <c r="I34" s="3045"/>
      <c r="J34" s="3045"/>
      <c r="K34" s="3045"/>
      <c r="L34" s="3045"/>
      <c r="M34" s="3045"/>
      <c r="N34" s="3046"/>
      <c r="O34" s="172" t="s">
        <v>197</v>
      </c>
      <c r="P34" s="172"/>
      <c r="Q34" s="2970"/>
      <c r="R34" s="3045"/>
      <c r="S34" s="3046"/>
      <c r="Z34" s="1401">
        <v>34</v>
      </c>
    </row>
    <row r="35" spans="3:26" s="99" customFormat="1" ht="11.25" customHeight="1">
      <c r="D35" s="173"/>
      <c r="E35" s="160" t="s">
        <v>198</v>
      </c>
      <c r="F35" s="161"/>
      <c r="H35" s="3012"/>
      <c r="I35" s="3047"/>
      <c r="J35" s="3047"/>
      <c r="K35" s="3048"/>
      <c r="L35" s="3047"/>
      <c r="M35" s="3047"/>
      <c r="N35" s="3049"/>
      <c r="O35" s="172" t="s">
        <v>199</v>
      </c>
      <c r="P35" s="174"/>
      <c r="Q35" s="3050"/>
      <c r="R35" s="3051"/>
      <c r="S35" s="3052"/>
      <c r="Z35" s="1401">
        <v>35</v>
      </c>
    </row>
    <row r="36" spans="3:26" s="99" customFormat="1" ht="11.25" customHeight="1">
      <c r="D36" s="173"/>
      <c r="E36" s="160" t="s">
        <v>54</v>
      </c>
      <c r="H36" s="3012"/>
      <c r="I36" s="3048"/>
      <c r="J36" s="3053"/>
      <c r="K36" s="175" t="s">
        <v>213</v>
      </c>
      <c r="L36" s="3012"/>
      <c r="M36" s="3047"/>
      <c r="N36" s="3053"/>
      <c r="O36" s="172" t="s">
        <v>42</v>
      </c>
      <c r="P36" s="174"/>
      <c r="Q36" s="2967"/>
      <c r="R36" s="2968"/>
      <c r="S36" s="2969"/>
      <c r="Z36" s="1401">
        <v>36</v>
      </c>
    </row>
    <row r="37" spans="3:26" s="99" customFormat="1" ht="11.25" customHeight="1">
      <c r="E37" s="160" t="s">
        <v>201</v>
      </c>
      <c r="H37" s="808"/>
      <c r="I37" s="174"/>
      <c r="J37" s="174"/>
      <c r="K37" s="534" t="s">
        <v>202</v>
      </c>
      <c r="L37" s="3054"/>
      <c r="M37" s="3055"/>
      <c r="N37" s="174"/>
      <c r="O37" s="172" t="s">
        <v>45</v>
      </c>
      <c r="P37" s="174"/>
      <c r="Q37" s="2967"/>
      <c r="R37" s="2968"/>
      <c r="S37" s="2969"/>
      <c r="Z37" s="1401">
        <v>37</v>
      </c>
    </row>
    <row r="38" spans="3:26" s="99" customFormat="1" ht="11.25" customHeight="1">
      <c r="D38" s="173"/>
      <c r="E38" s="160" t="s">
        <v>204</v>
      </c>
      <c r="H38" s="3040"/>
      <c r="I38" s="3041"/>
      <c r="J38" s="2885"/>
      <c r="K38" s="175" t="s">
        <v>43</v>
      </c>
      <c r="L38" s="2976"/>
      <c r="M38" s="2977"/>
      <c r="N38" s="3043"/>
      <c r="O38" s="3043"/>
      <c r="P38" s="3043"/>
      <c r="Q38" s="2977"/>
      <c r="R38" s="2977"/>
      <c r="S38" s="3044"/>
      <c r="Z38" s="1401">
        <v>38</v>
      </c>
    </row>
    <row r="39" spans="3:26" ht="4.3499999999999996" customHeight="1">
      <c r="H39" s="2886"/>
      <c r="I39" s="2886"/>
      <c r="J39" s="2886"/>
      <c r="K39" s="175"/>
      <c r="L39" s="2886"/>
      <c r="M39" s="2886"/>
      <c r="N39" s="181"/>
      <c r="O39" s="182"/>
      <c r="P39" s="182"/>
      <c r="Q39" s="175"/>
      <c r="R39" s="182"/>
      <c r="S39" s="182"/>
      <c r="Z39" s="1401">
        <v>39</v>
      </c>
    </row>
    <row r="40" spans="3:26" s="99" customFormat="1" ht="11.25" customHeight="1">
      <c r="D40" s="158" t="s">
        <v>214</v>
      </c>
      <c r="E40" s="99" t="s">
        <v>220</v>
      </c>
      <c r="F40" s="158"/>
      <c r="H40" s="2970"/>
      <c r="I40" s="3045"/>
      <c r="J40" s="3045"/>
      <c r="K40" s="3045"/>
      <c r="L40" s="3045"/>
      <c r="M40" s="3045"/>
      <c r="N40" s="3046"/>
      <c r="O40" s="172" t="s">
        <v>197</v>
      </c>
      <c r="P40" s="172"/>
      <c r="Q40" s="2970"/>
      <c r="R40" s="3045"/>
      <c r="S40" s="3046"/>
      <c r="Z40" s="1401">
        <v>40</v>
      </c>
    </row>
    <row r="41" spans="3:26" s="99" customFormat="1" ht="11.25" customHeight="1">
      <c r="D41" s="173"/>
      <c r="E41" s="160" t="s">
        <v>198</v>
      </c>
      <c r="F41" s="161"/>
      <c r="H41" s="3012"/>
      <c r="I41" s="3047"/>
      <c r="J41" s="3047"/>
      <c r="K41" s="3048"/>
      <c r="L41" s="3047"/>
      <c r="M41" s="3047"/>
      <c r="N41" s="3049"/>
      <c r="O41" s="172" t="s">
        <v>199</v>
      </c>
      <c r="P41" s="174"/>
      <c r="Q41" s="3050"/>
      <c r="R41" s="3051"/>
      <c r="S41" s="3052"/>
      <c r="Z41" s="1401">
        <v>41</v>
      </c>
    </row>
    <row r="42" spans="3:26" s="99" customFormat="1" ht="11.25" customHeight="1">
      <c r="D42" s="173"/>
      <c r="E42" s="160" t="s">
        <v>54</v>
      </c>
      <c r="H42" s="3012"/>
      <c r="I42" s="3048"/>
      <c r="J42" s="3053"/>
      <c r="K42" s="175" t="s">
        <v>213</v>
      </c>
      <c r="L42" s="3012"/>
      <c r="M42" s="3047"/>
      <c r="N42" s="3053"/>
      <c r="O42" s="172" t="s">
        <v>42</v>
      </c>
      <c r="P42" s="174"/>
      <c r="Q42" s="2967"/>
      <c r="R42" s="2968"/>
      <c r="S42" s="2969"/>
      <c r="Z42" s="1401">
        <v>42</v>
      </c>
    </row>
    <row r="43" spans="3:26" s="99" customFormat="1" ht="11.25" customHeight="1">
      <c r="D43" s="158"/>
      <c r="E43" s="160" t="s">
        <v>201</v>
      </c>
      <c r="H43" s="808"/>
      <c r="I43" s="174"/>
      <c r="J43" s="174"/>
      <c r="K43" s="534" t="s">
        <v>202</v>
      </c>
      <c r="L43" s="3054"/>
      <c r="M43" s="3055"/>
      <c r="N43" s="174"/>
      <c r="O43" s="172" t="s">
        <v>45</v>
      </c>
      <c r="P43" s="174"/>
      <c r="Q43" s="2967"/>
      <c r="R43" s="2968"/>
      <c r="S43" s="2969"/>
      <c r="Z43" s="1401">
        <v>43</v>
      </c>
    </row>
    <row r="44" spans="3:26" s="99" customFormat="1" ht="11.25" customHeight="1">
      <c r="D44" s="173"/>
      <c r="E44" s="160" t="s">
        <v>204</v>
      </c>
      <c r="H44" s="3040"/>
      <c r="I44" s="3041"/>
      <c r="J44" s="2885"/>
      <c r="K44" s="175" t="s">
        <v>43</v>
      </c>
      <c r="L44" s="2976"/>
      <c r="M44" s="2977"/>
      <c r="N44" s="3043"/>
      <c r="O44" s="3043"/>
      <c r="P44" s="3043"/>
      <c r="Q44" s="2977"/>
      <c r="R44" s="2977"/>
      <c r="S44" s="3044"/>
      <c r="Z44" s="1401">
        <v>44</v>
      </c>
    </row>
    <row r="45" spans="3:26" s="99" customFormat="1" ht="4.3499999999999996" customHeight="1">
      <c r="D45" s="173"/>
      <c r="E45" s="160"/>
      <c r="F45" s="158"/>
      <c r="H45" s="176"/>
      <c r="I45" s="176"/>
      <c r="J45" s="185"/>
      <c r="K45" s="175"/>
      <c r="L45" s="176"/>
      <c r="M45" s="176"/>
      <c r="N45" s="175"/>
      <c r="O45" s="176"/>
      <c r="P45" s="176"/>
      <c r="Q45" s="175"/>
      <c r="R45" s="176"/>
      <c r="S45" s="176"/>
      <c r="Z45" s="1401">
        <v>45</v>
      </c>
    </row>
    <row r="46" spans="3:26" s="99" customFormat="1" ht="11.25" customHeight="1">
      <c r="C46" s="184" t="s">
        <v>221</v>
      </c>
      <c r="D46" s="167" t="s">
        <v>222</v>
      </c>
      <c r="H46" s="174"/>
      <c r="I46" s="174"/>
      <c r="J46" s="174"/>
      <c r="K46" s="1035" t="s">
        <v>193</v>
      </c>
      <c r="L46" s="174"/>
      <c r="M46" s="174"/>
      <c r="N46" s="174"/>
      <c r="O46" s="174"/>
      <c r="P46" s="174"/>
      <c r="Q46" s="174"/>
      <c r="R46" s="174"/>
      <c r="S46" s="174"/>
      <c r="Z46" s="1401">
        <v>46</v>
      </c>
    </row>
    <row r="47" spans="3:26" s="99" customFormat="1" ht="11.25" customHeight="1">
      <c r="E47" s="99" t="s">
        <v>223</v>
      </c>
      <c r="H47" s="2970"/>
      <c r="I47" s="3045"/>
      <c r="J47" s="3045"/>
      <c r="K47" s="3045"/>
      <c r="L47" s="3045"/>
      <c r="M47" s="3045"/>
      <c r="N47" s="3046"/>
      <c r="O47" s="172" t="s">
        <v>197</v>
      </c>
      <c r="P47" s="172"/>
      <c r="Q47" s="2970"/>
      <c r="R47" s="3045"/>
      <c r="S47" s="3046"/>
      <c r="Z47" s="1401">
        <v>47</v>
      </c>
    </row>
    <row r="48" spans="3:26" s="99" customFormat="1" ht="11.25" customHeight="1">
      <c r="D48" s="173"/>
      <c r="E48" s="160" t="s">
        <v>198</v>
      </c>
      <c r="F48" s="161"/>
      <c r="H48" s="3012"/>
      <c r="I48" s="3047"/>
      <c r="J48" s="3047"/>
      <c r="K48" s="3048"/>
      <c r="L48" s="3047"/>
      <c r="M48" s="3047"/>
      <c r="N48" s="3049"/>
      <c r="O48" s="172" t="s">
        <v>199</v>
      </c>
      <c r="P48" s="174"/>
      <c r="Q48" s="3050"/>
      <c r="R48" s="3051"/>
      <c r="S48" s="3052"/>
      <c r="Z48" s="1401">
        <v>48</v>
      </c>
    </row>
    <row r="49" spans="1:26" s="99" customFormat="1" ht="11.25" customHeight="1">
      <c r="D49" s="173"/>
      <c r="E49" s="160" t="s">
        <v>54</v>
      </c>
      <c r="H49" s="3012"/>
      <c r="I49" s="3048"/>
      <c r="J49" s="3053"/>
      <c r="K49" s="175" t="s">
        <v>213</v>
      </c>
      <c r="L49" s="3012"/>
      <c r="M49" s="3047"/>
      <c r="N49" s="3053"/>
      <c r="O49" s="172" t="s">
        <v>42</v>
      </c>
      <c r="P49" s="174"/>
      <c r="Q49" s="2967"/>
      <c r="R49" s="2968"/>
      <c r="S49" s="2969"/>
      <c r="Z49" s="1401">
        <v>49</v>
      </c>
    </row>
    <row r="50" spans="1:26" s="99" customFormat="1" ht="11.25" customHeight="1">
      <c r="E50" s="160" t="s">
        <v>201</v>
      </c>
      <c r="H50" s="808"/>
      <c r="I50" s="174"/>
      <c r="J50" s="174"/>
      <c r="K50" s="534" t="s">
        <v>202</v>
      </c>
      <c r="L50" s="3054"/>
      <c r="M50" s="3055"/>
      <c r="N50" s="174"/>
      <c r="O50" s="172" t="s">
        <v>45</v>
      </c>
      <c r="P50" s="174"/>
      <c r="Q50" s="2967"/>
      <c r="R50" s="2968"/>
      <c r="S50" s="2969"/>
      <c r="Z50" s="1401">
        <v>50</v>
      </c>
    </row>
    <row r="51" spans="1:26" s="99" customFormat="1" ht="11.25" customHeight="1">
      <c r="D51" s="173"/>
      <c r="E51" s="160" t="s">
        <v>204</v>
      </c>
      <c r="H51" s="3040"/>
      <c r="I51" s="3041"/>
      <c r="J51" s="2885"/>
      <c r="K51" s="175" t="s">
        <v>43</v>
      </c>
      <c r="L51" s="2976"/>
      <c r="M51" s="2977"/>
      <c r="N51" s="3043"/>
      <c r="O51" s="3043"/>
      <c r="P51" s="3043"/>
      <c r="Q51" s="2977"/>
      <c r="R51" s="2977"/>
      <c r="S51" s="3044"/>
      <c r="Z51" s="1401">
        <v>51</v>
      </c>
    </row>
    <row r="52" spans="1:26" ht="6.75" customHeight="1">
      <c r="H52" s="183"/>
      <c r="I52" s="183"/>
      <c r="J52" s="183"/>
      <c r="K52" s="183"/>
      <c r="L52" s="183"/>
      <c r="M52" s="183"/>
      <c r="N52" s="183"/>
      <c r="O52" s="183"/>
      <c r="P52" s="183"/>
      <c r="Q52" s="183"/>
      <c r="R52" s="183"/>
      <c r="S52" s="183"/>
      <c r="Z52" s="1401">
        <v>52</v>
      </c>
    </row>
    <row r="53" spans="1:26" s="99" customFormat="1" ht="13.35" customHeight="1">
      <c r="A53" s="158" t="s">
        <v>25</v>
      </c>
      <c r="B53" s="158" t="s">
        <v>224</v>
      </c>
      <c r="F53" s="158"/>
      <c r="G53" s="162"/>
      <c r="H53" s="175"/>
      <c r="I53" s="175"/>
      <c r="J53" s="174"/>
      <c r="K53" s="1035" t="s">
        <v>193</v>
      </c>
      <c r="L53" s="174"/>
      <c r="M53" s="174"/>
      <c r="N53" s="174"/>
      <c r="O53" s="174"/>
      <c r="P53" s="174"/>
      <c r="Q53" s="174"/>
      <c r="R53" s="174"/>
      <c r="S53" s="174"/>
      <c r="Z53" s="1401">
        <v>53</v>
      </c>
    </row>
    <row r="54" spans="1:26" s="99" customFormat="1" ht="3" customHeight="1">
      <c r="A54" s="158"/>
      <c r="B54" s="158"/>
      <c r="F54" s="158"/>
      <c r="G54" s="162"/>
      <c r="H54" s="180"/>
      <c r="I54" s="180"/>
      <c r="J54" s="180"/>
      <c r="K54" s="181"/>
      <c r="L54" s="180"/>
      <c r="M54" s="180"/>
      <c r="N54" s="181"/>
      <c r="O54" s="182"/>
      <c r="P54" s="182"/>
      <c r="Q54" s="175"/>
      <c r="R54" s="182"/>
      <c r="S54" s="182"/>
      <c r="Z54" s="1401">
        <v>54</v>
      </c>
    </row>
    <row r="55" spans="1:26" s="99" customFormat="1" ht="11.25" customHeight="1">
      <c r="B55" s="158" t="s">
        <v>194</v>
      </c>
      <c r="C55" s="158" t="s">
        <v>225</v>
      </c>
      <c r="H55" s="2970"/>
      <c r="I55" s="3045"/>
      <c r="J55" s="3045"/>
      <c r="K55" s="3045"/>
      <c r="L55" s="3045"/>
      <c r="M55" s="3045"/>
      <c r="N55" s="3046"/>
      <c r="O55" s="172" t="s">
        <v>197</v>
      </c>
      <c r="P55" s="172"/>
      <c r="Q55" s="2970"/>
      <c r="R55" s="3045"/>
      <c r="S55" s="3046"/>
      <c r="Z55" s="1401">
        <v>55</v>
      </c>
    </row>
    <row r="56" spans="1:26" s="99" customFormat="1" ht="11.25" customHeight="1">
      <c r="D56" s="173"/>
      <c r="E56" s="160" t="s">
        <v>198</v>
      </c>
      <c r="F56" s="161"/>
      <c r="H56" s="3012"/>
      <c r="I56" s="3047"/>
      <c r="J56" s="3047"/>
      <c r="K56" s="3048"/>
      <c r="L56" s="3047"/>
      <c r="M56" s="3047"/>
      <c r="N56" s="3049"/>
      <c r="O56" s="172" t="s">
        <v>199</v>
      </c>
      <c r="P56" s="174"/>
      <c r="Q56" s="3050"/>
      <c r="R56" s="3051"/>
      <c r="S56" s="3052"/>
      <c r="Z56" s="1401">
        <v>56</v>
      </c>
    </row>
    <row r="57" spans="1:26" s="99" customFormat="1" ht="11.25" customHeight="1">
      <c r="D57" s="173"/>
      <c r="E57" s="160" t="s">
        <v>54</v>
      </c>
      <c r="H57" s="3012"/>
      <c r="I57" s="3048"/>
      <c r="J57" s="3053"/>
      <c r="K57" s="175" t="s">
        <v>213</v>
      </c>
      <c r="L57" s="3012"/>
      <c r="M57" s="3047"/>
      <c r="N57" s="3053"/>
      <c r="O57" s="172" t="s">
        <v>42</v>
      </c>
      <c r="P57" s="174"/>
      <c r="Q57" s="2967"/>
      <c r="R57" s="2968"/>
      <c r="S57" s="2969"/>
      <c r="Z57" s="1401">
        <v>57</v>
      </c>
    </row>
    <row r="58" spans="1:26" s="99" customFormat="1" ht="11.25" customHeight="1">
      <c r="E58" s="160" t="s">
        <v>201</v>
      </c>
      <c r="H58" s="808"/>
      <c r="I58" s="174"/>
      <c r="J58" s="174"/>
      <c r="K58" s="534" t="s">
        <v>202</v>
      </c>
      <c r="L58" s="3054"/>
      <c r="M58" s="3055"/>
      <c r="N58" s="174"/>
      <c r="O58" s="172" t="s">
        <v>45</v>
      </c>
      <c r="P58" s="174"/>
      <c r="Q58" s="2967"/>
      <c r="R58" s="2968"/>
      <c r="S58" s="2969"/>
      <c r="Z58" s="1401">
        <v>58</v>
      </c>
    </row>
    <row r="59" spans="1:26" s="99" customFormat="1" ht="11.25" customHeight="1">
      <c r="D59" s="173"/>
      <c r="E59" s="160" t="s">
        <v>204</v>
      </c>
      <c r="H59" s="3040"/>
      <c r="I59" s="3041"/>
      <c r="J59" s="2885"/>
      <c r="K59" s="175" t="s">
        <v>43</v>
      </c>
      <c r="L59" s="2976"/>
      <c r="M59" s="2977"/>
      <c r="N59" s="3043"/>
      <c r="O59" s="3043"/>
      <c r="P59" s="3043"/>
      <c r="Q59" s="2977"/>
      <c r="R59" s="2977"/>
      <c r="S59" s="3044"/>
      <c r="Z59" s="1401">
        <v>59</v>
      </c>
    </row>
    <row r="60" spans="1:26" s="99" customFormat="1" ht="6.6" customHeight="1">
      <c r="D60" s="173"/>
      <c r="G60" s="160"/>
      <c r="H60" s="2886"/>
      <c r="I60" s="2886"/>
      <c r="J60" s="2886"/>
      <c r="K60" s="175"/>
      <c r="L60" s="2886"/>
      <c r="M60" s="2886"/>
      <c r="N60" s="181"/>
      <c r="O60" s="182"/>
      <c r="P60" s="182"/>
      <c r="Q60" s="175"/>
      <c r="R60" s="182"/>
      <c r="S60" s="182"/>
      <c r="Z60" s="1401">
        <v>60</v>
      </c>
    </row>
    <row r="61" spans="1:26" s="99" customFormat="1" ht="11.25" customHeight="1">
      <c r="B61" s="158" t="s">
        <v>206</v>
      </c>
      <c r="C61" s="158" t="s">
        <v>226</v>
      </c>
      <c r="H61" s="2970"/>
      <c r="I61" s="3045"/>
      <c r="J61" s="3045"/>
      <c r="K61" s="3045"/>
      <c r="L61" s="3045"/>
      <c r="M61" s="3045"/>
      <c r="N61" s="3046"/>
      <c r="O61" s="172" t="s">
        <v>197</v>
      </c>
      <c r="P61" s="172"/>
      <c r="Q61" s="2970"/>
      <c r="R61" s="3045"/>
      <c r="S61" s="3046"/>
      <c r="Z61" s="1401">
        <v>61</v>
      </c>
    </row>
    <row r="62" spans="1:26" s="99" customFormat="1" ht="11.25" customHeight="1">
      <c r="D62" s="173"/>
      <c r="E62" s="160" t="s">
        <v>198</v>
      </c>
      <c r="F62" s="161"/>
      <c r="H62" s="3012"/>
      <c r="I62" s="3047"/>
      <c r="J62" s="3047"/>
      <c r="K62" s="3048"/>
      <c r="L62" s="3047"/>
      <c r="M62" s="3047"/>
      <c r="N62" s="3049"/>
      <c r="O62" s="172" t="s">
        <v>199</v>
      </c>
      <c r="P62" s="174"/>
      <c r="Q62" s="3050"/>
      <c r="R62" s="3051"/>
      <c r="S62" s="3052"/>
      <c r="Z62" s="1401">
        <v>62</v>
      </c>
    </row>
    <row r="63" spans="1:26" s="99" customFormat="1" ht="11.25" customHeight="1">
      <c r="D63" s="173"/>
      <c r="E63" s="160" t="s">
        <v>54</v>
      </c>
      <c r="H63" s="3012"/>
      <c r="I63" s="3048"/>
      <c r="J63" s="3053"/>
      <c r="K63" s="175" t="s">
        <v>213</v>
      </c>
      <c r="L63" s="3012"/>
      <c r="M63" s="3047"/>
      <c r="N63" s="3053"/>
      <c r="O63" s="172" t="s">
        <v>42</v>
      </c>
      <c r="P63" s="174"/>
      <c r="Q63" s="2967"/>
      <c r="R63" s="2968"/>
      <c r="S63" s="2969"/>
      <c r="Z63" s="1401">
        <v>63</v>
      </c>
    </row>
    <row r="64" spans="1:26" s="99" customFormat="1" ht="11.25" customHeight="1">
      <c r="E64" s="160" t="s">
        <v>201</v>
      </c>
      <c r="H64" s="808"/>
      <c r="I64" s="174"/>
      <c r="J64" s="174"/>
      <c r="K64" s="534" t="s">
        <v>202</v>
      </c>
      <c r="L64" s="3054"/>
      <c r="M64" s="3055"/>
      <c r="N64" s="174"/>
      <c r="O64" s="172" t="s">
        <v>45</v>
      </c>
      <c r="P64" s="174"/>
      <c r="Q64" s="2967"/>
      <c r="R64" s="2968"/>
      <c r="S64" s="2969"/>
      <c r="Z64" s="1401">
        <v>64</v>
      </c>
    </row>
    <row r="65" spans="1:26" s="99" customFormat="1" ht="11.25" customHeight="1">
      <c r="D65" s="173"/>
      <c r="E65" s="160" t="s">
        <v>204</v>
      </c>
      <c r="H65" s="3040"/>
      <c r="I65" s="3041"/>
      <c r="J65" s="2885"/>
      <c r="K65" s="175" t="s">
        <v>43</v>
      </c>
      <c r="L65" s="2976"/>
      <c r="M65" s="2977"/>
      <c r="N65" s="3043"/>
      <c r="O65" s="3043"/>
      <c r="P65" s="3043"/>
      <c r="Q65" s="2977"/>
      <c r="R65" s="2977"/>
      <c r="S65" s="3044"/>
      <c r="Z65" s="1401">
        <v>65</v>
      </c>
    </row>
    <row r="66" spans="1:26" s="99" customFormat="1" ht="6.6" customHeight="1">
      <c r="D66" s="173"/>
      <c r="G66" s="160"/>
      <c r="H66" s="2886"/>
      <c r="I66" s="2886"/>
      <c r="J66" s="2886"/>
      <c r="K66" s="175"/>
      <c r="L66" s="2886"/>
      <c r="M66" s="2886"/>
      <c r="N66" s="181"/>
      <c r="O66" s="182"/>
      <c r="P66" s="182"/>
      <c r="Q66" s="175"/>
      <c r="R66" s="182"/>
      <c r="S66" s="182"/>
      <c r="Z66" s="1401">
        <v>66</v>
      </c>
    </row>
    <row r="67" spans="1:26" s="99" customFormat="1" ht="11.25" customHeight="1">
      <c r="B67" s="158" t="s">
        <v>227</v>
      </c>
      <c r="C67" s="158" t="s">
        <v>228</v>
      </c>
      <c r="H67" s="2970"/>
      <c r="I67" s="3045"/>
      <c r="J67" s="3045"/>
      <c r="K67" s="3045"/>
      <c r="L67" s="3045"/>
      <c r="M67" s="3045"/>
      <c r="N67" s="3046"/>
      <c r="O67" s="172" t="s">
        <v>197</v>
      </c>
      <c r="P67" s="172"/>
      <c r="Q67" s="2970"/>
      <c r="R67" s="3045"/>
      <c r="S67" s="3046"/>
      <c r="Z67" s="1401">
        <v>67</v>
      </c>
    </row>
    <row r="68" spans="1:26" s="99" customFormat="1" ht="11.25" customHeight="1">
      <c r="D68" s="173"/>
      <c r="E68" s="160" t="s">
        <v>198</v>
      </c>
      <c r="F68" s="161"/>
      <c r="H68" s="3012"/>
      <c r="I68" s="3047"/>
      <c r="J68" s="3047"/>
      <c r="K68" s="3048"/>
      <c r="L68" s="3047"/>
      <c r="M68" s="3047"/>
      <c r="N68" s="3049"/>
      <c r="O68" s="172" t="s">
        <v>199</v>
      </c>
      <c r="P68" s="174"/>
      <c r="Q68" s="3050"/>
      <c r="R68" s="3051"/>
      <c r="S68" s="3052"/>
      <c r="Z68" s="1401">
        <v>68</v>
      </c>
    </row>
    <row r="69" spans="1:26" s="99" customFormat="1" ht="11.25" customHeight="1">
      <c r="D69" s="173"/>
      <c r="E69" s="160" t="s">
        <v>54</v>
      </c>
      <c r="H69" s="3012"/>
      <c r="I69" s="3048"/>
      <c r="J69" s="3053"/>
      <c r="K69" s="175" t="s">
        <v>213</v>
      </c>
      <c r="L69" s="3012"/>
      <c r="M69" s="3047"/>
      <c r="N69" s="3053"/>
      <c r="O69" s="172" t="s">
        <v>42</v>
      </c>
      <c r="P69" s="174"/>
      <c r="Q69" s="2967"/>
      <c r="R69" s="2968"/>
      <c r="S69" s="2969"/>
      <c r="Z69" s="1401">
        <v>69</v>
      </c>
    </row>
    <row r="70" spans="1:26" s="99" customFormat="1" ht="11.25" customHeight="1">
      <c r="E70" s="160" t="s">
        <v>201</v>
      </c>
      <c r="H70" s="808"/>
      <c r="I70" s="174"/>
      <c r="J70" s="174"/>
      <c r="K70" s="534" t="s">
        <v>202</v>
      </c>
      <c r="L70" s="3054"/>
      <c r="M70" s="3055"/>
      <c r="N70" s="174"/>
      <c r="O70" s="172" t="s">
        <v>45</v>
      </c>
      <c r="P70" s="174"/>
      <c r="Q70" s="2967"/>
      <c r="R70" s="2968"/>
      <c r="S70" s="2969"/>
      <c r="Z70" s="1401">
        <v>70</v>
      </c>
    </row>
    <row r="71" spans="1:26" s="99" customFormat="1" ht="11.25" customHeight="1">
      <c r="D71" s="173"/>
      <c r="E71" s="160" t="s">
        <v>204</v>
      </c>
      <c r="H71" s="3040"/>
      <c r="I71" s="3041"/>
      <c r="J71" s="2885"/>
      <c r="K71" s="175" t="s">
        <v>43</v>
      </c>
      <c r="L71" s="2976"/>
      <c r="M71" s="2977"/>
      <c r="N71" s="3043"/>
      <c r="O71" s="3043"/>
      <c r="P71" s="3043"/>
      <c r="Q71" s="2977"/>
      <c r="R71" s="2977"/>
      <c r="S71" s="3044"/>
      <c r="Z71" s="1401">
        <v>71</v>
      </c>
    </row>
    <row r="72" spans="1:26" ht="6.6" customHeight="1">
      <c r="H72" s="2886"/>
      <c r="I72" s="2886"/>
      <c r="J72" s="2886"/>
      <c r="K72" s="175"/>
      <c r="L72" s="2886"/>
      <c r="M72" s="2886"/>
      <c r="N72" s="181"/>
      <c r="O72" s="182"/>
      <c r="P72" s="182"/>
      <c r="Q72" s="175"/>
      <c r="R72" s="182"/>
      <c r="S72" s="182"/>
      <c r="Z72" s="1401">
        <v>72</v>
      </c>
    </row>
    <row r="73" spans="1:26" s="99" customFormat="1" ht="11.25" customHeight="1">
      <c r="B73" s="158" t="s">
        <v>229</v>
      </c>
      <c r="C73" s="158" t="s">
        <v>230</v>
      </c>
      <c r="H73" s="2970"/>
      <c r="I73" s="3045"/>
      <c r="J73" s="3045"/>
      <c r="K73" s="3045"/>
      <c r="L73" s="3045"/>
      <c r="M73" s="3045"/>
      <c r="N73" s="3046"/>
      <c r="O73" s="172" t="s">
        <v>197</v>
      </c>
      <c r="P73" s="172"/>
      <c r="Q73" s="2970"/>
      <c r="R73" s="3045"/>
      <c r="S73" s="3046"/>
      <c r="Z73" s="1401">
        <v>73</v>
      </c>
    </row>
    <row r="74" spans="1:26" s="99" customFormat="1" ht="11.25" customHeight="1">
      <c r="D74" s="173"/>
      <c r="E74" s="160" t="s">
        <v>198</v>
      </c>
      <c r="F74" s="161"/>
      <c r="H74" s="3012"/>
      <c r="I74" s="3047"/>
      <c r="J74" s="3047"/>
      <c r="K74" s="3048"/>
      <c r="L74" s="3047"/>
      <c r="M74" s="3047"/>
      <c r="N74" s="3049"/>
      <c r="O74" s="172" t="s">
        <v>199</v>
      </c>
      <c r="P74" s="174"/>
      <c r="Q74" s="3050"/>
      <c r="R74" s="3051"/>
      <c r="S74" s="3052"/>
      <c r="Z74" s="1401">
        <v>74</v>
      </c>
    </row>
    <row r="75" spans="1:26" s="99" customFormat="1" ht="11.25" customHeight="1">
      <c r="D75" s="173"/>
      <c r="E75" s="160" t="s">
        <v>54</v>
      </c>
      <c r="H75" s="3012"/>
      <c r="I75" s="3048"/>
      <c r="J75" s="3053"/>
      <c r="K75" s="175" t="s">
        <v>213</v>
      </c>
      <c r="L75" s="3012"/>
      <c r="M75" s="3047"/>
      <c r="N75" s="3053"/>
      <c r="O75" s="172" t="s">
        <v>42</v>
      </c>
      <c r="P75" s="174"/>
      <c r="Q75" s="2967"/>
      <c r="R75" s="2968"/>
      <c r="S75" s="2969"/>
      <c r="Z75" s="1401">
        <v>75</v>
      </c>
    </row>
    <row r="76" spans="1:26" s="99" customFormat="1" ht="11.25" customHeight="1">
      <c r="E76" s="160" t="s">
        <v>201</v>
      </c>
      <c r="H76" s="808"/>
      <c r="I76" s="174"/>
      <c r="J76" s="174"/>
      <c r="K76" s="534" t="s">
        <v>202</v>
      </c>
      <c r="L76" s="3054"/>
      <c r="M76" s="3055"/>
      <c r="N76" s="174"/>
      <c r="O76" s="172" t="s">
        <v>45</v>
      </c>
      <c r="P76" s="174"/>
      <c r="Q76" s="2967"/>
      <c r="R76" s="2968"/>
      <c r="S76" s="2969"/>
      <c r="Z76" s="1401">
        <v>76</v>
      </c>
    </row>
    <row r="77" spans="1:26" s="99" customFormat="1" ht="11.25" customHeight="1">
      <c r="D77" s="173"/>
      <c r="E77" s="160" t="s">
        <v>204</v>
      </c>
      <c r="H77" s="3040"/>
      <c r="I77" s="3041"/>
      <c r="J77" s="2885"/>
      <c r="K77" s="175" t="s">
        <v>43</v>
      </c>
      <c r="L77" s="2976"/>
      <c r="M77" s="2977"/>
      <c r="N77" s="3043"/>
      <c r="O77" s="3043"/>
      <c r="P77" s="3043"/>
      <c r="Q77" s="2977"/>
      <c r="R77" s="2977"/>
      <c r="S77" s="3044"/>
      <c r="Z77" s="1401">
        <v>77</v>
      </c>
    </row>
    <row r="78" spans="1:26" ht="6.75" customHeight="1">
      <c r="H78" s="183"/>
      <c r="I78" s="183"/>
      <c r="J78" s="183"/>
      <c r="K78" s="183"/>
      <c r="L78" s="183"/>
      <c r="M78" s="183"/>
      <c r="N78" s="183"/>
      <c r="O78" s="183"/>
      <c r="P78" s="183"/>
      <c r="Q78" s="183"/>
      <c r="R78" s="183"/>
      <c r="S78" s="183"/>
      <c r="Z78" s="1401">
        <v>78</v>
      </c>
    </row>
    <row r="79" spans="1:26" s="160" customFormat="1" ht="13.35" customHeight="1">
      <c r="A79" s="140" t="s">
        <v>31</v>
      </c>
      <c r="B79" s="140" t="s">
        <v>231</v>
      </c>
      <c r="D79" s="140"/>
      <c r="F79" s="140"/>
      <c r="G79" s="140"/>
      <c r="H79" s="177"/>
      <c r="I79" s="177"/>
      <c r="J79" s="177"/>
      <c r="K79" s="1035" t="s">
        <v>193</v>
      </c>
      <c r="L79" s="177"/>
      <c r="M79" s="177"/>
      <c r="N79" s="172"/>
      <c r="O79" s="172"/>
      <c r="P79" s="172"/>
      <c r="Q79" s="172"/>
      <c r="R79" s="172"/>
      <c r="S79" s="172"/>
      <c r="Z79" s="1401">
        <v>79</v>
      </c>
    </row>
    <row r="80" spans="1:26" s="160" customFormat="1" ht="3" customHeight="1">
      <c r="A80" s="140"/>
      <c r="B80" s="140"/>
      <c r="D80" s="140"/>
      <c r="F80" s="140"/>
      <c r="G80" s="140"/>
      <c r="H80" s="180"/>
      <c r="I80" s="180"/>
      <c r="J80" s="180"/>
      <c r="K80" s="181"/>
      <c r="L80" s="180"/>
      <c r="M80" s="180"/>
      <c r="N80" s="181"/>
      <c r="O80" s="182"/>
      <c r="P80" s="182"/>
      <c r="Q80" s="175"/>
      <c r="R80" s="182"/>
      <c r="S80" s="182"/>
      <c r="Z80" s="1401">
        <v>80</v>
      </c>
    </row>
    <row r="81" spans="2:26" s="99" customFormat="1" ht="11.25" customHeight="1">
      <c r="B81" s="158" t="s">
        <v>194</v>
      </c>
      <c r="C81" s="158" t="s">
        <v>232</v>
      </c>
      <c r="H81" s="2970"/>
      <c r="I81" s="3045"/>
      <c r="J81" s="3045"/>
      <c r="K81" s="3045"/>
      <c r="L81" s="3045"/>
      <c r="M81" s="3045"/>
      <c r="N81" s="3046"/>
      <c r="O81" s="172" t="s">
        <v>197</v>
      </c>
      <c r="P81" s="172"/>
      <c r="Q81" s="2970"/>
      <c r="R81" s="3045"/>
      <c r="S81" s="3046"/>
      <c r="Z81" s="1401">
        <v>81</v>
      </c>
    </row>
    <row r="82" spans="2:26" s="99" customFormat="1" ht="11.25" customHeight="1">
      <c r="D82" s="173"/>
      <c r="E82" s="160" t="s">
        <v>198</v>
      </c>
      <c r="F82" s="161"/>
      <c r="H82" s="3012"/>
      <c r="I82" s="3047"/>
      <c r="J82" s="3047"/>
      <c r="K82" s="3048"/>
      <c r="L82" s="3047"/>
      <c r="M82" s="3047"/>
      <c r="N82" s="3049"/>
      <c r="O82" s="172" t="s">
        <v>199</v>
      </c>
      <c r="P82" s="174"/>
      <c r="Q82" s="3050"/>
      <c r="R82" s="3051"/>
      <c r="S82" s="3052"/>
      <c r="Z82" s="1401">
        <v>82</v>
      </c>
    </row>
    <row r="83" spans="2:26" s="99" customFormat="1" ht="11.25" customHeight="1">
      <c r="D83" s="173"/>
      <c r="E83" s="160" t="s">
        <v>54</v>
      </c>
      <c r="H83" s="3012"/>
      <c r="I83" s="3048"/>
      <c r="J83" s="3053"/>
      <c r="K83" s="175" t="s">
        <v>213</v>
      </c>
      <c r="L83" s="3012"/>
      <c r="M83" s="3047"/>
      <c r="N83" s="3053"/>
      <c r="O83" s="172" t="s">
        <v>42</v>
      </c>
      <c r="P83" s="174"/>
      <c r="Q83" s="2967"/>
      <c r="R83" s="2968"/>
      <c r="S83" s="2969"/>
      <c r="Z83" s="1401">
        <v>83</v>
      </c>
    </row>
    <row r="84" spans="2:26" s="99" customFormat="1" ht="11.25" customHeight="1">
      <c r="E84" s="160" t="s">
        <v>201</v>
      </c>
      <c r="H84" s="808"/>
      <c r="I84" s="174"/>
      <c r="J84" s="174"/>
      <c r="K84" s="534" t="s">
        <v>202</v>
      </c>
      <c r="L84" s="3054"/>
      <c r="M84" s="3055"/>
      <c r="N84" s="174"/>
      <c r="O84" s="172" t="s">
        <v>45</v>
      </c>
      <c r="P84" s="174"/>
      <c r="Q84" s="2967"/>
      <c r="R84" s="2968"/>
      <c r="S84" s="2969"/>
      <c r="Z84" s="1401">
        <v>84</v>
      </c>
    </row>
    <row r="85" spans="2:26" s="99" customFormat="1" ht="11.25" customHeight="1">
      <c r="D85" s="173"/>
      <c r="E85" s="160" t="s">
        <v>204</v>
      </c>
      <c r="H85" s="3040"/>
      <c r="I85" s="3041"/>
      <c r="J85" s="2885"/>
      <c r="K85" s="175" t="s">
        <v>43</v>
      </c>
      <c r="L85" s="2976"/>
      <c r="M85" s="2977"/>
      <c r="N85" s="3043"/>
      <c r="O85" s="3043"/>
      <c r="P85" s="3043"/>
      <c r="Q85" s="2977"/>
      <c r="R85" s="2977"/>
      <c r="S85" s="3044"/>
      <c r="Z85" s="1401">
        <v>85</v>
      </c>
    </row>
    <row r="86" spans="2:26" ht="6.6" customHeight="1">
      <c r="H86" s="2886"/>
      <c r="I86" s="2886"/>
      <c r="J86" s="2886"/>
      <c r="K86" s="175"/>
      <c r="L86" s="2886"/>
      <c r="M86" s="2886"/>
      <c r="N86" s="181"/>
      <c r="O86" s="182"/>
      <c r="P86" s="182"/>
      <c r="Q86" s="175"/>
      <c r="R86" s="182"/>
      <c r="S86" s="182"/>
      <c r="Z86" s="1401">
        <v>86</v>
      </c>
    </row>
    <row r="87" spans="2:26" s="99" customFormat="1" ht="11.25" customHeight="1">
      <c r="B87" s="158" t="s">
        <v>206</v>
      </c>
      <c r="C87" s="158" t="s">
        <v>233</v>
      </c>
      <c r="H87" s="2970"/>
      <c r="I87" s="3045"/>
      <c r="J87" s="3045"/>
      <c r="K87" s="3045"/>
      <c r="L87" s="3045"/>
      <c r="M87" s="3045"/>
      <c r="N87" s="3046"/>
      <c r="O87" s="172" t="s">
        <v>197</v>
      </c>
      <c r="P87" s="172"/>
      <c r="Q87" s="2970"/>
      <c r="R87" s="3045"/>
      <c r="S87" s="3046"/>
      <c r="Z87" s="1401">
        <v>87</v>
      </c>
    </row>
    <row r="88" spans="2:26" s="99" customFormat="1" ht="11.25" customHeight="1">
      <c r="D88" s="173"/>
      <c r="E88" s="160" t="s">
        <v>198</v>
      </c>
      <c r="F88" s="161"/>
      <c r="H88" s="3012"/>
      <c r="I88" s="3047"/>
      <c r="J88" s="3047"/>
      <c r="K88" s="3048"/>
      <c r="L88" s="3047"/>
      <c r="M88" s="3047"/>
      <c r="N88" s="3049"/>
      <c r="O88" s="172" t="s">
        <v>199</v>
      </c>
      <c r="P88" s="174"/>
      <c r="Q88" s="3050"/>
      <c r="R88" s="3051"/>
      <c r="S88" s="3052"/>
      <c r="Z88" s="1401">
        <v>88</v>
      </c>
    </row>
    <row r="89" spans="2:26" s="99" customFormat="1" ht="11.25" customHeight="1">
      <c r="D89" s="173"/>
      <c r="E89" s="160" t="s">
        <v>54</v>
      </c>
      <c r="H89" s="3012"/>
      <c r="I89" s="3048"/>
      <c r="J89" s="3053"/>
      <c r="K89" s="175" t="s">
        <v>213</v>
      </c>
      <c r="L89" s="3012"/>
      <c r="M89" s="3047"/>
      <c r="N89" s="3053"/>
      <c r="O89" s="172" t="s">
        <v>42</v>
      </c>
      <c r="P89" s="174"/>
      <c r="Q89" s="2967"/>
      <c r="R89" s="2968"/>
      <c r="S89" s="2969"/>
      <c r="Z89" s="1401">
        <v>89</v>
      </c>
    </row>
    <row r="90" spans="2:26" s="99" customFormat="1" ht="11.25" customHeight="1">
      <c r="E90" s="160" t="s">
        <v>201</v>
      </c>
      <c r="H90" s="808"/>
      <c r="I90" s="174"/>
      <c r="J90" s="174"/>
      <c r="K90" s="534" t="s">
        <v>202</v>
      </c>
      <c r="L90" s="3054"/>
      <c r="M90" s="3055"/>
      <c r="N90" s="174"/>
      <c r="O90" s="172" t="s">
        <v>45</v>
      </c>
      <c r="P90" s="174"/>
      <c r="Q90" s="2967"/>
      <c r="R90" s="2968"/>
      <c r="S90" s="2969"/>
      <c r="Z90" s="1401">
        <v>90</v>
      </c>
    </row>
    <row r="91" spans="2:26" s="99" customFormat="1" ht="11.25" customHeight="1">
      <c r="D91" s="173"/>
      <c r="E91" s="160" t="s">
        <v>204</v>
      </c>
      <c r="H91" s="3040"/>
      <c r="I91" s="3041"/>
      <c r="J91" s="2885"/>
      <c r="K91" s="175" t="s">
        <v>43</v>
      </c>
      <c r="L91" s="2976"/>
      <c r="M91" s="2977"/>
      <c r="N91" s="3043"/>
      <c r="O91" s="3043"/>
      <c r="P91" s="3043"/>
      <c r="Q91" s="2977"/>
      <c r="R91" s="2977"/>
      <c r="S91" s="3044"/>
      <c r="Z91" s="1401">
        <v>91</v>
      </c>
    </row>
    <row r="92" spans="2:26" ht="6.6" customHeight="1">
      <c r="H92" s="2886"/>
      <c r="I92" s="2886"/>
      <c r="J92" s="2886"/>
      <c r="K92" s="175"/>
      <c r="L92" s="2886"/>
      <c r="M92" s="2886"/>
      <c r="N92" s="181"/>
      <c r="O92" s="182"/>
      <c r="P92" s="182"/>
      <c r="Q92" s="175"/>
      <c r="R92" s="182"/>
      <c r="S92" s="182"/>
      <c r="Z92" s="1401">
        <v>92</v>
      </c>
    </row>
    <row r="93" spans="2:26" s="99" customFormat="1" ht="11.25" customHeight="1">
      <c r="B93" s="158" t="s">
        <v>227</v>
      </c>
      <c r="C93" s="158" t="s">
        <v>234</v>
      </c>
      <c r="F93" s="100"/>
      <c r="H93" s="2970"/>
      <c r="I93" s="3045"/>
      <c r="J93" s="3045"/>
      <c r="K93" s="3045"/>
      <c r="L93" s="3045"/>
      <c r="M93" s="3045"/>
      <c r="N93" s="3046"/>
      <c r="O93" s="172" t="s">
        <v>197</v>
      </c>
      <c r="P93" s="172"/>
      <c r="Q93" s="2970"/>
      <c r="R93" s="3045"/>
      <c r="S93" s="3046"/>
      <c r="Z93" s="1401">
        <v>93</v>
      </c>
    </row>
    <row r="94" spans="2:26" s="99" customFormat="1" ht="11.25" customHeight="1">
      <c r="D94" s="173"/>
      <c r="E94" s="160" t="s">
        <v>198</v>
      </c>
      <c r="F94" s="161"/>
      <c r="H94" s="3012"/>
      <c r="I94" s="3047"/>
      <c r="J94" s="3047"/>
      <c r="K94" s="3048"/>
      <c r="L94" s="3047"/>
      <c r="M94" s="3047"/>
      <c r="N94" s="3049"/>
      <c r="O94" s="172" t="s">
        <v>199</v>
      </c>
      <c r="P94" s="174"/>
      <c r="Q94" s="3050"/>
      <c r="R94" s="3051"/>
      <c r="S94" s="3052"/>
      <c r="Z94" s="1401">
        <v>94</v>
      </c>
    </row>
    <row r="95" spans="2:26" s="99" customFormat="1" ht="11.25" customHeight="1">
      <c r="D95" s="173"/>
      <c r="E95" s="160" t="s">
        <v>54</v>
      </c>
      <c r="H95" s="3012"/>
      <c r="I95" s="3048"/>
      <c r="J95" s="3053"/>
      <c r="K95" s="175" t="s">
        <v>213</v>
      </c>
      <c r="L95" s="3012"/>
      <c r="M95" s="3047"/>
      <c r="N95" s="3053"/>
      <c r="O95" s="172" t="s">
        <v>42</v>
      </c>
      <c r="P95" s="174"/>
      <c r="Q95" s="2967"/>
      <c r="R95" s="2968"/>
      <c r="S95" s="2969"/>
      <c r="Z95" s="1401">
        <v>95</v>
      </c>
    </row>
    <row r="96" spans="2:26" s="99" customFormat="1" ht="11.25" customHeight="1">
      <c r="D96" s="173"/>
      <c r="E96" s="160" t="s">
        <v>201</v>
      </c>
      <c r="H96" s="808"/>
      <c r="I96" s="174"/>
      <c r="J96" s="174"/>
      <c r="K96" s="534" t="s">
        <v>202</v>
      </c>
      <c r="L96" s="3054"/>
      <c r="M96" s="3055"/>
      <c r="N96" s="174"/>
      <c r="O96" s="172" t="s">
        <v>45</v>
      </c>
      <c r="P96" s="174"/>
      <c r="Q96" s="2967"/>
      <c r="R96" s="2968"/>
      <c r="S96" s="2969"/>
      <c r="Z96" s="1401">
        <v>96</v>
      </c>
    </row>
    <row r="97" spans="2:26" s="99" customFormat="1" ht="11.25" customHeight="1">
      <c r="D97" s="173"/>
      <c r="E97" s="160" t="s">
        <v>204</v>
      </c>
      <c r="H97" s="3040"/>
      <c r="I97" s="3041"/>
      <c r="J97" s="2885"/>
      <c r="K97" s="175" t="s">
        <v>43</v>
      </c>
      <c r="L97" s="2976"/>
      <c r="M97" s="2977"/>
      <c r="N97" s="3043"/>
      <c r="O97" s="3043"/>
      <c r="P97" s="3043"/>
      <c r="Q97" s="2977"/>
      <c r="R97" s="2977"/>
      <c r="S97" s="3044"/>
      <c r="Z97" s="1401">
        <v>97</v>
      </c>
    </row>
    <row r="98" spans="2:26" ht="6.6" customHeight="1">
      <c r="H98" s="2886"/>
      <c r="I98" s="2886"/>
      <c r="J98" s="2886"/>
      <c r="K98" s="175"/>
      <c r="L98" s="2886"/>
      <c r="M98" s="2886"/>
      <c r="N98" s="181"/>
      <c r="O98" s="182"/>
      <c r="P98" s="182"/>
      <c r="Q98" s="175"/>
      <c r="R98" s="182"/>
      <c r="S98" s="182"/>
      <c r="Z98" s="1401">
        <v>98</v>
      </c>
    </row>
    <row r="99" spans="2:26" s="99" customFormat="1" ht="11.25" customHeight="1">
      <c r="B99" s="158" t="s">
        <v>229</v>
      </c>
      <c r="C99" s="158" t="s">
        <v>235</v>
      </c>
      <c r="H99" s="2970"/>
      <c r="I99" s="3045"/>
      <c r="J99" s="3045"/>
      <c r="K99" s="3045"/>
      <c r="L99" s="3045"/>
      <c r="M99" s="3045"/>
      <c r="N99" s="3046"/>
      <c r="O99" s="172" t="s">
        <v>197</v>
      </c>
      <c r="P99" s="172"/>
      <c r="Q99" s="2970"/>
      <c r="R99" s="3045"/>
      <c r="S99" s="3046"/>
      <c r="Z99" s="1401">
        <v>99</v>
      </c>
    </row>
    <row r="100" spans="2:26" s="99" customFormat="1" ht="11.25" customHeight="1">
      <c r="D100" s="173"/>
      <c r="E100" s="160" t="s">
        <v>198</v>
      </c>
      <c r="F100" s="161"/>
      <c r="H100" s="3012"/>
      <c r="I100" s="3047"/>
      <c r="J100" s="3047"/>
      <c r="K100" s="3048"/>
      <c r="L100" s="3047"/>
      <c r="M100" s="3047"/>
      <c r="N100" s="3049"/>
      <c r="O100" s="172" t="s">
        <v>199</v>
      </c>
      <c r="P100" s="174"/>
      <c r="Q100" s="3050"/>
      <c r="R100" s="3051"/>
      <c r="S100" s="3052"/>
      <c r="Z100" s="1401">
        <v>100</v>
      </c>
    </row>
    <row r="101" spans="2:26" s="99" customFormat="1" ht="11.25" customHeight="1">
      <c r="D101" s="173"/>
      <c r="E101" s="160" t="s">
        <v>54</v>
      </c>
      <c r="H101" s="3012"/>
      <c r="I101" s="3048"/>
      <c r="J101" s="3053"/>
      <c r="K101" s="175" t="s">
        <v>213</v>
      </c>
      <c r="L101" s="3012"/>
      <c r="M101" s="3047"/>
      <c r="N101" s="3053"/>
      <c r="O101" s="172" t="s">
        <v>42</v>
      </c>
      <c r="P101" s="174"/>
      <c r="Q101" s="2967"/>
      <c r="R101" s="2968"/>
      <c r="S101" s="2969"/>
      <c r="Z101" s="1401">
        <v>101</v>
      </c>
    </row>
    <row r="102" spans="2:26" s="99" customFormat="1" ht="11.25" customHeight="1">
      <c r="D102" s="173"/>
      <c r="E102" s="160" t="s">
        <v>201</v>
      </c>
      <c r="H102" s="808"/>
      <c r="I102" s="174"/>
      <c r="J102" s="174"/>
      <c r="K102" s="534" t="s">
        <v>202</v>
      </c>
      <c r="L102" s="3054"/>
      <c r="M102" s="3055"/>
      <c r="N102" s="174"/>
      <c r="O102" s="172" t="s">
        <v>45</v>
      </c>
      <c r="P102" s="174"/>
      <c r="Q102" s="2967"/>
      <c r="R102" s="2968"/>
      <c r="S102" s="2969"/>
      <c r="Z102" s="1401">
        <v>102</v>
      </c>
    </row>
    <row r="103" spans="2:26" ht="11.25" customHeight="1">
      <c r="E103" s="160" t="s">
        <v>204</v>
      </c>
      <c r="F103" s="99"/>
      <c r="G103" s="99"/>
      <c r="H103" s="3040"/>
      <c r="I103" s="3041"/>
      <c r="J103" s="2885"/>
      <c r="K103" s="175" t="s">
        <v>43</v>
      </c>
      <c r="L103" s="2976"/>
      <c r="M103" s="2977"/>
      <c r="N103" s="3043"/>
      <c r="O103" s="3043"/>
      <c r="P103" s="3043"/>
      <c r="Q103" s="2977"/>
      <c r="R103" s="2977"/>
      <c r="S103" s="3044"/>
      <c r="Z103" s="1401">
        <v>103</v>
      </c>
    </row>
    <row r="104" spans="2:26" ht="6" customHeight="1">
      <c r="E104" s="160"/>
      <c r="F104" s="99"/>
      <c r="G104" s="99"/>
      <c r="H104" s="2886"/>
      <c r="I104" s="2886"/>
      <c r="J104" s="2886"/>
      <c r="K104" s="175"/>
      <c r="L104" s="2886"/>
      <c r="M104" s="2886"/>
      <c r="N104" s="181"/>
      <c r="O104" s="182"/>
      <c r="P104" s="182"/>
      <c r="Q104" s="175"/>
      <c r="R104" s="182"/>
      <c r="S104" s="182"/>
      <c r="Z104" s="1401">
        <v>104</v>
      </c>
    </row>
    <row r="105" spans="2:26" s="99" customFormat="1" ht="11.25" customHeight="1">
      <c r="B105" s="158" t="s">
        <v>236</v>
      </c>
      <c r="C105" s="158" t="s">
        <v>237</v>
      </c>
      <c r="H105" s="2970"/>
      <c r="I105" s="3045"/>
      <c r="J105" s="3045"/>
      <c r="K105" s="3045"/>
      <c r="L105" s="3045"/>
      <c r="M105" s="3045"/>
      <c r="N105" s="3046"/>
      <c r="O105" s="172" t="s">
        <v>197</v>
      </c>
      <c r="P105" s="172"/>
      <c r="Q105" s="2970"/>
      <c r="R105" s="3045"/>
      <c r="S105" s="3046"/>
      <c r="Z105" s="1401">
        <v>105</v>
      </c>
    </row>
    <row r="106" spans="2:26" s="99" customFormat="1" ht="11.25" customHeight="1">
      <c r="D106" s="173"/>
      <c r="E106" s="160" t="s">
        <v>198</v>
      </c>
      <c r="F106" s="161"/>
      <c r="H106" s="3012"/>
      <c r="I106" s="3047"/>
      <c r="J106" s="3047"/>
      <c r="K106" s="3048"/>
      <c r="L106" s="3047"/>
      <c r="M106" s="3047"/>
      <c r="N106" s="3049"/>
      <c r="O106" s="172" t="s">
        <v>199</v>
      </c>
      <c r="P106" s="174"/>
      <c r="Q106" s="3050"/>
      <c r="R106" s="3051"/>
      <c r="S106" s="3052"/>
      <c r="Z106" s="1401">
        <v>106</v>
      </c>
    </row>
    <row r="107" spans="2:26" s="99" customFormat="1" ht="11.25" customHeight="1">
      <c r="D107" s="173"/>
      <c r="E107" s="160" t="s">
        <v>54</v>
      </c>
      <c r="H107" s="3012"/>
      <c r="I107" s="3048"/>
      <c r="J107" s="3053"/>
      <c r="K107" s="175" t="s">
        <v>213</v>
      </c>
      <c r="L107" s="3012"/>
      <c r="M107" s="3047"/>
      <c r="N107" s="3053"/>
      <c r="O107" s="172" t="s">
        <v>42</v>
      </c>
      <c r="P107" s="174"/>
      <c r="Q107" s="2967"/>
      <c r="R107" s="2968"/>
      <c r="S107" s="2969"/>
      <c r="Z107" s="1401">
        <v>107</v>
      </c>
    </row>
    <row r="108" spans="2:26" s="99" customFormat="1" ht="11.25" customHeight="1">
      <c r="D108" s="173"/>
      <c r="E108" s="160" t="s">
        <v>201</v>
      </c>
      <c r="H108" s="808"/>
      <c r="I108" s="174"/>
      <c r="J108" s="174"/>
      <c r="K108" s="534" t="s">
        <v>202</v>
      </c>
      <c r="L108" s="3054"/>
      <c r="M108" s="3055"/>
      <c r="N108" s="174"/>
      <c r="O108" s="172" t="s">
        <v>45</v>
      </c>
      <c r="P108" s="174"/>
      <c r="Q108" s="2967"/>
      <c r="R108" s="2968"/>
      <c r="S108" s="2969"/>
      <c r="Z108" s="1401">
        <v>108</v>
      </c>
    </row>
    <row r="109" spans="2:26" ht="11.25" customHeight="1">
      <c r="E109" s="160" t="s">
        <v>204</v>
      </c>
      <c r="F109" s="99"/>
      <c r="G109" s="99"/>
      <c r="H109" s="3040"/>
      <c r="I109" s="3041"/>
      <c r="J109" s="2885"/>
      <c r="K109" s="175" t="s">
        <v>43</v>
      </c>
      <c r="L109" s="2976"/>
      <c r="M109" s="2977"/>
      <c r="N109" s="3043"/>
      <c r="O109" s="3043"/>
      <c r="P109" s="3043"/>
      <c r="Q109" s="2977"/>
      <c r="R109" s="2977"/>
      <c r="S109" s="3044"/>
      <c r="Z109" s="1401">
        <v>109</v>
      </c>
    </row>
    <row r="110" spans="2:26" ht="6.6" customHeight="1">
      <c r="E110" s="160"/>
      <c r="F110" s="99"/>
      <c r="G110" s="99"/>
      <c r="H110" s="2886"/>
      <c r="I110" s="2886"/>
      <c r="J110" s="2886"/>
      <c r="K110" s="175"/>
      <c r="L110" s="2886"/>
      <c r="M110" s="2886"/>
      <c r="N110" s="181"/>
      <c r="O110" s="182"/>
      <c r="P110" s="182"/>
      <c r="Q110" s="175"/>
      <c r="R110" s="182"/>
      <c r="S110" s="182"/>
      <c r="Z110" s="1401">
        <v>110</v>
      </c>
    </row>
    <row r="111" spans="2:26" s="99" customFormat="1" ht="11.25" customHeight="1">
      <c r="B111" s="158" t="s">
        <v>238</v>
      </c>
      <c r="C111" s="158" t="s">
        <v>239</v>
      </c>
      <c r="H111" s="2970"/>
      <c r="I111" s="3045"/>
      <c r="J111" s="3045"/>
      <c r="K111" s="3045"/>
      <c r="L111" s="3045"/>
      <c r="M111" s="3045"/>
      <c r="N111" s="3046"/>
      <c r="O111" s="172" t="s">
        <v>197</v>
      </c>
      <c r="P111" s="172"/>
      <c r="Q111" s="2970"/>
      <c r="R111" s="3045"/>
      <c r="S111" s="3046"/>
      <c r="Z111" s="1401">
        <v>111</v>
      </c>
    </row>
    <row r="112" spans="2:26" s="99" customFormat="1" ht="11.25" customHeight="1">
      <c r="D112" s="173"/>
      <c r="E112" s="160" t="s">
        <v>198</v>
      </c>
      <c r="F112" s="161"/>
      <c r="H112" s="3012"/>
      <c r="I112" s="3047"/>
      <c r="J112" s="3047"/>
      <c r="K112" s="3048"/>
      <c r="L112" s="3047"/>
      <c r="M112" s="3047"/>
      <c r="N112" s="3049"/>
      <c r="O112" s="172" t="s">
        <v>199</v>
      </c>
      <c r="P112" s="174"/>
      <c r="Q112" s="3050"/>
      <c r="R112" s="3051"/>
      <c r="S112" s="3052"/>
      <c r="Z112" s="1401">
        <v>112</v>
      </c>
    </row>
    <row r="113" spans="1:26" s="99" customFormat="1" ht="11.25" customHeight="1">
      <c r="D113" s="173"/>
      <c r="E113" s="160" t="s">
        <v>54</v>
      </c>
      <c r="H113" s="3012"/>
      <c r="I113" s="3048"/>
      <c r="J113" s="3053"/>
      <c r="K113" s="175" t="s">
        <v>213</v>
      </c>
      <c r="L113" s="3012"/>
      <c r="M113" s="3047"/>
      <c r="N113" s="3053"/>
      <c r="O113" s="172" t="s">
        <v>42</v>
      </c>
      <c r="P113" s="174"/>
      <c r="Q113" s="2967"/>
      <c r="R113" s="2968"/>
      <c r="S113" s="2969"/>
      <c r="Z113" s="1401">
        <v>113</v>
      </c>
    </row>
    <row r="114" spans="1:26" s="99" customFormat="1" ht="11.25" customHeight="1">
      <c r="D114" s="173"/>
      <c r="E114" s="160" t="s">
        <v>201</v>
      </c>
      <c r="H114" s="808"/>
      <c r="I114" s="174"/>
      <c r="J114" s="174"/>
      <c r="K114" s="534" t="s">
        <v>202</v>
      </c>
      <c r="L114" s="3054"/>
      <c r="M114" s="3055"/>
      <c r="N114" s="174"/>
      <c r="O114" s="172" t="s">
        <v>45</v>
      </c>
      <c r="P114" s="174"/>
      <c r="Q114" s="2967"/>
      <c r="R114" s="2968"/>
      <c r="S114" s="2969"/>
      <c r="Z114" s="1401">
        <v>114</v>
      </c>
    </row>
    <row r="115" spans="1:26" s="99" customFormat="1" ht="11.25" customHeight="1">
      <c r="D115" s="173"/>
      <c r="E115" s="160" t="s">
        <v>204</v>
      </c>
      <c r="H115" s="3040"/>
      <c r="I115" s="3041"/>
      <c r="J115" s="2885"/>
      <c r="K115" s="175" t="s">
        <v>43</v>
      </c>
      <c r="L115" s="2976"/>
      <c r="M115" s="2977"/>
      <c r="N115" s="3043"/>
      <c r="O115" s="3043"/>
      <c r="P115" s="3043"/>
      <c r="Q115" s="2977"/>
      <c r="R115" s="2977"/>
      <c r="S115" s="3044"/>
      <c r="Z115" s="1401">
        <v>115</v>
      </c>
    </row>
    <row r="116" spans="1:26" ht="3" customHeight="1">
      <c r="H116" s="183"/>
      <c r="I116" s="183"/>
      <c r="J116" s="183"/>
      <c r="K116" s="183"/>
      <c r="L116" s="183"/>
      <c r="M116" s="183"/>
      <c r="N116" s="183"/>
      <c r="O116" s="183"/>
      <c r="P116" s="183"/>
      <c r="Q116" s="183"/>
      <c r="R116" s="183"/>
      <c r="S116" s="183"/>
      <c r="Z116" s="1401">
        <v>116</v>
      </c>
    </row>
    <row r="117" spans="1:26" s="99" customFormat="1" ht="12" customHeight="1">
      <c r="A117" s="158" t="s">
        <v>50</v>
      </c>
      <c r="B117" s="158" t="s">
        <v>240</v>
      </c>
      <c r="F117" s="158"/>
      <c r="G117" s="162"/>
      <c r="H117" s="175"/>
      <c r="I117" s="175"/>
      <c r="J117" s="175"/>
      <c r="K117" s="175"/>
      <c r="L117" s="175"/>
      <c r="M117" s="175"/>
      <c r="N117" s="175"/>
      <c r="O117" s="175"/>
      <c r="P117" s="175"/>
      <c r="Q117" s="175"/>
      <c r="R117" s="174"/>
      <c r="S117" s="174"/>
      <c r="Z117" s="1401">
        <v>117</v>
      </c>
    </row>
    <row r="118" spans="1:26" s="99" customFormat="1" ht="12" customHeight="1">
      <c r="A118" s="158"/>
      <c r="B118" s="158" t="s">
        <v>194</v>
      </c>
      <c r="C118" s="158" t="s">
        <v>241</v>
      </c>
      <c r="F118" s="158"/>
      <c r="G118" s="162"/>
      <c r="H118" s="175"/>
      <c r="I118" s="175"/>
      <c r="J118" s="175"/>
      <c r="K118" s="175"/>
      <c r="L118" s="175"/>
      <c r="M118" s="175"/>
      <c r="N118" s="175"/>
      <c r="O118" s="175"/>
      <c r="P118" s="175"/>
      <c r="Q118" s="175"/>
      <c r="R118" s="174"/>
      <c r="S118" s="174"/>
      <c r="Z118" s="1401">
        <v>118</v>
      </c>
    </row>
    <row r="119" spans="1:26" ht="2.25" customHeight="1">
      <c r="H119" s="183"/>
      <c r="I119" s="183"/>
      <c r="J119" s="183"/>
      <c r="K119" s="183"/>
      <c r="L119" s="183"/>
      <c r="M119" s="183"/>
      <c r="N119" s="183"/>
      <c r="O119" s="183"/>
      <c r="P119" s="183"/>
      <c r="Q119" s="183"/>
      <c r="R119" s="183"/>
      <c r="S119" s="183"/>
      <c r="Z119" s="1401">
        <v>119</v>
      </c>
    </row>
    <row r="120" spans="1:26" s="99" customFormat="1" ht="11.25" customHeight="1">
      <c r="C120" s="1378" t="s">
        <v>209</v>
      </c>
      <c r="D120" s="158" t="s">
        <v>242</v>
      </c>
      <c r="H120" s="2970"/>
      <c r="I120" s="2971"/>
      <c r="J120" s="2972"/>
      <c r="K120" s="175" t="s">
        <v>36</v>
      </c>
      <c r="L120" s="2970"/>
      <c r="M120" s="3045"/>
      <c r="N120" s="3046"/>
      <c r="O120" s="172" t="s">
        <v>243</v>
      </c>
      <c r="P120" s="174"/>
      <c r="Q120" s="3063"/>
      <c r="R120" s="3064"/>
      <c r="S120" s="3065"/>
      <c r="Z120" s="1401">
        <v>120</v>
      </c>
    </row>
    <row r="121" spans="1:26" s="99" customFormat="1" ht="11.25" customHeight="1">
      <c r="C121" s="158"/>
      <c r="D121" s="173"/>
      <c r="E121" s="160" t="s">
        <v>244</v>
      </c>
      <c r="F121" s="161"/>
      <c r="H121" s="3066"/>
      <c r="I121" s="3067"/>
      <c r="J121" s="3068"/>
      <c r="K121" s="3069"/>
      <c r="L121" s="3067"/>
      <c r="M121" s="3067"/>
      <c r="N121" s="3070"/>
      <c r="O121" s="172" t="s">
        <v>54</v>
      </c>
      <c r="P121" s="174"/>
      <c r="Q121" s="3071"/>
      <c r="R121" s="3072"/>
      <c r="S121" s="3073"/>
      <c r="Z121" s="1401">
        <v>121</v>
      </c>
    </row>
    <row r="122" spans="1:26" s="99" customFormat="1" ht="11.25" customHeight="1">
      <c r="C122" s="158"/>
      <c r="D122" s="173"/>
      <c r="E122" s="160" t="s">
        <v>201</v>
      </c>
      <c r="H122" s="1020"/>
      <c r="I122" s="534" t="s">
        <v>202</v>
      </c>
      <c r="J122" s="3074"/>
      <c r="K122" s="3053"/>
      <c r="L122" s="175" t="s">
        <v>43</v>
      </c>
      <c r="M122" s="3042"/>
      <c r="N122" s="3043"/>
      <c r="O122" s="3043"/>
      <c r="P122" s="3043"/>
      <c r="Q122" s="2977"/>
      <c r="R122" s="2977"/>
      <c r="S122" s="3044"/>
      <c r="Z122" s="1401">
        <v>122</v>
      </c>
    </row>
    <row r="123" spans="1:26" ht="2.25" customHeight="1">
      <c r="C123" s="167"/>
      <c r="H123" s="183"/>
      <c r="I123" s="183"/>
      <c r="J123" s="183"/>
      <c r="K123" s="183"/>
      <c r="L123" s="183"/>
      <c r="M123" s="183"/>
      <c r="N123" s="183"/>
      <c r="O123" s="183"/>
      <c r="P123" s="183"/>
      <c r="Q123" s="183"/>
      <c r="R123" s="183"/>
      <c r="S123" s="183"/>
      <c r="Z123" s="1401">
        <v>123</v>
      </c>
    </row>
    <row r="124" spans="1:26" s="99" customFormat="1" ht="11.25" hidden="1" customHeight="1">
      <c r="C124" s="1378"/>
      <c r="D124" s="99" t="s">
        <v>245</v>
      </c>
      <c r="H124" s="2970"/>
      <c r="I124" s="2971"/>
      <c r="J124" s="2972"/>
      <c r="K124" s="175" t="s">
        <v>36</v>
      </c>
      <c r="L124" s="2970"/>
      <c r="M124" s="3045"/>
      <c r="N124" s="3046"/>
      <c r="O124" s="172" t="s">
        <v>243</v>
      </c>
      <c r="P124" s="174"/>
      <c r="Q124" s="3063"/>
      <c r="R124" s="3064"/>
      <c r="S124" s="3065"/>
      <c r="Z124" s="1401">
        <v>124</v>
      </c>
    </row>
    <row r="125" spans="1:26" s="99" customFormat="1" ht="11.25" hidden="1" customHeight="1">
      <c r="C125" s="158"/>
      <c r="D125" s="173"/>
      <c r="E125" s="160" t="s">
        <v>244</v>
      </c>
      <c r="F125" s="161"/>
      <c r="H125" s="3066"/>
      <c r="I125" s="3067"/>
      <c r="J125" s="3068"/>
      <c r="K125" s="3069"/>
      <c r="L125" s="3067"/>
      <c r="M125" s="3067"/>
      <c r="N125" s="3070"/>
      <c r="O125" s="172" t="s">
        <v>54</v>
      </c>
      <c r="P125" s="174"/>
      <c r="Q125" s="3071"/>
      <c r="R125" s="3072"/>
      <c r="S125" s="3073"/>
      <c r="Z125" s="1401">
        <v>125</v>
      </c>
    </row>
    <row r="126" spans="1:26" s="99" customFormat="1" ht="11.25" hidden="1" customHeight="1">
      <c r="C126" s="158"/>
      <c r="D126" s="173"/>
      <c r="E126" s="160" t="s">
        <v>201</v>
      </c>
      <c r="H126" s="1020"/>
      <c r="I126" s="534" t="s">
        <v>202</v>
      </c>
      <c r="J126" s="3074"/>
      <c r="K126" s="3053"/>
      <c r="L126" s="175" t="s">
        <v>43</v>
      </c>
      <c r="M126" s="3042"/>
      <c r="N126" s="3043"/>
      <c r="O126" s="3043"/>
      <c r="P126" s="3043"/>
      <c r="Q126" s="2977"/>
      <c r="R126" s="2977"/>
      <c r="S126" s="3044"/>
      <c r="Z126" s="1401">
        <v>126</v>
      </c>
    </row>
    <row r="127" spans="1:26" ht="2.25" hidden="1" customHeight="1">
      <c r="C127" s="167"/>
      <c r="H127" s="183"/>
      <c r="I127" s="183"/>
      <c r="J127" s="183"/>
      <c r="K127" s="183"/>
      <c r="L127" s="183"/>
      <c r="M127" s="183"/>
      <c r="N127" s="183"/>
      <c r="O127" s="183"/>
      <c r="P127" s="183"/>
      <c r="Q127" s="183"/>
      <c r="R127" s="183"/>
      <c r="S127" s="183"/>
      <c r="Z127" s="1401">
        <v>127</v>
      </c>
    </row>
    <row r="128" spans="1:26" s="99" customFormat="1" ht="11.25" hidden="1" customHeight="1">
      <c r="C128" s="1378"/>
      <c r="D128" s="99" t="s">
        <v>246</v>
      </c>
      <c r="H128" s="2970"/>
      <c r="I128" s="2971"/>
      <c r="J128" s="2972"/>
      <c r="K128" s="175" t="s">
        <v>36</v>
      </c>
      <c r="L128" s="2970"/>
      <c r="M128" s="3045"/>
      <c r="N128" s="3046"/>
      <c r="O128" s="172" t="s">
        <v>243</v>
      </c>
      <c r="P128" s="174"/>
      <c r="Q128" s="3063"/>
      <c r="R128" s="3064"/>
      <c r="S128" s="3065"/>
      <c r="Z128" s="1401">
        <v>128</v>
      </c>
    </row>
    <row r="129" spans="3:26" s="99" customFormat="1" ht="11.25" hidden="1" customHeight="1">
      <c r="C129" s="158"/>
      <c r="D129" s="173"/>
      <c r="E129" s="160" t="s">
        <v>244</v>
      </c>
      <c r="F129" s="161"/>
      <c r="H129" s="3066"/>
      <c r="I129" s="3067"/>
      <c r="J129" s="3068"/>
      <c r="K129" s="3069"/>
      <c r="L129" s="3067"/>
      <c r="M129" s="3067"/>
      <c r="N129" s="3070"/>
      <c r="O129" s="172" t="s">
        <v>54</v>
      </c>
      <c r="P129" s="174"/>
      <c r="Q129" s="3071"/>
      <c r="R129" s="3072"/>
      <c r="S129" s="3073"/>
      <c r="Z129" s="1401">
        <v>129</v>
      </c>
    </row>
    <row r="130" spans="3:26" s="99" customFormat="1" ht="11.25" hidden="1" customHeight="1">
      <c r="C130" s="158"/>
      <c r="D130" s="173"/>
      <c r="E130" s="160" t="s">
        <v>201</v>
      </c>
      <c r="H130" s="1020"/>
      <c r="I130" s="534" t="s">
        <v>202</v>
      </c>
      <c r="J130" s="3074"/>
      <c r="K130" s="3053"/>
      <c r="L130" s="175" t="s">
        <v>43</v>
      </c>
      <c r="M130" s="3042"/>
      <c r="N130" s="3043"/>
      <c r="O130" s="3043"/>
      <c r="P130" s="3043"/>
      <c r="Q130" s="2977"/>
      <c r="R130" s="2977"/>
      <c r="S130" s="3044"/>
      <c r="Z130" s="1401">
        <v>130</v>
      </c>
    </row>
    <row r="131" spans="3:26" ht="2.25" hidden="1" customHeight="1">
      <c r="C131" s="167"/>
      <c r="H131" s="183"/>
      <c r="I131" s="183"/>
      <c r="J131" s="183"/>
      <c r="K131" s="183"/>
      <c r="L131" s="183"/>
      <c r="M131" s="183"/>
      <c r="N131" s="183"/>
      <c r="O131" s="183"/>
      <c r="P131" s="183"/>
      <c r="Q131" s="183"/>
      <c r="R131" s="183"/>
      <c r="S131" s="183"/>
      <c r="Z131" s="1401">
        <v>131</v>
      </c>
    </row>
    <row r="132" spans="3:26" s="99" customFormat="1" ht="11.25" hidden="1" customHeight="1">
      <c r="C132" s="1378"/>
      <c r="D132" s="99" t="s">
        <v>247</v>
      </c>
      <c r="H132" s="2970"/>
      <c r="I132" s="2971"/>
      <c r="J132" s="2972"/>
      <c r="K132" s="175" t="s">
        <v>36</v>
      </c>
      <c r="L132" s="2970"/>
      <c r="M132" s="3045"/>
      <c r="N132" s="3046"/>
      <c r="O132" s="172" t="s">
        <v>243</v>
      </c>
      <c r="P132" s="174"/>
      <c r="Q132" s="3063"/>
      <c r="R132" s="3064"/>
      <c r="S132" s="3065"/>
      <c r="Z132" s="1401">
        <v>132</v>
      </c>
    </row>
    <row r="133" spans="3:26" s="99" customFormat="1" ht="11.25" hidden="1" customHeight="1">
      <c r="C133" s="158"/>
      <c r="D133" s="173"/>
      <c r="E133" s="160" t="s">
        <v>244</v>
      </c>
      <c r="F133" s="161"/>
      <c r="H133" s="3066"/>
      <c r="I133" s="3067"/>
      <c r="J133" s="3068"/>
      <c r="K133" s="3069"/>
      <c r="L133" s="3067"/>
      <c r="M133" s="3067"/>
      <c r="N133" s="3070"/>
      <c r="O133" s="172" t="s">
        <v>54</v>
      </c>
      <c r="P133" s="174"/>
      <c r="Q133" s="3071"/>
      <c r="R133" s="3072"/>
      <c r="S133" s="3073"/>
      <c r="Z133" s="1401">
        <v>133</v>
      </c>
    </row>
    <row r="134" spans="3:26" s="99" customFormat="1" ht="11.25" hidden="1" customHeight="1">
      <c r="C134" s="158"/>
      <c r="D134" s="173"/>
      <c r="E134" s="160" t="s">
        <v>201</v>
      </c>
      <c r="H134" s="1020"/>
      <c r="I134" s="534" t="s">
        <v>202</v>
      </c>
      <c r="J134" s="3074"/>
      <c r="K134" s="3053"/>
      <c r="L134" s="175" t="s">
        <v>43</v>
      </c>
      <c r="M134" s="3042"/>
      <c r="N134" s="3043"/>
      <c r="O134" s="3043"/>
      <c r="P134" s="3043"/>
      <c r="Q134" s="2977"/>
      <c r="R134" s="2977"/>
      <c r="S134" s="3044"/>
      <c r="Z134" s="1401">
        <v>134</v>
      </c>
    </row>
    <row r="135" spans="3:26" ht="2.25" hidden="1" customHeight="1">
      <c r="C135" s="167"/>
      <c r="H135" s="183"/>
      <c r="I135" s="183"/>
      <c r="J135" s="183"/>
      <c r="K135" s="183"/>
      <c r="L135" s="183"/>
      <c r="M135" s="183"/>
      <c r="N135" s="183"/>
      <c r="O135" s="183"/>
      <c r="P135" s="183"/>
      <c r="Q135" s="183"/>
      <c r="R135" s="183"/>
      <c r="S135" s="183"/>
      <c r="Z135" s="1401">
        <v>135</v>
      </c>
    </row>
    <row r="136" spans="3:26" s="99" customFormat="1" ht="11.25" hidden="1" customHeight="1">
      <c r="C136" s="1378"/>
      <c r="D136" s="99" t="s">
        <v>248</v>
      </c>
      <c r="H136" s="2970"/>
      <c r="I136" s="2971"/>
      <c r="J136" s="2972"/>
      <c r="K136" s="175" t="s">
        <v>36</v>
      </c>
      <c r="L136" s="2970"/>
      <c r="M136" s="3045"/>
      <c r="N136" s="3046"/>
      <c r="O136" s="172" t="s">
        <v>243</v>
      </c>
      <c r="P136" s="174"/>
      <c r="Q136" s="3063"/>
      <c r="R136" s="3064"/>
      <c r="S136" s="3065"/>
      <c r="Z136" s="1401">
        <v>136</v>
      </c>
    </row>
    <row r="137" spans="3:26" s="99" customFormat="1" ht="11.25" hidden="1" customHeight="1">
      <c r="C137" s="158"/>
      <c r="D137" s="173"/>
      <c r="E137" s="160" t="s">
        <v>244</v>
      </c>
      <c r="F137" s="161"/>
      <c r="H137" s="3066"/>
      <c r="I137" s="3067"/>
      <c r="J137" s="3068"/>
      <c r="K137" s="3069"/>
      <c r="L137" s="3067"/>
      <c r="M137" s="3067"/>
      <c r="N137" s="3070"/>
      <c r="O137" s="172" t="s">
        <v>54</v>
      </c>
      <c r="P137" s="174"/>
      <c r="Q137" s="3071"/>
      <c r="R137" s="3072"/>
      <c r="S137" s="3073"/>
      <c r="Z137" s="1401">
        <v>137</v>
      </c>
    </row>
    <row r="138" spans="3:26" s="99" customFormat="1" ht="11.25" hidden="1" customHeight="1">
      <c r="C138" s="158"/>
      <c r="D138" s="173"/>
      <c r="E138" s="160" t="s">
        <v>201</v>
      </c>
      <c r="H138" s="1020"/>
      <c r="I138" s="534" t="s">
        <v>202</v>
      </c>
      <c r="J138" s="3074"/>
      <c r="K138" s="3053"/>
      <c r="L138" s="175" t="s">
        <v>43</v>
      </c>
      <c r="M138" s="3042"/>
      <c r="N138" s="3043"/>
      <c r="O138" s="3043"/>
      <c r="P138" s="3043"/>
      <c r="Q138" s="2977"/>
      <c r="R138" s="2977"/>
      <c r="S138" s="3044"/>
      <c r="Z138" s="1401">
        <v>138</v>
      </c>
    </row>
    <row r="139" spans="3:26" ht="2.25" hidden="1" customHeight="1">
      <c r="C139" s="167"/>
      <c r="H139" s="183"/>
      <c r="I139" s="183"/>
      <c r="J139" s="183"/>
      <c r="K139" s="183"/>
      <c r="L139" s="183"/>
      <c r="M139" s="183"/>
      <c r="N139" s="183"/>
      <c r="O139" s="183"/>
      <c r="P139" s="183"/>
      <c r="Q139" s="183"/>
      <c r="R139" s="183"/>
      <c r="S139" s="183"/>
      <c r="Z139" s="1401">
        <v>139</v>
      </c>
    </row>
    <row r="140" spans="3:26" s="99" customFormat="1" ht="11.25" hidden="1" customHeight="1">
      <c r="C140" s="1378"/>
      <c r="D140" s="99" t="s">
        <v>249</v>
      </c>
      <c r="H140" s="2970"/>
      <c r="I140" s="2971"/>
      <c r="J140" s="2972"/>
      <c r="K140" s="175" t="s">
        <v>36</v>
      </c>
      <c r="L140" s="2970"/>
      <c r="M140" s="3045"/>
      <c r="N140" s="3046"/>
      <c r="O140" s="172" t="s">
        <v>243</v>
      </c>
      <c r="P140" s="174"/>
      <c r="Q140" s="3063"/>
      <c r="R140" s="3064"/>
      <c r="S140" s="3065"/>
      <c r="Z140" s="1401">
        <v>140</v>
      </c>
    </row>
    <row r="141" spans="3:26" s="99" customFormat="1" ht="11.25" hidden="1" customHeight="1">
      <c r="C141" s="158"/>
      <c r="D141" s="173"/>
      <c r="E141" s="160" t="s">
        <v>244</v>
      </c>
      <c r="F141" s="161"/>
      <c r="H141" s="3066"/>
      <c r="I141" s="3067"/>
      <c r="J141" s="3068"/>
      <c r="K141" s="3069"/>
      <c r="L141" s="3067"/>
      <c r="M141" s="3067"/>
      <c r="N141" s="3070"/>
      <c r="O141" s="172" t="s">
        <v>54</v>
      </c>
      <c r="P141" s="174"/>
      <c r="Q141" s="3071"/>
      <c r="R141" s="3072"/>
      <c r="S141" s="3073"/>
      <c r="Z141" s="1401">
        <v>141</v>
      </c>
    </row>
    <row r="142" spans="3:26" s="99" customFormat="1" ht="11.25" hidden="1" customHeight="1">
      <c r="C142" s="158"/>
      <c r="D142" s="173"/>
      <c r="E142" s="160" t="s">
        <v>201</v>
      </c>
      <c r="H142" s="1020"/>
      <c r="I142" s="534" t="s">
        <v>202</v>
      </c>
      <c r="J142" s="3074"/>
      <c r="K142" s="3053"/>
      <c r="L142" s="175" t="s">
        <v>43</v>
      </c>
      <c r="M142" s="3042"/>
      <c r="N142" s="3043"/>
      <c r="O142" s="3043"/>
      <c r="P142" s="3043"/>
      <c r="Q142" s="2977"/>
      <c r="R142" s="2977"/>
      <c r="S142" s="3044"/>
      <c r="Z142" s="1401">
        <v>142</v>
      </c>
    </row>
    <row r="143" spans="3:26" ht="2.25" hidden="1" customHeight="1">
      <c r="C143" s="167"/>
      <c r="H143" s="183"/>
      <c r="I143" s="183"/>
      <c r="J143" s="183"/>
      <c r="K143" s="183"/>
      <c r="L143" s="183"/>
      <c r="M143" s="183"/>
      <c r="N143" s="183"/>
      <c r="O143" s="183"/>
      <c r="P143" s="183"/>
      <c r="Q143" s="183"/>
      <c r="R143" s="183"/>
      <c r="S143" s="183"/>
      <c r="Z143" s="1401">
        <v>143</v>
      </c>
    </row>
    <row r="144" spans="3:26" s="99" customFormat="1" ht="11.25" customHeight="1">
      <c r="C144" s="1378" t="s">
        <v>217</v>
      </c>
      <c r="D144" s="99" t="s">
        <v>250</v>
      </c>
      <c r="H144" s="2970"/>
      <c r="I144" s="2971"/>
      <c r="J144" s="2972"/>
      <c r="K144" s="175" t="s">
        <v>36</v>
      </c>
      <c r="L144" s="2970"/>
      <c r="M144" s="3045"/>
      <c r="N144" s="3046"/>
      <c r="O144" s="172" t="s">
        <v>243</v>
      </c>
      <c r="P144" s="174"/>
      <c r="Q144" s="3063"/>
      <c r="R144" s="3064"/>
      <c r="S144" s="3065"/>
      <c r="Z144" s="1401">
        <v>144</v>
      </c>
    </row>
    <row r="145" spans="1:26" s="99" customFormat="1" ht="11.25" customHeight="1">
      <c r="C145" s="158"/>
      <c r="D145" s="173"/>
      <c r="E145" s="160" t="s">
        <v>244</v>
      </c>
      <c r="F145" s="161"/>
      <c r="H145" s="3066"/>
      <c r="I145" s="3067"/>
      <c r="J145" s="3068"/>
      <c r="K145" s="3069"/>
      <c r="L145" s="3067"/>
      <c r="M145" s="3067"/>
      <c r="N145" s="3070"/>
      <c r="O145" s="172" t="s">
        <v>54</v>
      </c>
      <c r="P145" s="174"/>
      <c r="Q145" s="3071"/>
      <c r="R145" s="3072"/>
      <c r="S145" s="3073"/>
      <c r="Z145" s="1401">
        <v>145</v>
      </c>
    </row>
    <row r="146" spans="1:26" s="99" customFormat="1" ht="11.25" customHeight="1">
      <c r="C146" s="158"/>
      <c r="D146" s="173"/>
      <c r="E146" s="160" t="s">
        <v>201</v>
      </c>
      <c r="H146" s="1020"/>
      <c r="I146" s="534" t="s">
        <v>202</v>
      </c>
      <c r="J146" s="3074"/>
      <c r="K146" s="3053"/>
      <c r="L146" s="175" t="s">
        <v>43</v>
      </c>
      <c r="M146" s="3042"/>
      <c r="N146" s="3043"/>
      <c r="O146" s="3043"/>
      <c r="P146" s="3043"/>
      <c r="Q146" s="2977"/>
      <c r="R146" s="2977"/>
      <c r="S146" s="3044"/>
      <c r="Z146" s="1401">
        <v>146</v>
      </c>
    </row>
    <row r="147" spans="1:26" ht="2.25" customHeight="1">
      <c r="C147" s="167"/>
      <c r="H147" s="183"/>
      <c r="I147" s="183"/>
      <c r="J147" s="183"/>
      <c r="K147" s="183"/>
      <c r="L147" s="183"/>
      <c r="M147" s="183"/>
      <c r="N147" s="183"/>
      <c r="O147" s="183"/>
      <c r="P147" s="183"/>
      <c r="Q147" s="183"/>
      <c r="R147" s="183"/>
      <c r="S147" s="183"/>
      <c r="Z147" s="1401">
        <v>147</v>
      </c>
    </row>
    <row r="148" spans="1:26" s="99" customFormat="1" ht="11.25" customHeight="1">
      <c r="C148" s="1378" t="s">
        <v>221</v>
      </c>
      <c r="D148" s="99" t="s">
        <v>251</v>
      </c>
      <c r="H148" s="2970"/>
      <c r="I148" s="2971"/>
      <c r="J148" s="2972"/>
      <c r="K148" s="175" t="s">
        <v>36</v>
      </c>
      <c r="L148" s="2970"/>
      <c r="M148" s="3045"/>
      <c r="N148" s="3046"/>
      <c r="O148" s="172" t="s">
        <v>243</v>
      </c>
      <c r="P148" s="174"/>
      <c r="Q148" s="3063"/>
      <c r="R148" s="3064"/>
      <c r="S148" s="3065"/>
      <c r="Z148" s="1401">
        <v>148</v>
      </c>
    </row>
    <row r="149" spans="1:26" s="99" customFormat="1" ht="11.25" customHeight="1">
      <c r="D149" s="173"/>
      <c r="E149" s="160" t="s">
        <v>244</v>
      </c>
      <c r="F149" s="161"/>
      <c r="H149" s="3066"/>
      <c r="I149" s="3067"/>
      <c r="J149" s="3068"/>
      <c r="K149" s="3069"/>
      <c r="L149" s="3067"/>
      <c r="M149" s="3067"/>
      <c r="N149" s="3070"/>
      <c r="O149" s="172" t="s">
        <v>54</v>
      </c>
      <c r="P149" s="174"/>
      <c r="Q149" s="3071"/>
      <c r="R149" s="3072"/>
      <c r="S149" s="3073"/>
      <c r="Z149" s="1401">
        <v>149</v>
      </c>
    </row>
    <row r="150" spans="1:26" s="99" customFormat="1" ht="11.25" customHeight="1">
      <c r="D150" s="173"/>
      <c r="E150" s="160" t="s">
        <v>201</v>
      </c>
      <c r="H150" s="1020"/>
      <c r="I150" s="534" t="s">
        <v>202</v>
      </c>
      <c r="J150" s="3074"/>
      <c r="K150" s="3053"/>
      <c r="L150" s="175" t="s">
        <v>43</v>
      </c>
      <c r="M150" s="3042"/>
      <c r="N150" s="3043"/>
      <c r="O150" s="3043"/>
      <c r="P150" s="3043"/>
      <c r="Q150" s="2977"/>
      <c r="R150" s="2977"/>
      <c r="S150" s="3044"/>
      <c r="Z150" s="1401">
        <v>150</v>
      </c>
    </row>
    <row r="151" spans="1:26" ht="6" customHeight="1">
      <c r="H151" s="183"/>
      <c r="I151" s="183"/>
      <c r="J151" s="183"/>
      <c r="K151" s="183"/>
      <c r="L151" s="183"/>
      <c r="M151" s="183"/>
      <c r="N151" s="183"/>
      <c r="O151" s="183"/>
      <c r="P151" s="183"/>
      <c r="Q151" s="183"/>
      <c r="R151" s="183"/>
      <c r="S151" s="183"/>
      <c r="Z151" s="1401">
        <v>151</v>
      </c>
    </row>
    <row r="152" spans="1:26" ht="12" customHeight="1">
      <c r="B152" s="158" t="s">
        <v>206</v>
      </c>
      <c r="C152" s="158" t="s">
        <v>252</v>
      </c>
      <c r="H152" s="358"/>
      <c r="I152" s="358"/>
      <c r="J152" s="358"/>
      <c r="K152" s="358"/>
      <c r="L152" s="358"/>
      <c r="M152" s="358"/>
      <c r="N152" s="358"/>
      <c r="O152" s="358"/>
      <c r="P152" s="358"/>
      <c r="Q152" s="358"/>
      <c r="R152" s="358"/>
      <c r="S152" s="358"/>
      <c r="Z152" s="1401">
        <v>152</v>
      </c>
    </row>
    <row r="153" spans="1:26" ht="13.5" thickBot="1">
      <c r="A153" s="3128" t="s">
        <v>253</v>
      </c>
      <c r="B153" s="3128"/>
      <c r="C153" s="3128"/>
      <c r="D153" s="3128"/>
      <c r="E153" s="3128"/>
      <c r="H153" s="2887" t="s">
        <v>254</v>
      </c>
      <c r="I153" s="3122" t="s">
        <v>255</v>
      </c>
      <c r="J153" s="3123"/>
      <c r="K153" s="3123"/>
      <c r="L153" s="3123"/>
      <c r="M153" s="3123"/>
      <c r="N153" s="3123"/>
      <c r="O153" s="3123"/>
      <c r="P153" s="3123"/>
      <c r="Q153" s="3123"/>
      <c r="R153" s="3123"/>
      <c r="S153" s="3124"/>
      <c r="Z153" s="1401">
        <v>153</v>
      </c>
    </row>
    <row r="154" spans="1:26" s="99" customFormat="1" ht="15" customHeight="1" thickBot="1">
      <c r="B154" s="355" t="s">
        <v>209</v>
      </c>
      <c r="C154" s="169" t="s">
        <v>256</v>
      </c>
      <c r="E154" s="169"/>
      <c r="H154" s="983" t="s">
        <v>257</v>
      </c>
      <c r="I154" s="3033"/>
      <c r="J154" s="3034"/>
      <c r="K154" s="3034"/>
      <c r="L154" s="3034"/>
      <c r="M154" s="3034"/>
      <c r="N154" s="3034"/>
      <c r="O154" s="3034"/>
      <c r="P154" s="3034"/>
      <c r="Q154" s="3034"/>
      <c r="R154" s="3034"/>
      <c r="S154" s="3035"/>
      <c r="U154" s="2964" t="s">
        <v>258</v>
      </c>
      <c r="V154" s="2964"/>
      <c r="Z154" s="1401">
        <v>154</v>
      </c>
    </row>
    <row r="155" spans="1:26" s="99" customFormat="1" ht="15" customHeight="1" thickBot="1">
      <c r="B155" s="355" t="s">
        <v>217</v>
      </c>
      <c r="C155" s="169" t="s">
        <v>259</v>
      </c>
      <c r="E155" s="169"/>
      <c r="H155" s="983" t="s">
        <v>257</v>
      </c>
      <c r="I155" s="3030"/>
      <c r="J155" s="3031"/>
      <c r="K155" s="3031"/>
      <c r="L155" s="3031"/>
      <c r="M155" s="3031"/>
      <c r="N155" s="3031"/>
      <c r="O155" s="3031"/>
      <c r="P155" s="3031"/>
      <c r="Q155" s="3031"/>
      <c r="R155" s="3031"/>
      <c r="S155" s="3032"/>
      <c r="U155" s="2964"/>
      <c r="V155" s="2964"/>
      <c r="Z155" s="1401">
        <v>155</v>
      </c>
    </row>
    <row r="156" spans="1:26" s="99" customFormat="1" ht="15" customHeight="1" thickBot="1">
      <c r="B156" s="355" t="s">
        <v>221</v>
      </c>
      <c r="C156" s="169" t="s">
        <v>260</v>
      </c>
      <c r="E156" s="169"/>
      <c r="H156" s="983" t="s">
        <v>257</v>
      </c>
      <c r="I156" s="3030"/>
      <c r="J156" s="3031"/>
      <c r="K156" s="3031"/>
      <c r="L156" s="3031"/>
      <c r="M156" s="3031"/>
      <c r="N156" s="3031"/>
      <c r="O156" s="3031"/>
      <c r="P156" s="3031"/>
      <c r="Q156" s="3031"/>
      <c r="R156" s="3031"/>
      <c r="S156" s="3032"/>
      <c r="U156" s="2964"/>
      <c r="V156" s="2964"/>
      <c r="Z156" s="1401">
        <v>156</v>
      </c>
    </row>
    <row r="157" spans="1:26" s="99" customFormat="1" ht="15" customHeight="1" thickBot="1">
      <c r="B157" s="355" t="s">
        <v>261</v>
      </c>
      <c r="C157" s="169" t="s">
        <v>262</v>
      </c>
      <c r="E157" s="169"/>
      <c r="H157" s="983" t="s">
        <v>257</v>
      </c>
      <c r="I157" s="3030"/>
      <c r="J157" s="3031"/>
      <c r="K157" s="3031"/>
      <c r="L157" s="3031"/>
      <c r="M157" s="3031"/>
      <c r="N157" s="3031"/>
      <c r="O157" s="3031"/>
      <c r="P157" s="3031"/>
      <c r="Q157" s="3031"/>
      <c r="R157" s="3031"/>
      <c r="S157" s="3032"/>
      <c r="U157" s="2964"/>
      <c r="V157" s="2964"/>
      <c r="Z157" s="1401">
        <v>157</v>
      </c>
    </row>
    <row r="158" spans="1:26" s="99" customFormat="1" ht="15" customHeight="1" thickBot="1">
      <c r="B158" s="355" t="s">
        <v>263</v>
      </c>
      <c r="C158" s="169" t="s">
        <v>264</v>
      </c>
      <c r="E158" s="169"/>
      <c r="H158" s="983" t="s">
        <v>257</v>
      </c>
      <c r="I158" s="3030"/>
      <c r="J158" s="3031"/>
      <c r="K158" s="3031"/>
      <c r="L158" s="3031"/>
      <c r="M158" s="3031"/>
      <c r="N158" s="3031"/>
      <c r="O158" s="3031"/>
      <c r="P158" s="3031"/>
      <c r="Q158" s="3031"/>
      <c r="R158" s="3031"/>
      <c r="S158" s="3032"/>
      <c r="U158" s="2964"/>
      <c r="V158" s="2964"/>
      <c r="Z158" s="1401">
        <v>158</v>
      </c>
    </row>
    <row r="159" spans="1:26" s="99" customFormat="1" ht="15" customHeight="1" thickBot="1">
      <c r="B159" s="355" t="s">
        <v>265</v>
      </c>
      <c r="C159" s="169" t="s">
        <v>266</v>
      </c>
      <c r="E159" s="169"/>
      <c r="H159" s="983" t="s">
        <v>257</v>
      </c>
      <c r="I159" s="3030"/>
      <c r="J159" s="3031"/>
      <c r="K159" s="3031"/>
      <c r="L159" s="3031"/>
      <c r="M159" s="3031"/>
      <c r="N159" s="3031"/>
      <c r="O159" s="3031"/>
      <c r="P159" s="3031"/>
      <c r="Q159" s="3031"/>
      <c r="R159" s="3031"/>
      <c r="S159" s="3032"/>
      <c r="U159" s="2964"/>
      <c r="V159" s="2964"/>
      <c r="Z159" s="1401">
        <v>159</v>
      </c>
    </row>
    <row r="160" spans="1:26" s="99" customFormat="1" ht="15" customHeight="1" thickBot="1">
      <c r="B160" s="355" t="s">
        <v>267</v>
      </c>
      <c r="C160" s="169" t="s">
        <v>268</v>
      </c>
      <c r="E160" s="169"/>
      <c r="H160" s="983" t="s">
        <v>257</v>
      </c>
      <c r="I160" s="3030"/>
      <c r="J160" s="3031"/>
      <c r="K160" s="3031"/>
      <c r="L160" s="3031"/>
      <c r="M160" s="3031"/>
      <c r="N160" s="3031"/>
      <c r="O160" s="3031"/>
      <c r="P160" s="3031"/>
      <c r="Q160" s="3031"/>
      <c r="R160" s="3031"/>
      <c r="S160" s="3032"/>
      <c r="Z160" s="1401">
        <v>160</v>
      </c>
    </row>
    <row r="161" spans="1:26" s="99" customFormat="1" ht="15" customHeight="1" thickBot="1">
      <c r="B161" s="355" t="s">
        <v>269</v>
      </c>
      <c r="C161" s="169" t="s">
        <v>270</v>
      </c>
      <c r="E161" s="169"/>
      <c r="H161" s="983" t="s">
        <v>257</v>
      </c>
      <c r="I161" s="3030"/>
      <c r="J161" s="3031"/>
      <c r="K161" s="3031"/>
      <c r="L161" s="3031"/>
      <c r="M161" s="3031"/>
      <c r="N161" s="3031"/>
      <c r="O161" s="3031"/>
      <c r="P161" s="3031"/>
      <c r="Q161" s="3031"/>
      <c r="R161" s="3031"/>
      <c r="S161" s="3032"/>
      <c r="Z161" s="1401">
        <v>161</v>
      </c>
    </row>
    <row r="162" spans="1:26" s="99" customFormat="1" ht="15" customHeight="1" thickBot="1">
      <c r="B162" s="355" t="s">
        <v>271</v>
      </c>
      <c r="C162" s="3125" t="s">
        <v>272</v>
      </c>
      <c r="D162" s="3126"/>
      <c r="E162" s="3126"/>
      <c r="F162" s="3126"/>
      <c r="G162" s="3127"/>
      <c r="H162" s="983" t="s">
        <v>257</v>
      </c>
      <c r="I162" s="3027"/>
      <c r="J162" s="3028"/>
      <c r="K162" s="3028"/>
      <c r="L162" s="3028"/>
      <c r="M162" s="3028"/>
      <c r="N162" s="3028"/>
      <c r="O162" s="3028"/>
      <c r="P162" s="3028"/>
      <c r="Q162" s="3028"/>
      <c r="R162" s="3028"/>
      <c r="S162" s="3029"/>
      <c r="Z162" s="1401">
        <v>162</v>
      </c>
    </row>
    <row r="163" spans="1:26" s="99" customFormat="1" ht="13.35" customHeight="1">
      <c r="A163" s="158" t="s">
        <v>50</v>
      </c>
      <c r="B163" s="158" t="s">
        <v>273</v>
      </c>
      <c r="F163" s="158"/>
      <c r="G163" s="162"/>
      <c r="H163" s="162"/>
      <c r="I163" s="162"/>
      <c r="J163" s="162"/>
      <c r="K163" s="162"/>
      <c r="L163" s="162"/>
      <c r="M163" s="162"/>
      <c r="N163" s="162"/>
      <c r="O163" s="162"/>
      <c r="P163" s="162"/>
      <c r="Q163" s="162"/>
      <c r="Z163" s="1401">
        <v>163</v>
      </c>
    </row>
    <row r="164" spans="1:26" s="99" customFormat="1" ht="2.25" customHeight="1">
      <c r="A164" s="158"/>
      <c r="B164" s="158"/>
      <c r="F164" s="158"/>
      <c r="G164" s="162"/>
      <c r="H164" s="162"/>
      <c r="I164" s="162"/>
      <c r="J164" s="162"/>
      <c r="K164" s="162"/>
      <c r="L164" s="162"/>
      <c r="M164" s="162"/>
      <c r="N164" s="162"/>
      <c r="O164" s="162"/>
      <c r="P164" s="162"/>
      <c r="Q164" s="162"/>
      <c r="Z164" s="1401">
        <v>164</v>
      </c>
    </row>
    <row r="165" spans="1:26" ht="13.35" customHeight="1">
      <c r="B165" s="158" t="s">
        <v>227</v>
      </c>
      <c r="C165" s="158" t="s">
        <v>274</v>
      </c>
      <c r="Z165" s="1401">
        <v>165</v>
      </c>
    </row>
    <row r="166" spans="1:26" s="99" customFormat="1" ht="12.75" customHeight="1">
      <c r="A166" s="3090" t="s">
        <v>275</v>
      </c>
      <c r="B166" s="3091"/>
      <c r="C166" s="3091"/>
      <c r="D166" s="3091"/>
      <c r="E166" s="3096" t="s">
        <v>276</v>
      </c>
      <c r="F166" s="3097"/>
      <c r="G166" s="3097"/>
      <c r="H166" s="3097"/>
      <c r="I166" s="3098"/>
      <c r="J166" s="3102" t="s">
        <v>277</v>
      </c>
      <c r="K166" s="3105" t="s">
        <v>278</v>
      </c>
      <c r="L166" s="3105" t="s">
        <v>279</v>
      </c>
      <c r="M166" s="3108" t="s">
        <v>280</v>
      </c>
      <c r="N166" s="3109"/>
      <c r="O166" s="3109"/>
      <c r="P166" s="3109"/>
      <c r="Q166" s="3109"/>
      <c r="R166" s="3109"/>
      <c r="S166" s="3110"/>
      <c r="Z166" s="1401">
        <v>166</v>
      </c>
    </row>
    <row r="167" spans="1:26" s="99" customFormat="1" ht="12.75" customHeight="1">
      <c r="A167" s="3092"/>
      <c r="B167" s="3093"/>
      <c r="C167" s="3093"/>
      <c r="D167" s="3093"/>
      <c r="E167" s="3099"/>
      <c r="F167" s="3100"/>
      <c r="G167" s="3100"/>
      <c r="H167" s="3100"/>
      <c r="I167" s="3101"/>
      <c r="J167" s="3103"/>
      <c r="K167" s="3106"/>
      <c r="L167" s="3106"/>
      <c r="M167" s="3111"/>
      <c r="N167" s="3112"/>
      <c r="O167" s="3112"/>
      <c r="P167" s="3112"/>
      <c r="Q167" s="3112"/>
      <c r="R167" s="3112"/>
      <c r="S167" s="3113"/>
      <c r="Z167" s="1401">
        <v>167</v>
      </c>
    </row>
    <row r="168" spans="1:26" s="99" customFormat="1" ht="12.75" customHeight="1">
      <c r="A168" s="3092"/>
      <c r="B168" s="3093"/>
      <c r="C168" s="3093"/>
      <c r="D168" s="3093"/>
      <c r="E168" s="3099"/>
      <c r="F168" s="3100"/>
      <c r="G168" s="3100"/>
      <c r="H168" s="3100"/>
      <c r="I168" s="3101"/>
      <c r="J168" s="3103"/>
      <c r="K168" s="3106"/>
      <c r="L168" s="3106"/>
      <c r="M168" s="3111"/>
      <c r="N168" s="3112"/>
      <c r="O168" s="3112"/>
      <c r="P168" s="3112"/>
      <c r="Q168" s="3112"/>
      <c r="R168" s="3112"/>
      <c r="S168" s="3113"/>
      <c r="Z168" s="1401">
        <v>168</v>
      </c>
    </row>
    <row r="169" spans="1:26" s="99" customFormat="1" ht="12.75" customHeight="1">
      <c r="A169" s="3092"/>
      <c r="B169" s="3093"/>
      <c r="C169" s="3093"/>
      <c r="D169" s="3093"/>
      <c r="E169" s="3114" t="s">
        <v>281</v>
      </c>
      <c r="F169" s="3115"/>
      <c r="G169" s="3115"/>
      <c r="H169" s="3116"/>
      <c r="I169" s="359"/>
      <c r="J169" s="3103"/>
      <c r="K169" s="3106"/>
      <c r="L169" s="3106"/>
      <c r="M169" s="3111"/>
      <c r="N169" s="3112"/>
      <c r="O169" s="3112"/>
      <c r="P169" s="3112"/>
      <c r="Q169" s="3112"/>
      <c r="R169" s="3112"/>
      <c r="S169" s="3113"/>
      <c r="Z169" s="1401">
        <v>169</v>
      </c>
    </row>
    <row r="170" spans="1:26" s="99" customFormat="1" ht="13.5" customHeight="1">
      <c r="A170" s="3094"/>
      <c r="B170" s="3095"/>
      <c r="C170" s="3095"/>
      <c r="D170" s="3095"/>
      <c r="E170" s="3117"/>
      <c r="F170" s="3118"/>
      <c r="G170" s="3118"/>
      <c r="H170" s="3119"/>
      <c r="I170" s="984" t="s">
        <v>254</v>
      </c>
      <c r="J170" s="3104"/>
      <c r="K170" s="3107"/>
      <c r="L170" s="3106"/>
      <c r="M170" s="985" t="s">
        <v>254</v>
      </c>
      <c r="N170" s="3120" t="s">
        <v>282</v>
      </c>
      <c r="O170" s="3120"/>
      <c r="P170" s="3120"/>
      <c r="Q170" s="3120"/>
      <c r="R170" s="3120"/>
      <c r="S170" s="3121"/>
      <c r="Z170" s="1401">
        <v>170</v>
      </c>
    </row>
    <row r="171" spans="1:26" s="99" customFormat="1" ht="23.25" customHeight="1">
      <c r="A171" s="3085" t="s">
        <v>283</v>
      </c>
      <c r="B171" s="3086"/>
      <c r="C171" s="3086"/>
      <c r="D171" s="3087"/>
      <c r="E171" s="3088"/>
      <c r="F171" s="3034"/>
      <c r="G171" s="3034"/>
      <c r="H171" s="3034"/>
      <c r="I171" s="2680" t="s">
        <v>257</v>
      </c>
      <c r="J171" s="2681" t="s">
        <v>257</v>
      </c>
      <c r="K171" s="2681"/>
      <c r="L171" s="2682"/>
      <c r="M171" s="2683" t="s">
        <v>257</v>
      </c>
      <c r="N171" s="3089"/>
      <c r="O171" s="3034"/>
      <c r="P171" s="3034"/>
      <c r="Q171" s="3034"/>
      <c r="R171" s="3034"/>
      <c r="S171" s="3035"/>
      <c r="Z171" s="1401">
        <v>171</v>
      </c>
    </row>
    <row r="172" spans="1:26" s="99" customFormat="1" ht="23.25" customHeight="1">
      <c r="A172" s="3080" t="s">
        <v>284</v>
      </c>
      <c r="B172" s="3081"/>
      <c r="C172" s="3081"/>
      <c r="D172" s="3082"/>
      <c r="E172" s="3083"/>
      <c r="F172" s="3031"/>
      <c r="G172" s="3031"/>
      <c r="H172" s="3031"/>
      <c r="I172" s="511" t="s">
        <v>257</v>
      </c>
      <c r="J172" s="356" t="s">
        <v>257</v>
      </c>
      <c r="K172" s="356"/>
      <c r="L172" s="513"/>
      <c r="M172" s="360" t="s">
        <v>257</v>
      </c>
      <c r="N172" s="3084"/>
      <c r="O172" s="3031"/>
      <c r="P172" s="3031"/>
      <c r="Q172" s="3031"/>
      <c r="R172" s="3031"/>
      <c r="S172" s="3032"/>
      <c r="U172" s="2964" t="s">
        <v>258</v>
      </c>
      <c r="V172" s="2964"/>
      <c r="Z172" s="1401">
        <v>172</v>
      </c>
    </row>
    <row r="173" spans="1:26" s="99" customFormat="1" ht="23.25" customHeight="1">
      <c r="A173" s="3080" t="s">
        <v>285</v>
      </c>
      <c r="B173" s="3081"/>
      <c r="C173" s="3081"/>
      <c r="D173" s="3082"/>
      <c r="E173" s="3083"/>
      <c r="F173" s="3031"/>
      <c r="G173" s="3031"/>
      <c r="H173" s="3031"/>
      <c r="I173" s="511" t="s">
        <v>257</v>
      </c>
      <c r="J173" s="356" t="s">
        <v>257</v>
      </c>
      <c r="K173" s="356"/>
      <c r="L173" s="513"/>
      <c r="M173" s="360" t="s">
        <v>257</v>
      </c>
      <c r="N173" s="3084"/>
      <c r="O173" s="3031"/>
      <c r="P173" s="3031"/>
      <c r="Q173" s="3031"/>
      <c r="R173" s="3031"/>
      <c r="S173" s="3032"/>
      <c r="U173" s="2964"/>
      <c r="V173" s="2964"/>
      <c r="Z173" s="1401">
        <v>173</v>
      </c>
    </row>
    <row r="174" spans="1:26" s="99" customFormat="1" ht="23.25" customHeight="1">
      <c r="A174" s="3080" t="s">
        <v>286</v>
      </c>
      <c r="B174" s="3081"/>
      <c r="C174" s="3081"/>
      <c r="D174" s="3082"/>
      <c r="E174" s="3083"/>
      <c r="F174" s="3031"/>
      <c r="G174" s="3031"/>
      <c r="H174" s="3031"/>
      <c r="I174" s="511" t="s">
        <v>257</v>
      </c>
      <c r="J174" s="356" t="s">
        <v>257</v>
      </c>
      <c r="K174" s="356"/>
      <c r="L174" s="513"/>
      <c r="M174" s="360" t="s">
        <v>257</v>
      </c>
      <c r="N174" s="3084"/>
      <c r="O174" s="3031"/>
      <c r="P174" s="3031"/>
      <c r="Q174" s="3031"/>
      <c r="R174" s="3031"/>
      <c r="S174" s="3032"/>
      <c r="U174" s="2964"/>
      <c r="V174" s="2964"/>
      <c r="Z174" s="1401">
        <v>174</v>
      </c>
    </row>
    <row r="175" spans="1:26" s="99" customFormat="1" ht="23.25" customHeight="1">
      <c r="A175" s="3080" t="s">
        <v>287</v>
      </c>
      <c r="B175" s="3081"/>
      <c r="C175" s="3081"/>
      <c r="D175" s="3082"/>
      <c r="E175" s="3083"/>
      <c r="F175" s="3031"/>
      <c r="G175" s="3031"/>
      <c r="H175" s="3031"/>
      <c r="I175" s="511" t="s">
        <v>257</v>
      </c>
      <c r="J175" s="356" t="s">
        <v>257</v>
      </c>
      <c r="K175" s="356"/>
      <c r="L175" s="513"/>
      <c r="M175" s="360" t="s">
        <v>257</v>
      </c>
      <c r="N175" s="3084"/>
      <c r="O175" s="3031"/>
      <c r="P175" s="3031"/>
      <c r="Q175" s="3031"/>
      <c r="R175" s="3031"/>
      <c r="S175" s="3032"/>
      <c r="U175" s="2964"/>
      <c r="V175" s="2964"/>
      <c r="Z175" s="1401">
        <v>175</v>
      </c>
    </row>
    <row r="176" spans="1:26" s="99" customFormat="1" ht="23.25" customHeight="1">
      <c r="A176" s="3080" t="s">
        <v>288</v>
      </c>
      <c r="B176" s="3081"/>
      <c r="C176" s="3081"/>
      <c r="D176" s="3082"/>
      <c r="E176" s="3083"/>
      <c r="F176" s="3031"/>
      <c r="G176" s="3031"/>
      <c r="H176" s="3031"/>
      <c r="I176" s="511" t="s">
        <v>257</v>
      </c>
      <c r="J176" s="356" t="s">
        <v>257</v>
      </c>
      <c r="K176" s="356"/>
      <c r="L176" s="513"/>
      <c r="M176" s="360" t="s">
        <v>257</v>
      </c>
      <c r="N176" s="3084"/>
      <c r="O176" s="3031"/>
      <c r="P176" s="3031"/>
      <c r="Q176" s="3031"/>
      <c r="R176" s="3031"/>
      <c r="S176" s="3032"/>
      <c r="U176" s="2964"/>
      <c r="V176" s="2964"/>
      <c r="Z176" s="1401">
        <v>176</v>
      </c>
    </row>
    <row r="177" spans="1:26" s="99" customFormat="1" ht="23.25" customHeight="1">
      <c r="A177" s="3080" t="s">
        <v>289</v>
      </c>
      <c r="B177" s="3081"/>
      <c r="C177" s="3081"/>
      <c r="D177" s="3082"/>
      <c r="E177" s="3083"/>
      <c r="F177" s="3031"/>
      <c r="G177" s="3031"/>
      <c r="H177" s="3031"/>
      <c r="I177" s="511" t="s">
        <v>257</v>
      </c>
      <c r="J177" s="356" t="s">
        <v>257</v>
      </c>
      <c r="K177" s="356"/>
      <c r="L177" s="513"/>
      <c r="M177" s="360" t="s">
        <v>257</v>
      </c>
      <c r="N177" s="3084"/>
      <c r="O177" s="3031"/>
      <c r="P177" s="3031"/>
      <c r="Q177" s="3031"/>
      <c r="R177" s="3031"/>
      <c r="S177" s="3032"/>
      <c r="U177" s="2964"/>
      <c r="V177" s="2964"/>
      <c r="Z177" s="1401">
        <v>177</v>
      </c>
    </row>
    <row r="178" spans="1:26" s="99" customFormat="1" ht="23.25" customHeight="1">
      <c r="A178" s="3080" t="s">
        <v>290</v>
      </c>
      <c r="B178" s="3081"/>
      <c r="C178" s="3081"/>
      <c r="D178" s="3082"/>
      <c r="E178" s="3083"/>
      <c r="F178" s="3031"/>
      <c r="G178" s="3031"/>
      <c r="H178" s="3031"/>
      <c r="I178" s="511" t="s">
        <v>257</v>
      </c>
      <c r="J178" s="356" t="s">
        <v>257</v>
      </c>
      <c r="K178" s="356"/>
      <c r="L178" s="513"/>
      <c r="M178" s="360" t="s">
        <v>257</v>
      </c>
      <c r="N178" s="3084"/>
      <c r="O178" s="3031"/>
      <c r="P178" s="3031"/>
      <c r="Q178" s="3031"/>
      <c r="R178" s="3031"/>
      <c r="S178" s="3032"/>
      <c r="Z178" s="1401">
        <v>178</v>
      </c>
    </row>
    <row r="179" spans="1:26" s="99" customFormat="1" ht="23.25" customHeight="1">
      <c r="A179" s="3080" t="s">
        <v>291</v>
      </c>
      <c r="B179" s="3081"/>
      <c r="C179" s="3081"/>
      <c r="D179" s="3082"/>
      <c r="E179" s="3083"/>
      <c r="F179" s="3031"/>
      <c r="G179" s="3031"/>
      <c r="H179" s="3031"/>
      <c r="I179" s="511" t="s">
        <v>257</v>
      </c>
      <c r="J179" s="356" t="s">
        <v>257</v>
      </c>
      <c r="K179" s="356"/>
      <c r="L179" s="513"/>
      <c r="M179" s="360" t="s">
        <v>257</v>
      </c>
      <c r="N179" s="3084"/>
      <c r="O179" s="3031"/>
      <c r="P179" s="3031"/>
      <c r="Q179" s="3031"/>
      <c r="R179" s="3031"/>
      <c r="S179" s="3032"/>
      <c r="Z179" s="1401">
        <v>179</v>
      </c>
    </row>
    <row r="180" spans="1:26" s="99" customFormat="1" ht="23.25" customHeight="1">
      <c r="A180" s="3080" t="s">
        <v>292</v>
      </c>
      <c r="B180" s="3081"/>
      <c r="C180" s="3081"/>
      <c r="D180" s="3082"/>
      <c r="E180" s="3083"/>
      <c r="F180" s="3031"/>
      <c r="G180" s="3031"/>
      <c r="H180" s="3031"/>
      <c r="I180" s="511" t="s">
        <v>257</v>
      </c>
      <c r="J180" s="356" t="s">
        <v>257</v>
      </c>
      <c r="K180" s="356"/>
      <c r="L180" s="513"/>
      <c r="M180" s="360" t="s">
        <v>257</v>
      </c>
      <c r="N180" s="3084"/>
      <c r="O180" s="3031"/>
      <c r="P180" s="3031"/>
      <c r="Q180" s="3031"/>
      <c r="R180" s="3031"/>
      <c r="S180" s="3032"/>
      <c r="Z180" s="1401">
        <v>180</v>
      </c>
    </row>
    <row r="181" spans="1:26" s="99" customFormat="1" ht="23.25" customHeight="1">
      <c r="A181" s="3080" t="s">
        <v>293</v>
      </c>
      <c r="B181" s="3081"/>
      <c r="C181" s="3081"/>
      <c r="D181" s="3082"/>
      <c r="E181" s="3083"/>
      <c r="F181" s="3031"/>
      <c r="G181" s="3031"/>
      <c r="H181" s="3031"/>
      <c r="I181" s="511" t="s">
        <v>257</v>
      </c>
      <c r="J181" s="356" t="s">
        <v>257</v>
      </c>
      <c r="K181" s="356"/>
      <c r="L181" s="513"/>
      <c r="M181" s="360" t="s">
        <v>257</v>
      </c>
      <c r="N181" s="3084"/>
      <c r="O181" s="3031"/>
      <c r="P181" s="3031"/>
      <c r="Q181" s="3031"/>
      <c r="R181" s="3031"/>
      <c r="S181" s="3032"/>
      <c r="Z181" s="1401">
        <v>181</v>
      </c>
    </row>
    <row r="182" spans="1:26" s="99" customFormat="1" ht="23.25" customHeight="1">
      <c r="A182" s="3080" t="s">
        <v>294</v>
      </c>
      <c r="B182" s="3081"/>
      <c r="C182" s="3081"/>
      <c r="D182" s="3082"/>
      <c r="E182" s="3083"/>
      <c r="F182" s="3031"/>
      <c r="G182" s="3031"/>
      <c r="H182" s="3031"/>
      <c r="I182" s="511" t="s">
        <v>257</v>
      </c>
      <c r="J182" s="356" t="s">
        <v>257</v>
      </c>
      <c r="K182" s="356"/>
      <c r="L182" s="513"/>
      <c r="M182" s="360" t="s">
        <v>257</v>
      </c>
      <c r="N182" s="3084"/>
      <c r="O182" s="3031"/>
      <c r="P182" s="3031"/>
      <c r="Q182" s="3031"/>
      <c r="R182" s="3031"/>
      <c r="S182" s="3032"/>
      <c r="Z182" s="1401">
        <v>182</v>
      </c>
    </row>
    <row r="183" spans="1:26" s="99" customFormat="1" ht="23.25" customHeight="1">
      <c r="A183" s="3075" t="s">
        <v>295</v>
      </c>
      <c r="B183" s="3076"/>
      <c r="C183" s="3076"/>
      <c r="D183" s="3077"/>
      <c r="E183" s="3078"/>
      <c r="F183" s="3028"/>
      <c r="G183" s="3028"/>
      <c r="H183" s="3028"/>
      <c r="I183" s="512" t="s">
        <v>257</v>
      </c>
      <c r="J183" s="357" t="s">
        <v>257</v>
      </c>
      <c r="K183" s="357"/>
      <c r="L183" s="514"/>
      <c r="M183" s="361" t="s">
        <v>257</v>
      </c>
      <c r="N183" s="3079"/>
      <c r="O183" s="3028"/>
      <c r="P183" s="3028"/>
      <c r="Q183" s="3028"/>
      <c r="R183" s="3028"/>
      <c r="S183" s="3029"/>
      <c r="Z183" s="1401">
        <v>183</v>
      </c>
    </row>
    <row r="184" spans="1:26" s="99" customFormat="1" ht="12" customHeight="1">
      <c r="G184" s="158"/>
      <c r="H184" s="158"/>
      <c r="I184" s="158"/>
      <c r="J184" s="162"/>
      <c r="K184" s="168" t="s">
        <v>296</v>
      </c>
      <c r="L184" s="321">
        <f>SUM(L171:L183)</f>
        <v>0</v>
      </c>
      <c r="M184" s="162"/>
      <c r="P184" s="100"/>
      <c r="Z184" s="1401">
        <v>184</v>
      </c>
    </row>
    <row r="185" spans="1:26" ht="11.25" customHeight="1">
      <c r="A185" s="167" t="s">
        <v>75</v>
      </c>
      <c r="B185" s="167"/>
      <c r="C185" s="167" t="s">
        <v>76</v>
      </c>
      <c r="N185" s="167" t="s">
        <v>75</v>
      </c>
      <c r="O185" s="167" t="s">
        <v>78</v>
      </c>
      <c r="Z185" s="1401">
        <v>185</v>
      </c>
    </row>
    <row r="186" spans="1:26" ht="105.75" customHeight="1">
      <c r="A186" s="3015"/>
      <c r="B186" s="3016"/>
      <c r="C186" s="3016"/>
      <c r="D186" s="3016"/>
      <c r="E186" s="3016"/>
      <c r="F186" s="3016"/>
      <c r="G186" s="3016"/>
      <c r="H186" s="3016"/>
      <c r="I186" s="3016"/>
      <c r="J186" s="3016"/>
      <c r="K186" s="3016"/>
      <c r="L186" s="3016"/>
      <c r="M186" s="3017"/>
      <c r="N186" s="3018"/>
      <c r="O186" s="3019"/>
      <c r="P186" s="3019"/>
      <c r="Q186" s="3019"/>
      <c r="R186" s="3019"/>
      <c r="S186" s="3020"/>
      <c r="T186" s="2964" t="s">
        <v>297</v>
      </c>
      <c r="U186" s="2964"/>
      <c r="V186" s="2964"/>
      <c r="W186" s="2964"/>
      <c r="X186" s="2964"/>
      <c r="Z186" s="1401">
        <v>186</v>
      </c>
    </row>
    <row r="187" spans="1:26" s="99" customFormat="1" ht="12" customHeight="1">
      <c r="A187" s="140"/>
      <c r="B187" s="100"/>
      <c r="C187" s="100"/>
      <c r="D187" s="100"/>
      <c r="E187" s="100"/>
      <c r="F187" s="100"/>
      <c r="G187" s="100"/>
      <c r="H187" s="100"/>
      <c r="I187" s="100"/>
      <c r="J187" s="100"/>
      <c r="K187" s="100"/>
      <c r="L187" s="100"/>
      <c r="M187" s="100"/>
      <c r="N187" s="100"/>
      <c r="O187" s="100"/>
      <c r="T187" s="2964"/>
      <c r="U187" s="2964"/>
      <c r="V187" s="2964"/>
      <c r="W187" s="2964"/>
      <c r="X187" s="2964"/>
      <c r="Z187" s="1401"/>
    </row>
    <row r="188" spans="1:26" s="99" customFormat="1" ht="12" customHeight="1">
      <c r="A188" s="278"/>
      <c r="B188" s="100"/>
      <c r="C188" s="100"/>
      <c r="D188" s="100"/>
      <c r="E188" s="100"/>
      <c r="F188" s="100"/>
      <c r="G188" s="100"/>
      <c r="H188" s="100"/>
      <c r="I188" s="100"/>
      <c r="J188" s="100"/>
      <c r="K188" s="100"/>
      <c r="L188" s="100"/>
      <c r="M188" s="100"/>
      <c r="N188" s="100"/>
      <c r="O188" s="100"/>
      <c r="Z188" s="1401"/>
    </row>
    <row r="189" spans="1:26" s="99" customFormat="1" ht="12" customHeight="1">
      <c r="A189" s="140"/>
      <c r="B189" s="100"/>
      <c r="C189" s="100"/>
      <c r="D189" s="100"/>
      <c r="E189" s="100"/>
      <c r="F189" s="100"/>
      <c r="G189" s="100"/>
      <c r="H189" s="100"/>
      <c r="I189" s="100"/>
      <c r="J189" s="100"/>
      <c r="K189" s="100"/>
      <c r="L189" s="100"/>
      <c r="M189" s="100"/>
      <c r="N189" s="100"/>
      <c r="O189" s="100"/>
      <c r="Z189" s="1401"/>
    </row>
    <row r="190" spans="1:26" s="99" customFormat="1" ht="12" customHeight="1">
      <c r="A190" s="140"/>
      <c r="B190" s="100"/>
      <c r="C190" s="100"/>
      <c r="D190" s="100"/>
      <c r="E190" s="100"/>
      <c r="F190" s="100"/>
      <c r="G190" s="100"/>
      <c r="H190" s="100"/>
      <c r="I190" s="100"/>
      <c r="J190" s="100"/>
      <c r="K190" s="100"/>
      <c r="L190" s="100"/>
      <c r="M190" s="100"/>
      <c r="N190" s="100"/>
      <c r="O190" s="100"/>
      <c r="Z190" s="1401"/>
    </row>
    <row r="191" spans="1:26" s="99" customFormat="1" ht="12" customHeight="1">
      <c r="B191" s="100"/>
      <c r="C191" s="100"/>
      <c r="D191" s="100"/>
      <c r="E191" s="100"/>
      <c r="F191" s="100"/>
      <c r="G191" s="100"/>
      <c r="H191" s="100"/>
      <c r="I191" s="100"/>
      <c r="J191" s="100"/>
      <c r="K191" s="100"/>
      <c r="L191" s="100"/>
      <c r="M191" s="100"/>
      <c r="N191" s="100"/>
      <c r="O191" s="100"/>
      <c r="P191" s="186" t="s">
        <v>201</v>
      </c>
      <c r="Z191" s="1401"/>
    </row>
    <row r="192" spans="1:26" s="99" customFormat="1" ht="12" customHeight="1">
      <c r="A192" s="173"/>
      <c r="B192" s="100"/>
      <c r="C192" s="100"/>
      <c r="D192" s="100"/>
      <c r="E192" s="100"/>
      <c r="F192" s="100"/>
      <c r="G192" s="100"/>
      <c r="H192" s="100"/>
      <c r="I192" s="100"/>
      <c r="J192" s="100"/>
      <c r="K192" s="100"/>
      <c r="L192" s="100"/>
      <c r="M192" s="100"/>
      <c r="N192" s="100"/>
      <c r="O192" s="100"/>
      <c r="P192" s="187" t="s">
        <v>298</v>
      </c>
      <c r="Z192" s="1401"/>
    </row>
    <row r="193" spans="1:26" s="99" customFormat="1" ht="12" customHeight="1">
      <c r="A193" s="173"/>
      <c r="B193" s="100"/>
      <c r="C193" s="100"/>
      <c r="D193" s="100"/>
      <c r="E193" s="100"/>
      <c r="F193" s="100"/>
      <c r="G193" s="100"/>
      <c r="H193" s="100"/>
      <c r="I193" s="100"/>
      <c r="J193" s="100"/>
      <c r="K193" s="100"/>
      <c r="L193" s="100"/>
      <c r="M193" s="100"/>
      <c r="N193" s="100"/>
      <c r="O193" s="100"/>
      <c r="P193" s="187" t="s">
        <v>299</v>
      </c>
      <c r="Z193" s="1401"/>
    </row>
    <row r="194" spans="1:26" s="99" customFormat="1" ht="12" customHeight="1">
      <c r="A194" s="173"/>
      <c r="B194" s="100"/>
      <c r="C194" s="100"/>
      <c r="D194" s="100"/>
      <c r="E194" s="100"/>
      <c r="F194" s="100"/>
      <c r="G194" s="100"/>
      <c r="H194" s="100"/>
      <c r="I194" s="100"/>
      <c r="J194" s="100"/>
      <c r="K194" s="100"/>
      <c r="L194" s="100"/>
      <c r="M194" s="100"/>
      <c r="N194" s="100"/>
      <c r="O194" s="100"/>
      <c r="P194" s="187" t="s">
        <v>300</v>
      </c>
      <c r="Z194" s="1401"/>
    </row>
    <row r="195" spans="1:26" s="99" customFormat="1" ht="12" customHeight="1">
      <c r="A195" s="278"/>
      <c r="B195" s="100"/>
      <c r="C195" s="100"/>
      <c r="D195" s="100"/>
      <c r="E195" s="100"/>
      <c r="F195" s="100"/>
      <c r="G195" s="100"/>
      <c r="H195" s="100"/>
      <c r="I195" s="100"/>
      <c r="J195" s="100"/>
      <c r="K195" s="100"/>
      <c r="L195" s="100"/>
      <c r="M195" s="100"/>
      <c r="N195" s="100"/>
      <c r="O195" s="100"/>
      <c r="P195" s="187" t="s">
        <v>301</v>
      </c>
      <c r="Z195" s="1401"/>
    </row>
    <row r="196" spans="1:26" s="99" customFormat="1" ht="12" customHeight="1">
      <c r="B196" s="100"/>
      <c r="C196" s="100"/>
      <c r="D196" s="100"/>
      <c r="E196" s="100"/>
      <c r="F196" s="100"/>
      <c r="G196" s="100"/>
      <c r="H196" s="100"/>
      <c r="I196" s="100"/>
      <c r="J196" s="100"/>
      <c r="K196" s="100"/>
      <c r="L196" s="100"/>
      <c r="M196" s="100"/>
      <c r="N196" s="100"/>
      <c r="O196" s="100"/>
      <c r="P196" s="187" t="s">
        <v>302</v>
      </c>
      <c r="Z196" s="1401"/>
    </row>
    <row r="197" spans="1:26" s="99" customFormat="1" ht="12" customHeight="1">
      <c r="B197" s="100"/>
      <c r="C197" s="100"/>
      <c r="D197" s="100"/>
      <c r="E197" s="100"/>
      <c r="F197" s="100"/>
      <c r="G197" s="100"/>
      <c r="H197" s="100"/>
      <c r="I197" s="100"/>
      <c r="J197" s="100"/>
      <c r="K197" s="100"/>
      <c r="L197" s="100"/>
      <c r="M197" s="100"/>
      <c r="N197" s="100"/>
      <c r="O197" s="100"/>
      <c r="P197" s="187" t="s">
        <v>303</v>
      </c>
      <c r="Z197" s="1401"/>
    </row>
    <row r="198" spans="1:26" s="99" customFormat="1" ht="12" customHeight="1">
      <c r="B198" s="100"/>
      <c r="C198" s="100"/>
      <c r="D198" s="100"/>
      <c r="E198" s="100"/>
      <c r="F198" s="100"/>
      <c r="G198" s="100"/>
      <c r="H198" s="100"/>
      <c r="I198" s="100"/>
      <c r="J198" s="100"/>
      <c r="K198" s="100"/>
      <c r="L198" s="100"/>
      <c r="M198" s="100"/>
      <c r="N198" s="100"/>
      <c r="O198" s="100"/>
      <c r="P198" s="187" t="s">
        <v>304</v>
      </c>
      <c r="Z198" s="1401"/>
    </row>
    <row r="199" spans="1:26" s="99" customFormat="1" ht="12" customHeight="1">
      <c r="B199" s="100"/>
      <c r="C199" s="100"/>
      <c r="D199" s="100"/>
      <c r="E199" s="100"/>
      <c r="F199" s="100"/>
      <c r="G199" s="100"/>
      <c r="H199" s="100"/>
      <c r="I199" s="100"/>
      <c r="J199" s="100"/>
      <c r="K199" s="100"/>
      <c r="L199" s="100"/>
      <c r="M199" s="100"/>
      <c r="N199" s="100"/>
      <c r="O199" s="100"/>
      <c r="P199" s="187" t="s">
        <v>305</v>
      </c>
      <c r="Z199" s="1401"/>
    </row>
    <row r="200" spans="1:26" ht="12" customHeight="1">
      <c r="P200" s="187" t="s">
        <v>306</v>
      </c>
    </row>
    <row r="201" spans="1:26" ht="12" customHeight="1">
      <c r="A201" s="167"/>
      <c r="P201" s="187" t="s">
        <v>307</v>
      </c>
    </row>
    <row r="202" spans="1:26" ht="12" customHeight="1">
      <c r="P202" s="187" t="s">
        <v>308</v>
      </c>
    </row>
    <row r="203" spans="1:26" ht="12" customHeight="1">
      <c r="P203" s="187" t="s">
        <v>309</v>
      </c>
    </row>
    <row r="204" spans="1:26" ht="12" customHeight="1">
      <c r="P204" s="187" t="s">
        <v>310</v>
      </c>
    </row>
    <row r="205" spans="1:26" ht="12" customHeight="1">
      <c r="P205" s="187" t="s">
        <v>311</v>
      </c>
    </row>
    <row r="206" spans="1:26" ht="12" customHeight="1">
      <c r="P206" s="187" t="s">
        <v>312</v>
      </c>
    </row>
    <row r="207" spans="1:26" ht="12" customHeight="1">
      <c r="P207" s="187" t="s">
        <v>313</v>
      </c>
    </row>
    <row r="208" spans="1:26" ht="12" customHeight="1">
      <c r="P208" s="187" t="s">
        <v>314</v>
      </c>
    </row>
    <row r="209" spans="16:16" ht="12" customHeight="1">
      <c r="P209" s="187" t="s">
        <v>315</v>
      </c>
    </row>
    <row r="210" spans="16:16" ht="12" customHeight="1">
      <c r="P210" s="187" t="s">
        <v>316</v>
      </c>
    </row>
    <row r="211" spans="16:16" ht="12" customHeight="1">
      <c r="P211" s="187" t="s">
        <v>317</v>
      </c>
    </row>
    <row r="212" spans="16:16" ht="12" customHeight="1">
      <c r="P212" s="187" t="s">
        <v>318</v>
      </c>
    </row>
    <row r="213" spans="16:16" ht="12" customHeight="1">
      <c r="P213" s="187" t="s">
        <v>319</v>
      </c>
    </row>
    <row r="214" spans="16:16" ht="12" customHeight="1">
      <c r="P214" s="187" t="s">
        <v>320</v>
      </c>
    </row>
    <row r="215" spans="16:16" ht="12" customHeight="1">
      <c r="P215" s="187" t="s">
        <v>321</v>
      </c>
    </row>
    <row r="216" spans="16:16" ht="12" customHeight="1">
      <c r="P216" s="187" t="s">
        <v>322</v>
      </c>
    </row>
    <row r="217" spans="16:16" ht="12" customHeight="1">
      <c r="P217" s="187" t="s">
        <v>323</v>
      </c>
    </row>
    <row r="218" spans="16:16" ht="12" customHeight="1">
      <c r="P218" s="187" t="s">
        <v>324</v>
      </c>
    </row>
    <row r="219" spans="16:16" ht="12" customHeight="1">
      <c r="P219" s="187" t="s">
        <v>325</v>
      </c>
    </row>
    <row r="220" spans="16:16" ht="12" customHeight="1">
      <c r="P220" s="187" t="s">
        <v>326</v>
      </c>
    </row>
    <row r="221" spans="16:16" ht="12" customHeight="1">
      <c r="P221" s="187" t="s">
        <v>327</v>
      </c>
    </row>
    <row r="222" spans="16:16" ht="13.5">
      <c r="P222" s="187" t="s">
        <v>328</v>
      </c>
    </row>
    <row r="223" spans="16:16" ht="12" customHeight="1">
      <c r="P223" s="187" t="s">
        <v>329</v>
      </c>
    </row>
    <row r="224" spans="16:16" ht="12" customHeight="1">
      <c r="P224" s="187" t="s">
        <v>330</v>
      </c>
    </row>
    <row r="225" spans="16:16" ht="12" customHeight="1">
      <c r="P225" s="187" t="s">
        <v>331</v>
      </c>
    </row>
    <row r="226" spans="16:16" ht="12" customHeight="1">
      <c r="P226" s="187" t="s">
        <v>332</v>
      </c>
    </row>
    <row r="227" spans="16:16" ht="12" customHeight="1">
      <c r="P227" s="187" t="s">
        <v>333</v>
      </c>
    </row>
    <row r="228" spans="16:16" ht="12" customHeight="1">
      <c r="P228" s="187" t="s">
        <v>334</v>
      </c>
    </row>
    <row r="229" spans="16:16" ht="12" customHeight="1">
      <c r="P229" s="187" t="s">
        <v>335</v>
      </c>
    </row>
    <row r="230" spans="16:16" ht="12" customHeight="1">
      <c r="P230" s="187" t="s">
        <v>336</v>
      </c>
    </row>
    <row r="231" spans="16:16" ht="12" customHeight="1">
      <c r="P231" s="187" t="s">
        <v>337</v>
      </c>
    </row>
    <row r="232" spans="16:16" ht="12" customHeight="1">
      <c r="P232" s="187" t="s">
        <v>338</v>
      </c>
    </row>
    <row r="233" spans="16:16" ht="12" customHeight="1">
      <c r="P233" s="187" t="s">
        <v>339</v>
      </c>
    </row>
    <row r="234" spans="16:16" ht="12" customHeight="1">
      <c r="P234" s="187" t="s">
        <v>340</v>
      </c>
    </row>
    <row r="235" spans="16:16" ht="12" customHeight="1">
      <c r="P235" s="187" t="s">
        <v>341</v>
      </c>
    </row>
    <row r="236" spans="16:16" ht="12" customHeight="1">
      <c r="P236" s="187" t="s">
        <v>342</v>
      </c>
    </row>
    <row r="237" spans="16:16" ht="12" customHeight="1">
      <c r="P237" s="187" t="s">
        <v>343</v>
      </c>
    </row>
    <row r="238" spans="16:16" ht="12" customHeight="1">
      <c r="P238" s="187" t="s">
        <v>344</v>
      </c>
    </row>
    <row r="239" spans="16:16" ht="12" customHeight="1">
      <c r="P239" s="187" t="s">
        <v>345</v>
      </c>
    </row>
    <row r="240" spans="16:16" ht="12" customHeight="1">
      <c r="P240" s="187" t="s">
        <v>346</v>
      </c>
    </row>
    <row r="241" spans="16:16" ht="12" customHeight="1">
      <c r="P241" s="187" t="s">
        <v>347</v>
      </c>
    </row>
    <row r="242" spans="16:16" ht="12" customHeight="1">
      <c r="P242" s="187" t="s">
        <v>348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324" customWidth="1"/>
    <col min="2" max="2" width="6" style="324" customWidth="1"/>
    <col min="3" max="3" width="8.28515625" style="324" customWidth="1"/>
    <col min="4" max="4" width="7.42578125" style="324" customWidth="1"/>
    <col min="5" max="5" width="7.7109375" style="324" customWidth="1"/>
    <col min="6" max="7" width="6.7109375" style="324" customWidth="1"/>
    <col min="8" max="8" width="5" style="324" customWidth="1"/>
    <col min="9" max="10" width="6.7109375" style="324" customWidth="1"/>
    <col min="11" max="11" width="3.28515625" style="1211" customWidth="1"/>
    <col min="12" max="13" width="6.7109375" style="324" customWidth="1"/>
    <col min="14" max="14" width="8.28515625" style="324" customWidth="1"/>
    <col min="15" max="15" width="9.28515625" style="324"/>
    <col min="16" max="17" width="5.5703125" style="324" customWidth="1"/>
    <col min="18" max="18" width="8.28515625" style="324" customWidth="1"/>
    <col min="19" max="19" width="5.7109375" style="476" customWidth="1"/>
    <col min="20" max="20" width="5.7109375" style="324" customWidth="1"/>
    <col min="21" max="21" width="3.7109375" style="324" customWidth="1"/>
    <col min="22" max="23" width="5.42578125" style="324" customWidth="1"/>
    <col min="24" max="16384" width="9.28515625" style="324"/>
  </cols>
  <sheetData>
    <row r="1" spans="1:14">
      <c r="A1" s="385" t="s">
        <v>3128</v>
      </c>
      <c r="H1" s="481" t="str">
        <f>'Sensitivity Analysis'!C8</f>
        <v>Ashley Collegetown Phase I</v>
      </c>
    </row>
    <row r="2" spans="1:14">
      <c r="A2" s="434" t="s">
        <v>3129</v>
      </c>
      <c r="H2" s="324" t="str">
        <f>'Sensitivity Analysis'!E8</f>
        <v>2023-5</v>
      </c>
    </row>
    <row r="3" spans="1:14" ht="3" customHeight="1"/>
    <row r="4" spans="1:14" ht="69.599999999999994" customHeight="1">
      <c r="A4" s="4750" t="s">
        <v>3130</v>
      </c>
      <c r="B4" s="4750"/>
      <c r="C4" s="4750"/>
      <c r="D4" s="4750"/>
      <c r="E4" s="4750"/>
      <c r="F4" s="4750"/>
      <c r="G4" s="4750"/>
      <c r="H4" s="4750"/>
      <c r="I4" s="4750"/>
      <c r="J4" s="4750"/>
      <c r="K4" s="4750"/>
      <c r="L4" s="4792">
        <f>SUM('Part VI-Pro Forma'!B15:B17)/12</f>
        <v>243515.106</v>
      </c>
      <c r="M4" s="4792"/>
      <c r="N4" s="1212" t="s">
        <v>3131</v>
      </c>
    </row>
    <row r="5" spans="1:14" ht="1.5" customHeight="1"/>
    <row r="6" spans="1:14" ht="12.75" customHeight="1">
      <c r="B6" s="501" t="s">
        <v>2218</v>
      </c>
      <c r="C6" s="483" t="s">
        <v>3132</v>
      </c>
      <c r="D6" s="483"/>
      <c r="E6" s="483"/>
      <c r="F6" s="483"/>
      <c r="G6" s="483"/>
      <c r="H6" s="483"/>
    </row>
    <row r="7" spans="1:14" ht="12.75" customHeight="1">
      <c r="B7" s="501" t="s">
        <v>2220</v>
      </c>
      <c r="C7" s="4750" t="s">
        <v>3133</v>
      </c>
      <c r="D7" s="4750"/>
      <c r="E7" s="4750"/>
      <c r="F7" s="4750"/>
      <c r="G7" s="4750"/>
      <c r="H7" s="4750"/>
      <c r="I7" s="4750"/>
      <c r="J7" s="4750"/>
      <c r="K7" s="4750"/>
      <c r="L7" s="4750"/>
      <c r="M7" s="4750"/>
    </row>
    <row r="8" spans="1:14" ht="3" customHeight="1"/>
    <row r="9" spans="1:14">
      <c r="A9" s="324" t="s">
        <v>3134</v>
      </c>
    </row>
    <row r="10" spans="1:14" ht="1.5" customHeight="1"/>
    <row r="11" spans="1:14" ht="26.25" customHeight="1">
      <c r="A11" s="502" t="s">
        <v>194</v>
      </c>
      <c r="B11" s="4750" t="s">
        <v>3135</v>
      </c>
      <c r="C11" s="4750"/>
      <c r="D11" s="4750"/>
      <c r="E11" s="4750"/>
      <c r="F11" s="4750"/>
      <c r="G11" s="4750"/>
      <c r="H11" s="4750"/>
      <c r="I11" s="4750"/>
      <c r="J11" s="4750"/>
      <c r="K11" s="4750"/>
      <c r="L11" s="4751">
        <f ca="1">'Part II-Sources of Funds'!I51+'Part II-Sources of Funds'!I52</f>
        <v>12454371.033019999</v>
      </c>
      <c r="M11" s="4751"/>
    </row>
    <row r="12" spans="1:14" ht="1.5" customHeight="1">
      <c r="G12" s="483"/>
      <c r="H12" s="483"/>
    </row>
    <row r="13" spans="1:14" ht="25.9" customHeight="1">
      <c r="A13" s="502" t="s">
        <v>206</v>
      </c>
      <c r="B13" s="4750" t="s">
        <v>3136</v>
      </c>
      <c r="C13" s="4750"/>
      <c r="D13" s="4750"/>
      <c r="E13" s="4750"/>
      <c r="F13" s="4750"/>
      <c r="G13" s="4750"/>
      <c r="H13" s="4750"/>
      <c r="I13" s="4750"/>
      <c r="J13" s="4750"/>
      <c r="K13" s="4750"/>
      <c r="L13" s="4752" t="s">
        <v>3054</v>
      </c>
      <c r="M13" s="4752"/>
    </row>
    <row r="14" spans="1:14">
      <c r="A14" s="502"/>
      <c r="B14" s="4707"/>
      <c r="C14" s="4707"/>
      <c r="D14" s="4707"/>
      <c r="E14" s="4707"/>
      <c r="F14" s="4707"/>
      <c r="G14" s="4707"/>
      <c r="H14" s="4707"/>
    </row>
    <row r="15" spans="1:14" ht="3" customHeight="1"/>
    <row r="16" spans="1:14">
      <c r="A16" s="502" t="s">
        <v>227</v>
      </c>
      <c r="B16" s="324" t="s">
        <v>3137</v>
      </c>
      <c r="L16" s="4753" t="s">
        <v>63</v>
      </c>
      <c r="M16" s="4753"/>
    </row>
    <row r="17" spans="1:19" ht="1.5" customHeight="1">
      <c r="L17" s="486"/>
    </row>
    <row r="18" spans="1:19" ht="12" customHeight="1">
      <c r="A18" s="502" t="s">
        <v>229</v>
      </c>
      <c r="B18" s="483" t="s">
        <v>3138</v>
      </c>
      <c r="C18" s="502"/>
      <c r="D18" s="502"/>
      <c r="E18" s="502"/>
      <c r="L18" s="4707" t="s">
        <v>2016</v>
      </c>
      <c r="M18" s="4707"/>
    </row>
    <row r="19" spans="1:19" ht="12" hidden="1" customHeight="1">
      <c r="B19" s="4707"/>
      <c r="C19" s="4707"/>
      <c r="D19" s="4707"/>
      <c r="E19" s="4707"/>
      <c r="F19" s="4707"/>
      <c r="G19" s="4707"/>
      <c r="H19" s="4707"/>
    </row>
    <row r="20" spans="1:19" ht="13.5" customHeight="1"/>
    <row r="21" spans="1:19" ht="12" customHeight="1">
      <c r="A21" s="434" t="s">
        <v>2921</v>
      </c>
    </row>
    <row r="22" spans="1:19" ht="3" customHeight="1"/>
    <row r="23" spans="1:19" ht="42.6" customHeight="1">
      <c r="A23" s="4754" t="s">
        <v>3139</v>
      </c>
      <c r="B23" s="4754"/>
      <c r="C23" s="4754"/>
      <c r="D23" s="4754"/>
      <c r="E23" s="4754"/>
      <c r="F23" s="4754"/>
      <c r="G23" s="4754"/>
      <c r="H23" s="4754"/>
      <c r="I23" s="4754"/>
      <c r="J23" s="4754"/>
      <c r="K23" s="4754"/>
      <c r="L23" s="4754"/>
      <c r="M23" s="4754"/>
    </row>
    <row r="24" spans="1:19" ht="18" customHeight="1">
      <c r="E24" s="482" t="s">
        <v>763</v>
      </c>
      <c r="F24" s="482" t="s">
        <v>1166</v>
      </c>
      <c r="G24" s="482" t="s">
        <v>1167</v>
      </c>
      <c r="H24" s="482" t="s">
        <v>1168</v>
      </c>
      <c r="I24" s="482" t="s">
        <v>1169</v>
      </c>
      <c r="J24" s="482" t="s">
        <v>296</v>
      </c>
      <c r="K24" s="324"/>
      <c r="S24" s="324"/>
    </row>
    <row r="25" spans="1:19" ht="14.25" customHeight="1">
      <c r="C25" s="584" t="s">
        <v>1172</v>
      </c>
      <c r="D25" s="331"/>
      <c r="E25" s="2865">
        <f>'Part V-Revenues &amp; Expenses'!K56</f>
        <v>0</v>
      </c>
      <c r="F25" s="1289">
        <f>'Part V-Revenues &amp; Expenses'!L56</f>
        <v>0</v>
      </c>
      <c r="G25" s="1289">
        <f>'Part V-Revenues &amp; Expenses'!M56</f>
        <v>0</v>
      </c>
      <c r="H25" s="1289">
        <f>'Part V-Revenues &amp; Expenses'!N56</f>
        <v>0</v>
      </c>
      <c r="I25" s="1289">
        <f>'Part V-Revenues &amp; Expenses'!O56</f>
        <v>0</v>
      </c>
      <c r="J25" s="2866">
        <f>'Part V-Revenues &amp; Expenses'!P56</f>
        <v>0</v>
      </c>
      <c r="K25" s="324"/>
      <c r="S25" s="324"/>
    </row>
    <row r="26" spans="1:19" ht="15" customHeight="1">
      <c r="C26" s="584" t="s">
        <v>1174</v>
      </c>
      <c r="D26" s="331"/>
      <c r="E26" s="1290">
        <f>'Part V-Revenues &amp; Expenses'!K57</f>
        <v>0</v>
      </c>
      <c r="F26" s="1291">
        <f>'Part V-Revenues &amp; Expenses'!L57</f>
        <v>0</v>
      </c>
      <c r="G26" s="1291">
        <f>'Part V-Revenues &amp; Expenses'!M57</f>
        <v>0</v>
      </c>
      <c r="H26" s="1291">
        <f>'Part V-Revenues &amp; Expenses'!N57</f>
        <v>0</v>
      </c>
      <c r="I26" s="1291">
        <f>'Part V-Revenues &amp; Expenses'!O57</f>
        <v>0</v>
      </c>
      <c r="J26" s="1292">
        <f>'Part V-Revenues &amp; Expenses'!P57</f>
        <v>0</v>
      </c>
      <c r="K26" s="324"/>
      <c r="S26" s="324"/>
    </row>
    <row r="27" spans="1:19" ht="15" customHeight="1">
      <c r="C27" s="584" t="s">
        <v>1175</v>
      </c>
      <c r="D27" s="331"/>
      <c r="E27" s="1290">
        <f>'Part V-Revenues &amp; Expenses'!K58</f>
        <v>0</v>
      </c>
      <c r="F27" s="1291">
        <f>'Part V-Revenues &amp; Expenses'!L58</f>
        <v>38</v>
      </c>
      <c r="G27" s="1291">
        <f>'Part V-Revenues &amp; Expenses'!M58</f>
        <v>60</v>
      </c>
      <c r="H27" s="1291">
        <f>'Part V-Revenues &amp; Expenses'!N58</f>
        <v>20</v>
      </c>
      <c r="I27" s="1291">
        <f>'Part V-Revenues &amp; Expenses'!O58</f>
        <v>0</v>
      </c>
      <c r="J27" s="1292">
        <f>'Part V-Revenues &amp; Expenses'!P58</f>
        <v>118</v>
      </c>
      <c r="K27" s="324"/>
      <c r="S27" s="324"/>
    </row>
    <row r="28" spans="1:19" ht="15" customHeight="1">
      <c r="C28" s="584" t="s">
        <v>1176</v>
      </c>
      <c r="D28" s="331"/>
      <c r="E28" s="1290">
        <f>'Part V-Revenues &amp; Expenses'!K59</f>
        <v>0</v>
      </c>
      <c r="F28" s="1291">
        <f>'Part V-Revenues &amp; Expenses'!L59</f>
        <v>0</v>
      </c>
      <c r="G28" s="1291">
        <f>'Part V-Revenues &amp; Expenses'!M59</f>
        <v>0</v>
      </c>
      <c r="H28" s="1291">
        <f>'Part V-Revenues &amp; Expenses'!N59</f>
        <v>0</v>
      </c>
      <c r="I28" s="1291">
        <f>'Part V-Revenues &amp; Expenses'!O59</f>
        <v>0</v>
      </c>
      <c r="J28" s="1292">
        <f>'Part V-Revenues &amp; Expenses'!P59</f>
        <v>0</v>
      </c>
      <c r="K28" s="324"/>
      <c r="S28" s="324"/>
    </row>
    <row r="29" spans="1:19" ht="13.15" customHeight="1">
      <c r="C29" s="584" t="s">
        <v>1177</v>
      </c>
      <c r="D29" s="331"/>
      <c r="E29" s="1290">
        <f>'Part V-Revenues &amp; Expenses'!K60</f>
        <v>0</v>
      </c>
      <c r="F29" s="1291">
        <f>'Part V-Revenues &amp; Expenses'!L60</f>
        <v>0</v>
      </c>
      <c r="G29" s="1291">
        <f>'Part V-Revenues &amp; Expenses'!M60</f>
        <v>0</v>
      </c>
      <c r="H29" s="1291">
        <f>'Part V-Revenues &amp; Expenses'!N60</f>
        <v>0</v>
      </c>
      <c r="I29" s="1291">
        <f>'Part V-Revenues &amp; Expenses'!O60</f>
        <v>0</v>
      </c>
      <c r="J29" s="1292">
        <f>'Part V-Revenues &amp; Expenses'!P60</f>
        <v>0</v>
      </c>
      <c r="K29" s="324"/>
      <c r="S29" s="324"/>
    </row>
    <row r="30" spans="1:19" ht="13.15" customHeight="1">
      <c r="C30" s="584" t="s">
        <v>1178</v>
      </c>
      <c r="D30" s="331"/>
      <c r="E30" s="1290">
        <f>'Part V-Revenues &amp; Expenses'!K61</f>
        <v>0</v>
      </c>
      <c r="F30" s="1291">
        <f>'Part V-Revenues &amp; Expenses'!L61</f>
        <v>0</v>
      </c>
      <c r="G30" s="1291">
        <f>'Part V-Revenues &amp; Expenses'!M61</f>
        <v>0</v>
      </c>
      <c r="H30" s="1291">
        <f>'Part V-Revenues &amp; Expenses'!N61</f>
        <v>0</v>
      </c>
      <c r="I30" s="1291">
        <f>'Part V-Revenues &amp; Expenses'!O61</f>
        <v>0</v>
      </c>
      <c r="J30" s="1292">
        <f>'Part V-Revenues &amp; Expenses'!P61</f>
        <v>0</v>
      </c>
      <c r="K30" s="324"/>
      <c r="S30" s="324"/>
    </row>
    <row r="31" spans="1:19" ht="13.15" customHeight="1">
      <c r="C31" s="584" t="s">
        <v>1179</v>
      </c>
      <c r="D31" s="331"/>
      <c r="E31" s="1290">
        <f>'Part V-Revenues &amp; Expenses'!K62</f>
        <v>0</v>
      </c>
      <c r="F31" s="1291">
        <f>'Part V-Revenues &amp; Expenses'!L62</f>
        <v>0</v>
      </c>
      <c r="G31" s="1291">
        <f>'Part V-Revenues &amp; Expenses'!M62</f>
        <v>0</v>
      </c>
      <c r="H31" s="1291">
        <f>'Part V-Revenues &amp; Expenses'!N62</f>
        <v>0</v>
      </c>
      <c r="I31" s="1291">
        <f>'Part V-Revenues &amp; Expenses'!O62</f>
        <v>0</v>
      </c>
      <c r="J31" s="1292">
        <f>'Part V-Revenues &amp; Expenses'!P62</f>
        <v>0</v>
      </c>
      <c r="K31" s="324"/>
      <c r="S31" s="324"/>
    </row>
    <row r="32" spans="1:19" ht="13.15" customHeight="1">
      <c r="C32" s="331" t="s">
        <v>296</v>
      </c>
      <c r="D32" s="331"/>
      <c r="E32" s="1293">
        <f>'Part V-Revenues &amp; Expenses'!K63</f>
        <v>0</v>
      </c>
      <c r="F32" s="1287">
        <f>'Part V-Revenues &amp; Expenses'!L63</f>
        <v>38</v>
      </c>
      <c r="G32" s="1287">
        <f>'Part V-Revenues &amp; Expenses'!M63</f>
        <v>60</v>
      </c>
      <c r="H32" s="1287">
        <f>'Part V-Revenues &amp; Expenses'!N63</f>
        <v>20</v>
      </c>
      <c r="I32" s="1287">
        <f>'Part V-Revenues &amp; Expenses'!O63</f>
        <v>0</v>
      </c>
      <c r="J32" s="1294">
        <f>'Part V-Revenues &amp; Expenses'!P63</f>
        <v>118</v>
      </c>
      <c r="K32" s="324"/>
      <c r="S32" s="324"/>
    </row>
    <row r="33" spans="1:12" s="324" customFormat="1" ht="13.15" customHeight="1" thickBot="1">
      <c r="K33" s="1211"/>
    </row>
    <row r="34" spans="1:12" s="324" customFormat="1" ht="14.25" customHeight="1" thickBot="1">
      <c r="A34" s="1211"/>
      <c r="B34" s="4766" t="s">
        <v>3165</v>
      </c>
      <c r="E34" s="4767" t="s">
        <v>3166</v>
      </c>
      <c r="F34" s="4768"/>
      <c r="G34" s="4768"/>
      <c r="H34" s="4768"/>
      <c r="I34" s="4768"/>
      <c r="J34" s="4768"/>
      <c r="K34" s="4768"/>
      <c r="L34" s="4769"/>
    </row>
    <row r="35" spans="1:12" s="324" customFormat="1" ht="14.25" customHeight="1">
      <c r="A35" s="1211"/>
      <c r="B35" s="4766"/>
      <c r="C35" s="4770" t="s">
        <v>3167</v>
      </c>
      <c r="D35" s="4766" t="s">
        <v>3168</v>
      </c>
      <c r="E35" s="4771" t="s">
        <v>3169</v>
      </c>
      <c r="F35" s="4772"/>
      <c r="G35" s="4775" t="s">
        <v>335</v>
      </c>
      <c r="H35" s="4777" t="s">
        <v>3170</v>
      </c>
      <c r="I35" s="4778"/>
      <c r="J35" s="4778"/>
      <c r="K35" s="4778"/>
      <c r="L35" s="4779"/>
    </row>
    <row r="36" spans="1:12" s="324" customFormat="1" ht="23.25" customHeight="1">
      <c r="A36" s="4770" t="s">
        <v>1165</v>
      </c>
      <c r="B36" s="4766"/>
      <c r="C36" s="4770"/>
      <c r="D36" s="4766"/>
      <c r="E36" s="4773"/>
      <c r="F36" s="4774"/>
      <c r="G36" s="4776"/>
      <c r="H36" s="4780" t="s">
        <v>3171</v>
      </c>
      <c r="I36" s="4781"/>
      <c r="J36" s="4784" t="s">
        <v>335</v>
      </c>
      <c r="K36" s="4781" t="s">
        <v>3172</v>
      </c>
      <c r="L36" s="4786"/>
    </row>
    <row r="37" spans="1:12" s="324" customFormat="1" ht="23.25" customHeight="1">
      <c r="A37" s="4770"/>
      <c r="B37" s="4766"/>
      <c r="C37" s="4770"/>
      <c r="D37" s="4766"/>
      <c r="E37" s="4773"/>
      <c r="F37" s="4774"/>
      <c r="G37" s="4776"/>
      <c r="H37" s="4780"/>
      <c r="I37" s="4781"/>
      <c r="J37" s="4785"/>
      <c r="K37" s="4781"/>
      <c r="L37" s="4786"/>
    </row>
    <row r="38" spans="1:12" s="324" customFormat="1" ht="23.25" customHeight="1">
      <c r="A38" s="4766"/>
      <c r="B38" s="4766"/>
      <c r="C38" s="4766"/>
      <c r="D38" s="4766"/>
      <c r="E38" s="4773"/>
      <c r="F38" s="4774"/>
      <c r="G38" s="4776"/>
      <c r="H38" s="4782"/>
      <c r="I38" s="4783"/>
      <c r="J38" s="4785"/>
      <c r="K38" s="4783"/>
      <c r="L38" s="4787"/>
    </row>
    <row r="39" spans="1:12" s="324" customFormat="1" ht="13.15" customHeight="1">
      <c r="A39" s="2867">
        <f>'Part V-Revenues &amp; Expenses'!B18</f>
        <v>60</v>
      </c>
      <c r="B39" s="1280">
        <f>'Part V-Revenues &amp; Expenses'!E18</f>
        <v>15</v>
      </c>
      <c r="C39" s="1281" t="str">
        <f>_xlfn.CONCAT('Part V-Revenues &amp; Expenses'!C18," / ",'Part V-Revenues &amp; Expenses'!D18)</f>
        <v>1 / 1</v>
      </c>
      <c r="D39" s="1280">
        <f>'Part V-Revenues &amp; Expenses'!F18</f>
        <v>802</v>
      </c>
      <c r="E39" s="4790">
        <f>'Part V-Revenues &amp; Expenses'!H18</f>
        <v>802</v>
      </c>
      <c r="F39" s="4791"/>
      <c r="G39" s="331"/>
      <c r="H39" s="4760"/>
      <c r="I39" s="4761"/>
      <c r="J39" s="4761"/>
      <c r="K39" s="4761"/>
      <c r="L39" s="4762"/>
    </row>
    <row r="40" spans="1:12" s="324" customFormat="1" ht="13.15" customHeight="1">
      <c r="A40" s="1282">
        <f>'Part V-Revenues &amp; Expenses'!B19</f>
        <v>60</v>
      </c>
      <c r="B40" s="1283">
        <f>'Part V-Revenues &amp; Expenses'!E19</f>
        <v>1</v>
      </c>
      <c r="C40" s="1284" t="str">
        <f>_xlfn.CONCAT('Part V-Revenues &amp; Expenses'!C19," / ",'Part V-Revenues &amp; Expenses'!D19)</f>
        <v>1 / 1</v>
      </c>
      <c r="D40" s="1283">
        <f>'Part V-Revenues &amp; Expenses'!F19</f>
        <v>989</v>
      </c>
      <c r="E40" s="4758">
        <f>'Part V-Revenues &amp; Expenses'!H19</f>
        <v>802</v>
      </c>
      <c r="F40" s="4759"/>
      <c r="G40" s="331"/>
      <c r="H40" s="4755"/>
      <c r="I40" s="4756"/>
      <c r="J40" s="4756"/>
      <c r="K40" s="4756"/>
      <c r="L40" s="4757"/>
    </row>
    <row r="41" spans="1:12" s="324" customFormat="1" ht="13.15" customHeight="1">
      <c r="A41" s="1282">
        <f>'Part V-Revenues &amp; Expenses'!B20</f>
        <v>60</v>
      </c>
      <c r="B41" s="1283">
        <f>'Part V-Revenues &amp; Expenses'!E20</f>
        <v>21</v>
      </c>
      <c r="C41" s="1284" t="str">
        <f>_xlfn.CONCAT('Part V-Revenues &amp; Expenses'!C20," / ",'Part V-Revenues &amp; Expenses'!D20)</f>
        <v>2 / 1</v>
      </c>
      <c r="D41" s="1283">
        <f>'Part V-Revenues &amp; Expenses'!F20</f>
        <v>989</v>
      </c>
      <c r="E41" s="4758">
        <f>'Part V-Revenues &amp; Expenses'!H20</f>
        <v>930</v>
      </c>
      <c r="F41" s="4759"/>
      <c r="G41" s="331"/>
      <c r="H41" s="4755"/>
      <c r="I41" s="4756"/>
      <c r="J41" s="4756"/>
      <c r="K41" s="4756"/>
      <c r="L41" s="4757"/>
    </row>
    <row r="42" spans="1:12" s="324" customFormat="1" ht="13.15" customHeight="1">
      <c r="A42" s="1282">
        <f>'Part V-Revenues &amp; Expenses'!B21</f>
        <v>60</v>
      </c>
      <c r="B42" s="1283">
        <f>'Part V-Revenues &amp; Expenses'!E21</f>
        <v>6</v>
      </c>
      <c r="C42" s="1284" t="str">
        <f>_xlfn.CONCAT('Part V-Revenues &amp; Expenses'!C21," / ",'Part V-Revenues &amp; Expenses'!D21)</f>
        <v>2 / 1.5</v>
      </c>
      <c r="D42" s="1283">
        <f>'Part V-Revenues &amp; Expenses'!F21</f>
        <v>1107</v>
      </c>
      <c r="E42" s="4758">
        <f>'Part V-Revenues &amp; Expenses'!H21</f>
        <v>930</v>
      </c>
      <c r="F42" s="4759"/>
      <c r="G42" s="331"/>
      <c r="H42" s="4755"/>
      <c r="I42" s="4756"/>
      <c r="J42" s="4756"/>
      <c r="K42" s="4756"/>
      <c r="L42" s="4757"/>
    </row>
    <row r="43" spans="1:12" s="324" customFormat="1" ht="13.15" customHeight="1">
      <c r="A43" s="1282">
        <f>'Part V-Revenues &amp; Expenses'!B22</f>
        <v>60</v>
      </c>
      <c r="B43" s="1283">
        <f>'Part V-Revenues &amp; Expenses'!E22</f>
        <v>1</v>
      </c>
      <c r="C43" s="1284" t="str">
        <f>_xlfn.CONCAT('Part V-Revenues &amp; Expenses'!C22," / ",'Part V-Revenues &amp; Expenses'!D22)</f>
        <v>2 / 1.5</v>
      </c>
      <c r="D43" s="1283">
        <f>'Part V-Revenues &amp; Expenses'!F22</f>
        <v>1146</v>
      </c>
      <c r="E43" s="4758">
        <f>'Part V-Revenues &amp; Expenses'!H22</f>
        <v>930</v>
      </c>
      <c r="F43" s="4759"/>
      <c r="G43" s="331"/>
      <c r="H43" s="4755"/>
      <c r="I43" s="4756"/>
      <c r="J43" s="4756"/>
      <c r="K43" s="4756"/>
      <c r="L43" s="4757"/>
    </row>
    <row r="44" spans="1:12" s="324" customFormat="1" ht="13.15" customHeight="1">
      <c r="A44" s="1282">
        <f>'Part V-Revenues &amp; Expenses'!B23</f>
        <v>60</v>
      </c>
      <c r="B44" s="1283">
        <f>'Part V-Revenues &amp; Expenses'!E23</f>
        <v>1</v>
      </c>
      <c r="C44" s="1284" t="str">
        <f>_xlfn.CONCAT('Part V-Revenues &amp; Expenses'!C23," / ",'Part V-Revenues &amp; Expenses'!D23)</f>
        <v>2 / 2</v>
      </c>
      <c r="D44" s="1283">
        <f>'Part V-Revenues &amp; Expenses'!F23</f>
        <v>1188</v>
      </c>
      <c r="E44" s="4758">
        <f>'Part V-Revenues &amp; Expenses'!H23</f>
        <v>930</v>
      </c>
      <c r="F44" s="4759"/>
      <c r="G44" s="331"/>
      <c r="H44" s="4755"/>
      <c r="I44" s="4756"/>
      <c r="J44" s="4756"/>
      <c r="K44" s="4756"/>
      <c r="L44" s="4757"/>
    </row>
    <row r="45" spans="1:12" s="324" customFormat="1" ht="13.15" customHeight="1">
      <c r="A45" s="1282">
        <f>'Part V-Revenues &amp; Expenses'!B24</f>
        <v>60</v>
      </c>
      <c r="B45" s="1283">
        <f>'Part V-Revenues &amp; Expenses'!E24</f>
        <v>2</v>
      </c>
      <c r="C45" s="1284" t="str">
        <f>_xlfn.CONCAT('Part V-Revenues &amp; Expenses'!C24," / ",'Part V-Revenues &amp; Expenses'!D24)</f>
        <v>2 / 2</v>
      </c>
      <c r="D45" s="1283">
        <f>'Part V-Revenues &amp; Expenses'!F24</f>
        <v>1223</v>
      </c>
      <c r="E45" s="4758">
        <f>'Part V-Revenues &amp; Expenses'!H24</f>
        <v>930</v>
      </c>
      <c r="F45" s="4759"/>
      <c r="G45" s="331"/>
      <c r="H45" s="4755"/>
      <c r="I45" s="4756"/>
      <c r="J45" s="4756"/>
      <c r="K45" s="4756"/>
      <c r="L45" s="4757"/>
    </row>
    <row r="46" spans="1:12" s="324" customFormat="1" ht="13.15" customHeight="1">
      <c r="A46" s="1282">
        <f>'Part V-Revenues &amp; Expenses'!B25</f>
        <v>0</v>
      </c>
      <c r="B46" s="1283">
        <f>'Part V-Revenues &amp; Expenses'!E25</f>
        <v>0</v>
      </c>
      <c r="C46" s="1284" t="str">
        <f>_xlfn.CONCAT('Part V-Revenues &amp; Expenses'!C25," / ",'Part V-Revenues &amp; Expenses'!D25)</f>
        <v xml:space="preserve"> / </v>
      </c>
      <c r="D46" s="1283">
        <f>'Part V-Revenues &amp; Expenses'!F25</f>
        <v>0</v>
      </c>
      <c r="E46" s="4758">
        <f>'Part V-Revenues &amp; Expenses'!H25</f>
        <v>0</v>
      </c>
      <c r="F46" s="4759"/>
      <c r="G46" s="331"/>
      <c r="H46" s="4755"/>
      <c r="I46" s="4756"/>
      <c r="J46" s="4756"/>
      <c r="K46" s="4756"/>
      <c r="L46" s="4757"/>
    </row>
    <row r="47" spans="1:12" s="324" customFormat="1" ht="13.15" customHeight="1">
      <c r="A47" s="1282">
        <f>'Part V-Revenues &amp; Expenses'!B26</f>
        <v>60</v>
      </c>
      <c r="B47" s="1283">
        <f>'Part V-Revenues &amp; Expenses'!E26</f>
        <v>2</v>
      </c>
      <c r="C47" s="1284" t="str">
        <f>_xlfn.CONCAT('Part V-Revenues &amp; Expenses'!C26," / ",'Part V-Revenues &amp; Expenses'!D26)</f>
        <v>2 / 2</v>
      </c>
      <c r="D47" s="1283">
        <f>'Part V-Revenues &amp; Expenses'!F26</f>
        <v>1089</v>
      </c>
      <c r="E47" s="4758">
        <f>'Part V-Revenues &amp; Expenses'!H26</f>
        <v>1485.0000000000002</v>
      </c>
      <c r="F47" s="4759"/>
      <c r="G47" s="331"/>
      <c r="H47" s="4755"/>
      <c r="I47" s="4756"/>
      <c r="J47" s="4756"/>
      <c r="K47" s="4756"/>
      <c r="L47" s="4757"/>
    </row>
    <row r="48" spans="1:12" s="324" customFormat="1" ht="13.15" customHeight="1">
      <c r="A48" s="1282">
        <f>'Part V-Revenues &amp; Expenses'!B27</f>
        <v>60</v>
      </c>
      <c r="B48" s="1283">
        <f>'Part V-Revenues &amp; Expenses'!E27</f>
        <v>1</v>
      </c>
      <c r="C48" s="1284" t="str">
        <f>_xlfn.CONCAT('Part V-Revenues &amp; Expenses'!C27," / ",'Part V-Revenues &amp; Expenses'!D27)</f>
        <v>2 / 2</v>
      </c>
      <c r="D48" s="1283">
        <f>'Part V-Revenues &amp; Expenses'!F27</f>
        <v>1176</v>
      </c>
      <c r="E48" s="4758">
        <f>'Part V-Revenues &amp; Expenses'!H27</f>
        <v>1485.0000000000002</v>
      </c>
      <c r="F48" s="4759"/>
      <c r="G48" s="331"/>
      <c r="H48" s="4755"/>
      <c r="I48" s="4756"/>
      <c r="J48" s="4756"/>
      <c r="K48" s="4756"/>
      <c r="L48" s="4757"/>
    </row>
    <row r="49" spans="1:13" s="324" customFormat="1" ht="13.15" customHeight="1">
      <c r="A49" s="1282">
        <f>'Part V-Revenues &amp; Expenses'!B28</f>
        <v>60</v>
      </c>
      <c r="B49" s="1283">
        <f>'Part V-Revenues &amp; Expenses'!E28</f>
        <v>6</v>
      </c>
      <c r="C49" s="1284" t="str">
        <f>_xlfn.CONCAT('Part V-Revenues &amp; Expenses'!C28," / ",'Part V-Revenues &amp; Expenses'!D28)</f>
        <v>2 / 2</v>
      </c>
      <c r="D49" s="1283">
        <f>'Part V-Revenues &amp; Expenses'!F28</f>
        <v>1188</v>
      </c>
      <c r="E49" s="4758">
        <f>'Part V-Revenues &amp; Expenses'!H28</f>
        <v>1485.0000000000002</v>
      </c>
      <c r="F49" s="4759"/>
      <c r="G49" s="331"/>
      <c r="H49" s="4755"/>
      <c r="I49" s="4756"/>
      <c r="J49" s="4756"/>
      <c r="K49" s="4756"/>
      <c r="L49" s="4757"/>
    </row>
    <row r="50" spans="1:13" s="324" customFormat="1" ht="13.15" customHeight="1">
      <c r="A50" s="1282">
        <f>'Part V-Revenues &amp; Expenses'!B29</f>
        <v>60</v>
      </c>
      <c r="B50" s="1283">
        <f>'Part V-Revenues &amp; Expenses'!E29</f>
        <v>6</v>
      </c>
      <c r="C50" s="1284" t="str">
        <f>_xlfn.CONCAT('Part V-Revenues &amp; Expenses'!C29," / ",'Part V-Revenues &amp; Expenses'!D29)</f>
        <v>2 / 2</v>
      </c>
      <c r="D50" s="1283">
        <f>'Part V-Revenues &amp; Expenses'!F29</f>
        <v>1223</v>
      </c>
      <c r="E50" s="4758">
        <f>'Part V-Revenues &amp; Expenses'!H29</f>
        <v>1485.0000000000002</v>
      </c>
      <c r="F50" s="4759"/>
      <c r="G50" s="331"/>
      <c r="H50" s="4755"/>
      <c r="I50" s="4756"/>
      <c r="J50" s="4756"/>
      <c r="K50" s="4756"/>
      <c r="L50" s="4757"/>
    </row>
    <row r="51" spans="1:13" s="324" customFormat="1" ht="13.15" customHeight="1">
      <c r="A51" s="1282">
        <f>'Part V-Revenues &amp; Expenses'!B30</f>
        <v>60</v>
      </c>
      <c r="B51" s="1283">
        <f>'Part V-Revenues &amp; Expenses'!E30</f>
        <v>8</v>
      </c>
      <c r="C51" s="1284" t="str">
        <f>_xlfn.CONCAT('Part V-Revenues &amp; Expenses'!C30," / ",'Part V-Revenues &amp; Expenses'!D30)</f>
        <v>3 / 2</v>
      </c>
      <c r="D51" s="1283">
        <f>'Part V-Revenues &amp; Expenses'!F30</f>
        <v>1278</v>
      </c>
      <c r="E51" s="4758">
        <f>'Part V-Revenues &amp; Expenses'!H30</f>
        <v>1804.0000000000002</v>
      </c>
      <c r="F51" s="4759"/>
      <c r="G51" s="331"/>
      <c r="H51" s="4755"/>
      <c r="I51" s="4756"/>
      <c r="J51" s="4756"/>
      <c r="K51" s="4756"/>
      <c r="L51" s="4757"/>
    </row>
    <row r="52" spans="1:13" s="324" customFormat="1" ht="13.15" customHeight="1">
      <c r="A52" s="1282">
        <f>'Part V-Revenues &amp; Expenses'!B31</f>
        <v>60</v>
      </c>
      <c r="B52" s="1283">
        <f>'Part V-Revenues &amp; Expenses'!E31</f>
        <v>2</v>
      </c>
      <c r="C52" s="1284" t="str">
        <f>_xlfn.CONCAT('Part V-Revenues &amp; Expenses'!C31," / ",'Part V-Revenues &amp; Expenses'!D31)</f>
        <v>3 / 2.5</v>
      </c>
      <c r="D52" s="1283">
        <f>'Part V-Revenues &amp; Expenses'!F31</f>
        <v>1349</v>
      </c>
      <c r="E52" s="4758">
        <f>'Part V-Revenues &amp; Expenses'!H31</f>
        <v>1804.0000000000002</v>
      </c>
      <c r="F52" s="4759"/>
      <c r="G52" s="331"/>
      <c r="H52" s="4755"/>
      <c r="I52" s="4756"/>
      <c r="J52" s="4756"/>
      <c r="K52" s="4756"/>
      <c r="L52" s="4757"/>
    </row>
    <row r="53" spans="1:13" s="324" customFormat="1" ht="13.15" customHeight="1">
      <c r="A53" s="1282">
        <f>'Part V-Revenues &amp; Expenses'!B32</f>
        <v>60</v>
      </c>
      <c r="B53" s="1283">
        <f>'Part V-Revenues &amp; Expenses'!E32</f>
        <v>1</v>
      </c>
      <c r="C53" s="1284" t="str">
        <f>_xlfn.CONCAT('Part V-Revenues &amp; Expenses'!C32," / ",'Part V-Revenues &amp; Expenses'!D32)</f>
        <v>3 / 2.5</v>
      </c>
      <c r="D53" s="1283">
        <f>'Part V-Revenues &amp; Expenses'!F32</f>
        <v>1349</v>
      </c>
      <c r="E53" s="4758">
        <f>'Part V-Revenues &amp; Expenses'!H32</f>
        <v>1804.0000000000002</v>
      </c>
      <c r="F53" s="4759"/>
      <c r="G53" s="331"/>
      <c r="H53" s="4755"/>
      <c r="I53" s="4756"/>
      <c r="J53" s="4756"/>
      <c r="K53" s="4756"/>
      <c r="L53" s="4757"/>
    </row>
    <row r="54" spans="1:13" s="324" customFormat="1" ht="13.15" customHeight="1">
      <c r="A54" s="1282">
        <f>'Part V-Revenues &amp; Expenses'!B33</f>
        <v>60</v>
      </c>
      <c r="B54" s="1283">
        <f>'Part V-Revenues &amp; Expenses'!E33</f>
        <v>5</v>
      </c>
      <c r="C54" s="1284" t="str">
        <f>_xlfn.CONCAT('Part V-Revenues &amp; Expenses'!C33," / ",'Part V-Revenues &amp; Expenses'!D33)</f>
        <v>3 / 2.5</v>
      </c>
      <c r="D54" s="1283">
        <f>'Part V-Revenues &amp; Expenses'!F33</f>
        <v>1392</v>
      </c>
      <c r="E54" s="4758">
        <f>'Part V-Revenues &amp; Expenses'!H33</f>
        <v>1804.0000000000002</v>
      </c>
      <c r="F54" s="4759"/>
      <c r="G54" s="331"/>
      <c r="H54" s="4755"/>
      <c r="I54" s="4756"/>
      <c r="J54" s="4756"/>
      <c r="K54" s="4756"/>
      <c r="L54" s="4757"/>
    </row>
    <row r="55" spans="1:13" s="324" customFormat="1" ht="13.15" customHeight="1">
      <c r="A55" s="1282">
        <f>'Part V-Revenues &amp; Expenses'!B34</f>
        <v>0</v>
      </c>
      <c r="B55" s="1283">
        <f>'Part V-Revenues &amp; Expenses'!E34</f>
        <v>0</v>
      </c>
      <c r="C55" s="1284" t="str">
        <f>_xlfn.CONCAT('Part V-Revenues &amp; Expenses'!C34," / ",'Part V-Revenues &amp; Expenses'!D34)</f>
        <v xml:space="preserve"> / </v>
      </c>
      <c r="D55" s="1283">
        <f>'Part V-Revenues &amp; Expenses'!F34</f>
        <v>0</v>
      </c>
      <c r="E55" s="4758">
        <f>'Part V-Revenues &amp; Expenses'!H34</f>
        <v>0</v>
      </c>
      <c r="F55" s="4759"/>
      <c r="G55" s="331"/>
      <c r="H55" s="4755"/>
      <c r="I55" s="4756"/>
      <c r="J55" s="4756"/>
      <c r="K55" s="4756"/>
      <c r="L55" s="4757"/>
    </row>
    <row r="56" spans="1:13" s="324" customFormat="1" ht="13.15" customHeight="1">
      <c r="A56" s="1282">
        <f>'Part V-Revenues &amp; Expenses'!B35</f>
        <v>60</v>
      </c>
      <c r="B56" s="1283">
        <f>'Part V-Revenues &amp; Expenses'!E35</f>
        <v>21</v>
      </c>
      <c r="C56" s="1284" t="str">
        <f>_xlfn.CONCAT('Part V-Revenues &amp; Expenses'!C35," / ",'Part V-Revenues &amp; Expenses'!D35)</f>
        <v>1 / 1</v>
      </c>
      <c r="D56" s="1283">
        <f>'Part V-Revenues &amp; Expenses'!F35</f>
        <v>802</v>
      </c>
      <c r="E56" s="4758">
        <f>'Part V-Revenues &amp; Expenses'!H35</f>
        <v>1149</v>
      </c>
      <c r="F56" s="4759"/>
      <c r="G56" s="331"/>
      <c r="H56" s="4755"/>
      <c r="I56" s="4756"/>
      <c r="J56" s="4756"/>
      <c r="K56" s="4756"/>
      <c r="L56" s="4757"/>
    </row>
    <row r="57" spans="1:13" s="324" customFormat="1" ht="13.15" customHeight="1">
      <c r="A57" s="1282">
        <f>'Part V-Revenues &amp; Expenses'!B36</f>
        <v>60</v>
      </c>
      <c r="B57" s="1283">
        <f>'Part V-Revenues &amp; Expenses'!E36</f>
        <v>1</v>
      </c>
      <c r="C57" s="1284" t="str">
        <f>_xlfn.CONCAT('Part V-Revenues &amp; Expenses'!C36," / ",'Part V-Revenues &amp; Expenses'!D36)</f>
        <v>1 / 1</v>
      </c>
      <c r="D57" s="1283">
        <f>'Part V-Revenues &amp; Expenses'!F36</f>
        <v>730</v>
      </c>
      <c r="E57" s="4758">
        <f>'Part V-Revenues &amp; Expenses'!H36</f>
        <v>1149</v>
      </c>
      <c r="F57" s="4759"/>
      <c r="G57" s="331"/>
      <c r="H57" s="4755"/>
      <c r="I57" s="4756"/>
      <c r="J57" s="4756"/>
      <c r="K57" s="4756"/>
      <c r="L57" s="4757"/>
    </row>
    <row r="58" spans="1:13" s="324" customFormat="1" ht="13.15" customHeight="1">
      <c r="A58" s="1282">
        <f>'Part V-Revenues &amp; Expenses'!B37</f>
        <v>60</v>
      </c>
      <c r="B58" s="1283">
        <f>'Part V-Revenues &amp; Expenses'!E37</f>
        <v>6</v>
      </c>
      <c r="C58" s="1284" t="str">
        <f>_xlfn.CONCAT('Part V-Revenues &amp; Expenses'!C37," / ",'Part V-Revenues &amp; Expenses'!D37)</f>
        <v>2 / 1</v>
      </c>
      <c r="D58" s="1283">
        <f>'Part V-Revenues &amp; Expenses'!F37</f>
        <v>989</v>
      </c>
      <c r="E58" s="4758">
        <f>'Part V-Revenues &amp; Expenses'!H37</f>
        <v>1378</v>
      </c>
      <c r="F58" s="4759"/>
      <c r="G58" s="331"/>
      <c r="H58" s="4755"/>
      <c r="I58" s="4756"/>
      <c r="J58" s="4756"/>
      <c r="K58" s="4756"/>
      <c r="L58" s="4757"/>
    </row>
    <row r="59" spans="1:13" s="324" customFormat="1" ht="13.15" customHeight="1">
      <c r="A59" s="1282">
        <f>'Part V-Revenues &amp; Expenses'!B38</f>
        <v>60</v>
      </c>
      <c r="B59" s="1283">
        <f>'Part V-Revenues &amp; Expenses'!E38</f>
        <v>2</v>
      </c>
      <c r="C59" s="1284" t="str">
        <f>_xlfn.CONCAT('Part V-Revenues &amp; Expenses'!C38," / ",'Part V-Revenues &amp; Expenses'!D38)</f>
        <v>2 / 1.5</v>
      </c>
      <c r="D59" s="1283">
        <f>'Part V-Revenues &amp; Expenses'!F38</f>
        <v>1107</v>
      </c>
      <c r="E59" s="4758">
        <f>'Part V-Revenues &amp; Expenses'!H38</f>
        <v>1378</v>
      </c>
      <c r="F59" s="4759"/>
      <c r="G59" s="331"/>
      <c r="H59" s="4755"/>
      <c r="I59" s="4756"/>
      <c r="J59" s="4756"/>
      <c r="K59" s="4756"/>
      <c r="L59" s="4757"/>
    </row>
    <row r="60" spans="1:13" s="324" customFormat="1" ht="13.15" customHeight="1">
      <c r="A60" s="1282">
        <f>'Part V-Revenues &amp; Expenses'!B39</f>
        <v>60</v>
      </c>
      <c r="B60" s="1283">
        <f>'Part V-Revenues &amp; Expenses'!E39</f>
        <v>1</v>
      </c>
      <c r="C60" s="1284" t="str">
        <f>_xlfn.CONCAT('Part V-Revenues &amp; Expenses'!C39," / ",'Part V-Revenues &amp; Expenses'!D39)</f>
        <v>2 / 1.5</v>
      </c>
      <c r="D60" s="1283">
        <f>'Part V-Revenues &amp; Expenses'!F39</f>
        <v>1146</v>
      </c>
      <c r="E60" s="4758">
        <f>'Part V-Revenues &amp; Expenses'!H39</f>
        <v>1378</v>
      </c>
      <c r="F60" s="4759"/>
      <c r="G60" s="331"/>
      <c r="H60" s="4755"/>
      <c r="I60" s="4756"/>
      <c r="J60" s="4756"/>
      <c r="K60" s="4756"/>
      <c r="L60" s="4757"/>
      <c r="M60" s="482"/>
    </row>
    <row r="61" spans="1:13" s="324" customFormat="1" ht="13.15" customHeight="1">
      <c r="A61" s="1282">
        <f>'Part V-Revenues &amp; Expenses'!B40</f>
        <v>60</v>
      </c>
      <c r="B61" s="1283">
        <f>'Part V-Revenues &amp; Expenses'!E40</f>
        <v>1</v>
      </c>
      <c r="C61" s="1284" t="str">
        <f>_xlfn.CONCAT('Part V-Revenues &amp; Expenses'!C40," / ",'Part V-Revenues &amp; Expenses'!D40)</f>
        <v>2 / 2</v>
      </c>
      <c r="D61" s="1283">
        <f>'Part V-Revenues &amp; Expenses'!F40</f>
        <v>1176</v>
      </c>
      <c r="E61" s="4758">
        <f>'Part V-Revenues &amp; Expenses'!H40</f>
        <v>1378</v>
      </c>
      <c r="F61" s="4759"/>
      <c r="G61" s="331"/>
      <c r="H61" s="4755"/>
      <c r="I61" s="4756"/>
      <c r="J61" s="4756"/>
      <c r="K61" s="4756"/>
      <c r="L61" s="4757"/>
      <c r="M61" s="482"/>
    </row>
    <row r="62" spans="1:13" s="324" customFormat="1" ht="13.15" customHeight="1">
      <c r="A62" s="1282">
        <f>'Part V-Revenues &amp; Expenses'!B41</f>
        <v>60</v>
      </c>
      <c r="B62" s="1283">
        <f>'Part V-Revenues &amp; Expenses'!E41</f>
        <v>4</v>
      </c>
      <c r="C62" s="1284" t="str">
        <f>_xlfn.CONCAT('Part V-Revenues &amp; Expenses'!C41," / ",'Part V-Revenues &amp; Expenses'!D41)</f>
        <v>2 / 2</v>
      </c>
      <c r="D62" s="1283">
        <f>'Part V-Revenues &amp; Expenses'!F41</f>
        <v>1223</v>
      </c>
      <c r="E62" s="4758">
        <f>'Part V-Revenues &amp; Expenses'!H41</f>
        <v>1378</v>
      </c>
      <c r="F62" s="4759"/>
      <c r="G62" s="331"/>
      <c r="H62" s="4755"/>
      <c r="I62" s="4756"/>
      <c r="J62" s="4756"/>
      <c r="K62" s="4756"/>
      <c r="L62" s="4757"/>
      <c r="M62" s="482"/>
    </row>
    <row r="63" spans="1:13" s="324" customFormat="1" ht="13.15" customHeight="1">
      <c r="A63" s="1282">
        <f>'Part V-Revenues &amp; Expenses'!B42</f>
        <v>60</v>
      </c>
      <c r="B63" s="1283">
        <f>'Part V-Revenues &amp; Expenses'!E42</f>
        <v>1</v>
      </c>
      <c r="C63" s="1284" t="str">
        <f>_xlfn.CONCAT('Part V-Revenues &amp; Expenses'!C42," / ",'Part V-Revenues &amp; Expenses'!D42)</f>
        <v>3 / 2.5</v>
      </c>
      <c r="D63" s="1283">
        <f>'Part V-Revenues &amp; Expenses'!F42</f>
        <v>1107</v>
      </c>
      <c r="E63" s="4758">
        <f>'Part V-Revenues &amp; Expenses'!H42</f>
        <v>1593</v>
      </c>
      <c r="F63" s="4759"/>
      <c r="G63" s="331"/>
      <c r="H63" s="4755"/>
      <c r="I63" s="4756"/>
      <c r="J63" s="4756"/>
      <c r="K63" s="4756"/>
      <c r="L63" s="4757"/>
      <c r="M63" s="482"/>
    </row>
    <row r="64" spans="1:13" s="324" customFormat="1" ht="13.15" customHeight="1">
      <c r="A64" s="1282">
        <f>'Part V-Revenues &amp; Expenses'!B43</f>
        <v>60</v>
      </c>
      <c r="B64" s="1283">
        <f>'Part V-Revenues &amp; Expenses'!E43</f>
        <v>2</v>
      </c>
      <c r="C64" s="1284" t="str">
        <f>_xlfn.CONCAT('Part V-Revenues &amp; Expenses'!C43," / ",'Part V-Revenues &amp; Expenses'!D43)</f>
        <v>3 / 2</v>
      </c>
      <c r="D64" s="1283">
        <f>'Part V-Revenues &amp; Expenses'!F43</f>
        <v>1278</v>
      </c>
      <c r="E64" s="4758">
        <f>'Part V-Revenues &amp; Expenses'!H43</f>
        <v>1593</v>
      </c>
      <c r="F64" s="4759"/>
      <c r="G64" s="331"/>
      <c r="H64" s="4755"/>
      <c r="I64" s="4756"/>
      <c r="J64" s="4756"/>
      <c r="K64" s="4756"/>
      <c r="L64" s="4757"/>
      <c r="M64" s="482"/>
    </row>
    <row r="65" spans="1:19" ht="13.15" customHeight="1">
      <c r="A65" s="1282">
        <f>'Part V-Revenues &amp; Expenses'!B44</f>
        <v>60</v>
      </c>
      <c r="B65" s="1283">
        <f>'Part V-Revenues &amp; Expenses'!E44</f>
        <v>1</v>
      </c>
      <c r="C65" s="1284" t="str">
        <f>_xlfn.CONCAT('Part V-Revenues &amp; Expenses'!C44," / ",'Part V-Revenues &amp; Expenses'!D44)</f>
        <v>3 / 2.5</v>
      </c>
      <c r="D65" s="1283">
        <f>'Part V-Revenues &amp; Expenses'!F44</f>
        <v>1392</v>
      </c>
      <c r="E65" s="4758">
        <f>'Part V-Revenues &amp; Expenses'!H44</f>
        <v>1593</v>
      </c>
      <c r="F65" s="4759"/>
      <c r="G65" s="331"/>
      <c r="H65" s="4755"/>
      <c r="I65" s="4756"/>
      <c r="J65" s="4756"/>
      <c r="K65" s="4756"/>
      <c r="L65" s="4757"/>
      <c r="M65" s="482"/>
      <c r="S65" s="324"/>
    </row>
    <row r="66" spans="1:19" ht="13.15" customHeight="1">
      <c r="A66" s="1282">
        <f>'Part V-Revenues &amp; Expenses'!B45</f>
        <v>0</v>
      </c>
      <c r="B66" s="1283">
        <f>'Part V-Revenues &amp; Expenses'!E45</f>
        <v>0</v>
      </c>
      <c r="C66" s="1284" t="str">
        <f>_xlfn.CONCAT('Part V-Revenues &amp; Expenses'!C45," / ",'Part V-Revenues &amp; Expenses'!D45)</f>
        <v xml:space="preserve"> / </v>
      </c>
      <c r="D66" s="1283">
        <f>'Part V-Revenues &amp; Expenses'!F45</f>
        <v>0</v>
      </c>
      <c r="E66" s="4758">
        <f>'Part V-Revenues &amp; Expenses'!H45</f>
        <v>0</v>
      </c>
      <c r="F66" s="4759"/>
      <c r="G66" s="331"/>
      <c r="H66" s="4755"/>
      <c r="I66" s="4756"/>
      <c r="J66" s="4756"/>
      <c r="K66" s="4756"/>
      <c r="L66" s="4757"/>
      <c r="M66" s="482"/>
      <c r="S66" s="324"/>
    </row>
    <row r="67" spans="1:19" ht="13.15" customHeight="1">
      <c r="A67" s="1282">
        <f>'Part V-Revenues &amp; Expenses'!B46</f>
        <v>0</v>
      </c>
      <c r="B67" s="1283">
        <f>'Part V-Revenues &amp; Expenses'!E46</f>
        <v>0</v>
      </c>
      <c r="C67" s="1284" t="str">
        <f>_xlfn.CONCAT('Part V-Revenues &amp; Expenses'!C46," / ",'Part V-Revenues &amp; Expenses'!D46)</f>
        <v xml:space="preserve"> / </v>
      </c>
      <c r="D67" s="1283">
        <f>'Part V-Revenues &amp; Expenses'!F46</f>
        <v>0</v>
      </c>
      <c r="E67" s="4758">
        <f>'Part V-Revenues &amp; Expenses'!H46</f>
        <v>0</v>
      </c>
      <c r="F67" s="4759"/>
      <c r="G67" s="331"/>
      <c r="H67" s="4755"/>
      <c r="I67" s="4756"/>
      <c r="J67" s="4756"/>
      <c r="K67" s="4756"/>
      <c r="L67" s="4757"/>
      <c r="M67" s="482"/>
      <c r="S67" s="324"/>
    </row>
    <row r="68" spans="1:19" ht="13.15" customHeight="1">
      <c r="A68" s="1282">
        <f>'Part V-Revenues &amp; Expenses'!B47</f>
        <v>0</v>
      </c>
      <c r="B68" s="1283">
        <f>'Part V-Revenues &amp; Expenses'!E47</f>
        <v>0</v>
      </c>
      <c r="C68" s="1284" t="str">
        <f>_xlfn.CONCAT('Part V-Revenues &amp; Expenses'!C47," / ",'Part V-Revenues &amp; Expenses'!D47)</f>
        <v xml:space="preserve"> / </v>
      </c>
      <c r="D68" s="1283">
        <f>'Part V-Revenues &amp; Expenses'!F47</f>
        <v>0</v>
      </c>
      <c r="E68" s="4758">
        <f>'Part V-Revenues &amp; Expenses'!H47</f>
        <v>0</v>
      </c>
      <c r="F68" s="4759"/>
      <c r="G68" s="331"/>
      <c r="H68" s="4755"/>
      <c r="I68" s="4756"/>
      <c r="J68" s="4756"/>
      <c r="K68" s="4756"/>
      <c r="L68" s="4757"/>
      <c r="M68" s="482"/>
      <c r="S68" s="324"/>
    </row>
    <row r="69" spans="1:19" ht="13.15" customHeight="1">
      <c r="A69" s="1285">
        <f>'Part V-Revenues &amp; Expenses'!B48</f>
        <v>0</v>
      </c>
      <c r="B69" s="1286">
        <f>'Part V-Revenues &amp; Expenses'!E48</f>
        <v>0</v>
      </c>
      <c r="C69" s="1287" t="str">
        <f>_xlfn.CONCAT('Part V-Revenues &amp; Expenses'!C48," / ",'Part V-Revenues &amp; Expenses'!D48)</f>
        <v xml:space="preserve"> / </v>
      </c>
      <c r="D69" s="1286">
        <f>'Part V-Revenues &amp; Expenses'!F48</f>
        <v>0</v>
      </c>
      <c r="E69" s="4788">
        <f>'Part V-Revenues &amp; Expenses'!H48</f>
        <v>0</v>
      </c>
      <c r="F69" s="4789"/>
      <c r="G69" s="1288"/>
      <c r="H69" s="4763"/>
      <c r="I69" s="4764"/>
      <c r="J69" s="4764"/>
      <c r="K69" s="4764"/>
      <c r="L69" s="4765"/>
      <c r="M69" s="482"/>
      <c r="S69" s="324"/>
    </row>
    <row r="70" spans="1:19" ht="13.15" customHeight="1">
      <c r="C70" s="1211"/>
      <c r="F70" s="482"/>
      <c r="G70" s="482"/>
      <c r="H70" s="482"/>
      <c r="I70" s="482"/>
      <c r="J70" s="482"/>
      <c r="K70" s="1210"/>
      <c r="L70" s="482"/>
      <c r="M70" s="482"/>
      <c r="S70" s="324"/>
    </row>
    <row r="71" spans="1:19" ht="13.15" customHeight="1">
      <c r="C71" s="1211"/>
      <c r="F71" s="482"/>
      <c r="G71" s="482"/>
      <c r="H71" s="482"/>
      <c r="I71" s="482"/>
      <c r="J71" s="482"/>
      <c r="K71" s="1210"/>
      <c r="L71" s="482"/>
      <c r="M71" s="482"/>
      <c r="S71" s="324"/>
    </row>
    <row r="72" spans="1:19" ht="13.15" customHeight="1">
      <c r="C72" s="1211"/>
      <c r="F72" s="482"/>
      <c r="G72" s="482"/>
      <c r="H72" s="482"/>
      <c r="I72" s="482"/>
      <c r="J72" s="482"/>
      <c r="K72" s="1210"/>
      <c r="L72" s="482"/>
      <c r="M72" s="482"/>
      <c r="S72" s="324"/>
    </row>
    <row r="73" spans="1:19" ht="13.15" customHeight="1">
      <c r="C73" s="1211"/>
      <c r="F73" s="482"/>
      <c r="G73" s="482"/>
      <c r="H73" s="482"/>
      <c r="I73" s="482"/>
      <c r="J73" s="482"/>
      <c r="K73" s="1210"/>
      <c r="L73" s="482"/>
      <c r="M73" s="482"/>
      <c r="S73" s="324"/>
    </row>
    <row r="74" spans="1:19" ht="13.15" customHeight="1">
      <c r="C74" s="1211"/>
      <c r="F74" s="482"/>
      <c r="G74" s="482"/>
      <c r="H74" s="482"/>
      <c r="I74" s="482"/>
      <c r="J74" s="482"/>
      <c r="K74" s="1210"/>
      <c r="L74" s="482"/>
      <c r="M74" s="482"/>
      <c r="S74" s="324"/>
    </row>
    <row r="75" spans="1:19" ht="13.15" customHeight="1">
      <c r="C75" s="1211"/>
      <c r="F75" s="482"/>
      <c r="G75" s="482"/>
      <c r="H75" s="482"/>
      <c r="I75" s="482"/>
      <c r="J75" s="482"/>
      <c r="K75" s="1210"/>
      <c r="L75" s="482"/>
      <c r="M75" s="482"/>
      <c r="S75" s="324"/>
    </row>
    <row r="76" spans="1:19" ht="13.15" customHeight="1">
      <c r="C76" s="1211"/>
      <c r="F76" s="482"/>
      <c r="G76" s="482"/>
      <c r="H76" s="482"/>
      <c r="I76" s="482"/>
      <c r="J76" s="482"/>
      <c r="K76" s="1210"/>
      <c r="L76" s="482"/>
      <c r="M76" s="482"/>
      <c r="S76" s="324"/>
    </row>
    <row r="77" spans="1:19" ht="13.15" customHeight="1">
      <c r="C77" s="1211"/>
      <c r="F77" s="482"/>
      <c r="G77" s="482"/>
      <c r="H77" s="482"/>
      <c r="I77" s="482"/>
      <c r="J77" s="482"/>
      <c r="K77" s="1210"/>
      <c r="L77" s="482"/>
      <c r="M77" s="482"/>
      <c r="S77" s="324"/>
    </row>
    <row r="78" spans="1:19" ht="13.15" customHeight="1">
      <c r="C78" s="1211"/>
      <c r="F78" s="482"/>
      <c r="G78" s="482"/>
      <c r="H78" s="482"/>
      <c r="I78" s="482"/>
      <c r="J78" s="482"/>
      <c r="K78" s="1210"/>
      <c r="L78" s="482"/>
      <c r="M78" s="482"/>
      <c r="S78" s="324"/>
    </row>
    <row r="79" spans="1:19" ht="13.15" customHeight="1">
      <c r="C79" s="1211"/>
      <c r="F79" s="482"/>
      <c r="G79" s="482"/>
      <c r="H79" s="482"/>
      <c r="I79" s="482"/>
      <c r="J79" s="482"/>
      <c r="K79" s="1210"/>
      <c r="L79" s="482"/>
      <c r="M79" s="482"/>
      <c r="S79" s="324"/>
    </row>
    <row r="80" spans="1:19" ht="13.15" customHeight="1">
      <c r="C80" s="1211"/>
      <c r="F80" s="482"/>
      <c r="G80" s="482"/>
      <c r="H80" s="482"/>
      <c r="I80" s="482"/>
      <c r="J80" s="482"/>
      <c r="K80" s="1210"/>
      <c r="L80" s="482"/>
      <c r="M80" s="482"/>
      <c r="S80" s="324"/>
    </row>
    <row r="81" spans="3:19" ht="13.15" customHeight="1">
      <c r="C81" s="1211"/>
      <c r="F81" s="482"/>
      <c r="G81" s="482"/>
      <c r="H81" s="482"/>
      <c r="I81" s="482"/>
      <c r="J81" s="482"/>
      <c r="K81" s="1210"/>
      <c r="L81" s="482"/>
      <c r="M81" s="482"/>
      <c r="S81" s="324"/>
    </row>
    <row r="82" spans="3:19" ht="13.15" customHeight="1">
      <c r="C82" s="1211"/>
      <c r="F82" s="482"/>
      <c r="G82" s="482"/>
      <c r="H82" s="482"/>
      <c r="I82" s="482"/>
      <c r="J82" s="482"/>
      <c r="K82" s="1210"/>
      <c r="L82" s="482"/>
      <c r="M82" s="482"/>
      <c r="S82" s="324"/>
    </row>
    <row r="83" spans="3:19" ht="13.15" customHeight="1">
      <c r="C83" s="1211"/>
      <c r="F83" s="482"/>
      <c r="G83" s="482"/>
      <c r="H83" s="482"/>
      <c r="I83" s="482"/>
      <c r="J83" s="482"/>
      <c r="K83" s="1210"/>
      <c r="L83" s="482"/>
      <c r="M83" s="482"/>
      <c r="S83" s="324"/>
    </row>
    <row r="84" spans="3:19" ht="13.15" customHeight="1">
      <c r="C84" s="1211"/>
      <c r="F84" s="482"/>
      <c r="G84" s="482"/>
      <c r="H84" s="482"/>
      <c r="I84" s="482"/>
      <c r="J84" s="482"/>
      <c r="K84" s="1210"/>
      <c r="L84" s="482"/>
      <c r="M84" s="482"/>
      <c r="S84" s="324"/>
    </row>
    <row r="85" spans="3:19" ht="13.15" customHeight="1">
      <c r="C85" s="1211"/>
      <c r="F85" s="482"/>
      <c r="G85" s="482"/>
      <c r="H85" s="482"/>
      <c r="I85" s="482"/>
      <c r="J85" s="482"/>
      <c r="K85" s="1210"/>
      <c r="L85" s="482"/>
      <c r="M85" s="482"/>
      <c r="S85" s="324"/>
    </row>
    <row r="86" spans="3:19" ht="13.15" customHeight="1">
      <c r="C86" s="1211"/>
      <c r="F86" s="482"/>
      <c r="G86" s="482"/>
      <c r="H86" s="482"/>
      <c r="I86" s="482"/>
      <c r="J86" s="482"/>
      <c r="K86" s="1210"/>
      <c r="L86" s="482"/>
      <c r="M86" s="482"/>
      <c r="S86" s="324"/>
    </row>
    <row r="87" spans="3:19" ht="13.15" customHeight="1">
      <c r="C87" s="1211"/>
      <c r="F87" s="482"/>
      <c r="G87" s="482"/>
      <c r="H87" s="482"/>
      <c r="I87" s="482"/>
      <c r="J87" s="482"/>
      <c r="K87" s="1210"/>
      <c r="L87" s="482"/>
      <c r="M87" s="482"/>
      <c r="S87" s="324"/>
    </row>
    <row r="88" spans="3:19" ht="13.15" customHeight="1">
      <c r="C88" s="1211"/>
      <c r="F88" s="482"/>
      <c r="G88" s="482"/>
      <c r="H88" s="482"/>
      <c r="I88" s="482"/>
      <c r="J88" s="482"/>
      <c r="K88" s="1210"/>
      <c r="L88" s="482"/>
      <c r="M88" s="482"/>
      <c r="S88" s="324"/>
    </row>
    <row r="89" spans="3:19" ht="13.15" customHeight="1">
      <c r="C89" s="1211"/>
      <c r="F89" s="482"/>
      <c r="G89" s="482"/>
      <c r="H89" s="482"/>
      <c r="I89" s="482"/>
      <c r="J89" s="482"/>
      <c r="K89" s="1210"/>
      <c r="L89" s="482"/>
      <c r="M89" s="482"/>
      <c r="S89" s="324"/>
    </row>
    <row r="90" spans="3:19" ht="13.15" customHeight="1">
      <c r="C90" s="1211"/>
      <c r="F90" s="482"/>
      <c r="G90" s="482"/>
      <c r="H90" s="482"/>
      <c r="I90" s="482"/>
      <c r="J90" s="482"/>
      <c r="K90" s="1210"/>
      <c r="L90" s="482"/>
      <c r="M90" s="482"/>
      <c r="S90" s="324"/>
    </row>
    <row r="91" spans="3:19" ht="13.15" customHeight="1">
      <c r="C91" s="1211"/>
      <c r="F91" s="482"/>
      <c r="G91" s="482"/>
      <c r="H91" s="482"/>
      <c r="I91" s="482"/>
      <c r="J91" s="482"/>
      <c r="K91" s="1210"/>
      <c r="L91" s="482"/>
      <c r="M91" s="482"/>
      <c r="S91" s="324"/>
    </row>
    <row r="92" spans="3:19" ht="13.15" customHeight="1">
      <c r="C92" s="1211"/>
      <c r="F92" s="482"/>
      <c r="G92" s="482"/>
      <c r="H92" s="482"/>
      <c r="I92" s="482"/>
      <c r="J92" s="482"/>
      <c r="K92" s="1210"/>
      <c r="L92" s="482"/>
      <c r="M92" s="482"/>
      <c r="S92" s="324"/>
    </row>
    <row r="93" spans="3:19" ht="13.15" customHeight="1">
      <c r="C93" s="1211"/>
      <c r="F93" s="482"/>
      <c r="G93" s="482"/>
      <c r="H93" s="482"/>
      <c r="I93" s="482"/>
      <c r="J93" s="482"/>
      <c r="K93" s="1210"/>
      <c r="L93" s="482"/>
      <c r="M93" s="482"/>
      <c r="S93" s="324"/>
    </row>
    <row r="94" spans="3:19" ht="13.15" customHeight="1">
      <c r="C94" s="1211"/>
      <c r="F94" s="482"/>
      <c r="G94" s="482"/>
      <c r="H94" s="482"/>
      <c r="I94" s="482"/>
      <c r="J94" s="482"/>
      <c r="K94" s="1210"/>
      <c r="L94" s="482"/>
      <c r="M94" s="482"/>
      <c r="S94" s="324"/>
    </row>
    <row r="95" spans="3:19" ht="13.15" customHeight="1">
      <c r="C95" s="1211"/>
      <c r="F95" s="482"/>
      <c r="G95" s="482"/>
      <c r="H95" s="482"/>
      <c r="I95" s="482"/>
      <c r="J95" s="482"/>
      <c r="K95" s="1210"/>
      <c r="L95" s="482"/>
      <c r="M95" s="482"/>
      <c r="S95" s="324"/>
    </row>
    <row r="96" spans="3:19" ht="13.15" customHeight="1">
      <c r="C96" s="1211"/>
      <c r="F96" s="482"/>
      <c r="G96" s="482"/>
      <c r="H96" s="482"/>
      <c r="I96" s="482"/>
      <c r="J96" s="482"/>
      <c r="K96" s="1210"/>
      <c r="L96" s="482"/>
      <c r="M96" s="482"/>
      <c r="S96" s="324"/>
    </row>
    <row r="97" spans="3:19" ht="13.15" customHeight="1">
      <c r="C97" s="1211"/>
      <c r="F97" s="482"/>
      <c r="G97" s="482"/>
      <c r="H97" s="482"/>
      <c r="I97" s="482"/>
      <c r="J97" s="482"/>
      <c r="K97" s="1210"/>
      <c r="L97" s="482"/>
      <c r="M97" s="482"/>
      <c r="S97" s="324"/>
    </row>
    <row r="98" spans="3:19" ht="13.15" customHeight="1">
      <c r="C98" s="1211"/>
      <c r="F98" s="482"/>
      <c r="G98" s="482"/>
      <c r="H98" s="482"/>
      <c r="I98" s="482"/>
      <c r="J98" s="482"/>
      <c r="K98" s="1210"/>
      <c r="L98" s="482"/>
      <c r="M98" s="482"/>
      <c r="S98" s="324"/>
    </row>
    <row r="99" spans="3:19" ht="13.15" customHeight="1">
      <c r="C99" s="1211"/>
      <c r="F99" s="482"/>
      <c r="G99" s="482"/>
      <c r="H99" s="482"/>
      <c r="I99" s="482"/>
      <c r="J99" s="482"/>
      <c r="K99" s="1210"/>
      <c r="L99" s="482"/>
      <c r="M99" s="482"/>
      <c r="S99" s="324"/>
    </row>
    <row r="100" spans="3:19" ht="13.15" customHeight="1">
      <c r="C100" s="1211"/>
      <c r="F100" s="482"/>
      <c r="G100" s="482"/>
      <c r="H100" s="482"/>
      <c r="I100" s="482"/>
      <c r="J100" s="482"/>
      <c r="K100" s="1210"/>
      <c r="L100" s="482"/>
      <c r="M100" s="482"/>
      <c r="S100" s="324"/>
    </row>
    <row r="101" spans="3:19" ht="13.15" customHeight="1">
      <c r="C101" s="1211"/>
      <c r="F101" s="482"/>
      <c r="G101" s="482"/>
      <c r="H101" s="482"/>
      <c r="I101" s="482"/>
      <c r="J101" s="482"/>
      <c r="K101" s="1210"/>
      <c r="L101" s="482"/>
      <c r="M101" s="482"/>
      <c r="S101" s="324"/>
    </row>
    <row r="102" spans="3:19" ht="13.15" customHeight="1">
      <c r="C102" s="1211"/>
      <c r="F102" s="482"/>
      <c r="G102" s="482"/>
      <c r="H102" s="482"/>
      <c r="I102" s="482"/>
      <c r="J102" s="482"/>
      <c r="K102" s="1210"/>
      <c r="L102" s="482"/>
      <c r="M102" s="482"/>
      <c r="S102" s="324"/>
    </row>
    <row r="103" spans="3:19" ht="13.15" customHeight="1">
      <c r="C103" s="1211"/>
      <c r="F103" s="482"/>
      <c r="G103" s="482"/>
      <c r="H103" s="482"/>
      <c r="I103" s="482"/>
      <c r="J103" s="482"/>
      <c r="K103" s="1210"/>
      <c r="L103" s="482"/>
      <c r="M103" s="482"/>
      <c r="S103" s="324"/>
    </row>
    <row r="104" spans="3:19" ht="13.15" customHeight="1">
      <c r="C104" s="1211"/>
      <c r="F104" s="482"/>
      <c r="G104" s="482"/>
      <c r="H104" s="482"/>
      <c r="I104" s="482"/>
      <c r="J104" s="482"/>
      <c r="K104" s="1210"/>
      <c r="L104" s="482"/>
      <c r="M104" s="482"/>
      <c r="S104" s="324"/>
    </row>
    <row r="105" spans="3:19" ht="13.15" customHeight="1">
      <c r="C105" s="1211"/>
      <c r="F105" s="482"/>
      <c r="G105" s="482"/>
      <c r="H105" s="482"/>
      <c r="I105" s="482"/>
      <c r="J105" s="482"/>
      <c r="K105" s="1210"/>
      <c r="L105" s="482"/>
      <c r="M105" s="482"/>
      <c r="S105" s="324"/>
    </row>
    <row r="106" spans="3:19" ht="13.15" customHeight="1">
      <c r="C106" s="1211"/>
      <c r="F106" s="482"/>
      <c r="G106" s="482"/>
      <c r="H106" s="482"/>
      <c r="I106" s="482"/>
      <c r="J106" s="482"/>
      <c r="K106" s="1210"/>
      <c r="L106" s="482"/>
      <c r="M106" s="482"/>
      <c r="S106" s="324"/>
    </row>
    <row r="107" spans="3:19" ht="13.15" customHeight="1">
      <c r="C107" s="1211"/>
      <c r="F107" s="482"/>
      <c r="G107" s="482"/>
      <c r="H107" s="482"/>
      <c r="I107" s="482"/>
      <c r="J107" s="482"/>
      <c r="K107" s="1210"/>
      <c r="L107" s="482"/>
      <c r="M107" s="482"/>
      <c r="S107" s="324"/>
    </row>
    <row r="108" spans="3:19" ht="13.15" customHeight="1">
      <c r="C108" s="1211" t="s">
        <v>2682</v>
      </c>
      <c r="F108" s="482"/>
      <c r="G108" s="482"/>
      <c r="H108" s="482"/>
      <c r="I108" s="482"/>
      <c r="J108" s="482"/>
      <c r="K108" s="1210"/>
      <c r="L108" s="482"/>
      <c r="M108" s="482"/>
      <c r="S108" s="324"/>
    </row>
    <row r="109" spans="3:19" ht="13.15" customHeight="1">
      <c r="C109" s="1211"/>
      <c r="F109" s="482"/>
      <c r="G109" s="482"/>
      <c r="H109" s="482"/>
      <c r="I109" s="482"/>
      <c r="J109" s="482"/>
      <c r="K109" s="1210"/>
      <c r="L109" s="482"/>
      <c r="M109" s="482"/>
      <c r="S109" s="324"/>
    </row>
    <row r="110" spans="3:19" ht="13.15" customHeight="1">
      <c r="C110" s="1211"/>
      <c r="F110" s="482"/>
      <c r="G110" s="482"/>
      <c r="H110" s="482"/>
      <c r="I110" s="482"/>
      <c r="J110" s="482"/>
      <c r="K110" s="1210"/>
      <c r="L110" s="482"/>
      <c r="M110" s="482"/>
      <c r="S110" s="324"/>
    </row>
    <row r="111" spans="3:19" ht="13.15" customHeight="1">
      <c r="C111" s="1211"/>
      <c r="F111" s="482"/>
      <c r="G111" s="482"/>
      <c r="H111" s="482"/>
      <c r="I111" s="482"/>
      <c r="J111" s="482"/>
      <c r="K111" s="1210"/>
      <c r="L111" s="482"/>
      <c r="M111" s="482"/>
      <c r="S111" s="324"/>
    </row>
    <row r="112" spans="3:19" ht="13.15" customHeight="1">
      <c r="C112" s="1211"/>
      <c r="F112" s="482"/>
      <c r="G112" s="482"/>
      <c r="H112" s="482"/>
      <c r="I112" s="482"/>
      <c r="J112" s="482"/>
      <c r="K112" s="1210"/>
      <c r="L112" s="482"/>
      <c r="M112" s="482"/>
      <c r="S112" s="324"/>
    </row>
    <row r="113" spans="3:19" ht="13.15" customHeight="1">
      <c r="C113" s="1211"/>
      <c r="F113" s="482"/>
      <c r="G113" s="482"/>
      <c r="H113" s="482"/>
      <c r="I113" s="482"/>
      <c r="J113" s="482"/>
      <c r="K113" s="1210"/>
      <c r="L113" s="482"/>
      <c r="M113" s="482"/>
      <c r="S113" s="324"/>
    </row>
    <row r="114" spans="3:19" ht="13.15" customHeight="1">
      <c r="C114" s="1211"/>
      <c r="F114" s="482"/>
      <c r="G114" s="482"/>
      <c r="H114" s="482"/>
      <c r="I114" s="482"/>
      <c r="J114" s="482"/>
      <c r="K114" s="1210"/>
      <c r="L114" s="482"/>
      <c r="M114" s="482"/>
      <c r="S114" s="324"/>
    </row>
    <row r="115" spans="3:19" ht="13.15" customHeight="1">
      <c r="C115" s="1211"/>
      <c r="F115" s="482"/>
      <c r="G115" s="482"/>
      <c r="H115" s="482"/>
      <c r="I115" s="482"/>
      <c r="J115" s="482"/>
      <c r="K115" s="1210"/>
      <c r="L115" s="482"/>
      <c r="M115" s="482"/>
      <c r="S115" s="324"/>
    </row>
    <row r="116" spans="3:19" ht="13.15" customHeight="1">
      <c r="C116" s="1211"/>
      <c r="F116" s="482"/>
      <c r="G116" s="482"/>
      <c r="H116" s="482"/>
      <c r="I116" s="482"/>
      <c r="J116" s="482"/>
      <c r="K116" s="1210"/>
      <c r="L116" s="482"/>
      <c r="M116" s="482"/>
      <c r="S116" s="324"/>
    </row>
    <row r="117" spans="3:19" ht="13.15" customHeight="1">
      <c r="C117" s="1211"/>
      <c r="F117" s="482"/>
      <c r="G117" s="482"/>
      <c r="H117" s="482"/>
      <c r="I117" s="482"/>
      <c r="J117" s="482"/>
      <c r="K117" s="1210"/>
      <c r="L117" s="482"/>
      <c r="M117" s="482"/>
      <c r="S117" s="324"/>
    </row>
    <row r="118" spans="3:19" ht="13.15" customHeight="1">
      <c r="C118" s="1211"/>
      <c r="F118" s="482"/>
      <c r="G118" s="482"/>
      <c r="H118" s="482"/>
      <c r="I118" s="482"/>
      <c r="J118" s="482"/>
      <c r="K118" s="1210"/>
      <c r="L118" s="482"/>
      <c r="M118" s="482"/>
      <c r="S118" s="324"/>
    </row>
    <row r="119" spans="3:19" ht="13.15" customHeight="1">
      <c r="C119" s="1211"/>
      <c r="F119" s="482"/>
      <c r="G119" s="482"/>
      <c r="H119" s="482"/>
      <c r="I119" s="482"/>
      <c r="J119" s="482"/>
      <c r="K119" s="1210"/>
      <c r="L119" s="482"/>
      <c r="M119" s="482"/>
      <c r="S119" s="324"/>
    </row>
    <row r="120" spans="3:19" ht="13.15" customHeight="1">
      <c r="C120" s="1211"/>
      <c r="F120" s="482"/>
      <c r="G120" s="482"/>
      <c r="H120" s="482"/>
      <c r="I120" s="482"/>
      <c r="J120" s="482"/>
      <c r="K120" s="1210"/>
      <c r="L120" s="482"/>
      <c r="M120" s="482"/>
      <c r="S120" s="324"/>
    </row>
    <row r="121" spans="3:19" ht="13.15" customHeight="1">
      <c r="C121" s="1211"/>
      <c r="F121" s="482"/>
      <c r="G121" s="482"/>
      <c r="H121" s="482"/>
      <c r="I121" s="482"/>
      <c r="J121" s="482"/>
      <c r="K121" s="1210"/>
      <c r="L121" s="482"/>
      <c r="M121" s="482"/>
      <c r="S121" s="324"/>
    </row>
    <row r="122" spans="3:19" ht="13.15" customHeight="1">
      <c r="C122" s="1211"/>
      <c r="F122" s="482"/>
      <c r="G122" s="482"/>
      <c r="H122" s="482"/>
      <c r="I122" s="482"/>
      <c r="J122" s="482"/>
      <c r="K122" s="1210"/>
      <c r="L122" s="482"/>
      <c r="M122" s="482"/>
      <c r="S122" s="324"/>
    </row>
    <row r="123" spans="3:19" ht="13.15" customHeight="1">
      <c r="C123" s="1211"/>
      <c r="F123" s="482"/>
      <c r="G123" s="482"/>
      <c r="H123" s="482"/>
      <c r="I123" s="482"/>
      <c r="J123" s="482"/>
      <c r="K123" s="1210"/>
      <c r="L123" s="482"/>
      <c r="M123" s="482"/>
      <c r="S123" s="324"/>
    </row>
    <row r="124" spans="3:19" ht="13.15" customHeight="1">
      <c r="C124" s="1211"/>
      <c r="F124" s="482"/>
      <c r="G124" s="482"/>
      <c r="H124" s="482"/>
      <c r="I124" s="482"/>
      <c r="J124" s="482"/>
      <c r="K124" s="1210"/>
      <c r="L124" s="482"/>
      <c r="M124" s="482"/>
      <c r="S124" s="324"/>
    </row>
    <row r="125" spans="3:19" ht="13.15" customHeight="1">
      <c r="C125" s="1211"/>
      <c r="F125" s="482"/>
      <c r="G125" s="482"/>
      <c r="H125" s="482"/>
      <c r="I125" s="482"/>
      <c r="J125" s="482"/>
      <c r="K125" s="1210"/>
      <c r="L125" s="482"/>
      <c r="M125" s="482"/>
      <c r="S125" s="324"/>
    </row>
    <row r="126" spans="3:19" ht="13.15" customHeight="1">
      <c r="C126" s="1211"/>
      <c r="F126" s="482"/>
      <c r="G126" s="482"/>
      <c r="H126" s="482"/>
      <c r="I126" s="482"/>
      <c r="J126" s="482"/>
      <c r="K126" s="1210"/>
      <c r="L126" s="482"/>
      <c r="M126" s="482"/>
      <c r="S126" s="324"/>
    </row>
    <row r="127" spans="3:19" ht="13.15" customHeight="1">
      <c r="C127" s="1211"/>
      <c r="F127" s="482"/>
      <c r="G127" s="482"/>
      <c r="H127" s="482"/>
      <c r="I127" s="482"/>
      <c r="J127" s="482"/>
      <c r="K127" s="1210"/>
      <c r="L127" s="482"/>
      <c r="M127" s="482"/>
      <c r="S127" s="324"/>
    </row>
    <row r="128" spans="3:19" ht="13.15" customHeight="1">
      <c r="C128" s="1211"/>
      <c r="F128" s="482"/>
      <c r="G128" s="482"/>
      <c r="H128" s="482"/>
      <c r="I128" s="482"/>
      <c r="J128" s="482"/>
      <c r="K128" s="1210"/>
      <c r="L128" s="482"/>
      <c r="M128" s="482"/>
      <c r="S128" s="324"/>
    </row>
    <row r="129" spans="3:19" ht="13.15" customHeight="1">
      <c r="C129" s="1211"/>
      <c r="F129" s="482"/>
      <c r="G129" s="482"/>
      <c r="H129" s="482"/>
      <c r="I129" s="482"/>
      <c r="J129" s="482"/>
      <c r="K129" s="1210"/>
      <c r="L129" s="482"/>
      <c r="M129" s="482"/>
      <c r="S129" s="324"/>
    </row>
    <row r="130" spans="3:19" ht="13.15" customHeight="1">
      <c r="C130" s="1211"/>
      <c r="F130" s="482"/>
      <c r="G130" s="482"/>
      <c r="H130" s="482"/>
      <c r="I130" s="482"/>
      <c r="J130" s="482"/>
      <c r="K130" s="1210"/>
      <c r="L130" s="482"/>
      <c r="M130" s="482"/>
      <c r="S130" s="324"/>
    </row>
    <row r="131" spans="3:19" ht="13.15" customHeight="1">
      <c r="C131" s="1211"/>
      <c r="F131" s="482"/>
      <c r="G131" s="482"/>
      <c r="H131" s="482"/>
      <c r="I131" s="482"/>
      <c r="J131" s="482"/>
      <c r="K131" s="1210"/>
      <c r="L131" s="482"/>
      <c r="M131" s="482"/>
      <c r="S131" s="324"/>
    </row>
    <row r="132" spans="3:19" ht="13.15" customHeight="1">
      <c r="C132" s="1211"/>
      <c r="F132" s="482"/>
      <c r="G132" s="482"/>
      <c r="H132" s="482"/>
      <c r="I132" s="482"/>
      <c r="J132" s="482"/>
      <c r="K132" s="1210"/>
      <c r="L132" s="482"/>
      <c r="M132" s="482"/>
      <c r="S132" s="324"/>
    </row>
    <row r="133" spans="3:19" ht="13.15" customHeight="1">
      <c r="C133" s="1211"/>
      <c r="F133" s="482"/>
      <c r="G133" s="482"/>
      <c r="H133" s="482"/>
      <c r="I133" s="482"/>
      <c r="J133" s="482"/>
      <c r="K133" s="1210"/>
      <c r="L133" s="482"/>
      <c r="M133" s="482"/>
      <c r="S133" s="324"/>
    </row>
    <row r="134" spans="3:19" ht="13.15" customHeight="1">
      <c r="C134" s="1211"/>
      <c r="F134" s="482"/>
      <c r="G134" s="482"/>
      <c r="H134" s="482"/>
      <c r="I134" s="482"/>
      <c r="J134" s="482"/>
      <c r="K134" s="1210"/>
      <c r="L134" s="482"/>
      <c r="M134" s="482"/>
      <c r="S134" s="324"/>
    </row>
    <row r="135" spans="3:19" ht="13.15" customHeight="1">
      <c r="C135" s="1211"/>
      <c r="F135" s="482"/>
      <c r="G135" s="482"/>
      <c r="H135" s="482"/>
      <c r="I135" s="482"/>
      <c r="J135" s="482"/>
      <c r="K135" s="1210"/>
      <c r="L135" s="482"/>
      <c r="M135" s="482"/>
      <c r="S135" s="324"/>
    </row>
    <row r="136" spans="3:19" ht="13.15" customHeight="1">
      <c r="C136" s="1211"/>
      <c r="F136" s="482"/>
      <c r="G136" s="482"/>
      <c r="H136" s="482"/>
      <c r="I136" s="482"/>
      <c r="J136" s="482"/>
      <c r="K136" s="1210"/>
      <c r="L136" s="482"/>
      <c r="M136" s="482"/>
      <c r="S136" s="324"/>
    </row>
    <row r="137" spans="3:19" ht="13.15" customHeight="1">
      <c r="C137" s="1211"/>
      <c r="F137" s="482"/>
      <c r="G137" s="482"/>
      <c r="H137" s="482"/>
      <c r="I137" s="482"/>
      <c r="J137" s="482"/>
      <c r="K137" s="1210"/>
      <c r="L137" s="482"/>
      <c r="M137" s="482"/>
      <c r="S137" s="324"/>
    </row>
    <row r="138" spans="3:19" ht="13.15" customHeight="1">
      <c r="C138" s="1211"/>
      <c r="F138" s="482"/>
      <c r="G138" s="482"/>
      <c r="H138" s="482"/>
      <c r="I138" s="482"/>
      <c r="J138" s="482"/>
      <c r="K138" s="1210"/>
      <c r="L138" s="482"/>
      <c r="M138" s="482"/>
      <c r="S138" s="324"/>
    </row>
    <row r="139" spans="3:19" ht="13.15" customHeight="1">
      <c r="C139" s="1211"/>
      <c r="F139" s="482"/>
      <c r="G139" s="482"/>
      <c r="H139" s="482"/>
      <c r="I139" s="482"/>
      <c r="J139" s="482"/>
      <c r="K139" s="1210"/>
      <c r="L139" s="482"/>
      <c r="M139" s="482"/>
      <c r="S139" s="324"/>
    </row>
    <row r="140" spans="3:19" ht="13.15" customHeight="1">
      <c r="C140" s="1211"/>
      <c r="F140" s="482"/>
      <c r="G140" s="482"/>
      <c r="H140" s="482"/>
      <c r="I140" s="482"/>
      <c r="J140" s="482"/>
      <c r="K140" s="1210"/>
      <c r="L140" s="482"/>
      <c r="M140" s="482"/>
      <c r="S140" s="324"/>
    </row>
    <row r="141" spans="3:19" ht="13.15" customHeight="1">
      <c r="C141" s="1211"/>
      <c r="F141" s="482"/>
      <c r="G141" s="482"/>
      <c r="H141" s="482"/>
      <c r="I141" s="482"/>
      <c r="J141" s="482"/>
      <c r="K141" s="1210"/>
      <c r="L141" s="482"/>
      <c r="M141" s="482"/>
      <c r="S141" s="324"/>
    </row>
    <row r="142" spans="3:19" ht="13.15" customHeight="1">
      <c r="C142" s="1211"/>
      <c r="F142" s="482"/>
      <c r="G142" s="482"/>
      <c r="H142" s="482"/>
      <c r="I142" s="482"/>
      <c r="J142" s="482"/>
      <c r="K142" s="1210"/>
      <c r="L142" s="482"/>
      <c r="M142" s="482"/>
      <c r="S142" s="324"/>
    </row>
    <row r="143" spans="3:19" ht="13.15" customHeight="1">
      <c r="C143" s="1211"/>
      <c r="F143" s="482"/>
      <c r="G143" s="482"/>
      <c r="H143" s="482"/>
      <c r="I143" s="482"/>
      <c r="J143" s="482"/>
      <c r="K143" s="1210"/>
      <c r="L143" s="482"/>
      <c r="M143" s="482"/>
      <c r="S143" s="324"/>
    </row>
    <row r="144" spans="3:19" ht="13.15" customHeight="1">
      <c r="C144" s="1211"/>
      <c r="F144" s="482"/>
      <c r="G144" s="482"/>
      <c r="H144" s="482"/>
      <c r="I144" s="482"/>
      <c r="J144" s="482"/>
      <c r="K144" s="1210"/>
      <c r="L144" s="482"/>
      <c r="M144" s="482"/>
      <c r="S144" s="324"/>
    </row>
    <row r="145" spans="3:19" ht="13.15" customHeight="1">
      <c r="C145" s="1211"/>
      <c r="F145" s="482"/>
      <c r="G145" s="482"/>
      <c r="H145" s="482"/>
      <c r="I145" s="482"/>
      <c r="J145" s="482"/>
      <c r="K145" s="1210"/>
      <c r="L145" s="482"/>
      <c r="M145" s="482"/>
      <c r="S145" s="324"/>
    </row>
    <row r="146" spans="3:19" ht="13.15" customHeight="1">
      <c r="C146" s="1211"/>
      <c r="F146" s="482"/>
      <c r="G146" s="482"/>
      <c r="H146" s="482"/>
      <c r="I146" s="482"/>
      <c r="J146" s="482"/>
      <c r="K146" s="1210"/>
      <c r="L146" s="482"/>
      <c r="M146" s="482"/>
      <c r="S146" s="324"/>
    </row>
    <row r="147" spans="3:19" ht="13.15" customHeight="1">
      <c r="C147" s="1211"/>
      <c r="F147" s="482"/>
      <c r="G147" s="482"/>
      <c r="H147" s="482"/>
      <c r="I147" s="482"/>
      <c r="J147" s="482"/>
      <c r="K147" s="1210"/>
      <c r="L147" s="482"/>
      <c r="M147" s="482"/>
      <c r="S147" s="324"/>
    </row>
    <row r="148" spans="3:19" ht="13.15" customHeight="1">
      <c r="C148" s="1211"/>
      <c r="F148" s="482"/>
      <c r="G148" s="482"/>
      <c r="H148" s="482"/>
      <c r="I148" s="482"/>
      <c r="J148" s="482"/>
      <c r="K148" s="1210"/>
      <c r="L148" s="482"/>
      <c r="M148" s="482"/>
      <c r="S148" s="324"/>
    </row>
    <row r="149" spans="3:19" ht="13.15" customHeight="1">
      <c r="C149" s="1211"/>
      <c r="F149" s="482"/>
      <c r="G149" s="482"/>
      <c r="H149" s="482"/>
      <c r="I149" s="482"/>
      <c r="J149" s="482"/>
      <c r="K149" s="1210"/>
      <c r="L149" s="482"/>
      <c r="M149" s="482"/>
      <c r="S149" s="324"/>
    </row>
    <row r="150" spans="3:19" ht="13.15" customHeight="1">
      <c r="C150" s="1211"/>
      <c r="F150" s="482"/>
      <c r="G150" s="482"/>
      <c r="H150" s="482"/>
      <c r="I150" s="482"/>
      <c r="J150" s="482"/>
      <c r="K150" s="1210"/>
      <c r="L150" s="482"/>
      <c r="M150" s="482"/>
      <c r="S150" s="324"/>
    </row>
    <row r="151" spans="3:19" ht="13.15" customHeight="1">
      <c r="C151" s="1211"/>
      <c r="F151" s="482"/>
      <c r="G151" s="482"/>
      <c r="H151" s="482"/>
      <c r="I151" s="482"/>
      <c r="J151" s="482"/>
      <c r="K151" s="1210"/>
      <c r="L151" s="482"/>
      <c r="M151" s="482"/>
      <c r="S151" s="324"/>
    </row>
    <row r="152" spans="3:19" ht="13.15" customHeight="1">
      <c r="C152" s="1211"/>
      <c r="F152" s="482"/>
      <c r="G152" s="482"/>
      <c r="H152" s="482"/>
      <c r="I152" s="482"/>
      <c r="J152" s="482"/>
      <c r="K152" s="1210"/>
      <c r="L152" s="482"/>
      <c r="M152" s="482"/>
      <c r="S152" s="324"/>
    </row>
    <row r="153" spans="3:19" ht="13.15" customHeight="1">
      <c r="C153" s="1211"/>
      <c r="F153" s="482"/>
      <c r="G153" s="482"/>
      <c r="H153" s="482"/>
      <c r="I153" s="482"/>
      <c r="J153" s="482"/>
      <c r="K153" s="1210"/>
      <c r="L153" s="482"/>
      <c r="M153" s="482"/>
      <c r="S153" s="324"/>
    </row>
    <row r="154" spans="3:19" ht="13.15" customHeight="1">
      <c r="C154" s="1211"/>
      <c r="F154" s="482"/>
      <c r="G154" s="482"/>
      <c r="H154" s="482"/>
      <c r="I154" s="482"/>
      <c r="J154" s="482"/>
      <c r="K154" s="1210"/>
      <c r="L154" s="482"/>
      <c r="M154" s="482"/>
      <c r="S154" s="324"/>
    </row>
    <row r="155" spans="3:19" ht="13.15" customHeight="1">
      <c r="C155" s="1211"/>
      <c r="F155" s="482"/>
      <c r="G155" s="482"/>
      <c r="H155" s="482"/>
      <c r="I155" s="482"/>
      <c r="J155" s="482"/>
      <c r="K155" s="1210"/>
      <c r="L155" s="482"/>
      <c r="M155" s="482"/>
      <c r="S155" s="324"/>
    </row>
    <row r="156" spans="3:19" ht="13.15" customHeight="1">
      <c r="C156" s="1211"/>
      <c r="F156" s="482"/>
      <c r="G156" s="482"/>
      <c r="H156" s="482"/>
      <c r="I156" s="482"/>
      <c r="J156" s="482"/>
      <c r="K156" s="1210"/>
      <c r="L156" s="482"/>
      <c r="M156" s="482"/>
      <c r="S156" s="324"/>
    </row>
    <row r="157" spans="3:19" ht="13.15" customHeight="1">
      <c r="C157" s="1211"/>
      <c r="F157" s="482"/>
      <c r="G157" s="482"/>
      <c r="H157" s="482"/>
      <c r="I157" s="482"/>
      <c r="J157" s="482"/>
      <c r="K157" s="1210"/>
      <c r="L157" s="482"/>
      <c r="M157" s="482"/>
      <c r="S157" s="324"/>
    </row>
    <row r="158" spans="3:19" ht="13.15" customHeight="1">
      <c r="C158" s="1211"/>
      <c r="F158" s="482"/>
      <c r="G158" s="482"/>
      <c r="H158" s="482"/>
      <c r="I158" s="482"/>
      <c r="J158" s="482"/>
      <c r="K158" s="1210"/>
      <c r="L158" s="482"/>
      <c r="M158" s="482"/>
      <c r="S158" s="324"/>
    </row>
    <row r="159" spans="3:19" ht="13.15" customHeight="1">
      <c r="C159" s="1211"/>
      <c r="F159" s="482"/>
      <c r="G159" s="482"/>
      <c r="H159" s="482"/>
      <c r="I159" s="482"/>
      <c r="J159" s="482"/>
      <c r="K159" s="1210"/>
      <c r="L159" s="482"/>
      <c r="M159" s="482"/>
      <c r="S159" s="324"/>
    </row>
    <row r="160" spans="3:19" ht="13.15" customHeight="1">
      <c r="C160" s="1211"/>
      <c r="F160" s="482"/>
      <c r="G160" s="482"/>
      <c r="H160" s="482"/>
      <c r="I160" s="482"/>
      <c r="J160" s="482"/>
      <c r="K160" s="1210"/>
      <c r="L160" s="482"/>
      <c r="M160" s="482"/>
      <c r="S160" s="324"/>
    </row>
    <row r="161" spans="3:19" ht="13.15" customHeight="1">
      <c r="C161" s="1211"/>
      <c r="F161" s="482"/>
      <c r="G161" s="482"/>
      <c r="H161" s="482"/>
      <c r="I161" s="482"/>
      <c r="J161" s="482"/>
      <c r="K161" s="1210"/>
      <c r="L161" s="482"/>
      <c r="M161" s="482"/>
      <c r="S161" s="324"/>
    </row>
    <row r="162" spans="3:19" ht="13.15" customHeight="1">
      <c r="C162" s="1211"/>
      <c r="F162" s="482"/>
      <c r="G162" s="482"/>
      <c r="H162" s="482"/>
      <c r="I162" s="482"/>
      <c r="J162" s="482"/>
      <c r="K162" s="1210"/>
      <c r="L162" s="482"/>
      <c r="M162" s="482"/>
      <c r="S162" s="324"/>
    </row>
    <row r="163" spans="3:19" ht="13.15" customHeight="1">
      <c r="C163" s="1211"/>
      <c r="F163" s="482"/>
      <c r="G163" s="482"/>
      <c r="H163" s="482"/>
      <c r="I163" s="482"/>
      <c r="J163" s="482"/>
      <c r="K163" s="1210"/>
      <c r="L163" s="482"/>
      <c r="M163" s="482"/>
      <c r="S163" s="324"/>
    </row>
    <row r="164" spans="3:19" ht="13.15" customHeight="1">
      <c r="C164" s="1211"/>
      <c r="F164" s="482"/>
      <c r="G164" s="482"/>
      <c r="H164" s="482"/>
      <c r="I164" s="482"/>
      <c r="J164" s="482"/>
      <c r="K164" s="1210"/>
      <c r="L164" s="482"/>
      <c r="M164" s="482"/>
      <c r="S164" s="324"/>
    </row>
    <row r="165" spans="3:19" ht="13.15" customHeight="1">
      <c r="C165" s="1211"/>
      <c r="F165" s="482"/>
      <c r="G165" s="482"/>
      <c r="H165" s="482"/>
      <c r="I165" s="482"/>
      <c r="J165" s="482"/>
      <c r="K165" s="1210"/>
      <c r="L165" s="482"/>
      <c r="M165" s="482"/>
      <c r="S165" s="324"/>
    </row>
    <row r="166" spans="3:19" ht="13.15" customHeight="1">
      <c r="C166" s="1211"/>
      <c r="F166" s="482"/>
      <c r="G166" s="482"/>
      <c r="H166" s="482"/>
      <c r="I166" s="482"/>
      <c r="J166" s="482"/>
      <c r="K166" s="1210"/>
      <c r="L166" s="482"/>
      <c r="M166" s="482"/>
      <c r="S166" s="324"/>
    </row>
    <row r="167" spans="3:19" ht="13.15" customHeight="1">
      <c r="C167" s="1211"/>
      <c r="F167" s="482"/>
      <c r="G167" s="482"/>
      <c r="H167" s="482"/>
      <c r="I167" s="482"/>
      <c r="J167" s="482"/>
      <c r="K167" s="1210"/>
      <c r="L167" s="482"/>
      <c r="M167" s="482"/>
      <c r="S167" s="324"/>
    </row>
    <row r="168" spans="3:19" ht="13.15" customHeight="1">
      <c r="C168" s="1211"/>
      <c r="F168" s="482"/>
      <c r="G168" s="482"/>
      <c r="H168" s="482"/>
      <c r="I168" s="482"/>
      <c r="J168" s="482"/>
      <c r="K168" s="1210"/>
      <c r="L168" s="482"/>
      <c r="M168" s="482"/>
      <c r="S168" s="324"/>
    </row>
    <row r="169" spans="3:19" ht="13.15" customHeight="1">
      <c r="C169" s="1211"/>
      <c r="F169" s="482"/>
      <c r="G169" s="482"/>
      <c r="H169" s="482"/>
      <c r="I169" s="482"/>
      <c r="J169" s="482"/>
      <c r="K169" s="1210"/>
      <c r="L169" s="482"/>
      <c r="M169" s="482"/>
      <c r="S169" s="324"/>
    </row>
    <row r="170" spans="3:19" ht="13.15" customHeight="1">
      <c r="C170" s="1211"/>
      <c r="F170" s="482"/>
      <c r="G170" s="482"/>
      <c r="H170" s="482"/>
      <c r="I170" s="482"/>
      <c r="J170" s="482"/>
      <c r="K170" s="1210"/>
      <c r="L170" s="482"/>
      <c r="M170" s="482"/>
      <c r="S170" s="324"/>
    </row>
    <row r="171" spans="3:19" ht="13.15" customHeight="1">
      <c r="C171" s="1211"/>
      <c r="F171" s="482"/>
      <c r="G171" s="482"/>
      <c r="H171" s="482"/>
      <c r="I171" s="482"/>
      <c r="J171" s="482"/>
      <c r="K171" s="1210"/>
      <c r="L171" s="482"/>
      <c r="M171" s="482"/>
      <c r="S171" s="324"/>
    </row>
    <row r="172" spans="3:19" ht="13.15" customHeight="1">
      <c r="C172" s="1211"/>
      <c r="F172" s="482"/>
      <c r="G172" s="482"/>
      <c r="H172" s="482"/>
      <c r="I172" s="482"/>
      <c r="J172" s="482"/>
      <c r="K172" s="1210"/>
      <c r="L172" s="482"/>
      <c r="M172" s="482"/>
      <c r="S172" s="324"/>
    </row>
    <row r="173" spans="3:19" ht="13.15" customHeight="1">
      <c r="C173" s="1211"/>
      <c r="F173" s="482"/>
      <c r="G173" s="482"/>
      <c r="H173" s="482"/>
      <c r="I173" s="482"/>
      <c r="J173" s="482"/>
      <c r="K173" s="1210"/>
      <c r="L173" s="482"/>
      <c r="M173" s="482"/>
      <c r="S173" s="324"/>
    </row>
    <row r="174" spans="3:19" ht="13.15" customHeight="1">
      <c r="C174" s="1211"/>
      <c r="F174" s="482"/>
      <c r="G174" s="482"/>
      <c r="H174" s="482"/>
      <c r="I174" s="482"/>
      <c r="J174" s="482"/>
      <c r="K174" s="1210"/>
      <c r="L174" s="482"/>
      <c r="M174" s="482"/>
      <c r="S174" s="324"/>
    </row>
    <row r="175" spans="3:19" ht="13.15" customHeight="1">
      <c r="C175" s="1211"/>
      <c r="F175" s="482"/>
      <c r="G175" s="482"/>
      <c r="H175" s="482"/>
      <c r="I175" s="482"/>
      <c r="J175" s="482"/>
      <c r="K175" s="1210"/>
      <c r="L175" s="482"/>
      <c r="M175" s="482"/>
      <c r="S175" s="324"/>
    </row>
    <row r="176" spans="3:19" ht="13.15" customHeight="1">
      <c r="C176" s="1211"/>
      <c r="F176" s="482"/>
      <c r="G176" s="482"/>
      <c r="H176" s="482"/>
      <c r="I176" s="482"/>
      <c r="J176" s="482"/>
      <c r="K176" s="1210"/>
      <c r="L176" s="482"/>
      <c r="M176" s="482"/>
      <c r="S176" s="324"/>
    </row>
    <row r="177" spans="3:19" ht="13.15" customHeight="1">
      <c r="C177" s="1211"/>
      <c r="F177" s="482"/>
      <c r="G177" s="482"/>
      <c r="H177" s="482"/>
      <c r="I177" s="482"/>
      <c r="J177" s="482"/>
      <c r="K177" s="1210"/>
      <c r="L177" s="482"/>
      <c r="M177" s="482"/>
      <c r="S177" s="324"/>
    </row>
    <row r="178" spans="3:19" ht="13.15" customHeight="1">
      <c r="C178" s="1211"/>
      <c r="F178" s="482"/>
      <c r="G178" s="482"/>
      <c r="H178" s="482"/>
      <c r="I178" s="482"/>
      <c r="J178" s="482"/>
      <c r="K178" s="1210"/>
      <c r="L178" s="482"/>
      <c r="M178" s="482"/>
      <c r="S178" s="324"/>
    </row>
    <row r="179" spans="3:19" ht="13.15" customHeight="1">
      <c r="C179" s="1211"/>
      <c r="F179" s="482"/>
      <c r="G179" s="482"/>
      <c r="H179" s="482"/>
      <c r="I179" s="482"/>
      <c r="J179" s="482"/>
      <c r="K179" s="1210"/>
      <c r="L179" s="482"/>
      <c r="M179" s="482"/>
      <c r="S179" s="324"/>
    </row>
    <row r="180" spans="3:19" ht="13.15" customHeight="1">
      <c r="C180" s="1211"/>
      <c r="F180" s="482"/>
      <c r="G180" s="482"/>
      <c r="H180" s="482"/>
      <c r="I180" s="482"/>
      <c r="J180" s="482"/>
      <c r="K180" s="1210"/>
      <c r="L180" s="482"/>
      <c r="M180" s="482"/>
      <c r="S180" s="324"/>
    </row>
    <row r="181" spans="3:19" ht="13.15" customHeight="1">
      <c r="C181" s="1211"/>
      <c r="F181" s="482"/>
      <c r="G181" s="482"/>
      <c r="H181" s="482"/>
      <c r="I181" s="482"/>
      <c r="J181" s="482"/>
      <c r="K181" s="1210"/>
      <c r="L181" s="482"/>
      <c r="M181" s="482"/>
      <c r="S181" s="324"/>
    </row>
    <row r="182" spans="3:19" ht="13.15" customHeight="1">
      <c r="C182" s="1211"/>
      <c r="F182" s="482"/>
      <c r="G182" s="482"/>
      <c r="H182" s="482"/>
      <c r="I182" s="482"/>
      <c r="J182" s="482"/>
      <c r="K182" s="1210"/>
      <c r="L182" s="482"/>
      <c r="M182" s="482"/>
      <c r="S182" s="324"/>
    </row>
    <row r="183" spans="3:19" ht="13.15" customHeight="1">
      <c r="C183" s="1211"/>
      <c r="F183" s="482"/>
      <c r="G183" s="482"/>
      <c r="H183" s="482"/>
      <c r="I183" s="482"/>
      <c r="J183" s="482"/>
      <c r="K183" s="1210"/>
      <c r="L183" s="482"/>
      <c r="M183" s="482"/>
      <c r="S183" s="324"/>
    </row>
    <row r="184" spans="3:19" ht="13.15" customHeight="1">
      <c r="C184" s="1211"/>
      <c r="F184" s="482"/>
      <c r="G184" s="482"/>
      <c r="H184" s="482"/>
      <c r="I184" s="482"/>
      <c r="J184" s="482"/>
      <c r="K184" s="1210"/>
      <c r="L184" s="482"/>
      <c r="M184" s="482"/>
      <c r="S184" s="324"/>
    </row>
    <row r="185" spans="3:19" ht="13.15" customHeight="1">
      <c r="C185" s="1211"/>
      <c r="F185" s="482"/>
      <c r="G185" s="482"/>
      <c r="H185" s="482"/>
      <c r="I185" s="482"/>
      <c r="J185" s="482"/>
      <c r="K185" s="1210"/>
      <c r="L185" s="482"/>
      <c r="M185" s="482"/>
      <c r="S185" s="324"/>
    </row>
    <row r="186" spans="3:19" ht="13.15" customHeight="1">
      <c r="C186" s="1211"/>
      <c r="F186" s="482"/>
      <c r="G186" s="482"/>
      <c r="H186" s="482"/>
      <c r="I186" s="482"/>
      <c r="J186" s="482"/>
      <c r="K186" s="1210"/>
      <c r="L186" s="482"/>
      <c r="M186" s="482"/>
      <c r="S186" s="324"/>
    </row>
    <row r="187" spans="3:19" ht="13.15" customHeight="1">
      <c r="C187" s="1211" t="s">
        <v>2682</v>
      </c>
      <c r="F187" s="482"/>
      <c r="G187" s="482"/>
      <c r="H187" s="482"/>
      <c r="I187" s="482"/>
      <c r="J187" s="482"/>
      <c r="K187" s="1210"/>
      <c r="L187" s="482"/>
      <c r="M187" s="482"/>
      <c r="S187" s="324"/>
    </row>
    <row r="188" spans="3:19" ht="13.15" customHeight="1">
      <c r="C188" s="1211"/>
      <c r="F188" s="482"/>
      <c r="G188" s="482"/>
      <c r="H188" s="482"/>
      <c r="I188" s="482"/>
      <c r="J188" s="482"/>
      <c r="K188" s="1210"/>
      <c r="L188" s="482"/>
      <c r="M188" s="482"/>
      <c r="S188" s="324"/>
    </row>
    <row r="189" spans="3:19" ht="13.15" customHeight="1">
      <c r="C189" s="1211"/>
      <c r="F189" s="482"/>
      <c r="G189" s="482"/>
      <c r="H189" s="482"/>
      <c r="I189" s="482"/>
      <c r="J189" s="482"/>
      <c r="K189" s="1210"/>
      <c r="L189" s="482"/>
      <c r="M189" s="482"/>
      <c r="S189" s="324"/>
    </row>
    <row r="190" spans="3:19" ht="13.15" customHeight="1">
      <c r="C190" s="1211"/>
      <c r="F190" s="482"/>
      <c r="G190" s="482"/>
      <c r="H190" s="482"/>
      <c r="I190" s="482"/>
      <c r="J190" s="482"/>
      <c r="K190" s="1210"/>
      <c r="L190" s="482"/>
      <c r="M190" s="482"/>
      <c r="S190" s="324"/>
    </row>
    <row r="191" spans="3:19" ht="13.15" customHeight="1">
      <c r="C191" s="1211"/>
      <c r="F191" s="482"/>
      <c r="G191" s="482"/>
      <c r="H191" s="482"/>
      <c r="I191" s="482"/>
      <c r="J191" s="482"/>
      <c r="K191" s="1210"/>
      <c r="L191" s="482"/>
      <c r="M191" s="482"/>
      <c r="S191" s="324"/>
    </row>
    <row r="192" spans="3:19" ht="13.15" customHeight="1">
      <c r="C192" s="1211"/>
      <c r="F192" s="482"/>
      <c r="G192" s="482"/>
      <c r="H192" s="482"/>
      <c r="I192" s="482"/>
      <c r="J192" s="482"/>
      <c r="K192" s="1210"/>
      <c r="L192" s="482"/>
      <c r="M192" s="482"/>
      <c r="S192" s="324"/>
    </row>
    <row r="193" spans="3:19" ht="13.15" customHeight="1">
      <c r="C193" s="1211"/>
      <c r="F193" s="434"/>
      <c r="G193" s="434"/>
      <c r="H193" s="434"/>
      <c r="I193" s="434"/>
      <c r="J193" s="434"/>
      <c r="K193" s="1210"/>
      <c r="L193" s="434"/>
      <c r="M193" s="434"/>
      <c r="S193" s="324"/>
    </row>
    <row r="194" spans="3:19" ht="13.15" customHeight="1">
      <c r="C194" s="1211"/>
      <c r="F194" s="434"/>
      <c r="G194" s="434"/>
      <c r="H194" s="434"/>
      <c r="I194" s="434"/>
      <c r="J194" s="434"/>
      <c r="K194" s="1210"/>
      <c r="L194" s="434"/>
      <c r="M194" s="434"/>
      <c r="S194" s="324"/>
    </row>
    <row r="195" spans="3:19" ht="13.15" customHeight="1">
      <c r="C195" s="1211"/>
      <c r="F195" s="434"/>
      <c r="G195" s="434"/>
      <c r="H195" s="434"/>
      <c r="I195" s="434"/>
      <c r="J195" s="434"/>
      <c r="K195" s="1210"/>
      <c r="L195" s="434"/>
      <c r="M195" s="434"/>
      <c r="S195" s="324"/>
    </row>
    <row r="196" spans="3:19" ht="13.15" customHeight="1">
      <c r="C196" s="1211"/>
      <c r="F196" s="434"/>
      <c r="G196" s="434"/>
      <c r="H196" s="434"/>
      <c r="I196" s="434"/>
      <c r="J196" s="434"/>
      <c r="K196" s="1210"/>
      <c r="L196" s="434"/>
      <c r="M196" s="434"/>
      <c r="S196" s="324"/>
    </row>
    <row r="197" spans="3:19" ht="13.15" customHeight="1">
      <c r="C197" s="1211"/>
      <c r="F197" s="434"/>
      <c r="G197" s="434"/>
      <c r="H197" s="434"/>
      <c r="I197" s="434"/>
      <c r="J197" s="434"/>
      <c r="K197" s="1210"/>
      <c r="L197" s="434"/>
      <c r="M197" s="434"/>
      <c r="S197" s="324"/>
    </row>
    <row r="198" spans="3:19" ht="13.15" customHeight="1">
      <c r="C198" s="1211"/>
      <c r="F198" s="434"/>
      <c r="G198" s="434"/>
      <c r="H198" s="434"/>
      <c r="I198" s="434"/>
      <c r="J198" s="434"/>
      <c r="K198" s="1210"/>
      <c r="L198" s="434"/>
      <c r="M198" s="434"/>
      <c r="S198" s="324"/>
    </row>
    <row r="199" spans="3:19" ht="13.15" customHeight="1">
      <c r="C199" s="1211"/>
      <c r="F199" s="434"/>
      <c r="G199" s="434"/>
      <c r="H199" s="434"/>
      <c r="I199" s="434"/>
      <c r="J199" s="434"/>
      <c r="K199" s="1210"/>
      <c r="L199" s="434"/>
      <c r="M199" s="434"/>
      <c r="S199" s="324"/>
    </row>
    <row r="200" spans="3:19" ht="13.15" customHeight="1">
      <c r="C200" s="1211"/>
      <c r="F200" s="434"/>
      <c r="G200" s="434"/>
      <c r="H200" s="434"/>
      <c r="I200" s="434"/>
      <c r="J200" s="434"/>
      <c r="K200" s="1210"/>
      <c r="L200" s="434"/>
      <c r="M200" s="434"/>
      <c r="S200" s="324"/>
    </row>
    <row r="201" spans="3:19" ht="13.15" customHeight="1">
      <c r="C201" s="1211"/>
      <c r="F201" s="434"/>
      <c r="G201" s="434"/>
      <c r="H201" s="434"/>
      <c r="I201" s="434"/>
      <c r="J201" s="434"/>
      <c r="K201" s="1210"/>
      <c r="L201" s="434"/>
      <c r="M201" s="434"/>
      <c r="S201" s="324"/>
    </row>
    <row r="202" spans="3:19" ht="13.15" customHeight="1">
      <c r="C202" s="1211"/>
      <c r="F202" s="434"/>
      <c r="G202" s="434"/>
      <c r="H202" s="434"/>
      <c r="I202" s="434"/>
      <c r="J202" s="434"/>
      <c r="K202" s="1210"/>
      <c r="L202" s="434"/>
      <c r="M202" s="434"/>
      <c r="S202" s="324"/>
    </row>
    <row r="203" spans="3:19" ht="13.15" customHeight="1">
      <c r="C203" s="1211"/>
      <c r="F203" s="434"/>
      <c r="G203" s="434"/>
      <c r="H203" s="434"/>
      <c r="I203" s="434"/>
      <c r="J203" s="434"/>
      <c r="K203" s="1210"/>
      <c r="L203" s="434"/>
      <c r="M203" s="434"/>
      <c r="S203" s="324"/>
    </row>
    <row r="204" spans="3:19" ht="13.15" customHeight="1">
      <c r="C204" s="1211"/>
      <c r="F204" s="434"/>
      <c r="G204" s="434"/>
      <c r="H204" s="434"/>
      <c r="I204" s="434"/>
      <c r="J204" s="434"/>
      <c r="K204" s="1210"/>
      <c r="L204" s="434"/>
      <c r="M204" s="434"/>
      <c r="S204" s="324"/>
    </row>
    <row r="205" spans="3:19" ht="13.15" customHeight="1">
      <c r="C205" s="1211"/>
      <c r="F205" s="434"/>
      <c r="G205" s="434"/>
      <c r="H205" s="434"/>
      <c r="I205" s="434"/>
      <c r="J205" s="434"/>
      <c r="K205" s="1210"/>
      <c r="L205" s="434"/>
      <c r="M205" s="434"/>
      <c r="S205" s="324"/>
    </row>
    <row r="206" spans="3:19" ht="13.15" customHeight="1">
      <c r="C206" s="1211"/>
      <c r="F206" s="434"/>
      <c r="G206" s="434"/>
      <c r="H206" s="434"/>
      <c r="I206" s="434"/>
      <c r="J206" s="434"/>
      <c r="K206" s="1210"/>
      <c r="L206" s="434"/>
      <c r="M206" s="434"/>
      <c r="S206" s="324"/>
    </row>
    <row r="207" spans="3:19" ht="13.15" customHeight="1">
      <c r="C207" s="1211"/>
      <c r="F207" s="434"/>
      <c r="G207" s="434"/>
      <c r="H207" s="434"/>
      <c r="I207" s="434"/>
      <c r="J207" s="434"/>
      <c r="K207" s="1210"/>
      <c r="L207" s="434"/>
      <c r="M207" s="434"/>
      <c r="S207" s="324"/>
    </row>
    <row r="208" spans="3:19" ht="13.15" customHeight="1">
      <c r="C208" s="1211"/>
      <c r="F208" s="434"/>
      <c r="G208" s="434"/>
      <c r="H208" s="434"/>
      <c r="I208" s="434"/>
      <c r="J208" s="434"/>
      <c r="K208" s="1210"/>
      <c r="L208" s="434"/>
      <c r="M208" s="434"/>
      <c r="S208" s="324"/>
    </row>
    <row r="209" spans="3:19" ht="13.15" customHeight="1">
      <c r="C209" s="1211"/>
      <c r="F209" s="434"/>
      <c r="G209" s="434"/>
      <c r="H209" s="434"/>
      <c r="I209" s="434"/>
      <c r="J209" s="434"/>
      <c r="K209" s="1210"/>
      <c r="L209" s="434"/>
      <c r="M209" s="434"/>
      <c r="S209" s="324"/>
    </row>
    <row r="210" spans="3:19" ht="13.15" customHeight="1">
      <c r="C210" s="1211"/>
      <c r="F210" s="434"/>
      <c r="G210" s="434"/>
      <c r="H210" s="434"/>
      <c r="I210" s="434"/>
      <c r="J210" s="434"/>
      <c r="K210" s="1210"/>
      <c r="L210" s="434"/>
      <c r="M210" s="434"/>
      <c r="S210" s="324"/>
    </row>
    <row r="211" spans="3:19" ht="13.15" customHeight="1">
      <c r="C211" s="1211"/>
      <c r="F211" s="434"/>
      <c r="G211" s="434"/>
      <c r="H211" s="434"/>
      <c r="I211" s="434"/>
      <c r="J211" s="434"/>
      <c r="K211" s="1210"/>
      <c r="L211" s="434"/>
      <c r="M211" s="434"/>
      <c r="S211" s="324"/>
    </row>
    <row r="212" spans="3:19" ht="13.15" customHeight="1">
      <c r="C212" s="1211"/>
      <c r="F212" s="434"/>
      <c r="G212" s="434"/>
      <c r="H212" s="434"/>
      <c r="I212" s="434"/>
      <c r="J212" s="434"/>
      <c r="K212" s="1210"/>
      <c r="L212" s="434"/>
      <c r="M212" s="434"/>
      <c r="S212" s="324"/>
    </row>
    <row r="213" spans="3:19" ht="13.15" customHeight="1">
      <c r="C213" s="1211"/>
      <c r="F213" s="434"/>
      <c r="G213" s="434"/>
      <c r="H213" s="434"/>
      <c r="I213" s="434"/>
      <c r="J213" s="434"/>
      <c r="K213" s="1210"/>
      <c r="L213" s="434"/>
      <c r="M213" s="434"/>
      <c r="S213" s="324"/>
    </row>
    <row r="214" spans="3:19" ht="13.15" customHeight="1">
      <c r="C214" s="1211"/>
      <c r="F214" s="434"/>
      <c r="G214" s="434"/>
      <c r="H214" s="434"/>
      <c r="I214" s="434"/>
      <c r="J214" s="434"/>
      <c r="K214" s="1210"/>
      <c r="L214" s="434"/>
      <c r="M214" s="434"/>
      <c r="S214" s="324"/>
    </row>
    <row r="215" spans="3:19" ht="13.15" customHeight="1">
      <c r="C215" s="1211"/>
      <c r="F215" s="434"/>
      <c r="G215" s="434"/>
      <c r="H215" s="434"/>
      <c r="I215" s="434"/>
      <c r="J215" s="434"/>
      <c r="K215" s="1210"/>
      <c r="L215" s="434"/>
      <c r="M215" s="434"/>
      <c r="S215" s="324"/>
    </row>
    <row r="216" spans="3:19" ht="13.15" customHeight="1">
      <c r="C216" s="1211"/>
      <c r="F216" s="434"/>
      <c r="G216" s="434"/>
      <c r="H216" s="434"/>
      <c r="I216" s="434"/>
      <c r="J216" s="434"/>
      <c r="K216" s="1210"/>
      <c r="L216" s="434"/>
      <c r="M216" s="434"/>
      <c r="S216" s="324"/>
    </row>
    <row r="217" spans="3:19" ht="13.15" customHeight="1">
      <c r="C217" s="1211"/>
      <c r="F217" s="434"/>
      <c r="G217" s="434"/>
      <c r="H217" s="434"/>
      <c r="I217" s="434"/>
      <c r="J217" s="434"/>
      <c r="K217" s="1210"/>
      <c r="L217" s="434"/>
      <c r="M217" s="434"/>
      <c r="S217" s="324"/>
    </row>
    <row r="218" spans="3:19" ht="13.15" customHeight="1">
      <c r="C218" s="1211"/>
      <c r="F218" s="434"/>
      <c r="G218" s="434"/>
      <c r="H218" s="434"/>
      <c r="I218" s="434"/>
      <c r="J218" s="434"/>
      <c r="K218" s="1210"/>
      <c r="L218" s="434"/>
      <c r="M218" s="434"/>
      <c r="S218" s="324"/>
    </row>
    <row r="219" spans="3:19" ht="13.15" customHeight="1">
      <c r="C219" s="1211"/>
      <c r="F219" s="434"/>
      <c r="G219" s="434"/>
      <c r="H219" s="434"/>
      <c r="I219" s="434"/>
      <c r="J219" s="434"/>
      <c r="K219" s="1210"/>
      <c r="L219" s="434"/>
      <c r="M219" s="434"/>
      <c r="S219" s="324"/>
    </row>
    <row r="220" spans="3:19" ht="13.15" customHeight="1">
      <c r="C220" s="1211"/>
      <c r="F220" s="434"/>
      <c r="G220" s="434"/>
      <c r="H220" s="434"/>
      <c r="I220" s="434"/>
      <c r="J220" s="434"/>
      <c r="K220" s="1210"/>
      <c r="L220" s="434"/>
      <c r="M220" s="434"/>
      <c r="S220" s="324"/>
    </row>
    <row r="221" spans="3:19" ht="13.15" customHeight="1">
      <c r="C221" s="1211"/>
      <c r="F221" s="434"/>
      <c r="G221" s="434"/>
      <c r="H221" s="434"/>
      <c r="I221" s="434"/>
      <c r="J221" s="434"/>
      <c r="K221" s="1210"/>
      <c r="L221" s="434"/>
      <c r="M221" s="434"/>
      <c r="S221" s="324"/>
    </row>
    <row r="222" spans="3:19" ht="13.15" customHeight="1">
      <c r="C222" s="1211"/>
      <c r="F222" s="434"/>
      <c r="G222" s="434"/>
      <c r="H222" s="434"/>
      <c r="I222" s="434"/>
      <c r="J222" s="434"/>
      <c r="K222" s="1210"/>
      <c r="L222" s="434"/>
      <c r="M222" s="434"/>
      <c r="S222" s="324"/>
    </row>
    <row r="223" spans="3:19" ht="13.15" customHeight="1">
      <c r="C223" s="1211"/>
      <c r="F223" s="434"/>
      <c r="G223" s="434"/>
      <c r="H223" s="434"/>
      <c r="I223" s="434"/>
      <c r="J223" s="434"/>
      <c r="K223" s="1210"/>
      <c r="L223" s="434"/>
      <c r="M223" s="434"/>
      <c r="S223" s="324"/>
    </row>
    <row r="224" spans="3:19" ht="13.15" customHeight="1">
      <c r="C224" s="1211"/>
      <c r="F224" s="434"/>
      <c r="G224" s="434"/>
      <c r="H224" s="434"/>
      <c r="I224" s="434"/>
      <c r="J224" s="434"/>
      <c r="K224" s="1210"/>
      <c r="L224" s="434"/>
      <c r="M224" s="434"/>
      <c r="S224" s="324"/>
    </row>
    <row r="225" spans="3:19" ht="13.15" customHeight="1">
      <c r="C225" s="1211"/>
      <c r="F225" s="434"/>
      <c r="G225" s="434"/>
      <c r="H225" s="434"/>
      <c r="I225" s="434"/>
      <c r="J225" s="434"/>
      <c r="K225" s="1210"/>
      <c r="L225" s="434"/>
      <c r="M225" s="434"/>
      <c r="S225" s="324"/>
    </row>
    <row r="226" spans="3:19" ht="13.15" customHeight="1">
      <c r="C226" s="1211"/>
      <c r="F226" s="434"/>
      <c r="G226" s="434"/>
      <c r="H226" s="434"/>
      <c r="I226" s="434"/>
      <c r="J226" s="434"/>
      <c r="K226" s="1210"/>
      <c r="L226" s="434"/>
      <c r="M226" s="434"/>
      <c r="S226" s="324"/>
    </row>
    <row r="227" spans="3:19" ht="13.15" customHeight="1">
      <c r="C227" s="1211"/>
      <c r="F227" s="434"/>
      <c r="G227" s="434"/>
      <c r="H227" s="434"/>
      <c r="I227" s="434"/>
      <c r="J227" s="434"/>
      <c r="K227" s="1210"/>
      <c r="L227" s="434"/>
      <c r="M227" s="434"/>
      <c r="S227" s="324"/>
    </row>
    <row r="228" spans="3:19" ht="13.15" customHeight="1">
      <c r="C228" s="1211"/>
      <c r="F228" s="434"/>
      <c r="G228" s="434"/>
      <c r="H228" s="434"/>
      <c r="I228" s="434"/>
      <c r="J228" s="434"/>
      <c r="K228" s="1210"/>
      <c r="L228" s="434"/>
      <c r="M228" s="434"/>
      <c r="S228" s="324"/>
    </row>
    <row r="229" spans="3:19" ht="13.15" customHeight="1">
      <c r="C229" s="1211"/>
      <c r="F229" s="434"/>
      <c r="G229" s="434"/>
      <c r="H229" s="434"/>
      <c r="I229" s="434"/>
      <c r="J229" s="434"/>
      <c r="K229" s="1210"/>
      <c r="L229" s="434"/>
      <c r="M229" s="434"/>
      <c r="S229" s="324"/>
    </row>
    <row r="230" spans="3:19" ht="13.15" customHeight="1">
      <c r="C230" s="1211"/>
      <c r="F230" s="434"/>
      <c r="G230" s="434"/>
      <c r="H230" s="434"/>
      <c r="I230" s="434"/>
      <c r="J230" s="434"/>
      <c r="K230" s="1210"/>
      <c r="L230" s="434"/>
      <c r="M230" s="434"/>
      <c r="S230" s="324"/>
    </row>
    <row r="231" spans="3:19" ht="13.15" customHeight="1">
      <c r="C231" s="1211"/>
      <c r="F231" s="434"/>
      <c r="G231" s="434"/>
      <c r="H231" s="434"/>
      <c r="I231" s="434"/>
      <c r="J231" s="434"/>
      <c r="K231" s="1210"/>
      <c r="L231" s="434"/>
      <c r="M231" s="434"/>
      <c r="S231" s="324"/>
    </row>
    <row r="232" spans="3:19" ht="13.15" customHeight="1">
      <c r="C232" s="1211"/>
      <c r="F232" s="434"/>
      <c r="G232" s="434"/>
      <c r="H232" s="434"/>
      <c r="I232" s="434"/>
      <c r="J232" s="434"/>
      <c r="K232" s="1210"/>
      <c r="L232" s="434"/>
      <c r="M232" s="434"/>
      <c r="S232" s="324"/>
    </row>
    <row r="233" spans="3:19" ht="13.15" customHeight="1">
      <c r="C233" s="1211"/>
      <c r="F233" s="434"/>
      <c r="G233" s="434"/>
      <c r="H233" s="434"/>
      <c r="I233" s="434"/>
      <c r="J233" s="434"/>
      <c r="K233" s="1210"/>
      <c r="L233" s="434"/>
      <c r="M233" s="434"/>
      <c r="S233" s="324"/>
    </row>
    <row r="234" spans="3:19" ht="13.15" customHeight="1">
      <c r="C234" s="1211"/>
      <c r="F234" s="434"/>
      <c r="G234" s="434"/>
      <c r="H234" s="434"/>
      <c r="I234" s="434"/>
      <c r="J234" s="434"/>
      <c r="K234" s="1210"/>
      <c r="L234" s="434"/>
      <c r="M234" s="434"/>
      <c r="S234" s="324"/>
    </row>
    <row r="235" spans="3:19" ht="13.15" customHeight="1">
      <c r="C235" s="1211"/>
      <c r="F235" s="434"/>
      <c r="G235" s="434"/>
      <c r="H235" s="434"/>
      <c r="I235" s="434"/>
      <c r="J235" s="434"/>
      <c r="K235" s="1210"/>
      <c r="L235" s="434"/>
      <c r="M235" s="434"/>
      <c r="S235" s="324"/>
    </row>
    <row r="236" spans="3:19" ht="13.15" customHeight="1">
      <c r="C236" s="1211"/>
      <c r="F236" s="434"/>
      <c r="G236" s="434"/>
      <c r="H236" s="434"/>
      <c r="I236" s="434"/>
      <c r="J236" s="434"/>
      <c r="K236" s="1210"/>
      <c r="L236" s="434"/>
      <c r="M236" s="434"/>
      <c r="S236" s="324"/>
    </row>
    <row r="237" spans="3:19" ht="13.15" customHeight="1">
      <c r="C237" s="1211"/>
      <c r="F237" s="434"/>
      <c r="G237" s="434"/>
      <c r="H237" s="434"/>
      <c r="I237" s="434"/>
      <c r="J237" s="434"/>
      <c r="K237" s="1210"/>
      <c r="L237" s="434"/>
      <c r="M237" s="434"/>
      <c r="S237" s="324"/>
    </row>
    <row r="238" spans="3:19" ht="13.15" customHeight="1">
      <c r="C238" s="1211"/>
      <c r="F238" s="434"/>
      <c r="G238" s="434"/>
      <c r="H238" s="434"/>
      <c r="I238" s="434"/>
      <c r="J238" s="434"/>
      <c r="K238" s="1210"/>
      <c r="L238" s="434"/>
      <c r="M238" s="434"/>
      <c r="S238" s="324"/>
    </row>
    <row r="239" spans="3:19" ht="13.15" customHeight="1">
      <c r="C239" s="1211"/>
      <c r="F239" s="434"/>
      <c r="G239" s="434"/>
      <c r="H239" s="434"/>
      <c r="I239" s="434"/>
      <c r="J239" s="434"/>
      <c r="K239" s="1210"/>
      <c r="L239" s="434"/>
      <c r="M239" s="434"/>
      <c r="S239" s="324"/>
    </row>
    <row r="240" spans="3:19" ht="13.15" customHeight="1">
      <c r="C240" s="1211"/>
      <c r="F240" s="434"/>
      <c r="G240" s="434"/>
      <c r="H240" s="434"/>
      <c r="I240" s="434"/>
      <c r="J240" s="434"/>
      <c r="K240" s="1210"/>
      <c r="L240" s="434"/>
      <c r="M240" s="434"/>
      <c r="S240" s="324"/>
    </row>
    <row r="241" spans="3:19" ht="13.15" customHeight="1">
      <c r="C241" s="1211"/>
      <c r="F241" s="434"/>
      <c r="G241" s="434"/>
      <c r="H241" s="434"/>
      <c r="I241" s="434"/>
      <c r="J241" s="434"/>
      <c r="K241" s="1210"/>
      <c r="L241" s="434"/>
      <c r="M241" s="434"/>
      <c r="S241" s="324"/>
    </row>
    <row r="242" spans="3:19" ht="13.15" customHeight="1">
      <c r="C242" s="1211"/>
      <c r="F242" s="434"/>
      <c r="G242" s="434"/>
      <c r="H242" s="434"/>
      <c r="I242" s="434"/>
      <c r="J242" s="434"/>
      <c r="K242" s="1210"/>
      <c r="L242" s="434"/>
      <c r="M242" s="434"/>
      <c r="S242" s="324"/>
    </row>
    <row r="243" spans="3:19" ht="13.15" customHeight="1">
      <c r="C243" s="1211"/>
      <c r="F243" s="434"/>
      <c r="G243" s="434"/>
      <c r="H243" s="434"/>
      <c r="I243" s="434"/>
      <c r="J243" s="434"/>
      <c r="K243" s="1210"/>
      <c r="L243" s="434"/>
      <c r="M243" s="434"/>
      <c r="S243" s="324"/>
    </row>
    <row r="244" spans="3:19" ht="13.15" customHeight="1">
      <c r="C244" s="1211"/>
      <c r="F244" s="434"/>
      <c r="G244" s="434"/>
      <c r="H244" s="434"/>
      <c r="I244" s="434"/>
      <c r="J244" s="434"/>
      <c r="K244" s="1210"/>
      <c r="L244" s="434"/>
      <c r="M244" s="434"/>
      <c r="S244" s="324"/>
    </row>
    <row r="245" spans="3:19" ht="13.15" customHeight="1">
      <c r="C245" s="1211"/>
      <c r="F245" s="434"/>
      <c r="G245" s="434"/>
      <c r="H245" s="434"/>
      <c r="I245" s="434"/>
      <c r="J245" s="434"/>
      <c r="K245" s="1210"/>
      <c r="L245" s="434"/>
      <c r="M245" s="434"/>
      <c r="S245" s="324"/>
    </row>
    <row r="246" spans="3:19" ht="13.15" customHeight="1">
      <c r="C246" s="1211"/>
      <c r="K246" s="476"/>
      <c r="S246" s="324"/>
    </row>
    <row r="247" spans="3:19" ht="13.15" customHeight="1">
      <c r="C247" s="1211"/>
      <c r="K247" s="476"/>
      <c r="S247" s="324"/>
    </row>
    <row r="248" spans="3:19" ht="13.15" customHeight="1">
      <c r="C248" s="1211"/>
      <c r="K248" s="476"/>
      <c r="S248" s="324"/>
    </row>
    <row r="249" spans="3:19" ht="13.15" customHeight="1">
      <c r="C249" s="1211"/>
      <c r="K249" s="476"/>
      <c r="S249" s="324"/>
    </row>
    <row r="250" spans="3:19" ht="13.15" customHeight="1">
      <c r="C250" s="1211"/>
      <c r="K250" s="476"/>
      <c r="S250" s="324"/>
    </row>
    <row r="251" spans="3:19" ht="13.15" customHeight="1">
      <c r="C251" s="1211"/>
      <c r="K251" s="476"/>
      <c r="S251" s="324"/>
    </row>
    <row r="252" spans="3:19" ht="13.15" customHeight="1">
      <c r="C252" s="1211"/>
      <c r="K252" s="476"/>
      <c r="S252" s="324"/>
    </row>
    <row r="253" spans="3:19" ht="13.15" customHeight="1">
      <c r="C253" s="1211"/>
      <c r="K253" s="476"/>
      <c r="S253" s="324"/>
    </row>
    <row r="254" spans="3:19" ht="13.15" customHeight="1">
      <c r="C254" s="1211"/>
      <c r="K254" s="476"/>
      <c r="S254" s="324"/>
    </row>
    <row r="255" spans="3:19" ht="13.15" customHeight="1">
      <c r="C255" s="1211"/>
      <c r="K255" s="476"/>
      <c r="S255" s="324"/>
    </row>
    <row r="256" spans="3:19" ht="13.15" customHeight="1">
      <c r="C256" s="1211"/>
      <c r="K256" s="476"/>
      <c r="S256" s="324"/>
    </row>
    <row r="257" spans="3:19" ht="13.15" customHeight="1">
      <c r="C257" s="1211"/>
      <c r="K257" s="476"/>
      <c r="S257" s="324"/>
    </row>
    <row r="258" spans="3:19" ht="13.15" customHeight="1">
      <c r="C258" s="1211"/>
      <c r="K258" s="476"/>
      <c r="S258" s="324"/>
    </row>
    <row r="259" spans="3:19" ht="13.15" customHeight="1">
      <c r="C259" s="1211"/>
      <c r="K259" s="476"/>
      <c r="S259" s="324"/>
    </row>
    <row r="260" spans="3:19" ht="13.15" customHeight="1">
      <c r="C260" s="1211"/>
      <c r="K260" s="476"/>
      <c r="S260" s="324"/>
    </row>
    <row r="261" spans="3:19" ht="13.15" customHeight="1">
      <c r="C261" s="1211"/>
      <c r="K261" s="476"/>
      <c r="S261" s="324"/>
    </row>
    <row r="262" spans="3:19" ht="13.15" customHeight="1">
      <c r="C262" s="1211"/>
      <c r="K262" s="476"/>
      <c r="S262" s="324"/>
    </row>
    <row r="263" spans="3:19" ht="13.15" customHeight="1">
      <c r="C263" s="1211"/>
      <c r="K263" s="476"/>
      <c r="S263" s="324"/>
    </row>
    <row r="264" spans="3:19" ht="13.15" customHeight="1">
      <c r="C264" s="1211"/>
      <c r="K264" s="476"/>
      <c r="S264" s="324"/>
    </row>
    <row r="265" spans="3:19" ht="13.15" customHeight="1">
      <c r="C265" s="1211"/>
      <c r="K265" s="476"/>
      <c r="S265" s="324"/>
    </row>
    <row r="266" spans="3:19" ht="13.15" customHeight="1">
      <c r="C266" s="1211"/>
      <c r="K266" s="476"/>
      <c r="S266" s="324"/>
    </row>
    <row r="267" spans="3:19" ht="13.15" customHeight="1">
      <c r="C267" s="1211" t="s">
        <v>2682</v>
      </c>
      <c r="K267" s="476"/>
      <c r="S267" s="324"/>
    </row>
    <row r="268" spans="3:19" ht="13.15" customHeight="1">
      <c r="C268" s="1211"/>
      <c r="K268" s="476"/>
      <c r="S268" s="324"/>
    </row>
    <row r="269" spans="3:19" ht="13.15" customHeight="1">
      <c r="C269" s="1211"/>
      <c r="K269" s="476"/>
      <c r="S269" s="324"/>
    </row>
    <row r="270" spans="3:19" ht="13.15" customHeight="1">
      <c r="C270" s="1211"/>
      <c r="K270" s="476"/>
      <c r="S270" s="324"/>
    </row>
    <row r="271" spans="3:19" ht="13.15" customHeight="1">
      <c r="C271" s="1211"/>
      <c r="K271" s="476"/>
      <c r="S271" s="324"/>
    </row>
    <row r="272" spans="3:19" ht="13.15" customHeight="1">
      <c r="C272" s="1211"/>
      <c r="K272" s="476"/>
      <c r="S272" s="324"/>
    </row>
    <row r="273" spans="3:19" ht="13.15" customHeight="1">
      <c r="C273" s="1211"/>
      <c r="K273" s="476"/>
      <c r="S273" s="324"/>
    </row>
    <row r="274" spans="3:19" ht="13.15" customHeight="1">
      <c r="C274" s="1211"/>
      <c r="K274" s="476"/>
      <c r="S274" s="324"/>
    </row>
    <row r="275" spans="3:19" ht="13.15" customHeight="1">
      <c r="C275" s="1211"/>
      <c r="K275" s="476"/>
      <c r="S275" s="324"/>
    </row>
    <row r="276" spans="3:19" ht="13.15" customHeight="1">
      <c r="C276" s="1211"/>
      <c r="K276" s="476"/>
      <c r="S276" s="324"/>
    </row>
    <row r="277" spans="3:19" ht="13.15" customHeight="1">
      <c r="C277" s="1211"/>
      <c r="K277" s="476"/>
      <c r="S277" s="324"/>
    </row>
    <row r="278" spans="3:19" ht="13.15" customHeight="1">
      <c r="C278" s="1211"/>
      <c r="K278" s="476"/>
      <c r="S278" s="324"/>
    </row>
    <row r="279" spans="3:19" ht="13.15" customHeight="1">
      <c r="C279" s="1211"/>
      <c r="K279" s="476"/>
      <c r="S279" s="324"/>
    </row>
    <row r="280" spans="3:19" ht="13.15" customHeight="1">
      <c r="C280" s="1211"/>
      <c r="K280" s="476"/>
      <c r="S280" s="324"/>
    </row>
    <row r="281" spans="3:19" ht="13.15" customHeight="1">
      <c r="C281" s="1211"/>
      <c r="K281" s="476"/>
      <c r="S281" s="324"/>
    </row>
    <row r="282" spans="3:19" ht="13.15" customHeight="1">
      <c r="C282" s="1211"/>
      <c r="K282" s="476"/>
      <c r="S282" s="324"/>
    </row>
    <row r="283" spans="3:19" ht="13.15" customHeight="1">
      <c r="C283" s="1211"/>
      <c r="K283" s="476"/>
      <c r="S283" s="324"/>
    </row>
    <row r="284" spans="3:19" ht="13.15" customHeight="1">
      <c r="C284" s="1211"/>
      <c r="K284" s="476"/>
      <c r="S284" s="324"/>
    </row>
    <row r="285" spans="3:19" ht="13.15" customHeight="1">
      <c r="C285" s="1211"/>
      <c r="K285" s="476"/>
      <c r="S285" s="324"/>
    </row>
    <row r="286" spans="3:19" ht="13.15" customHeight="1">
      <c r="C286" s="1211"/>
      <c r="K286" s="476"/>
      <c r="S286" s="324"/>
    </row>
    <row r="287" spans="3:19" ht="13.15" customHeight="1">
      <c r="C287" s="1211"/>
      <c r="K287" s="476"/>
      <c r="S287" s="324"/>
    </row>
    <row r="288" spans="3:19" ht="13.15" customHeight="1">
      <c r="C288" s="1211"/>
      <c r="K288" s="476"/>
      <c r="S288" s="324"/>
    </row>
    <row r="289" spans="3:19" ht="13.15" customHeight="1">
      <c r="C289" s="1211"/>
      <c r="K289" s="476"/>
      <c r="S289" s="324"/>
    </row>
    <row r="290" spans="3:19" ht="13.15" customHeight="1">
      <c r="C290" s="1211"/>
      <c r="K290" s="476"/>
      <c r="S290" s="324"/>
    </row>
    <row r="291" spans="3:19" ht="13.15" customHeight="1">
      <c r="C291" s="1211"/>
      <c r="K291" s="476"/>
      <c r="S291" s="324"/>
    </row>
    <row r="292" spans="3:19" ht="13.15" customHeight="1">
      <c r="C292" s="1211"/>
      <c r="K292" s="476"/>
      <c r="S292" s="324"/>
    </row>
    <row r="293" spans="3:19" ht="13.15" customHeight="1">
      <c r="C293" s="1211"/>
      <c r="K293" s="476"/>
      <c r="S293" s="324"/>
    </row>
    <row r="294" spans="3:19" ht="13.15" customHeight="1">
      <c r="C294" s="1211"/>
      <c r="K294" s="476"/>
      <c r="S294" s="324"/>
    </row>
    <row r="295" spans="3:19" ht="13.15" customHeight="1">
      <c r="C295" s="1211"/>
      <c r="K295" s="476"/>
      <c r="S295" s="324"/>
    </row>
    <row r="296" spans="3:19" ht="13.15" customHeight="1">
      <c r="C296" s="1211"/>
      <c r="K296" s="476"/>
      <c r="S296" s="324"/>
    </row>
    <row r="297" spans="3:19" ht="13.15" customHeight="1">
      <c r="C297" s="1211"/>
      <c r="K297" s="476"/>
      <c r="S297" s="324"/>
    </row>
    <row r="298" spans="3:19" ht="13.15" customHeight="1">
      <c r="C298" s="1211"/>
      <c r="K298" s="476"/>
      <c r="S298" s="324"/>
    </row>
    <row r="299" spans="3:19" ht="13.15" customHeight="1">
      <c r="C299" s="1211"/>
      <c r="K299" s="476"/>
      <c r="S299" s="324"/>
    </row>
    <row r="300" spans="3:19" ht="13.15" customHeight="1">
      <c r="C300" s="1211"/>
      <c r="K300" s="476"/>
      <c r="S300" s="324"/>
    </row>
    <row r="301" spans="3:19" ht="13.15" customHeight="1">
      <c r="C301" s="1211"/>
      <c r="K301" s="476"/>
      <c r="S301" s="324"/>
    </row>
    <row r="302" spans="3:19" ht="13.15" customHeight="1">
      <c r="C302" s="1211"/>
      <c r="K302" s="476"/>
      <c r="S302" s="324"/>
    </row>
    <row r="303" spans="3:19" ht="13.15" customHeight="1">
      <c r="C303" s="1211"/>
      <c r="K303" s="476"/>
      <c r="S303" s="324"/>
    </row>
    <row r="304" spans="3:19" ht="13.15" customHeight="1">
      <c r="C304" s="1211"/>
      <c r="K304" s="476"/>
      <c r="S304" s="324"/>
    </row>
    <row r="305" spans="3:19" ht="13.15" customHeight="1">
      <c r="C305" s="1211"/>
      <c r="K305" s="476"/>
      <c r="S305" s="324"/>
    </row>
    <row r="306" spans="3:19" ht="13.15" customHeight="1">
      <c r="C306" s="1211"/>
      <c r="K306" s="476"/>
      <c r="S306" s="324"/>
    </row>
    <row r="307" spans="3:19" ht="13.15" customHeight="1">
      <c r="C307" s="1211"/>
      <c r="K307" s="476"/>
      <c r="S307" s="324"/>
    </row>
    <row r="308" spans="3:19" ht="13.15" customHeight="1">
      <c r="C308" s="1211"/>
      <c r="K308" s="476"/>
      <c r="S308" s="324"/>
    </row>
    <row r="309" spans="3:19" ht="13.15" customHeight="1">
      <c r="C309" s="1211"/>
      <c r="K309" s="476"/>
      <c r="S309" s="324"/>
    </row>
    <row r="310" spans="3:19" ht="13.15" customHeight="1">
      <c r="C310" s="1211"/>
      <c r="K310" s="476"/>
      <c r="S310" s="324"/>
    </row>
    <row r="311" spans="3:19" ht="13.15" customHeight="1">
      <c r="C311" s="1211"/>
      <c r="K311" s="476"/>
      <c r="S311" s="324"/>
    </row>
    <row r="312" spans="3:19" ht="13.15" customHeight="1">
      <c r="C312" s="1211"/>
      <c r="K312" s="476"/>
      <c r="S312" s="324"/>
    </row>
    <row r="313" spans="3:19" ht="13.15" customHeight="1">
      <c r="C313" s="1211"/>
      <c r="K313" s="476"/>
      <c r="S313" s="324"/>
    </row>
    <row r="314" spans="3:19" ht="13.15" customHeight="1">
      <c r="C314" s="1211"/>
      <c r="K314" s="476"/>
      <c r="S314" s="324"/>
    </row>
    <row r="315" spans="3:19" ht="13.15" customHeight="1">
      <c r="C315" s="1211"/>
      <c r="K315" s="476"/>
      <c r="S315" s="324"/>
    </row>
    <row r="316" spans="3:19" ht="13.15" customHeight="1">
      <c r="C316" s="1211"/>
      <c r="K316" s="476"/>
      <c r="S316" s="324"/>
    </row>
    <row r="317" spans="3:19" ht="13.15" customHeight="1">
      <c r="C317" s="1211"/>
      <c r="K317" s="476"/>
      <c r="S317" s="324"/>
    </row>
    <row r="318" spans="3:19" ht="13.15" customHeight="1">
      <c r="C318" s="1211"/>
      <c r="K318" s="476"/>
      <c r="S318" s="324"/>
    </row>
    <row r="319" spans="3:19" ht="13.15" customHeight="1">
      <c r="C319" s="1211"/>
      <c r="K319" s="476"/>
      <c r="S319" s="324"/>
    </row>
    <row r="320" spans="3:19" ht="13.15" customHeight="1">
      <c r="C320" s="1211"/>
      <c r="K320" s="476"/>
      <c r="S320" s="324"/>
    </row>
    <row r="321" spans="3:19" ht="13.15" customHeight="1">
      <c r="C321" s="1211"/>
      <c r="K321" s="476"/>
      <c r="S321" s="324"/>
    </row>
    <row r="322" spans="3:19" ht="13.15" customHeight="1">
      <c r="C322" s="1211"/>
      <c r="K322" s="476"/>
      <c r="S322" s="324"/>
    </row>
    <row r="323" spans="3:19" ht="13.15" customHeight="1">
      <c r="C323" s="1211"/>
      <c r="K323" s="476"/>
      <c r="S323" s="324"/>
    </row>
    <row r="324" spans="3:19" ht="13.15" customHeight="1">
      <c r="C324" s="1211"/>
      <c r="K324" s="476"/>
      <c r="S324" s="324"/>
    </row>
    <row r="325" spans="3:19" ht="13.15" customHeight="1">
      <c r="C325" s="1211"/>
      <c r="K325" s="476"/>
      <c r="S325" s="324"/>
    </row>
    <row r="326" spans="3:19" ht="13.15" customHeight="1">
      <c r="C326" s="1211"/>
      <c r="K326" s="476"/>
      <c r="S326" s="324"/>
    </row>
    <row r="327" spans="3:19" ht="13.15" customHeight="1">
      <c r="C327" s="1211"/>
      <c r="K327" s="476"/>
      <c r="S327" s="324"/>
    </row>
    <row r="328" spans="3:19" ht="13.15" customHeight="1">
      <c r="C328" s="1211"/>
      <c r="K328" s="476"/>
      <c r="S328" s="324"/>
    </row>
    <row r="329" spans="3:19" ht="13.15" customHeight="1">
      <c r="C329" s="1211"/>
      <c r="K329" s="476"/>
      <c r="S329" s="324"/>
    </row>
    <row r="330" spans="3:19" ht="13.15" customHeight="1">
      <c r="C330" s="1211"/>
      <c r="K330" s="476"/>
      <c r="S330" s="324"/>
    </row>
    <row r="331" spans="3:19" ht="13.15" customHeight="1">
      <c r="C331" s="1211"/>
      <c r="K331" s="476"/>
      <c r="S331" s="324"/>
    </row>
    <row r="332" spans="3:19" ht="13.15" customHeight="1">
      <c r="C332" s="1211"/>
      <c r="K332" s="476"/>
      <c r="S332" s="324"/>
    </row>
    <row r="333" spans="3:19" ht="13.15" customHeight="1">
      <c r="C333" s="1211"/>
      <c r="K333" s="476"/>
      <c r="S333" s="324"/>
    </row>
    <row r="334" spans="3:19" ht="13.15" customHeight="1">
      <c r="C334" s="1211"/>
      <c r="K334" s="476"/>
      <c r="S334" s="324"/>
    </row>
    <row r="335" spans="3:19" ht="13.15" customHeight="1">
      <c r="C335" s="1211"/>
      <c r="K335" s="476"/>
      <c r="S335" s="324"/>
    </row>
    <row r="336" spans="3:19" ht="13.15" customHeight="1">
      <c r="C336" s="1211"/>
      <c r="K336" s="476"/>
      <c r="S336" s="324"/>
    </row>
    <row r="337" spans="3:19" ht="13.15" customHeight="1">
      <c r="C337" s="1211"/>
      <c r="K337" s="476"/>
      <c r="S337" s="324"/>
    </row>
    <row r="338" spans="3:19" ht="13.15" customHeight="1">
      <c r="C338" s="1211"/>
      <c r="K338" s="476"/>
      <c r="S338" s="324"/>
    </row>
    <row r="339" spans="3:19" ht="13.15" customHeight="1">
      <c r="C339" s="1211"/>
      <c r="K339" s="476"/>
      <c r="S339" s="324"/>
    </row>
    <row r="340" spans="3:19" ht="13.15" customHeight="1">
      <c r="C340" s="1211"/>
      <c r="K340" s="476"/>
      <c r="S340" s="324"/>
    </row>
    <row r="341" spans="3:19" ht="13.15" customHeight="1">
      <c r="C341" s="1211"/>
      <c r="K341" s="476"/>
      <c r="S341" s="324"/>
    </row>
    <row r="342" spans="3:19" ht="13.15" customHeight="1">
      <c r="C342" s="1211"/>
      <c r="K342" s="476"/>
      <c r="S342" s="324"/>
    </row>
    <row r="343" spans="3:19" ht="13.15" customHeight="1">
      <c r="C343" s="1211"/>
      <c r="K343" s="476"/>
      <c r="S343" s="324"/>
    </row>
    <row r="344" spans="3:19" ht="13.15" customHeight="1">
      <c r="C344" s="1211"/>
      <c r="K344" s="476"/>
      <c r="S344" s="324"/>
    </row>
    <row r="345" spans="3:19" ht="13.15" customHeight="1">
      <c r="C345" s="1211"/>
      <c r="K345" s="476"/>
      <c r="S345" s="324"/>
    </row>
    <row r="346" spans="3:19" ht="13.15" customHeight="1">
      <c r="C346" s="1211" t="s">
        <v>2682</v>
      </c>
      <c r="K346" s="476"/>
      <c r="S346" s="324"/>
    </row>
    <row r="347" spans="3:19" ht="13.15" customHeight="1">
      <c r="C347" s="1211"/>
      <c r="K347" s="476"/>
      <c r="S347" s="324"/>
    </row>
    <row r="348" spans="3:19" ht="13.15" customHeight="1">
      <c r="C348" s="1211"/>
      <c r="K348" s="476"/>
      <c r="S348" s="324"/>
    </row>
    <row r="349" spans="3:19" ht="13.15" customHeight="1">
      <c r="C349" s="1211"/>
      <c r="K349" s="476"/>
      <c r="S349" s="324"/>
    </row>
    <row r="350" spans="3:19" ht="13.15" customHeight="1">
      <c r="C350" s="1211"/>
      <c r="K350" s="476"/>
      <c r="S350" s="324"/>
    </row>
    <row r="351" spans="3:19" ht="13.15" customHeight="1">
      <c r="C351" s="1211"/>
      <c r="K351" s="476"/>
      <c r="S351" s="324"/>
    </row>
    <row r="352" spans="3:19" ht="13.15" customHeight="1">
      <c r="C352" s="1211"/>
      <c r="K352" s="476"/>
      <c r="S352" s="324"/>
    </row>
    <row r="353" spans="3:19" ht="13.15" customHeight="1">
      <c r="C353" s="1211"/>
      <c r="K353" s="476"/>
      <c r="S353" s="324"/>
    </row>
    <row r="354" spans="3:19" ht="13.15" customHeight="1">
      <c r="C354" s="1211"/>
      <c r="K354" s="476"/>
      <c r="S354" s="324"/>
    </row>
    <row r="355" spans="3:19" ht="13.15" customHeight="1">
      <c r="C355" s="1211"/>
      <c r="K355" s="476"/>
      <c r="S355" s="324"/>
    </row>
    <row r="356" spans="3:19" ht="13.15" customHeight="1">
      <c r="C356" s="1211"/>
      <c r="K356" s="476"/>
      <c r="S356" s="324"/>
    </row>
    <row r="357" spans="3:19" ht="13.15" customHeight="1">
      <c r="C357" s="1211"/>
      <c r="K357" s="476"/>
      <c r="S357" s="324"/>
    </row>
    <row r="358" spans="3:19" ht="13.15" customHeight="1">
      <c r="C358" s="1211"/>
      <c r="K358" s="476"/>
      <c r="S358" s="324"/>
    </row>
    <row r="359" spans="3:19" ht="13.15" customHeight="1">
      <c r="C359" s="1211"/>
      <c r="K359" s="476"/>
      <c r="S359" s="324"/>
    </row>
    <row r="360" spans="3:19" ht="13.15" customHeight="1">
      <c r="C360" s="1211"/>
      <c r="K360" s="476"/>
      <c r="S360" s="324"/>
    </row>
    <row r="361" spans="3:19" ht="13.15" customHeight="1">
      <c r="C361" s="1211"/>
      <c r="K361" s="476"/>
      <c r="S361" s="324"/>
    </row>
    <row r="362" spans="3:19" ht="13.15" customHeight="1">
      <c r="C362" s="1211"/>
      <c r="K362" s="476"/>
      <c r="S362" s="324"/>
    </row>
    <row r="363" spans="3:19" ht="13.15" customHeight="1">
      <c r="C363" s="1211"/>
      <c r="K363" s="476"/>
      <c r="S363" s="324"/>
    </row>
    <row r="364" spans="3:19" ht="13.15" customHeight="1">
      <c r="C364" s="1211"/>
      <c r="K364" s="476"/>
      <c r="S364" s="324"/>
    </row>
    <row r="365" spans="3:19" ht="13.15" customHeight="1">
      <c r="C365" s="1211"/>
      <c r="K365" s="476"/>
      <c r="S365" s="324"/>
    </row>
    <row r="366" spans="3:19" ht="13.15" customHeight="1">
      <c r="C366" s="1211"/>
      <c r="K366" s="476"/>
      <c r="S366" s="324"/>
    </row>
    <row r="367" spans="3:19" ht="13.15" customHeight="1">
      <c r="C367" s="1211"/>
      <c r="K367" s="476"/>
      <c r="S367" s="324"/>
    </row>
    <row r="368" spans="3:19" ht="13.15" customHeight="1">
      <c r="C368" s="1211"/>
      <c r="K368" s="476"/>
      <c r="S368" s="324"/>
    </row>
    <row r="369" spans="3:19" ht="13.15" customHeight="1">
      <c r="C369" s="1211"/>
      <c r="K369" s="476"/>
      <c r="S369" s="324"/>
    </row>
    <row r="370" spans="3:19" ht="13.15" customHeight="1">
      <c r="C370" s="1211"/>
      <c r="K370" s="476"/>
      <c r="S370" s="324"/>
    </row>
    <row r="371" spans="3:19" ht="13.15" customHeight="1">
      <c r="C371" s="1211"/>
      <c r="K371" s="476"/>
      <c r="S371" s="324"/>
    </row>
    <row r="372" spans="3:19" ht="13.15" customHeight="1">
      <c r="C372" s="1211"/>
      <c r="K372" s="476"/>
      <c r="S372" s="324"/>
    </row>
    <row r="373" spans="3:19" ht="13.15" customHeight="1">
      <c r="C373" s="1211"/>
      <c r="K373" s="476"/>
      <c r="S373" s="324"/>
    </row>
    <row r="374" spans="3:19" ht="13.15" customHeight="1">
      <c r="C374" s="1211"/>
      <c r="K374" s="476"/>
      <c r="S374" s="324"/>
    </row>
    <row r="375" spans="3:19" ht="13.15" customHeight="1">
      <c r="C375" s="1211"/>
      <c r="K375" s="476"/>
      <c r="S375" s="324"/>
    </row>
    <row r="376" spans="3:19" ht="13.15" customHeight="1">
      <c r="C376" s="1211"/>
      <c r="K376" s="476"/>
      <c r="S376" s="324"/>
    </row>
    <row r="377" spans="3:19" ht="13.15" customHeight="1">
      <c r="C377" s="1211"/>
      <c r="K377" s="476"/>
      <c r="S377" s="324"/>
    </row>
    <row r="378" spans="3:19" ht="13.15" customHeight="1">
      <c r="C378" s="1211"/>
      <c r="K378" s="476"/>
      <c r="S378" s="324"/>
    </row>
    <row r="379" spans="3:19" ht="13.15" customHeight="1">
      <c r="C379" s="1211"/>
      <c r="K379" s="476"/>
      <c r="S379" s="324"/>
    </row>
    <row r="380" spans="3:19" ht="13.15" customHeight="1">
      <c r="C380" s="1211"/>
      <c r="K380" s="476"/>
      <c r="S380" s="324"/>
    </row>
    <row r="381" spans="3:19" ht="13.15" customHeight="1">
      <c r="C381" s="1211"/>
      <c r="K381" s="476"/>
      <c r="S381" s="324"/>
    </row>
    <row r="382" spans="3:19" ht="13.15" customHeight="1">
      <c r="C382" s="1211"/>
      <c r="K382" s="476"/>
      <c r="S382" s="324"/>
    </row>
    <row r="383" spans="3:19" ht="13.15" customHeight="1">
      <c r="C383" s="1211"/>
      <c r="K383" s="476"/>
      <c r="S383" s="324"/>
    </row>
    <row r="384" spans="3:19" ht="13.15" customHeight="1">
      <c r="C384" s="1211"/>
      <c r="K384" s="476"/>
      <c r="S384" s="324"/>
    </row>
    <row r="385" spans="3:19" ht="13.15" customHeight="1">
      <c r="C385" s="1211"/>
      <c r="K385" s="476"/>
      <c r="S385" s="324"/>
    </row>
    <row r="386" spans="3:19" ht="13.15" customHeight="1">
      <c r="C386" s="1211"/>
      <c r="K386" s="476"/>
      <c r="S386" s="324"/>
    </row>
    <row r="387" spans="3:19" ht="13.15" customHeight="1">
      <c r="C387" s="1211"/>
      <c r="K387" s="476"/>
      <c r="S387" s="324"/>
    </row>
    <row r="388" spans="3:19" ht="13.15" customHeight="1">
      <c r="C388" s="1211"/>
      <c r="K388" s="476"/>
      <c r="S388" s="324"/>
    </row>
    <row r="389" spans="3:19" ht="13.15" customHeight="1">
      <c r="C389" s="1211"/>
      <c r="K389" s="476"/>
      <c r="S389" s="324"/>
    </row>
    <row r="390" spans="3:19" ht="13.15" customHeight="1">
      <c r="C390" s="1211"/>
      <c r="K390" s="476"/>
      <c r="S390" s="324"/>
    </row>
    <row r="391" spans="3:19" ht="13.15" customHeight="1">
      <c r="C391" s="1211"/>
      <c r="K391" s="476"/>
      <c r="S391" s="324"/>
    </row>
    <row r="392" spans="3:19" ht="13.15" customHeight="1">
      <c r="C392" s="1211"/>
      <c r="K392" s="476"/>
      <c r="S392" s="324"/>
    </row>
    <row r="393" spans="3:19" ht="13.15" customHeight="1">
      <c r="C393" s="1211"/>
      <c r="K393" s="476"/>
      <c r="S393" s="324"/>
    </row>
    <row r="394" spans="3:19" ht="13.15" customHeight="1">
      <c r="C394" s="1211"/>
      <c r="K394" s="476"/>
      <c r="S394" s="324"/>
    </row>
    <row r="395" spans="3:19" ht="13.15" customHeight="1">
      <c r="C395" s="1211"/>
      <c r="K395" s="476"/>
      <c r="S395" s="324"/>
    </row>
    <row r="396" spans="3:19" ht="13.15" customHeight="1">
      <c r="C396" s="1211"/>
      <c r="K396" s="476"/>
      <c r="S396" s="324"/>
    </row>
    <row r="397" spans="3:19" ht="13.15" customHeight="1">
      <c r="C397" s="1211"/>
      <c r="K397" s="476"/>
      <c r="S397" s="324"/>
    </row>
    <row r="398" spans="3:19" ht="13.15" customHeight="1">
      <c r="C398" s="1211"/>
      <c r="K398" s="476"/>
      <c r="S398" s="324"/>
    </row>
    <row r="399" spans="3:19" ht="13.15" customHeight="1">
      <c r="C399" s="1211"/>
      <c r="K399" s="476"/>
      <c r="S399" s="324"/>
    </row>
    <row r="400" spans="3:19" ht="13.15" customHeight="1">
      <c r="C400" s="1211"/>
      <c r="K400" s="476"/>
      <c r="S400" s="324"/>
    </row>
    <row r="401" spans="3:19" ht="13.15" customHeight="1">
      <c r="C401" s="1211"/>
      <c r="K401" s="476"/>
      <c r="S401" s="324"/>
    </row>
    <row r="402" spans="3:19" ht="13.15" customHeight="1">
      <c r="C402" s="1211"/>
      <c r="K402" s="476"/>
      <c r="S402" s="324"/>
    </row>
    <row r="403" spans="3:19" ht="13.15" customHeight="1">
      <c r="C403" s="1211"/>
      <c r="K403" s="476"/>
      <c r="S403" s="324"/>
    </row>
    <row r="404" spans="3:19" ht="13.15" customHeight="1">
      <c r="C404" s="1211"/>
      <c r="K404" s="476"/>
      <c r="S404" s="324"/>
    </row>
    <row r="405" spans="3:19" ht="13.15" customHeight="1">
      <c r="C405" s="1211"/>
      <c r="K405" s="476"/>
      <c r="S405" s="324"/>
    </row>
    <row r="406" spans="3:19" ht="13.15" customHeight="1">
      <c r="C406" s="1211"/>
      <c r="K406" s="476"/>
      <c r="S406" s="324"/>
    </row>
    <row r="407" spans="3:19" ht="13.15" customHeight="1">
      <c r="C407" s="1211"/>
      <c r="K407" s="476"/>
      <c r="S407" s="324"/>
    </row>
    <row r="408" spans="3:19" ht="13.15" customHeight="1">
      <c r="C408" s="1211"/>
      <c r="K408" s="476"/>
      <c r="S408" s="324"/>
    </row>
    <row r="409" spans="3:19" ht="13.15" customHeight="1">
      <c r="C409" s="1211"/>
      <c r="K409" s="476"/>
      <c r="S409" s="324"/>
    </row>
    <row r="410" spans="3:19" ht="13.15" customHeight="1">
      <c r="C410" s="1211"/>
      <c r="K410" s="476"/>
      <c r="S410" s="324"/>
    </row>
    <row r="411" spans="3:19" ht="13.15" customHeight="1">
      <c r="C411" s="1211"/>
      <c r="K411" s="476"/>
      <c r="S411" s="324"/>
    </row>
    <row r="412" spans="3:19" ht="13.15" customHeight="1">
      <c r="C412" s="1211"/>
      <c r="K412" s="476"/>
      <c r="S412" s="324"/>
    </row>
    <row r="413" spans="3:19" ht="13.15" customHeight="1">
      <c r="C413" s="1211"/>
      <c r="K413" s="476"/>
      <c r="S413" s="324"/>
    </row>
    <row r="414" spans="3:19" ht="13.15" customHeight="1">
      <c r="C414" s="1211"/>
      <c r="K414" s="476"/>
      <c r="S414" s="324"/>
    </row>
    <row r="415" spans="3:19" ht="13.15" customHeight="1">
      <c r="C415" s="1211"/>
      <c r="K415" s="476"/>
      <c r="S415" s="324"/>
    </row>
    <row r="416" spans="3:19" ht="13.15" customHeight="1">
      <c r="C416" s="1211"/>
      <c r="K416" s="476"/>
      <c r="S416" s="324"/>
    </row>
    <row r="417" spans="3:19" ht="13.15" customHeight="1">
      <c r="C417" s="1211"/>
      <c r="K417" s="476"/>
      <c r="S417" s="324"/>
    </row>
    <row r="418" spans="3:19" ht="13.15" customHeight="1">
      <c r="C418" s="1211"/>
      <c r="K418" s="476"/>
      <c r="S418" s="324"/>
    </row>
    <row r="419" spans="3:19" ht="13.15" customHeight="1">
      <c r="C419" s="1211"/>
      <c r="K419" s="476"/>
      <c r="S419" s="324"/>
    </row>
    <row r="420" spans="3:19" ht="13.15" customHeight="1">
      <c r="C420" s="1211"/>
      <c r="K420" s="476"/>
      <c r="S420" s="324"/>
    </row>
    <row r="421" spans="3:19" ht="13.15" customHeight="1">
      <c r="C421" s="1211"/>
      <c r="K421" s="476"/>
      <c r="S421" s="324"/>
    </row>
    <row r="422" spans="3:19" ht="13.15" customHeight="1">
      <c r="C422" s="1211"/>
      <c r="K422" s="476"/>
      <c r="S422" s="324"/>
    </row>
    <row r="423" spans="3:19" ht="13.15" customHeight="1">
      <c r="C423" s="1211"/>
      <c r="K423" s="476"/>
      <c r="S423" s="324"/>
    </row>
    <row r="424" spans="3:19" ht="13.15" customHeight="1">
      <c r="C424" s="1211"/>
      <c r="K424" s="476"/>
      <c r="S424" s="324"/>
    </row>
    <row r="425" spans="3:19" ht="13.15" customHeight="1">
      <c r="C425" s="1211" t="s">
        <v>2682</v>
      </c>
      <c r="K425" s="476"/>
      <c r="S425" s="324"/>
    </row>
    <row r="426" spans="3:19" ht="13.15" customHeight="1">
      <c r="C426" s="1211"/>
      <c r="K426" s="476"/>
      <c r="S426" s="324"/>
    </row>
    <row r="427" spans="3:19" ht="13.15" customHeight="1">
      <c r="C427" s="1211"/>
      <c r="K427" s="476"/>
      <c r="S427" s="324"/>
    </row>
    <row r="428" spans="3:19" ht="13.15" customHeight="1">
      <c r="C428" s="1211"/>
      <c r="K428" s="476"/>
      <c r="S428" s="324"/>
    </row>
    <row r="429" spans="3:19" ht="9" customHeight="1">
      <c r="C429" s="1211"/>
      <c r="K429" s="476"/>
      <c r="S429" s="324"/>
    </row>
    <row r="430" spans="3:19" ht="7.5" customHeight="1">
      <c r="C430" s="1211"/>
      <c r="K430" s="476"/>
      <c r="S430" s="324"/>
    </row>
    <row r="431" spans="3:19">
      <c r="C431" s="1211"/>
      <c r="K431" s="476"/>
      <c r="S431" s="324"/>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324" customWidth="1"/>
    <col min="2" max="2" width="12.42578125" style="324" customWidth="1"/>
    <col min="3" max="3" width="12.28515625" style="324" customWidth="1"/>
    <col min="4" max="4" width="9.7109375" style="324" customWidth="1"/>
    <col min="5" max="5" width="10.42578125" style="324" customWidth="1"/>
    <col min="6" max="6" width="9.28515625" style="324"/>
    <col min="7" max="7" width="11" style="324" customWidth="1"/>
    <col min="8" max="8" width="14.42578125" style="324" customWidth="1"/>
    <col min="9" max="9" width="10.28515625" style="324" customWidth="1"/>
    <col min="10" max="16384" width="9.28515625" style="324"/>
  </cols>
  <sheetData>
    <row r="1" spans="2:13" ht="15.75">
      <c r="B1" s="4650" t="s">
        <v>3173</v>
      </c>
      <c r="C1" s="4650"/>
      <c r="D1" s="4650"/>
      <c r="E1" s="4650"/>
      <c r="F1" s="4650"/>
      <c r="G1" s="4650"/>
      <c r="H1" s="4650"/>
      <c r="I1" s="4650"/>
    </row>
    <row r="2" spans="2:13" ht="15">
      <c r="B2" s="850" t="s">
        <v>3174</v>
      </c>
      <c r="C2" s="482"/>
      <c r="D2" s="482"/>
      <c r="E2" s="482"/>
      <c r="F2" s="482"/>
      <c r="G2" s="482"/>
      <c r="H2" s="482"/>
      <c r="I2" s="482"/>
    </row>
    <row r="3" spans="2:13" ht="14.25">
      <c r="B3" s="851" t="s">
        <v>3175</v>
      </c>
      <c r="C3" s="482"/>
      <c r="D3" s="482"/>
      <c r="E3" s="482"/>
      <c r="F3" s="482"/>
      <c r="G3" s="482"/>
      <c r="H3" s="482"/>
      <c r="I3" s="482"/>
    </row>
    <row r="4" spans="2:13">
      <c r="B4" s="4802" t="s">
        <v>1712</v>
      </c>
      <c r="C4" s="4802"/>
      <c r="D4" s="4802"/>
      <c r="E4" s="4807" t="s">
        <v>3176</v>
      </c>
      <c r="F4" s="4809"/>
      <c r="G4" s="4807" t="s">
        <v>52</v>
      </c>
      <c r="H4" s="4808"/>
      <c r="I4" s="4809"/>
      <c r="J4" s="846" t="s">
        <v>3177</v>
      </c>
      <c r="K4" s="846"/>
      <c r="L4" s="846"/>
      <c r="M4" s="846"/>
    </row>
    <row r="5" spans="2:13">
      <c r="B5" s="4803">
        <f>'Closing term sheet'!C8</f>
        <v>0</v>
      </c>
      <c r="C5" s="4804"/>
      <c r="D5" s="4804"/>
      <c r="E5" s="4813"/>
      <c r="F5" s="4814"/>
      <c r="G5" s="4810" t="str">
        <f>'Closing term sheet'!C28</f>
        <v>Ashley Collegetown Phase I</v>
      </c>
      <c r="H5" s="4811"/>
      <c r="I5" s="4812"/>
    </row>
    <row r="6" spans="2:13" ht="4.5" customHeight="1">
      <c r="D6" s="852"/>
      <c r="E6" s="852"/>
      <c r="F6" s="852"/>
      <c r="G6" s="852"/>
      <c r="H6" s="852"/>
      <c r="I6" s="852"/>
    </row>
    <row r="7" spans="2:13">
      <c r="B7" s="4798" t="s">
        <v>3178</v>
      </c>
      <c r="C7" s="4798"/>
      <c r="H7" s="4805">
        <f>'Preview term'!E9</f>
        <v>0</v>
      </c>
      <c r="I7" s="4806"/>
    </row>
    <row r="8" spans="2:13" ht="4.5" customHeight="1"/>
    <row r="9" spans="2:13">
      <c r="B9" s="324" t="s">
        <v>3179</v>
      </c>
      <c r="E9" s="434" t="s">
        <v>3180</v>
      </c>
      <c r="I9" s="853" t="str">
        <f>'Closing term sheet'!D12</f>
        <v>&lt;&lt;Select&gt;&gt;</v>
      </c>
    </row>
    <row r="10" spans="2:13" ht="7.5" customHeight="1"/>
    <row r="11" spans="2:13" ht="14.25">
      <c r="B11" s="475" t="s">
        <v>3181</v>
      </c>
      <c r="D11" s="477"/>
    </row>
    <row r="12" spans="2:13">
      <c r="B12" s="2959" t="s">
        <v>3182</v>
      </c>
      <c r="C12" s="2868"/>
      <c r="D12" s="2868"/>
      <c r="E12" s="2868"/>
      <c r="F12" s="2868"/>
      <c r="G12" s="2868"/>
      <c r="H12" s="2868"/>
      <c r="I12" s="2869" t="s">
        <v>712</v>
      </c>
    </row>
    <row r="13" spans="2:13">
      <c r="B13" s="854"/>
      <c r="C13" s="855"/>
      <c r="E13" s="434" t="s">
        <v>3183</v>
      </c>
      <c r="I13" s="856"/>
    </row>
    <row r="14" spans="2:13" ht="7.5" customHeight="1">
      <c r="B14" s="854"/>
      <c r="F14" s="477"/>
      <c r="I14" s="856"/>
    </row>
    <row r="15" spans="2:13">
      <c r="B15" s="854" t="s">
        <v>3184</v>
      </c>
      <c r="I15" s="857"/>
    </row>
    <row r="16" spans="2:13">
      <c r="B16" s="858" t="s">
        <v>3185</v>
      </c>
      <c r="E16" s="398" t="s">
        <v>3186</v>
      </c>
      <c r="I16" s="857"/>
    </row>
    <row r="17" spans="2:9" ht="7.5" customHeight="1">
      <c r="B17" s="854"/>
      <c r="I17" s="856"/>
    </row>
    <row r="18" spans="2:9">
      <c r="B18" s="854" t="s">
        <v>3187</v>
      </c>
      <c r="I18" s="859" t="s">
        <v>712</v>
      </c>
    </row>
    <row r="19" spans="2:9">
      <c r="B19" s="858" t="s">
        <v>3188</v>
      </c>
      <c r="I19" s="860"/>
    </row>
    <row r="20" spans="2:9" ht="7.5" customHeight="1">
      <c r="B20" s="854"/>
      <c r="I20" s="860"/>
    </row>
    <row r="21" spans="2:9">
      <c r="B21" s="854" t="s">
        <v>3189</v>
      </c>
      <c r="I21" s="857"/>
    </row>
    <row r="22" spans="2:9">
      <c r="B22" s="858" t="s">
        <v>3190</v>
      </c>
      <c r="I22" s="860"/>
    </row>
    <row r="23" spans="2:9" ht="3" customHeight="1">
      <c r="B23" s="861"/>
      <c r="C23" s="862"/>
      <c r="D23" s="862"/>
      <c r="E23" s="862"/>
      <c r="F23" s="862"/>
      <c r="G23" s="862"/>
      <c r="H23" s="862"/>
      <c r="I23" s="863"/>
    </row>
    <row r="24" spans="2:9" ht="7.5" customHeight="1"/>
    <row r="25" spans="2:9" ht="15" customHeight="1">
      <c r="B25" s="475" t="s">
        <v>3191</v>
      </c>
    </row>
    <row r="26" spans="2:9" ht="3" customHeight="1">
      <c r="B26" s="2959"/>
      <c r="C26" s="2868"/>
      <c r="D26" s="2868"/>
      <c r="E26" s="2868"/>
      <c r="F26" s="2868"/>
      <c r="G26" s="2868"/>
      <c r="H26" s="2868"/>
      <c r="I26" s="2870"/>
    </row>
    <row r="27" spans="2:9">
      <c r="B27" s="854" t="s">
        <v>3192</v>
      </c>
      <c r="D27" s="864">
        <v>2</v>
      </c>
      <c r="G27" s="324" t="s">
        <v>3193</v>
      </c>
      <c r="I27" s="859">
        <v>2</v>
      </c>
    </row>
    <row r="28" spans="2:9">
      <c r="B28" s="854"/>
      <c r="C28" s="398" t="s">
        <v>3194</v>
      </c>
      <c r="D28" s="398"/>
      <c r="E28" s="398"/>
      <c r="F28" s="398"/>
      <c r="H28" s="398" t="s">
        <v>3195</v>
      </c>
      <c r="I28" s="856"/>
    </row>
    <row r="29" spans="2:9">
      <c r="B29" s="854"/>
      <c r="C29" s="398" t="s">
        <v>3196</v>
      </c>
      <c r="D29" s="398"/>
      <c r="E29" s="398"/>
      <c r="F29" s="398"/>
      <c r="H29" s="398" t="s">
        <v>3197</v>
      </c>
      <c r="I29" s="856"/>
    </row>
    <row r="30" spans="2:9">
      <c r="B30" s="854"/>
      <c r="C30" s="398" t="s">
        <v>3198</v>
      </c>
      <c r="D30" s="398"/>
      <c r="E30" s="398"/>
      <c r="F30" s="398"/>
      <c r="H30" s="398" t="s">
        <v>3199</v>
      </c>
      <c r="I30" s="856"/>
    </row>
    <row r="31" spans="2:9" ht="3" customHeight="1">
      <c r="B31" s="861"/>
      <c r="C31" s="862"/>
      <c r="D31" s="862"/>
      <c r="E31" s="862"/>
      <c r="F31" s="862"/>
      <c r="G31" s="862"/>
      <c r="H31" s="862"/>
      <c r="I31" s="863"/>
    </row>
    <row r="32" spans="2:9" ht="7.5" customHeight="1"/>
    <row r="33" spans="2:9" ht="15" customHeight="1">
      <c r="B33" s="475" t="s">
        <v>3200</v>
      </c>
    </row>
    <row r="34" spans="2:9" ht="3" customHeight="1">
      <c r="B34" s="2959"/>
      <c r="C34" s="2868"/>
      <c r="D34" s="2868"/>
      <c r="E34" s="2868"/>
      <c r="F34" s="2868"/>
      <c r="G34" s="2868"/>
      <c r="H34" s="2868"/>
      <c r="I34" s="2870"/>
    </row>
    <row r="35" spans="2:9">
      <c r="B35" s="854" t="s">
        <v>3201</v>
      </c>
      <c r="F35" s="584"/>
      <c r="H35" s="4750" t="s">
        <v>3202</v>
      </c>
      <c r="I35" s="4815"/>
    </row>
    <row r="36" spans="2:9">
      <c r="B36" s="865" t="s">
        <v>3203</v>
      </c>
      <c r="C36" s="398"/>
      <c r="D36" s="398"/>
      <c r="F36" s="1017"/>
      <c r="G36" s="483"/>
      <c r="H36" s="4750"/>
      <c r="I36" s="4815"/>
    </row>
    <row r="37" spans="2:9">
      <c r="B37" s="865" t="s">
        <v>3204</v>
      </c>
      <c r="D37" s="398"/>
      <c r="F37" s="1018"/>
      <c r="G37" s="483"/>
      <c r="H37" s="4750"/>
      <c r="I37" s="4815"/>
    </row>
    <row r="38" spans="2:9">
      <c r="B38" s="865" t="s">
        <v>3205</v>
      </c>
      <c r="F38" s="1018"/>
      <c r="G38" s="483"/>
      <c r="H38" s="483"/>
      <c r="I38" s="866"/>
    </row>
    <row r="39" spans="2:9" ht="12.75" customHeight="1">
      <c r="B39" s="865" t="s">
        <v>3206</v>
      </c>
      <c r="F39" s="1018"/>
      <c r="G39" s="483"/>
      <c r="H39" s="483"/>
      <c r="I39" s="866"/>
    </row>
    <row r="40" spans="2:9">
      <c r="B40" s="867" t="s">
        <v>3207</v>
      </c>
      <c r="E40" s="481"/>
      <c r="F40" s="1018"/>
      <c r="G40" s="481"/>
      <c r="H40" s="1016"/>
      <c r="I40" s="856"/>
    </row>
    <row r="41" spans="2:9">
      <c r="B41" s="867" t="s">
        <v>3208</v>
      </c>
      <c r="F41" s="1018"/>
      <c r="I41" s="856"/>
    </row>
    <row r="42" spans="2:9">
      <c r="B42" s="867" t="s">
        <v>3209</v>
      </c>
      <c r="C42" s="868"/>
      <c r="D42" s="868"/>
      <c r="F42" s="1019"/>
      <c r="I42" s="856"/>
    </row>
    <row r="43" spans="2:9" ht="3" customHeight="1">
      <c r="B43" s="861"/>
      <c r="C43" s="862"/>
      <c r="D43" s="862"/>
      <c r="E43" s="862"/>
      <c r="F43" s="862"/>
      <c r="G43" s="862"/>
      <c r="H43" s="862"/>
      <c r="I43" s="863"/>
    </row>
    <row r="44" spans="2:9" ht="7.5" customHeight="1"/>
    <row r="45" spans="2:9" ht="15" customHeight="1">
      <c r="B45" s="475" t="s">
        <v>3210</v>
      </c>
    </row>
    <row r="46" spans="2:9" ht="3" customHeight="1">
      <c r="B46" s="2959"/>
      <c r="C46" s="2868"/>
      <c r="D46" s="2868"/>
      <c r="E46" s="2868"/>
      <c r="F46" s="2868"/>
      <c r="G46" s="2868"/>
      <c r="H46" s="2868"/>
      <c r="I46" s="2870"/>
    </row>
    <row r="47" spans="2:9">
      <c r="B47" s="854" t="s">
        <v>3211</v>
      </c>
      <c r="D47" s="869"/>
      <c r="E47" s="870" t="e">
        <f>'Sensitivity Analysis Reversed'!H7</f>
        <v>#REF!</v>
      </c>
      <c r="F47" s="331" t="s">
        <v>3212</v>
      </c>
      <c r="I47" s="856"/>
    </row>
    <row r="48" spans="2:9">
      <c r="B48" s="858" t="s">
        <v>3213</v>
      </c>
      <c r="C48" s="398"/>
      <c r="D48" s="398" t="s">
        <v>3214</v>
      </c>
      <c r="F48" s="4822">
        <f>'Closing term sheet'!$C$30</f>
        <v>0</v>
      </c>
      <c r="G48" s="4823"/>
      <c r="H48" s="4823"/>
      <c r="I48" s="4824"/>
    </row>
    <row r="49" spans="2:9">
      <c r="B49" s="858" t="s">
        <v>3215</v>
      </c>
      <c r="D49" s="398" t="s">
        <v>3216</v>
      </c>
      <c r="F49" s="4825"/>
      <c r="G49" s="4826"/>
      <c r="H49" s="4826"/>
      <c r="I49" s="4827"/>
    </row>
    <row r="50" spans="2:9">
      <c r="B50" s="858" t="s">
        <v>3217</v>
      </c>
      <c r="F50" s="852"/>
      <c r="G50" s="852"/>
      <c r="H50" s="852"/>
      <c r="I50" s="871"/>
    </row>
    <row r="51" spans="2:9" ht="7.5" customHeight="1">
      <c r="B51" s="854"/>
      <c r="I51" s="856"/>
    </row>
    <row r="52" spans="2:9">
      <c r="B52" s="872" t="s">
        <v>3218</v>
      </c>
      <c r="C52" s="4795" t="str">
        <f>'Part I-Project Identification'!F26</f>
        <v>Atlanta</v>
      </c>
      <c r="D52" s="4796"/>
      <c r="E52" s="477" t="s">
        <v>3219</v>
      </c>
      <c r="F52" s="853" t="s">
        <v>308</v>
      </c>
      <c r="G52" s="477" t="s">
        <v>3220</v>
      </c>
      <c r="H52" s="873" t="e">
        <f>'Part I-Project Identification'!#REF!</f>
        <v>#REF!</v>
      </c>
      <c r="I52" s="856"/>
    </row>
    <row r="53" spans="2:9">
      <c r="B53" s="872" t="s">
        <v>3221</v>
      </c>
      <c r="D53" s="874" t="e">
        <f>VLOOKUP("='Part I-Project Information'!$J$39",'DCA Underwriting Assumptions'!$G$141:$O$300,9)</f>
        <v>#N/A</v>
      </c>
      <c r="I53" s="856"/>
    </row>
    <row r="54" spans="2:9">
      <c r="B54" s="872" t="s">
        <v>3222</v>
      </c>
      <c r="I54" s="856"/>
    </row>
    <row r="55" spans="2:9">
      <c r="B55" s="867" t="s">
        <v>3223</v>
      </c>
      <c r="D55" s="864" t="e">
        <f>'Closing term sheet'!$D$33</f>
        <v>#VALUE!</v>
      </c>
      <c r="E55" s="868"/>
      <c r="F55" s="434" t="s">
        <v>3224</v>
      </c>
      <c r="I55" s="856"/>
    </row>
    <row r="56" spans="2:9">
      <c r="B56" s="867" t="s">
        <v>3225</v>
      </c>
      <c r="D56" s="875">
        <f>'Closing term sheet'!$D$63</f>
        <v>19630835</v>
      </c>
      <c r="E56" s="876"/>
      <c r="F56" s="434" t="s">
        <v>3226</v>
      </c>
      <c r="I56" s="856"/>
    </row>
    <row r="57" spans="2:9">
      <c r="B57" s="865" t="s">
        <v>3227</v>
      </c>
      <c r="D57" s="877"/>
      <c r="F57" s="434" t="s">
        <v>3228</v>
      </c>
      <c r="I57" s="856"/>
    </row>
    <row r="58" spans="2:9" ht="7.5" customHeight="1">
      <c r="B58" s="861"/>
      <c r="C58" s="862"/>
      <c r="D58" s="862"/>
      <c r="E58" s="862"/>
      <c r="F58" s="862"/>
      <c r="G58" s="862"/>
      <c r="H58" s="862"/>
      <c r="I58" s="863"/>
    </row>
    <row r="59" spans="2:9" ht="15" customHeight="1"/>
    <row r="60" spans="2:9" ht="7.5" customHeight="1">
      <c r="B60" s="2959"/>
      <c r="C60" s="2868"/>
      <c r="D60" s="2868"/>
      <c r="E60" s="2868"/>
      <c r="F60" s="2868"/>
      <c r="G60" s="2868"/>
      <c r="H60" s="2868"/>
      <c r="I60" s="2870"/>
    </row>
    <row r="61" spans="2:9">
      <c r="B61" s="4800" t="s">
        <v>3229</v>
      </c>
      <c r="C61" s="4698"/>
      <c r="D61" s="4698"/>
      <c r="E61" s="4698"/>
      <c r="F61" s="4698"/>
      <c r="G61" s="4698"/>
      <c r="H61" s="4698"/>
      <c r="I61" s="4801"/>
    </row>
    <row r="62" spans="2:9" ht="7.5" customHeight="1">
      <c r="B62" s="4797"/>
      <c r="C62" s="4697"/>
      <c r="D62" s="4697"/>
      <c r="G62" s="878"/>
      <c r="I62" s="856"/>
    </row>
    <row r="63" spans="2:9">
      <c r="B63" s="872" t="s">
        <v>3230</v>
      </c>
      <c r="D63" s="864">
        <v>4</v>
      </c>
      <c r="G63" s="4798" t="s">
        <v>3231</v>
      </c>
      <c r="H63" s="4798"/>
      <c r="I63" s="4799"/>
    </row>
    <row r="64" spans="2:9">
      <c r="B64" s="854"/>
      <c r="C64" s="398" t="s">
        <v>3232</v>
      </c>
      <c r="D64" s="398" t="s">
        <v>3233</v>
      </c>
      <c r="G64" s="486" t="s">
        <v>3234</v>
      </c>
      <c r="I64" s="879" t="e">
        <f>'Closing term sheet'!$D$35</f>
        <v>#VALUE!</v>
      </c>
    </row>
    <row r="65" spans="2:9">
      <c r="B65" s="854"/>
      <c r="C65" s="398" t="s">
        <v>3235</v>
      </c>
      <c r="D65" s="398" t="s">
        <v>3236</v>
      </c>
      <c r="G65" s="880" t="s">
        <v>3237</v>
      </c>
      <c r="I65" s="879">
        <f>C42</f>
        <v>0</v>
      </c>
    </row>
    <row r="66" spans="2:9">
      <c r="B66" s="858"/>
      <c r="C66" s="398" t="s">
        <v>3238</v>
      </c>
      <c r="E66" s="398"/>
      <c r="I66" s="881"/>
    </row>
    <row r="67" spans="2:9" ht="7.5" customHeight="1">
      <c r="B67" s="861"/>
      <c r="C67" s="862"/>
      <c r="D67" s="862"/>
      <c r="E67" s="862"/>
      <c r="F67" s="862"/>
      <c r="G67" s="862"/>
      <c r="H67" s="862"/>
      <c r="I67" s="863"/>
    </row>
    <row r="68" spans="2:9" ht="15" customHeight="1"/>
    <row r="69" spans="2:9" ht="7.5" customHeight="1">
      <c r="B69" s="2959"/>
      <c r="C69" s="2868"/>
      <c r="D69" s="2868"/>
      <c r="E69" s="2868"/>
      <c r="F69" s="2868"/>
      <c r="G69" s="2868"/>
      <c r="H69" s="2868"/>
      <c r="I69" s="2870"/>
    </row>
    <row r="70" spans="2:9">
      <c r="B70" s="854" t="s">
        <v>3239</v>
      </c>
      <c r="I70" s="856"/>
    </row>
    <row r="71" spans="2:9" ht="7.5" customHeight="1">
      <c r="B71" s="854"/>
      <c r="I71" s="856"/>
    </row>
    <row r="72" spans="2:9">
      <c r="B72" s="854" t="s">
        <v>3240</v>
      </c>
      <c r="I72" s="869"/>
    </row>
    <row r="73" spans="2:9" ht="7.5" customHeight="1">
      <c r="B73" s="854"/>
      <c r="I73" s="856"/>
    </row>
    <row r="74" spans="2:9">
      <c r="B74" s="854" t="s">
        <v>3241</v>
      </c>
      <c r="F74" s="324" t="s">
        <v>3242</v>
      </c>
      <c r="I74" s="869"/>
    </row>
    <row r="75" spans="2:9">
      <c r="B75" s="854"/>
      <c r="F75" s="324" t="s">
        <v>3243</v>
      </c>
      <c r="I75" s="869"/>
    </row>
    <row r="76" spans="2:9">
      <c r="B76" s="854"/>
      <c r="F76" s="324" t="s">
        <v>3244</v>
      </c>
      <c r="I76" s="869"/>
    </row>
    <row r="77" spans="2:9">
      <c r="B77" s="854"/>
      <c r="F77" s="324" t="s">
        <v>3245</v>
      </c>
      <c r="I77" s="869"/>
    </row>
    <row r="78" spans="2:9" ht="7.5" customHeight="1">
      <c r="B78" s="861"/>
      <c r="C78" s="862"/>
      <c r="D78" s="862"/>
      <c r="E78" s="862"/>
      <c r="F78" s="862"/>
      <c r="G78" s="862"/>
      <c r="H78" s="862"/>
      <c r="I78" s="863"/>
    </row>
    <row r="79" spans="2:9" ht="7.5" customHeight="1"/>
    <row r="80" spans="2:9">
      <c r="B80" s="2959"/>
      <c r="C80" s="2868"/>
      <c r="D80" s="2868"/>
      <c r="E80" s="2868"/>
      <c r="F80" s="2868"/>
      <c r="G80" s="2868"/>
      <c r="H80" s="2868"/>
      <c r="I80" s="2870"/>
    </row>
    <row r="81" spans="2:9">
      <c r="B81" s="4800" t="s">
        <v>3246</v>
      </c>
      <c r="C81" s="4698"/>
      <c r="D81" s="4698"/>
      <c r="E81" s="4698"/>
      <c r="F81" s="4698"/>
      <c r="G81" s="4698"/>
      <c r="H81" s="4698"/>
      <c r="I81" s="4801"/>
    </row>
    <row r="82" spans="2:9">
      <c r="B82" s="854"/>
      <c r="I82" s="856"/>
    </row>
    <row r="83" spans="2:9">
      <c r="B83" s="854" t="s">
        <v>3247</v>
      </c>
      <c r="I83" s="856"/>
    </row>
    <row r="84" spans="2:9">
      <c r="B84" s="854"/>
      <c r="C84" s="324" t="s">
        <v>3248</v>
      </c>
      <c r="F84" s="4819">
        <f>'Closing term sheet'!D63</f>
        <v>19630835</v>
      </c>
      <c r="G84" s="4819"/>
      <c r="I84" s="856"/>
    </row>
    <row r="85" spans="2:9">
      <c r="B85" s="854"/>
      <c r="C85" s="324" t="s">
        <v>3249</v>
      </c>
      <c r="F85" s="4794">
        <f>'Part II-Sources of Funds'!I47+'Part II-Sources of Funds'!L47</f>
        <v>999363.42871343566</v>
      </c>
      <c r="G85" s="4794"/>
      <c r="I85" s="856"/>
    </row>
    <row r="86" spans="2:9">
      <c r="B86" s="854"/>
      <c r="C86" s="324" t="s">
        <v>3250</v>
      </c>
      <c r="F86" s="4793"/>
      <c r="G86" s="4793"/>
      <c r="I86" s="856"/>
    </row>
    <row r="87" spans="2:9">
      <c r="B87" s="854"/>
      <c r="C87" s="398" t="s">
        <v>3251</v>
      </c>
      <c r="F87" s="4794">
        <v>11000</v>
      </c>
      <c r="G87" s="4794"/>
      <c r="I87" s="856"/>
    </row>
    <row r="88" spans="2:9">
      <c r="B88" s="854"/>
      <c r="C88" s="324" t="s">
        <v>3252</v>
      </c>
      <c r="F88" s="4821"/>
      <c r="G88" s="4821"/>
      <c r="I88" s="856"/>
    </row>
    <row r="89" spans="2:9">
      <c r="B89" s="854"/>
      <c r="C89" s="434" t="s">
        <v>3253</v>
      </c>
      <c r="F89" s="4817">
        <f>SUM(F84:G88)</f>
        <v>20641198.428713437</v>
      </c>
      <c r="G89" s="4817"/>
      <c r="I89" s="856"/>
    </row>
    <row r="90" spans="2:9">
      <c r="B90" s="854"/>
      <c r="F90" s="4818"/>
      <c r="G90" s="4818"/>
      <c r="I90" s="856"/>
    </row>
    <row r="91" spans="2:9">
      <c r="B91" s="854" t="s">
        <v>3254</v>
      </c>
      <c r="I91" s="856"/>
    </row>
    <row r="92" spans="2:9">
      <c r="B92" s="854"/>
      <c r="C92" s="324" t="s">
        <v>3255</v>
      </c>
      <c r="F92" s="4819"/>
      <c r="G92" s="4819"/>
      <c r="I92" s="856"/>
    </row>
    <row r="93" spans="2:9">
      <c r="B93" s="854"/>
      <c r="C93" s="324" t="s">
        <v>3256</v>
      </c>
      <c r="F93" s="4820"/>
      <c r="G93" s="4820"/>
      <c r="I93" s="856"/>
    </row>
    <row r="94" spans="2:9">
      <c r="B94" s="854"/>
      <c r="C94" s="324" t="s">
        <v>3257</v>
      </c>
      <c r="F94" s="4816" t="s">
        <v>3054</v>
      </c>
      <c r="G94" s="4816"/>
      <c r="I94" s="856"/>
    </row>
    <row r="95" spans="2:9">
      <c r="B95" s="854"/>
      <c r="C95" s="434" t="s">
        <v>3258</v>
      </c>
      <c r="F95" s="4817">
        <f>+SUM(F92:G94)</f>
        <v>0</v>
      </c>
      <c r="G95" s="4817"/>
      <c r="I95" s="856"/>
    </row>
    <row r="96" spans="2:9">
      <c r="B96" s="854"/>
      <c r="I96" s="856"/>
    </row>
    <row r="97" spans="2:9">
      <c r="B97" s="854" t="s">
        <v>3259</v>
      </c>
      <c r="I97" s="856"/>
    </row>
    <row r="98" spans="2:9">
      <c r="B98" s="854"/>
      <c r="C98" s="324" t="s">
        <v>3260</v>
      </c>
      <c r="F98" s="4819"/>
      <c r="G98" s="4819"/>
      <c r="I98" s="856"/>
    </row>
    <row r="99" spans="2:9">
      <c r="B99" s="854"/>
      <c r="C99" s="324" t="s">
        <v>3261</v>
      </c>
      <c r="F99" s="4820"/>
      <c r="G99" s="4820"/>
      <c r="I99" s="856"/>
    </row>
    <row r="100" spans="2:9">
      <c r="B100" s="854"/>
      <c r="C100" s="324" t="s">
        <v>3262</v>
      </c>
      <c r="F100" s="4821"/>
      <c r="G100" s="4821"/>
      <c r="I100" s="856"/>
    </row>
    <row r="101" spans="2:9">
      <c r="B101" s="854"/>
      <c r="C101" s="434" t="s">
        <v>3263</v>
      </c>
      <c r="F101" s="4817">
        <f>+SUM(F98:G100)</f>
        <v>0</v>
      </c>
      <c r="G101" s="4817"/>
      <c r="I101" s="856"/>
    </row>
    <row r="102" spans="2:9">
      <c r="B102" s="854"/>
      <c r="I102" s="856"/>
    </row>
    <row r="103" spans="2:9">
      <c r="B103" s="872" t="s">
        <v>3264</v>
      </c>
      <c r="F103" s="4816">
        <f>'Part II-Sources of Funds'!I48+'Part II-Sources of Funds'!I49</f>
        <v>0</v>
      </c>
      <c r="G103" s="4816"/>
      <c r="I103" s="856"/>
    </row>
    <row r="104" spans="2:9">
      <c r="B104" s="854"/>
      <c r="I104" s="882" t="s">
        <v>3265</v>
      </c>
    </row>
    <row r="105" spans="2:9">
      <c r="B105" s="854" t="s">
        <v>3266</v>
      </c>
      <c r="F105" s="4816">
        <f>+F103+F101+F95+F89</f>
        <v>20641198.428713437</v>
      </c>
      <c r="G105" s="4816"/>
      <c r="I105" s="856"/>
    </row>
    <row r="106" spans="2:9">
      <c r="B106" s="861"/>
      <c r="C106" s="862"/>
      <c r="D106" s="862"/>
      <c r="E106" s="862"/>
      <c r="F106" s="862"/>
      <c r="G106" s="862"/>
      <c r="H106" s="862"/>
      <c r="I106" s="863"/>
    </row>
    <row r="108" spans="2:9">
      <c r="C108" s="883" t="s">
        <v>1402</v>
      </c>
    </row>
    <row r="109" spans="2:9">
      <c r="C109" s="883" t="s">
        <v>63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4843" t="s">
        <v>3267</v>
      </c>
      <c r="B2" s="4844"/>
      <c r="C2" s="4844"/>
      <c r="D2" s="4844"/>
      <c r="E2" s="4844"/>
      <c r="F2" s="4844"/>
      <c r="G2" s="4844"/>
      <c r="H2" s="4844"/>
      <c r="I2" s="4844"/>
      <c r="J2" s="4844"/>
      <c r="K2" s="4844"/>
      <c r="L2" s="4844"/>
      <c r="M2" s="4844"/>
      <c r="N2" s="4844"/>
      <c r="O2" s="4844"/>
      <c r="P2" s="4844"/>
      <c r="Q2" s="4844"/>
      <c r="R2" s="4845"/>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3268</v>
      </c>
      <c r="B4" s="143"/>
      <c r="C4" s="143"/>
      <c r="D4" s="99"/>
      <c r="E4" s="99"/>
      <c r="F4" s="143" t="s">
        <v>3269</v>
      </c>
      <c r="G4" s="143"/>
      <c r="H4" s="99"/>
      <c r="I4" s="99"/>
      <c r="J4" s="143" t="s">
        <v>3270</v>
      </c>
      <c r="K4" s="143"/>
      <c r="L4" s="143"/>
      <c r="M4" s="143"/>
      <c r="N4" s="143"/>
      <c r="O4" s="143"/>
      <c r="P4" s="99"/>
      <c r="Q4" s="103" t="s">
        <v>2756</v>
      </c>
      <c r="R4" s="103" t="s">
        <v>2758</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65" customHeight="1">
      <c r="A6" s="147" t="s">
        <v>3271</v>
      </c>
      <c r="B6" s="102"/>
      <c r="C6" s="102"/>
      <c r="D6" s="99"/>
      <c r="E6" s="99"/>
      <c r="F6" s="102" t="s">
        <v>3272</v>
      </c>
      <c r="G6" s="102"/>
      <c r="H6" s="99"/>
      <c r="I6" s="99"/>
      <c r="J6" s="102" t="s">
        <v>3273</v>
      </c>
      <c r="K6" s="102"/>
      <c r="L6" s="102" t="s">
        <v>3274</v>
      </c>
      <c r="M6" s="102"/>
      <c r="N6" s="102"/>
      <c r="O6" s="102"/>
      <c r="P6" s="99"/>
      <c r="Q6" s="380" t="s">
        <v>1683</v>
      </c>
      <c r="R6" s="380">
        <v>1225000</v>
      </c>
      <c r="S6" s="99"/>
      <c r="U6" s="99"/>
      <c r="V6" s="565"/>
      <c r="W6" s="565"/>
      <c r="X6" s="103"/>
      <c r="AA6" s="42"/>
      <c r="AB6" s="42"/>
    </row>
    <row r="7" spans="1:28" s="100" customFormat="1" ht="11.65" customHeight="1">
      <c r="A7" s="147"/>
      <c r="B7" s="102"/>
      <c r="C7" s="102"/>
      <c r="D7" s="99"/>
      <c r="E7" s="99"/>
      <c r="F7" s="102"/>
      <c r="G7" s="102"/>
      <c r="H7" s="99"/>
      <c r="I7" s="99"/>
      <c r="J7" s="102"/>
      <c r="K7" s="102"/>
      <c r="L7" s="102" t="s">
        <v>3275</v>
      </c>
      <c r="M7" s="102"/>
      <c r="N7" s="102"/>
      <c r="O7" s="102"/>
      <c r="P7" s="99"/>
      <c r="Q7" s="380" t="s">
        <v>1683</v>
      </c>
      <c r="R7" s="380">
        <v>1105000</v>
      </c>
      <c r="S7" s="99"/>
      <c r="U7" s="99"/>
      <c r="V7" s="565"/>
      <c r="W7" s="565"/>
      <c r="X7" s="103"/>
      <c r="AA7" s="42"/>
      <c r="AB7" s="42"/>
    </row>
    <row r="8" spans="1:28" s="100" customFormat="1" ht="11.65" customHeight="1">
      <c r="F8" s="102"/>
      <c r="G8" s="102"/>
      <c r="H8" s="99"/>
      <c r="I8" s="99"/>
      <c r="J8" s="102" t="s">
        <v>3276</v>
      </c>
      <c r="K8" s="102"/>
      <c r="L8" s="102"/>
      <c r="M8" s="102"/>
      <c r="N8" s="102"/>
      <c r="O8" s="102"/>
      <c r="P8" s="99"/>
      <c r="Q8" s="380" t="s">
        <v>1683</v>
      </c>
      <c r="R8" s="380">
        <v>2240000</v>
      </c>
      <c r="S8" s="99"/>
      <c r="T8" s="99"/>
      <c r="U8" s="99"/>
      <c r="V8" s="565"/>
      <c r="W8" s="565"/>
      <c r="X8" s="103"/>
      <c r="AA8" s="42"/>
      <c r="AB8" s="42"/>
    </row>
    <row r="9" spans="1:28" s="100" customFormat="1" ht="11.65" customHeight="1">
      <c r="F9" s="102" t="s">
        <v>2945</v>
      </c>
      <c r="G9" s="102"/>
      <c r="H9" s="99"/>
      <c r="I9" s="99"/>
      <c r="J9" s="102" t="s">
        <v>3277</v>
      </c>
      <c r="K9" s="102"/>
      <c r="L9" s="102"/>
      <c r="M9" s="102"/>
      <c r="N9" s="102"/>
      <c r="O9" s="102"/>
      <c r="P9" s="99"/>
      <c r="Q9" s="380">
        <v>1000000</v>
      </c>
      <c r="R9" s="380">
        <v>2000000</v>
      </c>
      <c r="S9" s="148"/>
      <c r="T9" s="148"/>
      <c r="U9" s="99"/>
      <c r="V9" s="232"/>
      <c r="W9" s="232"/>
      <c r="X9" s="232"/>
      <c r="AA9" s="42"/>
      <c r="AB9" s="42"/>
    </row>
    <row r="10" spans="1:28" s="100" customFormat="1" ht="11.65" customHeight="1">
      <c r="F10" s="102"/>
      <c r="G10" s="102"/>
      <c r="H10" s="99"/>
      <c r="I10" s="99"/>
      <c r="J10" s="102" t="s">
        <v>3278</v>
      </c>
      <c r="K10" s="102"/>
      <c r="L10" s="102"/>
      <c r="M10" s="102"/>
      <c r="N10" s="102"/>
      <c r="O10" s="102"/>
      <c r="P10" s="99"/>
      <c r="Q10" s="380" t="s">
        <v>1683</v>
      </c>
      <c r="R10" s="2871">
        <v>0.25</v>
      </c>
      <c r="S10" s="99"/>
      <c r="T10" s="99"/>
      <c r="U10" s="99"/>
      <c r="V10" s="565"/>
      <c r="W10" s="565"/>
      <c r="X10" s="103"/>
      <c r="AA10" s="42"/>
      <c r="AB10" s="42"/>
    </row>
    <row r="11" spans="1:28" s="100" customFormat="1" ht="11.25" customHeight="1">
      <c r="A11" s="102"/>
      <c r="B11" s="102"/>
      <c r="C11" s="102"/>
      <c r="D11" s="99"/>
      <c r="E11" s="99"/>
      <c r="F11" s="102" t="s">
        <v>3279</v>
      </c>
      <c r="G11" s="102"/>
      <c r="H11" s="99"/>
      <c r="I11" s="99"/>
      <c r="J11" s="333" t="s">
        <v>3280</v>
      </c>
      <c r="K11" s="152"/>
      <c r="M11" s="152"/>
      <c r="N11" s="152"/>
      <c r="O11" s="102"/>
      <c r="Q11" s="4846" t="s">
        <v>3281</v>
      </c>
      <c r="R11" s="4846"/>
      <c r="S11" s="157"/>
      <c r="T11" s="99"/>
      <c r="U11" s="99"/>
      <c r="V11" s="232"/>
      <c r="W11" s="232"/>
      <c r="X11" s="232"/>
      <c r="AA11" s="42"/>
      <c r="AB11" s="42"/>
    </row>
    <row r="12" spans="1:28" s="100" customFormat="1" ht="11.25" hidden="1" customHeight="1">
      <c r="A12" s="102"/>
      <c r="B12" s="102"/>
      <c r="C12" s="102"/>
      <c r="D12" s="99"/>
      <c r="E12" s="99"/>
      <c r="F12" s="102" t="s">
        <v>3282</v>
      </c>
      <c r="G12" s="102"/>
      <c r="H12" s="99"/>
      <c r="I12" s="99"/>
      <c r="J12" s="333" t="s">
        <v>2452</v>
      </c>
      <c r="K12" s="152"/>
      <c r="M12" s="152"/>
      <c r="N12" s="152"/>
      <c r="O12" s="102"/>
      <c r="Q12" s="4831">
        <v>0.1</v>
      </c>
      <c r="R12" s="4832"/>
      <c r="S12" s="157"/>
      <c r="T12" s="99"/>
      <c r="U12" s="99"/>
      <c r="V12" s="232"/>
      <c r="W12" s="232"/>
      <c r="X12" s="232"/>
      <c r="AA12" s="42"/>
      <c r="AB12" s="42"/>
    </row>
    <row r="13" spans="1:28" s="100" customFormat="1" ht="12.75" hidden="1" customHeight="1">
      <c r="A13" s="102"/>
      <c r="B13" s="102"/>
      <c r="C13" s="102"/>
      <c r="J13" s="1542" t="s">
        <v>1274</v>
      </c>
      <c r="K13" s="153"/>
      <c r="L13" s="153"/>
      <c r="N13" s="152"/>
      <c r="O13" s="102"/>
      <c r="Q13" s="4830" t="s">
        <v>3283</v>
      </c>
      <c r="R13" s="4830"/>
      <c r="S13" s="99"/>
      <c r="T13" s="99"/>
      <c r="U13" s="99"/>
      <c r="AA13" s="42"/>
      <c r="AB13" s="42"/>
    </row>
    <row r="14" spans="1:28" s="100" customFormat="1" ht="12.75" hidden="1" customHeight="1">
      <c r="A14" s="102"/>
      <c r="B14" s="102"/>
      <c r="C14" s="102"/>
      <c r="K14" s="153" t="s">
        <v>3284</v>
      </c>
      <c r="L14" s="153"/>
      <c r="N14" s="152"/>
      <c r="O14" s="102"/>
      <c r="P14" s="99"/>
      <c r="Q14" s="4828">
        <v>0.2</v>
      </c>
      <c r="R14" s="4829"/>
      <c r="S14" s="99"/>
      <c r="T14" s="99"/>
      <c r="U14" s="99"/>
      <c r="AA14" s="42"/>
      <c r="AB14" s="42"/>
    </row>
    <row r="15" spans="1:28" s="100" customFormat="1" ht="12.75" hidden="1" customHeight="1">
      <c r="A15" s="102"/>
      <c r="B15" s="102"/>
      <c r="C15" s="102"/>
      <c r="K15" s="153" t="s">
        <v>3285</v>
      </c>
      <c r="L15" s="153"/>
      <c r="N15" s="152"/>
      <c r="O15" s="102"/>
      <c r="P15" s="99"/>
      <c r="Q15" s="4849">
        <v>0.15</v>
      </c>
      <c r="R15" s="4850"/>
      <c r="S15" s="99"/>
      <c r="T15" s="99"/>
      <c r="U15" s="99"/>
      <c r="AA15" s="42"/>
      <c r="AB15" s="42"/>
    </row>
    <row r="16" spans="1:28" s="100" customFormat="1" ht="12.75" hidden="1" customHeight="1">
      <c r="A16" s="102"/>
      <c r="B16" s="102"/>
      <c r="C16" s="102"/>
      <c r="K16" s="153" t="s">
        <v>3286</v>
      </c>
      <c r="L16" s="153"/>
      <c r="N16" s="152"/>
      <c r="O16" s="102"/>
      <c r="P16" s="99"/>
      <c r="Q16" s="4849">
        <v>0.15</v>
      </c>
      <c r="R16" s="4850"/>
      <c r="S16" s="99"/>
      <c r="T16" s="99"/>
      <c r="U16" s="99"/>
      <c r="AA16" s="42"/>
      <c r="AB16" s="42"/>
    </row>
    <row r="17" spans="1:28" s="100" customFormat="1" ht="12.75" hidden="1" customHeight="1">
      <c r="A17" s="102"/>
      <c r="B17" s="102"/>
      <c r="C17" s="102"/>
      <c r="K17" s="153" t="s">
        <v>3287</v>
      </c>
      <c r="L17" s="153"/>
      <c r="N17" s="152"/>
      <c r="O17" s="102"/>
      <c r="P17" s="99"/>
      <c r="Q17" s="4849">
        <v>0.1</v>
      </c>
      <c r="R17" s="4850"/>
      <c r="S17" s="99"/>
      <c r="T17" s="99"/>
      <c r="U17" s="99"/>
      <c r="AA17" s="42"/>
      <c r="AB17" s="42"/>
    </row>
    <row r="18" spans="1:28" s="100" customFormat="1" ht="12.75" hidden="1" customHeight="1">
      <c r="A18" s="102"/>
      <c r="B18" s="102"/>
      <c r="C18" s="102"/>
      <c r="K18" s="153" t="s">
        <v>3288</v>
      </c>
      <c r="L18" s="153"/>
      <c r="N18" s="152"/>
      <c r="O18" s="102"/>
      <c r="P18" s="99"/>
      <c r="Q18" s="4847">
        <v>0.1</v>
      </c>
      <c r="R18" s="4848"/>
      <c r="S18" s="99"/>
      <c r="T18" s="99"/>
      <c r="U18" s="99"/>
      <c r="AA18" s="42"/>
      <c r="AB18" s="42"/>
    </row>
    <row r="19" spans="1:28" s="100" customFormat="1" ht="11.65" customHeight="1">
      <c r="A19" s="102"/>
      <c r="B19" s="102"/>
      <c r="C19" s="102"/>
      <c r="D19" s="99"/>
      <c r="E19" s="99"/>
      <c r="O19" s="102"/>
      <c r="T19" s="148"/>
      <c r="U19" s="99"/>
      <c r="V19" s="232"/>
      <c r="W19" s="232"/>
      <c r="X19" s="232"/>
      <c r="AA19" s="42"/>
      <c r="AB19" s="42"/>
    </row>
    <row r="20" spans="1:28" s="100" customFormat="1" ht="11.65" customHeight="1">
      <c r="A20" s="143" t="s">
        <v>3268</v>
      </c>
      <c r="B20" s="143"/>
      <c r="C20" s="143"/>
      <c r="D20" s="99"/>
      <c r="E20" s="99"/>
      <c r="F20" s="143" t="s">
        <v>3269</v>
      </c>
      <c r="G20" s="143"/>
      <c r="H20" s="99"/>
      <c r="I20" s="99"/>
      <c r="J20" s="143" t="s">
        <v>3270</v>
      </c>
      <c r="K20" s="143"/>
      <c r="L20" s="143"/>
      <c r="M20" s="143"/>
      <c r="N20" s="143"/>
      <c r="O20" s="143"/>
      <c r="P20" s="99"/>
      <c r="Q20" s="103" t="s">
        <v>2756</v>
      </c>
      <c r="R20" s="103" t="s">
        <v>2758</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3289</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65" customHeight="1">
      <c r="A23" s="99"/>
      <c r="B23" s="102" t="s">
        <v>3289</v>
      </c>
      <c r="C23" s="102"/>
      <c r="D23" s="99"/>
      <c r="E23" s="99"/>
      <c r="F23" s="102" t="s">
        <v>3290</v>
      </c>
      <c r="G23" s="102" t="s">
        <v>1447</v>
      </c>
      <c r="H23" s="99"/>
      <c r="I23" s="99"/>
      <c r="J23" s="102" t="s">
        <v>1104</v>
      </c>
      <c r="K23" s="102"/>
      <c r="L23" s="102"/>
      <c r="M23" s="102"/>
      <c r="N23" s="102"/>
      <c r="O23" s="102"/>
      <c r="P23" s="99"/>
      <c r="Q23" s="2872">
        <v>5000</v>
      </c>
      <c r="R23" s="945" t="s">
        <v>1683</v>
      </c>
      <c r="S23" s="153"/>
      <c r="AA23" s="42"/>
      <c r="AB23" s="42"/>
    </row>
    <row r="24" spans="1:28" s="100" customFormat="1" ht="11.65" customHeight="1">
      <c r="A24" s="99"/>
      <c r="B24" s="102"/>
      <c r="C24" s="102"/>
      <c r="D24" s="99"/>
      <c r="E24" s="99"/>
      <c r="F24" s="102"/>
      <c r="G24" s="102" t="s">
        <v>3291</v>
      </c>
      <c r="H24" s="99"/>
      <c r="I24" s="99"/>
      <c r="J24" s="102" t="s">
        <v>1104</v>
      </c>
      <c r="K24" s="102"/>
      <c r="L24" s="102"/>
      <c r="M24" s="102"/>
      <c r="N24" s="102"/>
      <c r="O24" s="102"/>
      <c r="P24" s="99"/>
      <c r="Q24" s="2872">
        <v>4500</v>
      </c>
      <c r="R24" s="945" t="s">
        <v>1683</v>
      </c>
      <c r="S24" s="153"/>
      <c r="AA24" s="42"/>
      <c r="AB24" s="42"/>
    </row>
    <row r="25" spans="1:28" s="100" customFormat="1" ht="11.65" customHeight="1">
      <c r="A25" s="99"/>
      <c r="B25" s="102"/>
      <c r="C25" s="102"/>
      <c r="D25" s="99"/>
      <c r="E25" s="99"/>
      <c r="F25" s="102" t="s">
        <v>3292</v>
      </c>
      <c r="G25" s="102" t="s">
        <v>2453</v>
      </c>
      <c r="H25" s="99"/>
      <c r="I25" s="99"/>
      <c r="J25" s="102" t="s">
        <v>1104</v>
      </c>
      <c r="K25" s="102"/>
      <c r="L25" s="102"/>
      <c r="M25" s="102"/>
      <c r="N25" s="102"/>
      <c r="O25" s="102"/>
      <c r="P25" s="99"/>
      <c r="Q25" s="2872">
        <v>3750</v>
      </c>
      <c r="R25" s="945" t="s">
        <v>1683</v>
      </c>
      <c r="S25" s="153"/>
      <c r="AA25" s="42"/>
      <c r="AB25" s="42"/>
    </row>
    <row r="26" spans="1:28" s="100" customFormat="1" ht="11.65" customHeight="1">
      <c r="A26" s="102"/>
      <c r="B26" s="102"/>
      <c r="C26" s="102"/>
      <c r="D26" s="99"/>
      <c r="E26" s="99"/>
      <c r="G26" s="102" t="s">
        <v>3293</v>
      </c>
      <c r="H26" s="99"/>
      <c r="I26" s="99"/>
      <c r="J26" s="102" t="s">
        <v>1104</v>
      </c>
      <c r="K26" s="102"/>
      <c r="L26" s="102"/>
      <c r="M26" s="102"/>
      <c r="N26" s="102"/>
      <c r="O26" s="102"/>
      <c r="P26" s="99"/>
      <c r="Q26" s="2872">
        <v>3250</v>
      </c>
      <c r="R26" s="945" t="s">
        <v>1683</v>
      </c>
      <c r="S26" s="153"/>
      <c r="AA26" s="42"/>
      <c r="AB26" s="42"/>
    </row>
    <row r="27" spans="1:28" s="100" customFormat="1" ht="11.65" customHeight="1">
      <c r="A27" s="102"/>
      <c r="B27" s="102"/>
      <c r="C27" s="102"/>
      <c r="D27" s="99"/>
      <c r="E27" s="99"/>
      <c r="G27" s="102" t="s">
        <v>3294</v>
      </c>
      <c r="H27" s="99"/>
      <c r="I27" s="99"/>
      <c r="J27" s="102" t="s">
        <v>1104</v>
      </c>
      <c r="K27" s="102"/>
      <c r="L27" s="102"/>
      <c r="M27" s="102"/>
      <c r="N27" s="102"/>
      <c r="O27" s="102"/>
      <c r="P27" s="99"/>
      <c r="Q27" s="2872" t="s">
        <v>3080</v>
      </c>
      <c r="R27" s="945" t="s">
        <v>1683</v>
      </c>
      <c r="S27" s="153"/>
      <c r="T27" s="153"/>
      <c r="U27" s="153"/>
      <c r="AA27" s="42"/>
      <c r="AB27" s="42"/>
    </row>
    <row r="28" spans="1:28" s="100" customFormat="1" ht="11.65" customHeight="1">
      <c r="A28" s="102"/>
      <c r="B28" s="102" t="s">
        <v>3295</v>
      </c>
      <c r="C28" s="102"/>
      <c r="D28" s="99"/>
      <c r="E28" s="99"/>
      <c r="F28" s="102" t="s">
        <v>3296</v>
      </c>
      <c r="G28" s="102"/>
      <c r="H28" s="99"/>
      <c r="I28" s="99"/>
      <c r="J28" s="102" t="s">
        <v>1104</v>
      </c>
      <c r="K28" s="102"/>
      <c r="L28" s="102"/>
      <c r="M28" s="102"/>
      <c r="N28" s="102"/>
      <c r="O28" s="102"/>
      <c r="P28" s="99"/>
      <c r="Q28" s="2872">
        <v>350</v>
      </c>
      <c r="R28" s="945" t="s">
        <v>1683</v>
      </c>
      <c r="S28" s="153"/>
      <c r="T28" s="153"/>
      <c r="U28" s="153"/>
      <c r="AA28" s="42"/>
      <c r="AB28" s="42"/>
    </row>
    <row r="29" spans="1:28" s="100" customFormat="1" ht="11.65" customHeight="1">
      <c r="A29" s="102"/>
      <c r="B29" s="102"/>
      <c r="C29" s="102"/>
      <c r="D29" s="99"/>
      <c r="E29" s="99"/>
      <c r="F29" s="102" t="s">
        <v>3297</v>
      </c>
      <c r="G29" s="102"/>
      <c r="H29" s="99"/>
      <c r="I29" s="99"/>
      <c r="J29" s="102" t="s">
        <v>1104</v>
      </c>
      <c r="K29" s="102"/>
      <c r="L29" s="102"/>
      <c r="M29" s="102"/>
      <c r="N29" s="102"/>
      <c r="O29" s="102"/>
      <c r="P29" s="99"/>
      <c r="Q29" s="2872">
        <v>250</v>
      </c>
      <c r="R29" s="945" t="s">
        <v>1683</v>
      </c>
      <c r="S29" s="153"/>
      <c r="T29" s="153"/>
      <c r="U29" s="153"/>
      <c r="AA29" s="42"/>
      <c r="AB29" s="42"/>
    </row>
    <row r="30" spans="1:28" s="100" customFormat="1" ht="11.65" customHeight="1">
      <c r="A30" s="102"/>
      <c r="B30" s="102"/>
      <c r="C30" s="102"/>
      <c r="D30" s="102"/>
      <c r="E30" s="99"/>
      <c r="F30" s="102" t="s">
        <v>3298</v>
      </c>
      <c r="G30" s="102"/>
      <c r="H30" s="99"/>
      <c r="I30" s="99"/>
      <c r="J30" s="102" t="s">
        <v>1104</v>
      </c>
      <c r="K30" s="102"/>
      <c r="L30" s="102"/>
      <c r="M30" s="102"/>
      <c r="N30" s="102"/>
      <c r="O30" s="102"/>
      <c r="P30" s="99"/>
      <c r="Q30" s="2872">
        <v>420</v>
      </c>
      <c r="R30" s="945" t="s">
        <v>1683</v>
      </c>
      <c r="S30" s="153"/>
      <c r="T30" s="153"/>
      <c r="U30" s="153"/>
      <c r="AA30" s="42"/>
      <c r="AB30" s="42"/>
    </row>
    <row r="31" spans="1:28" s="100" customFormat="1" ht="11.65" customHeight="1">
      <c r="A31" s="102"/>
      <c r="B31" s="102"/>
      <c r="C31" s="102"/>
      <c r="D31" s="102"/>
      <c r="E31" s="99"/>
      <c r="F31" s="102" t="s">
        <v>3299</v>
      </c>
      <c r="G31" s="102"/>
      <c r="H31" s="99"/>
      <c r="I31" s="99"/>
      <c r="J31" s="102" t="s">
        <v>1104</v>
      </c>
      <c r="K31" s="102"/>
      <c r="L31" s="102"/>
      <c r="M31" s="102"/>
      <c r="N31" s="102"/>
      <c r="O31" s="102"/>
      <c r="P31" s="99"/>
      <c r="Q31" s="2872">
        <v>420</v>
      </c>
      <c r="R31" s="945" t="s">
        <v>1683</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3300</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65" customHeight="1">
      <c r="A34" s="102"/>
      <c r="B34" s="102" t="s">
        <v>3301</v>
      </c>
      <c r="C34" s="102"/>
      <c r="D34" s="99"/>
      <c r="E34" s="99"/>
      <c r="F34" s="102" t="s">
        <v>3296</v>
      </c>
      <c r="G34" s="102"/>
      <c r="H34" s="99"/>
      <c r="I34" s="99"/>
      <c r="J34" s="102" t="s">
        <v>3302</v>
      </c>
      <c r="K34" s="102"/>
      <c r="L34" s="102"/>
      <c r="M34" s="102"/>
      <c r="N34" s="102"/>
      <c r="O34" s="102"/>
      <c r="P34" s="99"/>
      <c r="Q34" s="2873">
        <v>35000</v>
      </c>
      <c r="R34" s="945" t="s">
        <v>3303</v>
      </c>
      <c r="S34" s="153"/>
      <c r="T34" s="153"/>
      <c r="U34" s="153"/>
      <c r="AA34" s="42"/>
      <c r="AB34" s="42"/>
    </row>
    <row r="35" spans="1:28" s="100" customFormat="1" ht="11.65" customHeight="1">
      <c r="A35" s="102"/>
      <c r="B35" s="102"/>
      <c r="C35" s="102"/>
      <c r="D35" s="99"/>
      <c r="E35" s="99"/>
      <c r="F35" s="102" t="s">
        <v>3304</v>
      </c>
      <c r="G35" s="102"/>
      <c r="H35" s="99"/>
      <c r="I35" s="99"/>
      <c r="J35" s="102" t="s">
        <v>3305</v>
      </c>
      <c r="K35" s="102"/>
      <c r="L35" s="102"/>
      <c r="M35" s="102"/>
      <c r="N35" s="102"/>
      <c r="O35" s="102"/>
      <c r="P35" s="99"/>
      <c r="Q35" s="2871" t="s">
        <v>2593</v>
      </c>
      <c r="R35" s="2873">
        <v>1250000</v>
      </c>
      <c r="S35" s="153"/>
      <c r="T35" s="153"/>
      <c r="U35" s="153"/>
      <c r="AA35" s="42"/>
      <c r="AB35" s="42"/>
    </row>
    <row r="36" spans="1:28" s="100" customFormat="1" ht="11.65" customHeight="1">
      <c r="A36" s="102"/>
      <c r="B36" s="102" t="s">
        <v>580</v>
      </c>
      <c r="C36" s="102"/>
      <c r="D36" s="99"/>
      <c r="E36" s="99"/>
      <c r="F36" s="102" t="s">
        <v>3297</v>
      </c>
      <c r="G36" s="102"/>
      <c r="H36" s="99"/>
      <c r="I36" s="99"/>
      <c r="J36" s="102" t="s">
        <v>3306</v>
      </c>
      <c r="K36" s="102"/>
      <c r="L36" s="102"/>
      <c r="M36" s="102"/>
      <c r="N36" s="102"/>
      <c r="O36" s="102"/>
      <c r="P36" s="99"/>
      <c r="Q36" s="2871" t="s">
        <v>2593</v>
      </c>
      <c r="R36" s="2679">
        <v>0.05</v>
      </c>
      <c r="S36" s="153"/>
      <c r="T36" s="153"/>
      <c r="U36" s="153"/>
      <c r="AA36" s="42"/>
      <c r="AB36" s="42"/>
    </row>
    <row r="37" spans="1:28" s="100" customFormat="1" ht="11.65" customHeight="1">
      <c r="A37" s="102"/>
      <c r="B37" s="102"/>
      <c r="C37" s="102"/>
      <c r="D37" s="99"/>
      <c r="E37" s="99"/>
      <c r="F37" s="102" t="s">
        <v>3296</v>
      </c>
      <c r="G37" s="102"/>
      <c r="H37" s="99"/>
      <c r="I37" s="99"/>
      <c r="J37" s="102" t="s">
        <v>3306</v>
      </c>
      <c r="K37" s="102"/>
      <c r="L37" s="102"/>
      <c r="M37" s="102"/>
      <c r="N37" s="102"/>
      <c r="O37" s="102"/>
      <c r="P37" s="99"/>
      <c r="Q37" s="2871" t="s">
        <v>2593</v>
      </c>
      <c r="R37" s="2679">
        <v>0.1</v>
      </c>
      <c r="S37" s="153"/>
      <c r="T37" s="153"/>
      <c r="U37" s="153"/>
      <c r="AA37" s="42"/>
      <c r="AB37" s="42"/>
    </row>
    <row r="38" spans="1:28" s="100" customFormat="1" ht="11.65" customHeight="1">
      <c r="A38" s="102"/>
      <c r="B38" s="102" t="s">
        <v>3307</v>
      </c>
      <c r="C38" s="102"/>
      <c r="D38" s="99"/>
      <c r="E38" s="99"/>
      <c r="F38" s="102" t="s">
        <v>1683</v>
      </c>
      <c r="G38" s="102"/>
      <c r="H38" s="99"/>
      <c r="I38" s="99"/>
      <c r="J38" s="102" t="s">
        <v>3308</v>
      </c>
      <c r="K38" s="102"/>
      <c r="L38" s="102"/>
      <c r="M38" s="102"/>
      <c r="N38" s="102"/>
      <c r="O38" s="102"/>
      <c r="P38" s="99"/>
      <c r="Q38" s="945" t="s">
        <v>1683</v>
      </c>
      <c r="R38" s="2679">
        <v>0.06</v>
      </c>
      <c r="S38" s="153"/>
      <c r="T38" s="153"/>
      <c r="U38" s="153"/>
      <c r="AA38" s="42"/>
      <c r="AB38" s="42"/>
    </row>
    <row r="39" spans="1:28" s="100" customFormat="1" ht="11.65" customHeight="1">
      <c r="A39" s="102"/>
      <c r="B39" s="102" t="s">
        <v>3309</v>
      </c>
      <c r="C39" s="102"/>
      <c r="D39" s="99"/>
      <c r="E39" s="99"/>
      <c r="F39" s="102" t="s">
        <v>1683</v>
      </c>
      <c r="G39" s="102"/>
      <c r="H39" s="99"/>
      <c r="I39" s="99"/>
      <c r="J39" s="102" t="s">
        <v>3308</v>
      </c>
      <c r="K39" s="102"/>
      <c r="L39" s="102"/>
      <c r="M39" s="102"/>
      <c r="N39" s="102"/>
      <c r="O39" s="102"/>
      <c r="P39" s="99"/>
      <c r="Q39" s="945" t="s">
        <v>1683</v>
      </c>
      <c r="R39" s="2679">
        <v>0.02</v>
      </c>
      <c r="S39" s="153"/>
      <c r="T39" s="153"/>
      <c r="U39" s="153"/>
      <c r="AA39" s="42"/>
      <c r="AB39" s="42"/>
    </row>
    <row r="40" spans="1:28" s="100" customFormat="1" ht="11.65" customHeight="1">
      <c r="A40" s="102"/>
      <c r="B40" s="102" t="s">
        <v>3310</v>
      </c>
      <c r="C40" s="102"/>
      <c r="D40" s="99"/>
      <c r="E40" s="99"/>
      <c r="F40" s="102" t="s">
        <v>1683</v>
      </c>
      <c r="G40" s="102"/>
      <c r="H40" s="99"/>
      <c r="I40" s="99"/>
      <c r="J40" s="102" t="s">
        <v>3308</v>
      </c>
      <c r="K40" s="102"/>
      <c r="L40" s="102"/>
      <c r="M40" s="102"/>
      <c r="N40" s="102"/>
      <c r="O40" s="102"/>
      <c r="P40" s="99"/>
      <c r="Q40" s="945" t="s">
        <v>1683</v>
      </c>
      <c r="R40" s="2679">
        <v>0.06</v>
      </c>
      <c r="S40" s="153"/>
      <c r="T40" s="153"/>
      <c r="U40" s="153"/>
      <c r="AA40" s="42"/>
      <c r="AB40" s="42"/>
    </row>
    <row r="41" spans="1:28" s="100" customFormat="1" ht="11.65" customHeight="1">
      <c r="A41" s="102"/>
      <c r="B41" s="102" t="s">
        <v>1251</v>
      </c>
      <c r="C41" s="102"/>
      <c r="D41" s="99"/>
      <c r="E41" s="99"/>
      <c r="F41" s="102" t="s">
        <v>603</v>
      </c>
      <c r="G41" s="102"/>
      <c r="H41" s="99"/>
      <c r="I41" s="99"/>
      <c r="J41" s="102"/>
      <c r="K41" s="102"/>
      <c r="L41" s="102"/>
      <c r="M41" s="102"/>
      <c r="N41" s="102"/>
      <c r="O41" s="102"/>
      <c r="P41" s="99"/>
      <c r="Q41" s="945" t="s">
        <v>1683</v>
      </c>
      <c r="R41" s="380"/>
      <c r="S41" s="153"/>
      <c r="T41" s="153"/>
      <c r="U41" s="153"/>
      <c r="AA41" s="42"/>
      <c r="AB41" s="42"/>
    </row>
    <row r="42" spans="1:28" s="100" customFormat="1" ht="11.65" customHeight="1">
      <c r="A42" s="99"/>
      <c r="B42" s="153" t="s">
        <v>3311</v>
      </c>
      <c r="C42" s="102"/>
      <c r="D42" s="102"/>
      <c r="E42" s="99"/>
      <c r="F42" s="102" t="s">
        <v>3312</v>
      </c>
      <c r="G42" s="102"/>
      <c r="H42" s="99"/>
      <c r="I42" s="99"/>
      <c r="J42" s="102" t="s">
        <v>3313</v>
      </c>
      <c r="K42" s="102"/>
      <c r="L42" s="102"/>
      <c r="M42" s="102"/>
      <c r="N42" s="102"/>
      <c r="O42" s="102"/>
      <c r="P42" s="99"/>
      <c r="Q42" s="4838">
        <v>1000</v>
      </c>
      <c r="R42" s="4839"/>
      <c r="S42" s="153"/>
      <c r="T42" s="153"/>
      <c r="U42" s="153"/>
      <c r="AA42" s="42"/>
      <c r="AB42" s="42"/>
    </row>
    <row r="43" spans="1:28" s="100" customFormat="1" ht="11.65" customHeight="1">
      <c r="A43" s="102"/>
      <c r="B43" s="102"/>
      <c r="C43" s="102"/>
      <c r="D43" s="102"/>
      <c r="E43" s="99"/>
      <c r="G43" s="102"/>
      <c r="H43" s="99"/>
      <c r="I43" s="99"/>
      <c r="J43" s="102" t="s">
        <v>3314</v>
      </c>
      <c r="K43" s="102"/>
      <c r="L43" s="102"/>
      <c r="M43" s="102"/>
      <c r="N43" s="102"/>
      <c r="O43" s="102"/>
      <c r="P43" s="99"/>
      <c r="Q43" s="4838">
        <v>500</v>
      </c>
      <c r="R43" s="4839"/>
      <c r="S43" s="153"/>
      <c r="T43" s="153"/>
      <c r="U43" s="153"/>
      <c r="AA43" s="42"/>
      <c r="AB43" s="42"/>
    </row>
    <row r="44" spans="1:28" s="100" customFormat="1" ht="11.65" customHeight="1">
      <c r="A44" s="102"/>
      <c r="B44" s="102"/>
      <c r="C44" s="102"/>
      <c r="D44" s="102"/>
      <c r="E44" s="99"/>
      <c r="F44" s="102" t="s">
        <v>3315</v>
      </c>
      <c r="G44" s="102"/>
      <c r="H44" s="99"/>
      <c r="I44" s="99"/>
      <c r="J44" s="102" t="s">
        <v>3316</v>
      </c>
      <c r="K44" s="102"/>
      <c r="L44" s="102"/>
      <c r="M44" s="102"/>
      <c r="N44" s="102"/>
      <c r="O44" s="102"/>
      <c r="P44" s="99"/>
      <c r="Q44" s="4835">
        <v>2500</v>
      </c>
      <c r="R44" s="4836"/>
      <c r="S44" s="153"/>
      <c r="T44" s="153"/>
      <c r="U44" s="153"/>
      <c r="AA44" s="42"/>
      <c r="AB44" s="42"/>
    </row>
    <row r="45" spans="1:28" s="100" customFormat="1" ht="11.65" customHeight="1">
      <c r="A45" s="102"/>
      <c r="B45" s="102"/>
      <c r="C45" s="102"/>
      <c r="D45" s="102"/>
      <c r="E45" s="99"/>
      <c r="G45" s="102"/>
      <c r="H45" s="99"/>
      <c r="I45" s="99"/>
      <c r="J45" s="102" t="s">
        <v>3317</v>
      </c>
      <c r="K45" s="102"/>
      <c r="L45" s="102"/>
      <c r="M45" s="102"/>
      <c r="N45" s="102"/>
      <c r="O45" s="102"/>
      <c r="P45" s="99"/>
      <c r="Q45" s="4835">
        <v>2500</v>
      </c>
      <c r="R45" s="4836"/>
      <c r="S45" s="153"/>
      <c r="T45" s="153"/>
      <c r="U45" s="153"/>
      <c r="AA45" s="42"/>
      <c r="AB45" s="42"/>
    </row>
    <row r="46" spans="1:28" s="100" customFormat="1" ht="11.65" customHeight="1">
      <c r="A46" s="102"/>
      <c r="B46" s="102"/>
      <c r="C46" s="102"/>
      <c r="D46" s="102"/>
      <c r="E46" s="99"/>
      <c r="G46" s="102"/>
      <c r="H46" s="99"/>
      <c r="I46" s="99"/>
      <c r="J46" s="102" t="s">
        <v>3318</v>
      </c>
      <c r="K46" s="102"/>
      <c r="L46" s="102"/>
      <c r="M46" s="102"/>
      <c r="N46" s="102"/>
      <c r="O46" s="102"/>
      <c r="P46" s="99"/>
      <c r="Q46" s="4835">
        <v>2000</v>
      </c>
      <c r="R46" s="4836"/>
      <c r="S46" s="153"/>
      <c r="T46" s="153"/>
      <c r="U46" s="153"/>
      <c r="AA46" s="42"/>
      <c r="AB46" s="42"/>
    </row>
    <row r="47" spans="1:28" s="100" customFormat="1" ht="11.65" customHeight="1">
      <c r="A47" s="102"/>
      <c r="B47" s="102"/>
      <c r="C47" s="102"/>
      <c r="D47" s="102"/>
      <c r="E47" s="99"/>
      <c r="G47" s="102"/>
      <c r="H47" s="99"/>
      <c r="I47" s="99"/>
      <c r="J47" s="102" t="s">
        <v>3319</v>
      </c>
      <c r="K47" s="102"/>
      <c r="L47" s="102"/>
      <c r="M47" s="102"/>
      <c r="N47" s="102"/>
      <c r="O47" s="102"/>
      <c r="P47" s="99"/>
      <c r="Q47" s="4838">
        <v>1500</v>
      </c>
      <c r="R47" s="4839"/>
      <c r="S47" s="153"/>
      <c r="T47" s="153"/>
      <c r="U47" s="153"/>
      <c r="AA47" s="42"/>
      <c r="AB47" s="42"/>
    </row>
    <row r="48" spans="1:28" s="100" customFormat="1" ht="11.65" customHeight="1">
      <c r="A48" s="102"/>
      <c r="B48" s="102"/>
      <c r="C48" s="102"/>
      <c r="D48" s="102"/>
      <c r="E48" s="99"/>
      <c r="F48" s="153" t="s">
        <v>3320</v>
      </c>
      <c r="G48" s="102"/>
      <c r="H48" s="99"/>
      <c r="I48" s="99"/>
      <c r="J48" s="102" t="s">
        <v>3313</v>
      </c>
      <c r="K48" s="102"/>
      <c r="L48" s="102"/>
      <c r="M48" s="102"/>
      <c r="N48" s="102"/>
      <c r="O48" s="102"/>
      <c r="P48" s="99"/>
      <c r="Q48" s="4835">
        <v>6500</v>
      </c>
      <c r="R48" s="4836"/>
      <c r="S48" s="153"/>
      <c r="T48" s="153"/>
      <c r="U48" s="153"/>
      <c r="AA48" s="42"/>
      <c r="AB48" s="42"/>
    </row>
    <row r="49" spans="1:28" s="100" customFormat="1" ht="11.65" customHeight="1">
      <c r="A49" s="102"/>
      <c r="B49" s="102"/>
      <c r="C49" s="102"/>
      <c r="D49" s="102"/>
      <c r="E49" s="99"/>
      <c r="F49" s="102" t="s">
        <v>3321</v>
      </c>
      <c r="G49" s="102"/>
      <c r="H49" s="99"/>
      <c r="I49" s="99"/>
      <c r="J49" s="102" t="s">
        <v>3314</v>
      </c>
      <c r="K49" s="102"/>
      <c r="L49" s="102"/>
      <c r="M49" s="102"/>
      <c r="N49" s="102"/>
      <c r="O49" s="102"/>
      <c r="P49" s="99"/>
      <c r="Q49" s="4835">
        <v>5500</v>
      </c>
      <c r="R49" s="4836"/>
      <c r="S49" s="153"/>
      <c r="T49" s="153"/>
      <c r="U49" s="153"/>
      <c r="AA49" s="42"/>
      <c r="AB49" s="42"/>
    </row>
    <row r="50" spans="1:28" s="100" customFormat="1" ht="11.65" customHeight="1">
      <c r="A50" s="102"/>
      <c r="B50" s="102"/>
      <c r="C50" s="102"/>
      <c r="D50" s="102"/>
      <c r="E50" s="99"/>
      <c r="F50" s="102"/>
      <c r="G50" s="102" t="s">
        <v>3322</v>
      </c>
      <c r="H50" s="99"/>
      <c r="I50" s="99"/>
      <c r="J50" s="102" t="s">
        <v>3323</v>
      </c>
      <c r="K50" s="102"/>
      <c r="L50" s="102"/>
      <c r="M50" s="102"/>
      <c r="N50" s="102"/>
      <c r="O50" s="102"/>
      <c r="P50" s="99"/>
      <c r="Q50" s="4835">
        <v>500</v>
      </c>
      <c r="R50" s="4836"/>
      <c r="S50" s="153"/>
      <c r="T50" s="153"/>
      <c r="U50" s="153"/>
      <c r="AA50" s="42"/>
      <c r="AB50" s="42"/>
    </row>
    <row r="51" spans="1:28" s="100" customFormat="1" ht="11.65" customHeight="1">
      <c r="A51" s="102"/>
      <c r="B51" s="102"/>
      <c r="C51" s="102"/>
      <c r="D51" s="102"/>
      <c r="E51" s="99"/>
      <c r="F51" s="102" t="s">
        <v>3324</v>
      </c>
      <c r="G51" s="102"/>
      <c r="H51" s="99"/>
      <c r="I51" s="99"/>
      <c r="J51" s="102" t="s">
        <v>3313</v>
      </c>
      <c r="K51" s="102"/>
      <c r="L51" s="102"/>
      <c r="M51" s="102"/>
      <c r="N51" s="102"/>
      <c r="O51" s="102"/>
      <c r="P51" s="99"/>
      <c r="Q51" s="4835">
        <v>10000</v>
      </c>
      <c r="R51" s="4836"/>
      <c r="S51" s="153"/>
      <c r="T51" s="153"/>
      <c r="U51" s="153"/>
      <c r="AA51" s="42"/>
      <c r="AB51" s="42"/>
    </row>
    <row r="52" spans="1:28" s="100" customFormat="1" ht="11.65" customHeight="1">
      <c r="A52" s="102"/>
      <c r="B52" s="102"/>
      <c r="C52" s="102"/>
      <c r="D52" s="102"/>
      <c r="E52" s="99"/>
      <c r="F52" s="102"/>
      <c r="G52" s="102"/>
      <c r="H52" s="99"/>
      <c r="I52" s="99"/>
      <c r="J52" s="102" t="s">
        <v>3314</v>
      </c>
      <c r="K52" s="102"/>
      <c r="L52" s="102"/>
      <c r="M52" s="102"/>
      <c r="N52" s="102"/>
      <c r="O52" s="102"/>
      <c r="P52" s="99"/>
      <c r="Q52" s="4835">
        <v>8000</v>
      </c>
      <c r="R52" s="4836"/>
      <c r="S52" s="153"/>
      <c r="T52" s="153"/>
      <c r="U52" s="153"/>
      <c r="AA52" s="42"/>
      <c r="AB52" s="42"/>
    </row>
    <row r="53" spans="1:28" s="100" customFormat="1" ht="11.65" customHeight="1">
      <c r="A53" s="102"/>
      <c r="B53" s="102"/>
      <c r="C53" s="102"/>
      <c r="D53" s="102"/>
      <c r="E53" s="99"/>
      <c r="F53" s="102" t="s">
        <v>3325</v>
      </c>
      <c r="G53" s="102"/>
      <c r="H53" s="99"/>
      <c r="I53" s="99"/>
      <c r="J53" s="102"/>
      <c r="K53" s="102"/>
      <c r="L53" s="102"/>
      <c r="M53" s="102"/>
      <c r="N53" s="102"/>
      <c r="O53" s="102"/>
      <c r="P53" s="99"/>
      <c r="Q53" s="4835">
        <v>1500</v>
      </c>
      <c r="R53" s="4836"/>
      <c r="S53" s="153"/>
      <c r="T53" s="153"/>
      <c r="U53" s="153"/>
      <c r="AA53" s="42"/>
      <c r="AB53" s="42"/>
    </row>
    <row r="54" spans="1:28" s="100" customFormat="1" ht="11.65" customHeight="1">
      <c r="A54" s="102"/>
      <c r="B54" s="102"/>
      <c r="C54" s="102"/>
      <c r="D54" s="102"/>
      <c r="E54" s="99"/>
      <c r="F54" s="102" t="s">
        <v>3326</v>
      </c>
      <c r="G54" s="102"/>
      <c r="H54" s="99"/>
      <c r="I54" s="99"/>
      <c r="J54" s="102" t="s">
        <v>3327</v>
      </c>
      <c r="K54" s="102"/>
      <c r="L54" s="102"/>
      <c r="M54" s="102"/>
      <c r="N54" s="102"/>
      <c r="O54" s="102"/>
      <c r="P54" s="99"/>
      <c r="Q54" s="4835">
        <v>1500</v>
      </c>
      <c r="R54" s="4836"/>
      <c r="S54" s="153"/>
      <c r="T54" s="153"/>
      <c r="U54" s="153"/>
      <c r="AA54" s="42"/>
      <c r="AB54" s="42"/>
    </row>
    <row r="55" spans="1:28" s="100" customFormat="1" ht="11.65" customHeight="1">
      <c r="A55" s="102"/>
      <c r="C55" s="102"/>
      <c r="D55" s="99"/>
      <c r="E55" s="99"/>
      <c r="F55" s="102" t="s">
        <v>3328</v>
      </c>
      <c r="H55" s="102"/>
      <c r="I55" s="99"/>
      <c r="J55" s="102"/>
      <c r="K55" s="102"/>
      <c r="L55" s="102"/>
      <c r="M55" s="102"/>
      <c r="N55" s="102"/>
      <c r="O55" s="102"/>
      <c r="P55" s="99"/>
      <c r="Q55" s="4835">
        <v>2500</v>
      </c>
      <c r="R55" s="4836"/>
      <c r="S55" s="153"/>
      <c r="T55" s="153"/>
      <c r="U55" s="153"/>
      <c r="AA55" s="42"/>
      <c r="AB55" s="42"/>
    </row>
    <row r="56" spans="1:28" s="100" customFormat="1" ht="11.65" customHeight="1">
      <c r="A56" s="102"/>
      <c r="C56" s="102"/>
      <c r="D56" s="99"/>
      <c r="E56" s="99"/>
      <c r="F56" s="102" t="s">
        <v>3329</v>
      </c>
      <c r="H56" s="102"/>
      <c r="I56" s="99"/>
      <c r="J56" s="102" t="s">
        <v>3330</v>
      </c>
      <c r="K56" s="102"/>
      <c r="L56" s="102"/>
      <c r="M56" s="102"/>
      <c r="N56" s="102"/>
      <c r="O56" s="102"/>
      <c r="P56" s="99"/>
      <c r="Q56" s="4837">
        <v>0.08</v>
      </c>
      <c r="R56" s="4837"/>
      <c r="S56" s="153"/>
      <c r="T56" s="153"/>
      <c r="U56" s="153"/>
      <c r="AA56" s="42"/>
      <c r="AB56" s="42"/>
    </row>
    <row r="57" spans="1:28" s="100" customFormat="1" ht="11.65" customHeight="1">
      <c r="A57" s="102"/>
      <c r="C57" s="102"/>
      <c r="D57" s="99"/>
      <c r="E57" s="99"/>
      <c r="F57" s="102" t="s">
        <v>3331</v>
      </c>
      <c r="H57" s="102"/>
      <c r="I57" s="99"/>
      <c r="J57" s="102" t="s">
        <v>3330</v>
      </c>
      <c r="K57" s="102"/>
      <c r="L57" s="102"/>
      <c r="M57" s="102"/>
      <c r="N57" s="102"/>
      <c r="O57" s="102"/>
      <c r="P57" s="99"/>
      <c r="Q57" s="4837">
        <v>0.08</v>
      </c>
      <c r="R57" s="4837"/>
      <c r="S57" s="153"/>
      <c r="T57" s="153"/>
      <c r="U57" s="153"/>
      <c r="AA57" s="42"/>
      <c r="AB57" s="42"/>
    </row>
    <row r="58" spans="1:28" s="100" customFormat="1" ht="11.65" customHeight="1">
      <c r="A58" s="102"/>
      <c r="B58" s="102"/>
      <c r="C58" s="102"/>
      <c r="D58" s="99"/>
      <c r="E58" s="99"/>
      <c r="F58" s="102" t="s">
        <v>3332</v>
      </c>
      <c r="I58" s="99"/>
      <c r="J58" s="102" t="s">
        <v>3277</v>
      </c>
      <c r="K58" s="102"/>
      <c r="L58" s="102"/>
      <c r="M58" s="102"/>
      <c r="N58" s="102"/>
      <c r="O58" s="102"/>
      <c r="P58" s="99"/>
      <c r="Q58" s="4835">
        <v>8000</v>
      </c>
      <c r="R58" s="4836"/>
      <c r="S58" s="153"/>
      <c r="T58" s="153"/>
      <c r="U58" s="153"/>
      <c r="AA58" s="42"/>
      <c r="AB58" s="42"/>
    </row>
    <row r="59" spans="1:28" s="100" customFormat="1" ht="11.65" customHeight="1">
      <c r="A59" s="102"/>
      <c r="C59" s="102"/>
      <c r="D59" s="99"/>
      <c r="E59" s="99"/>
      <c r="F59" s="102" t="s">
        <v>3333</v>
      </c>
      <c r="H59" s="102"/>
      <c r="I59" s="99"/>
      <c r="J59" s="102"/>
      <c r="K59" s="102"/>
      <c r="L59" s="102"/>
      <c r="M59" s="102"/>
      <c r="N59" s="102"/>
      <c r="O59" s="102"/>
      <c r="P59" s="99"/>
      <c r="Q59" s="4835"/>
      <c r="R59" s="4836"/>
      <c r="S59" s="153"/>
      <c r="T59" s="153"/>
      <c r="U59" s="153"/>
      <c r="AA59" s="42"/>
      <c r="AB59" s="42"/>
    </row>
    <row r="60" spans="1:28" s="100" customFormat="1" ht="11.65" customHeight="1">
      <c r="A60" s="102"/>
      <c r="C60" s="102" t="s">
        <v>3334</v>
      </c>
      <c r="D60" s="99"/>
      <c r="E60" s="99"/>
      <c r="F60" s="102" t="s">
        <v>3335</v>
      </c>
      <c r="H60" s="102" t="s">
        <v>3336</v>
      </c>
      <c r="I60" s="99"/>
      <c r="J60" s="102" t="s">
        <v>1104</v>
      </c>
      <c r="K60" s="102"/>
      <c r="L60" s="102"/>
      <c r="M60" s="102"/>
      <c r="N60" s="102"/>
      <c r="O60" s="102"/>
      <c r="P60" s="99"/>
      <c r="Q60" s="4861">
        <v>800</v>
      </c>
      <c r="R60" s="4862"/>
      <c r="S60" s="153"/>
      <c r="T60" s="153"/>
      <c r="U60" s="153"/>
      <c r="AA60" s="42"/>
      <c r="AB60" s="42"/>
    </row>
    <row r="61" spans="1:28" s="100" customFormat="1" ht="11.65" customHeight="1">
      <c r="A61" s="102"/>
      <c r="C61" s="102"/>
      <c r="D61" s="99"/>
      <c r="E61" s="99"/>
      <c r="F61" s="102"/>
      <c r="H61" s="102"/>
      <c r="I61" s="102" t="s">
        <v>3337</v>
      </c>
      <c r="J61" s="102" t="s">
        <v>1104</v>
      </c>
      <c r="K61" s="102"/>
      <c r="L61" s="102"/>
      <c r="M61" s="102"/>
      <c r="N61" s="102"/>
      <c r="O61" s="102"/>
      <c r="P61" s="99"/>
      <c r="Q61" s="4861">
        <v>1000</v>
      </c>
      <c r="R61" s="4862"/>
      <c r="S61" s="153"/>
      <c r="T61" s="153"/>
      <c r="U61" s="153"/>
      <c r="AA61" s="42"/>
      <c r="AB61" s="42"/>
    </row>
    <row r="62" spans="1:28" s="100" customFormat="1" ht="11.65" customHeight="1">
      <c r="A62" s="102"/>
      <c r="B62" s="102"/>
      <c r="C62" s="102"/>
      <c r="D62" s="99"/>
      <c r="E62" s="99"/>
      <c r="H62" s="102" t="s">
        <v>3338</v>
      </c>
      <c r="I62" s="99"/>
      <c r="J62" s="102" t="s">
        <v>1104</v>
      </c>
      <c r="K62" s="102" t="s">
        <v>3339</v>
      </c>
      <c r="L62" s="102"/>
      <c r="M62" s="102"/>
      <c r="N62" s="102"/>
      <c r="O62" s="102"/>
      <c r="P62" s="99"/>
      <c r="Q62" s="4861">
        <v>800</v>
      </c>
      <c r="R62" s="4862"/>
      <c r="S62" s="153"/>
      <c r="T62" s="153"/>
      <c r="U62" s="153"/>
      <c r="AA62" s="42"/>
      <c r="AB62" s="42"/>
    </row>
    <row r="63" spans="1:28" s="100" customFormat="1" ht="11.65" customHeight="1">
      <c r="A63" s="102"/>
      <c r="B63" s="102"/>
      <c r="C63" s="102"/>
      <c r="D63" s="99"/>
      <c r="E63" s="99"/>
      <c r="H63" s="102" t="s">
        <v>3340</v>
      </c>
      <c r="I63" s="99"/>
      <c r="J63" s="102" t="s">
        <v>3341</v>
      </c>
      <c r="K63" s="102"/>
      <c r="L63" s="102"/>
      <c r="M63" s="102"/>
      <c r="N63" s="102"/>
      <c r="O63" s="102"/>
      <c r="P63" s="99"/>
      <c r="Q63" s="4861">
        <v>1500</v>
      </c>
      <c r="R63" s="4862"/>
      <c r="S63" s="153"/>
      <c r="T63" s="153"/>
      <c r="U63" s="153"/>
      <c r="AA63" s="42"/>
      <c r="AB63" s="42"/>
    </row>
    <row r="64" spans="1:28" s="100" customFormat="1" ht="11.65" customHeight="1">
      <c r="A64" s="102"/>
      <c r="B64" s="102"/>
      <c r="C64" s="102"/>
      <c r="D64" s="99"/>
      <c r="E64" s="99"/>
      <c r="F64" s="102" t="s">
        <v>3342</v>
      </c>
      <c r="I64" s="99"/>
      <c r="J64" s="102" t="s">
        <v>3343</v>
      </c>
      <c r="K64" s="102"/>
      <c r="L64" s="102"/>
      <c r="M64" s="102"/>
      <c r="N64" s="102"/>
      <c r="O64" s="102"/>
      <c r="P64" s="99"/>
      <c r="Q64" s="4488">
        <v>750</v>
      </c>
      <c r="R64" s="4489"/>
      <c r="S64" s="153"/>
      <c r="T64" s="153"/>
      <c r="U64" s="153"/>
      <c r="AA64" s="42"/>
      <c r="AB64" s="42"/>
    </row>
    <row r="65" spans="1:28" s="100" customFormat="1" ht="11.65" customHeight="1">
      <c r="A65" s="102"/>
      <c r="B65" s="102"/>
      <c r="C65" s="102"/>
      <c r="D65" s="99"/>
      <c r="E65" s="99"/>
      <c r="F65" s="102" t="s">
        <v>3344</v>
      </c>
      <c r="I65" s="99"/>
      <c r="J65" s="102" t="s">
        <v>3345</v>
      </c>
      <c r="K65" s="102"/>
      <c r="L65" s="102" t="s">
        <v>3346</v>
      </c>
      <c r="M65" s="102"/>
      <c r="N65" s="102"/>
      <c r="O65" s="102"/>
      <c r="P65" s="99"/>
      <c r="Q65" s="4838">
        <v>75</v>
      </c>
      <c r="R65" s="4839"/>
      <c r="S65" s="153"/>
      <c r="T65" s="153"/>
      <c r="U65" s="153"/>
      <c r="AA65" s="42"/>
      <c r="AB65" s="42"/>
    </row>
    <row r="66" spans="1:28" ht="11.25" customHeight="1">
      <c r="B66" s="102" t="s">
        <v>3347</v>
      </c>
      <c r="F66" s="1039" t="s">
        <v>667</v>
      </c>
      <c r="G66" s="153"/>
      <c r="H66" s="153"/>
      <c r="J66" s="102" t="s">
        <v>668</v>
      </c>
      <c r="K66" s="102" t="s">
        <v>669</v>
      </c>
      <c r="L66" s="27"/>
      <c r="M66" s="27"/>
      <c r="N66" s="27"/>
      <c r="O66" s="1043" t="s">
        <v>3348</v>
      </c>
      <c r="AA66"/>
      <c r="AB66"/>
    </row>
    <row r="67" spans="1:28" ht="11.25" customHeight="1">
      <c r="F67" s="79"/>
      <c r="H67" s="1040">
        <v>0.09</v>
      </c>
      <c r="J67" s="290">
        <v>1</v>
      </c>
      <c r="K67" s="290">
        <v>50</v>
      </c>
      <c r="Q67" s="4863">
        <v>27500</v>
      </c>
      <c r="R67" s="4863"/>
      <c r="AA67"/>
      <c r="AB67"/>
    </row>
    <row r="68" spans="1:28" ht="11.25" customHeight="1">
      <c r="F68" s="79"/>
      <c r="H68" s="552"/>
      <c r="J68" s="290">
        <v>51</v>
      </c>
      <c r="K68" s="290">
        <v>70</v>
      </c>
      <c r="Q68" s="4842">
        <v>22000</v>
      </c>
      <c r="R68" s="4842"/>
      <c r="AA68"/>
      <c r="AB68"/>
    </row>
    <row r="69" spans="1:28" ht="11.25" customHeight="1">
      <c r="F69" s="79"/>
      <c r="H69" s="1236"/>
      <c r="I69" s="116"/>
      <c r="J69" s="1237">
        <v>71</v>
      </c>
      <c r="K69" s="1238"/>
      <c r="L69" s="116"/>
      <c r="M69" s="116"/>
      <c r="N69" s="116"/>
      <c r="O69" s="116"/>
      <c r="P69" s="1239"/>
      <c r="Q69" s="4864">
        <v>16500</v>
      </c>
      <c r="R69" s="4864"/>
      <c r="AA69"/>
      <c r="AB69"/>
    </row>
    <row r="70" spans="1:28" ht="11.25" customHeight="1">
      <c r="H70" s="1240">
        <v>0.04</v>
      </c>
      <c r="I70" s="1241"/>
      <c r="J70" s="1242">
        <v>1</v>
      </c>
      <c r="K70" s="1242">
        <v>50</v>
      </c>
      <c r="L70" s="1241"/>
      <c r="M70" s="1241"/>
      <c r="N70" s="1241"/>
      <c r="O70" s="1241"/>
      <c r="P70" s="1243"/>
      <c r="Q70" s="4863">
        <v>27500</v>
      </c>
      <c r="R70" s="4863"/>
      <c r="AA70"/>
      <c r="AB70"/>
    </row>
    <row r="71" spans="1:28" ht="11.25" customHeight="1">
      <c r="H71" s="1041"/>
      <c r="J71" s="290">
        <v>51</v>
      </c>
      <c r="K71" s="290">
        <v>70</v>
      </c>
      <c r="Q71" s="4842">
        <v>22000</v>
      </c>
      <c r="R71" s="4842"/>
      <c r="AA71"/>
      <c r="AB71"/>
    </row>
    <row r="72" spans="1:28" ht="11.25" customHeight="1">
      <c r="H72" s="1041"/>
      <c r="J72" s="290">
        <v>71</v>
      </c>
      <c r="K72" s="1041"/>
      <c r="Q72" s="4864">
        <v>16500</v>
      </c>
      <c r="R72" s="4864"/>
      <c r="AA72"/>
      <c r="AB72"/>
    </row>
    <row r="73" spans="1:28" ht="11.25" customHeight="1">
      <c r="F73" s="153" t="s">
        <v>664</v>
      </c>
      <c r="H73" s="273"/>
      <c r="I73" s="27"/>
      <c r="AA73"/>
      <c r="AB73"/>
    </row>
    <row r="74" spans="1:28" ht="11.25" customHeight="1">
      <c r="H74" s="1042">
        <v>0.09</v>
      </c>
      <c r="I74" s="153"/>
      <c r="Q74" s="4865">
        <v>2000000</v>
      </c>
      <c r="R74" s="4865"/>
      <c r="AA74"/>
      <c r="AB74"/>
    </row>
    <row r="75" spans="1:28" ht="11.25" customHeight="1">
      <c r="H75" s="1042">
        <v>0.04</v>
      </c>
      <c r="I75" s="153"/>
      <c r="Q75" s="4865">
        <v>3500000</v>
      </c>
      <c r="R75" s="4865"/>
      <c r="AA75"/>
      <c r="AB75"/>
    </row>
    <row r="76" spans="1:28">
      <c r="AA76"/>
      <c r="AB76"/>
    </row>
    <row r="77" spans="1:28" s="100" customFormat="1" ht="13.5">
      <c r="A77" s="102"/>
      <c r="B77" s="102"/>
      <c r="C77" s="102"/>
      <c r="D77" s="99"/>
      <c r="E77" s="99"/>
      <c r="F77" s="102"/>
      <c r="G77" s="102"/>
      <c r="H77" s="102"/>
      <c r="I77" s="99"/>
      <c r="J77" s="102" t="s">
        <v>3349</v>
      </c>
      <c r="K77" s="102"/>
      <c r="L77" s="102"/>
      <c r="M77" s="102"/>
      <c r="N77" s="102"/>
      <c r="O77" s="102"/>
      <c r="P77" s="99"/>
      <c r="Q77" s="4838">
        <v>3500000</v>
      </c>
      <c r="R77" s="4839"/>
      <c r="S77" s="153"/>
      <c r="T77" s="153"/>
      <c r="U77" s="153"/>
      <c r="AA77" s="42"/>
      <c r="AB77" s="42"/>
    </row>
    <row r="78" spans="1:28" s="100" customFormat="1" ht="13.5" hidden="1">
      <c r="A78" s="102"/>
      <c r="B78" s="102"/>
      <c r="C78" s="102"/>
      <c r="D78" s="99"/>
      <c r="E78" s="99"/>
      <c r="F78" s="102" t="s">
        <v>3350</v>
      </c>
      <c r="G78" s="102"/>
      <c r="H78" s="102" t="s">
        <v>1196</v>
      </c>
      <c r="I78" s="99"/>
      <c r="J78" s="102" t="s">
        <v>3351</v>
      </c>
      <c r="K78" s="102"/>
      <c r="L78" s="102"/>
      <c r="M78" s="102"/>
      <c r="N78" s="102"/>
      <c r="O78" s="102"/>
      <c r="P78" s="99"/>
      <c r="Q78" s="4840">
        <v>0.15</v>
      </c>
      <c r="R78" s="4841"/>
      <c r="S78" s="153"/>
      <c r="T78" s="153"/>
      <c r="U78" s="153"/>
      <c r="AA78" s="42"/>
      <c r="AB78" s="42"/>
    </row>
    <row r="79" spans="1:28" s="100" customFormat="1" ht="13.5" hidden="1">
      <c r="A79" s="102"/>
      <c r="B79" s="225"/>
      <c r="C79" s="102"/>
      <c r="D79" s="99"/>
      <c r="E79" s="99"/>
      <c r="F79" s="102"/>
      <c r="G79" s="102"/>
      <c r="H79" s="102" t="s">
        <v>3352</v>
      </c>
      <c r="I79" s="102" t="s">
        <v>3353</v>
      </c>
      <c r="J79" s="102" t="s">
        <v>3354</v>
      </c>
      <c r="K79" s="102"/>
      <c r="L79" s="102"/>
      <c r="M79" s="102"/>
      <c r="N79" s="102"/>
      <c r="O79" s="102"/>
      <c r="P79" s="99"/>
      <c r="Q79" s="4840">
        <v>0.15</v>
      </c>
      <c r="R79" s="4841"/>
      <c r="S79" s="153"/>
      <c r="T79" s="153"/>
      <c r="U79" s="153"/>
      <c r="AA79" s="42"/>
      <c r="AB79" s="42"/>
    </row>
    <row r="80" spans="1:28" s="100" customFormat="1" ht="13.5" hidden="1">
      <c r="A80" s="102"/>
      <c r="B80" s="225"/>
      <c r="C80" s="102"/>
      <c r="D80" s="99"/>
      <c r="E80" s="99"/>
      <c r="F80" s="102"/>
      <c r="G80" s="102"/>
      <c r="H80" s="102"/>
      <c r="I80" s="102" t="s">
        <v>3355</v>
      </c>
      <c r="J80" s="102" t="s">
        <v>3356</v>
      </c>
      <c r="K80" s="102"/>
      <c r="L80" s="102"/>
      <c r="M80" s="102"/>
      <c r="N80" s="102"/>
      <c r="O80" s="102"/>
      <c r="P80" s="99"/>
      <c r="Q80" s="4840">
        <v>0.15</v>
      </c>
      <c r="R80" s="4841"/>
      <c r="S80" s="153"/>
      <c r="T80" s="153"/>
      <c r="U80" s="153"/>
      <c r="AA80" s="42"/>
      <c r="AB80" s="42"/>
    </row>
    <row r="81" spans="1:28" s="100" customFormat="1" ht="13.5" hidden="1">
      <c r="A81" s="102"/>
      <c r="B81" s="225"/>
      <c r="C81" s="102"/>
      <c r="D81" s="99"/>
      <c r="E81" s="99"/>
      <c r="F81" s="102"/>
      <c r="G81" s="102"/>
      <c r="H81" s="102" t="s">
        <v>3357</v>
      </c>
      <c r="I81" s="99"/>
      <c r="J81" s="102" t="s">
        <v>3356</v>
      </c>
      <c r="K81" s="102"/>
      <c r="L81" s="102"/>
      <c r="M81" s="102"/>
      <c r="N81" s="102"/>
      <c r="O81" s="102"/>
      <c r="P81" s="99"/>
      <c r="Q81" s="4840">
        <v>0.15</v>
      </c>
      <c r="R81" s="4841"/>
      <c r="S81" s="153"/>
      <c r="T81" s="153"/>
      <c r="U81" s="153"/>
      <c r="AA81" s="42"/>
      <c r="AB81" s="42"/>
    </row>
    <row r="82" spans="1:28" s="100" customFormat="1" ht="13.5" hidden="1">
      <c r="A82" s="102"/>
      <c r="B82" s="225"/>
      <c r="C82" s="102"/>
      <c r="D82" s="99"/>
      <c r="E82" s="99"/>
      <c r="F82" s="102"/>
      <c r="G82" s="102"/>
      <c r="H82" s="102"/>
      <c r="I82" s="102" t="s">
        <v>3358</v>
      </c>
      <c r="J82" s="102" t="s">
        <v>3359</v>
      </c>
      <c r="K82" s="102"/>
      <c r="L82" s="102"/>
      <c r="M82" s="102"/>
      <c r="N82" s="102"/>
      <c r="O82" s="102"/>
      <c r="P82" s="99"/>
      <c r="Q82" s="4840">
        <v>0.15</v>
      </c>
      <c r="R82" s="4841"/>
      <c r="S82" s="153"/>
      <c r="T82" s="153"/>
      <c r="U82" s="153"/>
      <c r="AA82" s="42"/>
      <c r="AB82" s="42"/>
    </row>
    <row r="83" spans="1:28" s="100" customFormat="1" ht="13.5" hidden="1">
      <c r="A83" s="102"/>
      <c r="B83" s="225"/>
      <c r="C83" s="102"/>
      <c r="D83" s="99"/>
      <c r="E83" s="99"/>
      <c r="F83" s="102" t="s">
        <v>3360</v>
      </c>
      <c r="G83" s="102"/>
      <c r="H83" s="102"/>
      <c r="I83" s="99"/>
      <c r="J83" s="102" t="s">
        <v>3361</v>
      </c>
      <c r="K83" s="102"/>
      <c r="L83" s="102"/>
      <c r="M83" s="102"/>
      <c r="N83" s="102"/>
      <c r="O83" s="102"/>
      <c r="P83" s="99"/>
      <c r="Q83" s="4840">
        <v>0.15</v>
      </c>
      <c r="R83" s="4841"/>
      <c r="S83" s="153"/>
      <c r="T83" s="153"/>
      <c r="U83" s="153"/>
      <c r="AA83" s="42"/>
      <c r="AB83" s="42"/>
    </row>
    <row r="84" spans="1:28" s="100" customFormat="1" ht="13.5" hidden="1">
      <c r="A84" s="102"/>
      <c r="B84" s="225"/>
      <c r="C84" s="102"/>
      <c r="D84" s="99"/>
      <c r="E84" s="99"/>
      <c r="G84" s="102"/>
      <c r="H84" s="102"/>
      <c r="I84" s="99"/>
      <c r="J84" s="102" t="s">
        <v>3362</v>
      </c>
      <c r="K84" s="102"/>
      <c r="L84" s="102"/>
      <c r="M84" s="102"/>
      <c r="N84" s="102"/>
      <c r="O84" s="102"/>
      <c r="P84" s="99"/>
      <c r="Q84" s="4840" t="s">
        <v>3363</v>
      </c>
      <c r="R84" s="4841"/>
      <c r="S84" s="153"/>
      <c r="T84" s="153"/>
      <c r="U84" s="153"/>
      <c r="AA84" s="42"/>
      <c r="AB84" s="42"/>
    </row>
    <row r="85" spans="1:28" s="100" customFormat="1" ht="11.25" customHeight="1">
      <c r="A85" s="102"/>
      <c r="B85" s="225"/>
      <c r="C85" s="102"/>
      <c r="D85" s="99"/>
      <c r="E85" s="99"/>
      <c r="F85" s="102" t="s">
        <v>3364</v>
      </c>
      <c r="G85" s="102"/>
      <c r="H85" s="102"/>
      <c r="I85" s="99"/>
      <c r="J85" s="102"/>
      <c r="K85" s="102"/>
      <c r="L85" s="102"/>
      <c r="M85" s="102"/>
      <c r="N85" s="102"/>
      <c r="O85" s="102"/>
      <c r="P85" s="99"/>
      <c r="Q85" s="2874">
        <v>0</v>
      </c>
      <c r="R85" s="2874">
        <v>15</v>
      </c>
      <c r="S85" s="153"/>
      <c r="T85" s="153"/>
      <c r="U85" s="153"/>
      <c r="AA85" s="42"/>
      <c r="AB85" s="42"/>
    </row>
    <row r="86" spans="1:28" s="100" customFormat="1" ht="11.25" hidden="1" customHeight="1">
      <c r="A86" s="102"/>
      <c r="B86" s="225"/>
      <c r="C86" s="102"/>
      <c r="D86" s="99"/>
      <c r="E86" s="99"/>
      <c r="F86" s="102" t="s">
        <v>3365</v>
      </c>
      <c r="G86" s="102"/>
      <c r="I86" s="99"/>
      <c r="J86" s="102"/>
      <c r="K86" s="102"/>
      <c r="L86" s="102"/>
      <c r="M86" s="102"/>
      <c r="N86" s="102"/>
      <c r="O86" s="102"/>
      <c r="P86" s="99"/>
      <c r="Q86" s="2871">
        <v>0</v>
      </c>
      <c r="R86" s="2871">
        <v>0.5</v>
      </c>
      <c r="S86" s="153"/>
      <c r="T86" s="153"/>
      <c r="U86" s="153"/>
      <c r="AA86" s="42"/>
      <c r="AB86" s="42"/>
    </row>
    <row r="87" spans="1:28" s="100" customFormat="1" ht="11.25" customHeight="1">
      <c r="A87" s="102"/>
      <c r="B87" s="102" t="s">
        <v>3366</v>
      </c>
      <c r="C87" s="102"/>
      <c r="D87" s="102"/>
      <c r="E87" s="102"/>
      <c r="F87" s="102"/>
      <c r="G87" s="102"/>
      <c r="H87" s="99"/>
      <c r="I87" s="99"/>
      <c r="J87" s="102" t="s">
        <v>3367</v>
      </c>
      <c r="K87" s="102"/>
      <c r="L87" s="102"/>
      <c r="M87" s="102"/>
      <c r="N87" s="102"/>
      <c r="O87" s="102"/>
      <c r="P87" s="99"/>
      <c r="Q87" s="2875">
        <v>6</v>
      </c>
      <c r="R87" s="945" t="s">
        <v>1683</v>
      </c>
      <c r="S87" s="153"/>
      <c r="T87" s="153"/>
      <c r="U87" s="153"/>
      <c r="AA87" s="42"/>
      <c r="AB87" s="42"/>
    </row>
    <row r="88" spans="1:28" s="100" customFormat="1" ht="11.25" customHeight="1">
      <c r="A88" s="102"/>
      <c r="B88" s="102"/>
      <c r="C88" s="102"/>
      <c r="D88" s="102"/>
      <c r="E88" s="102"/>
      <c r="F88" s="102"/>
      <c r="G88" s="102"/>
      <c r="H88" s="99"/>
      <c r="I88" s="99"/>
      <c r="J88" s="102" t="s">
        <v>3368</v>
      </c>
      <c r="K88" s="102"/>
      <c r="L88" s="102"/>
      <c r="M88" s="102"/>
      <c r="N88" s="102"/>
      <c r="O88" s="102"/>
      <c r="P88" s="99"/>
      <c r="Q88" s="2875">
        <v>6</v>
      </c>
      <c r="R88" s="945" t="s">
        <v>1683</v>
      </c>
      <c r="S88" s="153"/>
      <c r="T88" s="153"/>
      <c r="U88" s="153"/>
      <c r="AA88" s="42"/>
      <c r="AB88" s="42"/>
    </row>
    <row r="89" spans="1:28" s="100" customFormat="1" ht="11.25" customHeight="1">
      <c r="A89" s="102"/>
      <c r="B89" s="226" t="s">
        <v>3369</v>
      </c>
      <c r="C89" s="102"/>
      <c r="D89" s="99"/>
      <c r="E89" s="99"/>
      <c r="F89" s="102"/>
      <c r="G89" s="102"/>
      <c r="I89" s="99"/>
      <c r="J89" s="102" t="s">
        <v>3370</v>
      </c>
      <c r="K89" s="102"/>
      <c r="L89" s="102"/>
      <c r="M89" s="102"/>
      <c r="N89" s="102"/>
      <c r="O89" s="102"/>
      <c r="P89" s="99"/>
      <c r="Q89" s="945">
        <v>3</v>
      </c>
      <c r="R89" s="945" t="s">
        <v>1683</v>
      </c>
      <c r="S89" s="153"/>
      <c r="T89" s="153"/>
      <c r="U89" s="153"/>
      <c r="AA89" s="42"/>
      <c r="AB89" s="42"/>
    </row>
    <row r="90" spans="1:28" s="100" customFormat="1" ht="11.65" customHeight="1">
      <c r="A90" s="102"/>
      <c r="B90" s="102" t="s">
        <v>3371</v>
      </c>
      <c r="C90" s="102"/>
      <c r="D90" s="99"/>
      <c r="E90" s="102"/>
      <c r="F90" s="102"/>
      <c r="G90" s="102"/>
      <c r="H90" s="99"/>
      <c r="I90" s="99"/>
      <c r="J90" s="102" t="s">
        <v>3277</v>
      </c>
      <c r="K90" s="102"/>
      <c r="L90" s="102"/>
      <c r="M90" s="102"/>
      <c r="N90" s="102"/>
      <c r="O90" s="102"/>
      <c r="P90" s="99"/>
      <c r="Q90" s="4838">
        <v>3000</v>
      </c>
      <c r="R90" s="4839"/>
      <c r="S90" s="153"/>
      <c r="T90" s="153"/>
      <c r="U90" s="153"/>
      <c r="AA90" s="42"/>
      <c r="AB90" s="42"/>
    </row>
    <row r="91" spans="1:28" s="100" customFormat="1" ht="11.65" customHeight="1">
      <c r="A91" s="102"/>
      <c r="B91" s="102"/>
      <c r="C91" s="102"/>
      <c r="D91" s="99"/>
      <c r="E91" s="99"/>
      <c r="O91" s="102"/>
      <c r="T91" s="148"/>
      <c r="U91" s="99"/>
      <c r="V91" s="232"/>
      <c r="W91" s="232"/>
      <c r="X91" s="232"/>
      <c r="AA91" s="42"/>
      <c r="AB91" s="42"/>
    </row>
    <row r="92" spans="1:28" s="100" customFormat="1" ht="11.65" customHeight="1">
      <c r="A92" s="143" t="s">
        <v>3268</v>
      </c>
      <c r="B92" s="143"/>
      <c r="C92" s="143"/>
      <c r="D92" s="99"/>
      <c r="E92" s="99"/>
      <c r="F92" s="143" t="s">
        <v>3269</v>
      </c>
      <c r="G92" s="143"/>
      <c r="H92" s="99"/>
      <c r="I92" s="99"/>
      <c r="J92" s="143" t="s">
        <v>3270</v>
      </c>
      <c r="K92" s="143"/>
      <c r="L92" s="143"/>
      <c r="M92" s="143"/>
      <c r="N92" s="143"/>
      <c r="O92" s="143"/>
      <c r="P92" s="99"/>
      <c r="Q92" s="103" t="s">
        <v>2756</v>
      </c>
      <c r="R92" s="103" t="s">
        <v>2758</v>
      </c>
      <c r="S92" s="157"/>
      <c r="T92" s="148"/>
      <c r="U92" s="99"/>
      <c r="V92" s="232"/>
      <c r="W92" s="232"/>
      <c r="X92" s="232"/>
      <c r="AA92" s="42"/>
      <c r="AB92" s="42"/>
    </row>
    <row r="93" spans="1:28" s="100" customFormat="1" ht="3" customHeight="1">
      <c r="A93" s="102"/>
      <c r="B93" s="102"/>
      <c r="C93" s="102"/>
      <c r="D93" s="102"/>
      <c r="E93" s="99"/>
      <c r="F93" s="102"/>
      <c r="G93" s="102"/>
      <c r="H93" s="151"/>
      <c r="I93" s="99"/>
      <c r="J93" s="102"/>
      <c r="K93" s="152"/>
      <c r="L93" s="152"/>
      <c r="M93" s="152"/>
      <c r="N93" s="152"/>
      <c r="O93" s="102"/>
      <c r="P93" s="99"/>
      <c r="Q93" s="150"/>
      <c r="R93" s="150"/>
      <c r="S93" s="99"/>
      <c r="T93" s="99"/>
      <c r="U93" s="99"/>
      <c r="AA93" s="42"/>
      <c r="AB93" s="42"/>
    </row>
    <row r="94" spans="1:28" s="100" customFormat="1" ht="3" customHeight="1">
      <c r="A94" s="99"/>
      <c r="B94" s="102"/>
      <c r="C94" s="102"/>
      <c r="D94" s="102"/>
      <c r="E94" s="102"/>
      <c r="F94" s="102"/>
      <c r="G94" s="102"/>
      <c r="H94" s="102"/>
      <c r="I94" s="99"/>
      <c r="J94" s="102"/>
      <c r="K94" s="102"/>
      <c r="L94" s="102"/>
      <c r="M94" s="102"/>
      <c r="N94" s="102"/>
      <c r="O94" s="102"/>
      <c r="P94" s="99"/>
      <c r="Q94" s="102"/>
      <c r="R94" s="102"/>
      <c r="S94" s="153"/>
      <c r="T94" s="153"/>
      <c r="U94" s="153"/>
      <c r="AA94" s="42"/>
      <c r="AB94" s="42"/>
    </row>
    <row r="95" spans="1:28" s="100" customFormat="1" ht="12" customHeight="1">
      <c r="A95" s="147" t="s">
        <v>3372</v>
      </c>
      <c r="B95" s="102"/>
      <c r="C95" s="102"/>
      <c r="D95" s="102"/>
      <c r="E95" s="102"/>
      <c r="F95" s="102"/>
      <c r="G95" s="102"/>
      <c r="H95" s="102"/>
      <c r="I95" s="99"/>
      <c r="J95" s="102"/>
      <c r="K95" s="102"/>
      <c r="L95" s="102"/>
      <c r="M95" s="102"/>
      <c r="N95" s="102"/>
      <c r="O95" s="102"/>
      <c r="P95" s="99"/>
      <c r="Q95" s="102"/>
      <c r="R95" s="102"/>
      <c r="S95" s="153"/>
      <c r="T95" s="153"/>
      <c r="U95" s="153"/>
      <c r="AA95" s="42"/>
      <c r="AB95" s="42"/>
    </row>
    <row r="96" spans="1:28" ht="11.65" customHeight="1">
      <c r="B96" s="154" t="s">
        <v>3373</v>
      </c>
      <c r="C96" s="81"/>
      <c r="D96" s="81"/>
      <c r="E96" s="81"/>
      <c r="F96" s="81"/>
      <c r="G96" s="81"/>
      <c r="J96" s="2876">
        <v>1</v>
      </c>
      <c r="K96" s="2876">
        <v>2</v>
      </c>
      <c r="L96" s="2876">
        <v>3</v>
      </c>
      <c r="M96" s="2876">
        <v>4</v>
      </c>
      <c r="N96" s="2876">
        <v>5</v>
      </c>
      <c r="O96" s="2876">
        <v>6</v>
      </c>
      <c r="P96" s="2876">
        <v>7</v>
      </c>
      <c r="Q96" s="2876">
        <v>8</v>
      </c>
    </row>
    <row r="97" spans="1:28" ht="11.1" customHeight="1">
      <c r="B97" s="81"/>
      <c r="C97" s="81"/>
      <c r="D97" s="81"/>
      <c r="E97" s="81"/>
      <c r="F97" s="81"/>
      <c r="G97" s="81"/>
      <c r="J97" s="2877">
        <v>0.7</v>
      </c>
      <c r="K97" s="2877">
        <v>0.8</v>
      </c>
      <c r="L97" s="2877">
        <v>0.9</v>
      </c>
      <c r="M97" s="2878" t="s">
        <v>3374</v>
      </c>
      <c r="N97" s="2877">
        <v>1.08</v>
      </c>
      <c r="O97" s="2877">
        <v>1.1599999999999999</v>
      </c>
      <c r="P97" s="2877">
        <v>1.24</v>
      </c>
      <c r="Q97" s="2877">
        <v>1.32</v>
      </c>
    </row>
    <row r="98" spans="1:28" s="100" customFormat="1" ht="11.65" customHeight="1">
      <c r="A98" s="102"/>
      <c r="B98" s="102" t="s">
        <v>1225</v>
      </c>
      <c r="C98" s="102"/>
      <c r="D98" s="99"/>
      <c r="E98" s="99"/>
      <c r="F98" s="99"/>
      <c r="G98" s="102"/>
      <c r="H98" s="99"/>
      <c r="I98" s="99"/>
      <c r="J98" s="102" t="s">
        <v>3375</v>
      </c>
      <c r="K98" s="102"/>
      <c r="L98" s="102"/>
      <c r="M98" s="102"/>
      <c r="N98" s="102"/>
      <c r="O98" s="102"/>
      <c r="P98" s="99"/>
      <c r="Q98" s="4833">
        <v>0.02</v>
      </c>
      <c r="R98" s="4833"/>
      <c r="S98" s="153"/>
      <c r="T98" s="153"/>
      <c r="U98" s="153"/>
      <c r="AA98" s="42"/>
      <c r="AB98" s="42"/>
    </row>
    <row r="99" spans="1:28" s="153" customFormat="1" ht="11.65" customHeight="1">
      <c r="A99" s="102"/>
      <c r="B99" s="102" t="s">
        <v>3376</v>
      </c>
      <c r="C99" s="102"/>
      <c r="D99" s="102"/>
      <c r="E99" s="102"/>
      <c r="F99" s="102"/>
      <c r="G99" s="102"/>
      <c r="H99" s="102"/>
      <c r="J99" s="102" t="s">
        <v>3377</v>
      </c>
      <c r="K99" s="102"/>
      <c r="L99" s="102"/>
      <c r="M99" s="102"/>
      <c r="N99" s="102"/>
      <c r="O99" s="102"/>
      <c r="Q99" s="4833">
        <v>0.02</v>
      </c>
      <c r="R99" s="4833"/>
      <c r="AA99" s="42"/>
      <c r="AB99" s="42"/>
    </row>
    <row r="100" spans="1:28" s="153" customFormat="1" ht="11.65" customHeight="1">
      <c r="A100" s="102"/>
      <c r="B100" s="102" t="s">
        <v>3378</v>
      </c>
      <c r="C100" s="102"/>
      <c r="D100" s="102"/>
      <c r="E100" s="102"/>
      <c r="F100" s="102"/>
      <c r="G100" s="102"/>
      <c r="H100" s="102"/>
      <c r="J100" s="102" t="s">
        <v>3377</v>
      </c>
      <c r="K100" s="102"/>
      <c r="L100" s="102"/>
      <c r="M100" s="102"/>
      <c r="N100" s="102"/>
      <c r="O100" s="102"/>
      <c r="Q100" s="4852">
        <v>7.0000000000000007E-2</v>
      </c>
      <c r="R100" s="4852"/>
      <c r="AA100" s="42"/>
      <c r="AB100" s="42"/>
    </row>
    <row r="101" spans="1:28" s="153" customFormat="1" ht="11.65" customHeight="1">
      <c r="A101" s="102"/>
      <c r="B101" s="102" t="s">
        <v>3379</v>
      </c>
      <c r="C101" s="102"/>
      <c r="D101" s="102"/>
      <c r="E101" s="102"/>
      <c r="F101" s="102"/>
      <c r="G101" s="102"/>
      <c r="H101" s="102"/>
      <c r="J101" s="102" t="s">
        <v>3377</v>
      </c>
      <c r="K101" s="102"/>
      <c r="L101" s="102"/>
      <c r="M101" s="102"/>
      <c r="N101" s="102"/>
      <c r="O101" s="102"/>
      <c r="Q101" s="4852">
        <v>7.0000000000000007E-2</v>
      </c>
      <c r="R101" s="4852"/>
      <c r="AA101" s="42"/>
      <c r="AB101" s="42"/>
    </row>
    <row r="102" spans="1:28" s="100" customFormat="1" ht="11.65" customHeight="1">
      <c r="A102" s="102"/>
      <c r="B102" s="102" t="s">
        <v>3380</v>
      </c>
      <c r="C102" s="102"/>
      <c r="D102" s="99"/>
      <c r="E102" s="99"/>
      <c r="F102" s="99"/>
      <c r="G102" s="102"/>
      <c r="H102" s="99"/>
      <c r="I102" s="99"/>
      <c r="J102" s="102" t="s">
        <v>3377</v>
      </c>
      <c r="K102" s="102"/>
      <c r="L102" s="102"/>
      <c r="M102" s="102"/>
      <c r="N102" s="102"/>
      <c r="O102" s="102"/>
      <c r="P102" s="99"/>
      <c r="Q102" s="4852">
        <v>0.03</v>
      </c>
      <c r="R102" s="4852"/>
      <c r="S102" s="153"/>
      <c r="T102" s="153"/>
      <c r="U102" s="153"/>
      <c r="AA102" s="42"/>
      <c r="AB102" s="42"/>
    </row>
    <row r="103" spans="1:28" s="100" customFormat="1" ht="11.65" customHeight="1">
      <c r="A103" s="102"/>
      <c r="B103" s="102" t="s">
        <v>3381</v>
      </c>
      <c r="C103" s="102"/>
      <c r="D103" s="99"/>
      <c r="E103" s="99"/>
      <c r="F103" s="99"/>
      <c r="G103" s="102"/>
      <c r="H103" s="99"/>
      <c r="I103" s="99"/>
      <c r="J103" s="102" t="s">
        <v>3377</v>
      </c>
      <c r="K103" s="102"/>
      <c r="L103" s="102"/>
      <c r="M103" s="102"/>
      <c r="N103" s="102"/>
      <c r="O103" s="102"/>
      <c r="P103" s="99"/>
      <c r="Q103" s="4852">
        <v>0.03</v>
      </c>
      <c r="R103" s="4852"/>
      <c r="S103" s="153"/>
      <c r="T103" s="153"/>
      <c r="U103" s="153"/>
      <c r="AA103" s="42"/>
      <c r="AB103" s="42"/>
    </row>
    <row r="104" spans="1:28" s="100" customFormat="1" ht="11.65" customHeight="1">
      <c r="A104" s="102"/>
      <c r="B104" s="102" t="s">
        <v>3382</v>
      </c>
      <c r="C104" s="102"/>
      <c r="D104" s="99"/>
      <c r="E104" s="99"/>
      <c r="F104" s="99"/>
      <c r="G104" s="102"/>
      <c r="H104" s="99"/>
      <c r="I104" s="99"/>
      <c r="J104" s="102" t="s">
        <v>3377</v>
      </c>
      <c r="K104" s="102"/>
      <c r="L104" s="102"/>
      <c r="M104" s="102"/>
      <c r="N104" s="102"/>
      <c r="O104" s="102"/>
      <c r="P104" s="99"/>
      <c r="Q104" s="4851">
        <v>0</v>
      </c>
      <c r="R104" s="4851"/>
      <c r="S104" s="153"/>
      <c r="T104" s="153"/>
      <c r="U104" s="153"/>
      <c r="AA104" s="42"/>
      <c r="AB104" s="42"/>
    </row>
    <row r="105" spans="1:28" s="100" customFormat="1" ht="4.3499999999999996" customHeight="1">
      <c r="A105" s="143"/>
      <c r="B105" s="143"/>
      <c r="C105" s="143"/>
      <c r="D105" s="143"/>
      <c r="E105" s="99"/>
      <c r="F105" s="143"/>
      <c r="G105" s="143"/>
      <c r="H105" s="99"/>
      <c r="I105" s="99"/>
      <c r="J105" s="143"/>
      <c r="K105" s="143"/>
      <c r="L105" s="143"/>
      <c r="M105" s="143"/>
      <c r="N105" s="143"/>
      <c r="O105" s="143"/>
      <c r="P105" s="99"/>
      <c r="Q105" s="144"/>
      <c r="R105" s="145"/>
      <c r="S105" s="99"/>
      <c r="T105" s="99"/>
      <c r="U105" s="99"/>
      <c r="W105" s="146"/>
      <c r="X105" s="146"/>
      <c r="Y105" s="146"/>
      <c r="Z105" s="146"/>
      <c r="AA105" s="42"/>
      <c r="AB105" s="42"/>
    </row>
    <row r="106" spans="1:28" s="100" customFormat="1" ht="11.65" customHeight="1">
      <c r="A106" s="147" t="s">
        <v>3383</v>
      </c>
      <c r="B106" s="102"/>
      <c r="C106" s="102"/>
      <c r="D106" s="99"/>
      <c r="E106" s="99"/>
      <c r="F106" s="102" t="s">
        <v>3272</v>
      </c>
      <c r="G106" s="102" t="s">
        <v>3384</v>
      </c>
      <c r="I106" s="99"/>
      <c r="J106" s="102" t="s">
        <v>3385</v>
      </c>
      <c r="K106" s="102"/>
      <c r="L106" s="102"/>
      <c r="M106" s="102"/>
      <c r="N106" s="102"/>
      <c r="O106" s="102"/>
      <c r="P106" s="99"/>
      <c r="Q106" s="4837">
        <v>0.1</v>
      </c>
      <c r="R106" s="4837"/>
      <c r="S106" s="99"/>
      <c r="T106" s="99"/>
      <c r="U106" s="99"/>
      <c r="V106" s="565"/>
      <c r="W106" s="565"/>
      <c r="X106" s="103"/>
      <c r="AA106" s="42"/>
      <c r="AB106" s="42"/>
    </row>
    <row r="107" spans="1:28" s="100" customFormat="1" ht="11.65" customHeight="1">
      <c r="A107" s="147"/>
      <c r="B107" s="102"/>
      <c r="C107" s="102"/>
      <c r="D107" s="99"/>
      <c r="E107" s="99"/>
      <c r="F107" s="102"/>
      <c r="G107" s="102" t="s">
        <v>1959</v>
      </c>
      <c r="I107" s="99"/>
      <c r="J107" s="102" t="s">
        <v>3386</v>
      </c>
      <c r="K107" s="102"/>
      <c r="L107" s="102"/>
      <c r="M107" s="102"/>
      <c r="N107" s="102"/>
      <c r="O107" s="102"/>
      <c r="P107" s="99"/>
      <c r="Q107" s="4856">
        <v>1225000</v>
      </c>
      <c r="R107" s="4856"/>
      <c r="S107" s="99"/>
      <c r="T107" s="99"/>
      <c r="U107" s="99"/>
      <c r="V107" s="565"/>
      <c r="W107" s="565"/>
      <c r="X107" s="103"/>
      <c r="AA107" s="42"/>
      <c r="AB107" s="42"/>
    </row>
    <row r="108" spans="1:28" s="100" customFormat="1" ht="11.65" customHeight="1">
      <c r="A108" s="102"/>
      <c r="B108" s="102"/>
      <c r="C108" s="102"/>
      <c r="D108" s="99"/>
      <c r="E108" s="99"/>
      <c r="F108" s="102"/>
      <c r="G108" s="102" t="s">
        <v>1713</v>
      </c>
      <c r="H108" s="102" t="s">
        <v>3387</v>
      </c>
      <c r="J108" s="102" t="s">
        <v>3388</v>
      </c>
      <c r="K108" s="102"/>
      <c r="L108" s="102"/>
      <c r="M108" s="102"/>
      <c r="O108" s="102" t="s">
        <v>3389</v>
      </c>
      <c r="P108" s="99"/>
      <c r="Q108" s="4857">
        <v>1105000</v>
      </c>
      <c r="R108" s="4857"/>
      <c r="S108" s="148"/>
      <c r="T108" s="148"/>
      <c r="U108" s="99"/>
      <c r="V108" s="232"/>
      <c r="W108" s="232"/>
      <c r="X108" s="232"/>
      <c r="AA108" s="42"/>
      <c r="AB108" s="42"/>
    </row>
    <row r="109" spans="1:28" s="100" customFormat="1" ht="11.65" customHeight="1">
      <c r="A109" s="102"/>
      <c r="B109" s="102"/>
      <c r="C109" s="102"/>
      <c r="D109" s="99"/>
      <c r="E109" s="99"/>
      <c r="F109" s="102"/>
      <c r="G109" s="102"/>
      <c r="H109" s="102" t="s">
        <v>3390</v>
      </c>
      <c r="J109" s="102" t="s">
        <v>3388</v>
      </c>
      <c r="K109" s="102"/>
      <c r="L109" s="102"/>
      <c r="M109" s="102"/>
      <c r="O109" s="102" t="s">
        <v>3389</v>
      </c>
      <c r="P109" s="99"/>
      <c r="Q109" s="4834">
        <v>1225000</v>
      </c>
      <c r="R109" s="4834"/>
      <c r="S109" s="148"/>
      <c r="T109" s="148"/>
      <c r="U109" s="99"/>
      <c r="V109" s="232"/>
      <c r="W109" s="232"/>
      <c r="X109" s="232"/>
      <c r="AA109" s="42"/>
      <c r="AB109" s="42"/>
    </row>
    <row r="110" spans="1:28" s="100" customFormat="1" ht="11.65" customHeight="1">
      <c r="A110" s="102"/>
      <c r="B110" s="102"/>
      <c r="C110" s="102"/>
      <c r="D110" s="99"/>
      <c r="E110" s="99"/>
      <c r="F110" s="102"/>
      <c r="G110" s="102"/>
      <c r="H110" s="102" t="s">
        <v>3391</v>
      </c>
      <c r="I110" s="99"/>
      <c r="J110" s="102" t="s">
        <v>3388</v>
      </c>
      <c r="K110" s="102"/>
      <c r="O110" s="102" t="s">
        <v>3392</v>
      </c>
      <c r="Q110" s="4834">
        <v>1105000</v>
      </c>
      <c r="R110" s="4834"/>
      <c r="S110" s="148"/>
      <c r="T110" s="148"/>
      <c r="U110" s="99"/>
      <c r="V110" s="232"/>
      <c r="W110" s="232"/>
      <c r="X110" s="232"/>
      <c r="AA110" s="42"/>
      <c r="AB110" s="42"/>
    </row>
    <row r="111" spans="1:28" s="100" customFormat="1" ht="11.65" customHeight="1">
      <c r="A111" s="102"/>
      <c r="B111" s="102"/>
      <c r="C111" s="102"/>
      <c r="D111" s="99"/>
      <c r="E111" s="99"/>
      <c r="F111" s="102"/>
      <c r="G111" s="102"/>
      <c r="H111" s="102" t="s">
        <v>3393</v>
      </c>
      <c r="I111" s="99"/>
      <c r="J111" s="102" t="s">
        <v>3388</v>
      </c>
      <c r="K111" s="102"/>
      <c r="O111" s="102" t="s">
        <v>3389</v>
      </c>
      <c r="Q111" s="4859">
        <v>1105000</v>
      </c>
      <c r="R111" s="4860"/>
      <c r="S111" s="148"/>
      <c r="T111" s="148"/>
      <c r="U111" s="99"/>
      <c r="V111" s="232"/>
      <c r="W111" s="232"/>
      <c r="X111" s="232"/>
      <c r="AA111" s="42"/>
      <c r="AB111" s="42"/>
    </row>
    <row r="112" spans="1:28" s="100" customFormat="1" ht="11.65" customHeight="1">
      <c r="A112" s="102"/>
      <c r="B112" s="102"/>
      <c r="C112" s="102"/>
      <c r="D112" s="99"/>
      <c r="E112" s="99"/>
      <c r="F112" s="102"/>
      <c r="G112" s="102" t="s">
        <v>3394</v>
      </c>
      <c r="I112" s="99"/>
      <c r="J112" s="102" t="s">
        <v>3388</v>
      </c>
      <c r="K112" s="102"/>
      <c r="L112" s="102"/>
      <c r="M112" s="102"/>
      <c r="O112" s="102" t="s">
        <v>3395</v>
      </c>
      <c r="P112" s="99"/>
      <c r="Q112" s="4853">
        <v>1150000</v>
      </c>
      <c r="R112" s="4853"/>
      <c r="S112" s="148"/>
      <c r="T112" s="148"/>
      <c r="U112" s="99"/>
      <c r="V112" s="232"/>
      <c r="W112" s="232"/>
      <c r="X112" s="232"/>
      <c r="AA112" s="42"/>
      <c r="AB112" s="42"/>
    </row>
    <row r="113" spans="1:28" s="100" customFormat="1" ht="11.65" customHeight="1">
      <c r="A113" s="102"/>
      <c r="B113" s="102"/>
      <c r="C113" s="102"/>
      <c r="D113" s="99"/>
      <c r="E113" s="99"/>
      <c r="F113" s="102"/>
      <c r="G113" s="102" t="s">
        <v>1935</v>
      </c>
      <c r="H113" s="143" t="s">
        <v>3396</v>
      </c>
      <c r="I113" s="99"/>
      <c r="J113" s="143" t="s">
        <v>3385</v>
      </c>
      <c r="K113" s="102"/>
      <c r="L113" s="102"/>
      <c r="M113" s="102"/>
      <c r="O113" s="102"/>
      <c r="P113" s="99"/>
      <c r="Q113" s="4873" t="s">
        <v>3397</v>
      </c>
      <c r="R113" s="4873"/>
      <c r="S113" s="148"/>
      <c r="T113" s="148"/>
      <c r="U113" s="99"/>
      <c r="V113" s="232"/>
      <c r="W113" s="232"/>
      <c r="X113" s="232"/>
      <c r="AA113" s="42"/>
      <c r="AB113" s="42"/>
    </row>
    <row r="114" spans="1:28" ht="12.75" customHeight="1">
      <c r="G114" s="1675"/>
      <c r="H114" s="102" t="s">
        <v>3292</v>
      </c>
      <c r="J114" s="4884">
        <v>0.35</v>
      </c>
      <c r="K114" s="4884"/>
      <c r="L114" s="102"/>
      <c r="M114" s="102"/>
      <c r="N114" s="102"/>
      <c r="O114" s="102"/>
      <c r="P114" s="99"/>
      <c r="Q114" s="4858">
        <v>1105000</v>
      </c>
      <c r="R114" s="4858"/>
    </row>
    <row r="115" spans="1:28" ht="11.25" customHeight="1">
      <c r="G115" s="102"/>
      <c r="H115" s="102" t="s">
        <v>3398</v>
      </c>
      <c r="I115" s="99"/>
      <c r="J115" s="4885">
        <v>0.35</v>
      </c>
      <c r="K115" s="4885"/>
      <c r="L115" s="102"/>
      <c r="M115" s="102"/>
      <c r="N115" s="102"/>
      <c r="O115" s="102"/>
      <c r="P115" s="99"/>
      <c r="Q115" s="4834">
        <v>1225000</v>
      </c>
      <c r="R115" s="4834"/>
    </row>
    <row r="116" spans="1:28" ht="11.25" customHeight="1">
      <c r="A116" s="147"/>
      <c r="G116" s="102"/>
      <c r="H116" s="102" t="s">
        <v>1714</v>
      </c>
      <c r="I116" s="99"/>
      <c r="J116" s="4872">
        <v>0.3</v>
      </c>
      <c r="K116" s="4872"/>
      <c r="L116" s="102"/>
      <c r="M116" s="102"/>
      <c r="N116" s="102"/>
      <c r="O116" s="102"/>
      <c r="P116" s="99"/>
      <c r="Q116" s="4883">
        <v>1225000</v>
      </c>
      <c r="R116" s="4883"/>
    </row>
    <row r="117" spans="1:28" s="100" customFormat="1" ht="11.25" customHeight="1">
      <c r="A117" s="147"/>
      <c r="B117" s="102"/>
      <c r="C117" s="102"/>
      <c r="D117" s="99"/>
      <c r="E117" s="99"/>
      <c r="G117" s="102"/>
      <c r="I117" s="99"/>
      <c r="Q117" s="2879"/>
      <c r="R117" s="2879"/>
      <c r="S117" s="99"/>
      <c r="T117" s="99"/>
      <c r="U117" s="99"/>
      <c r="V117" s="565"/>
      <c r="W117" s="565"/>
      <c r="X117" s="103"/>
      <c r="AA117" s="42"/>
      <c r="AB117" s="42"/>
    </row>
    <row r="118" spans="1:28" s="100" customFormat="1" ht="11.65" customHeight="1">
      <c r="A118" s="102"/>
      <c r="B118" s="102"/>
      <c r="C118" s="102"/>
      <c r="D118" s="99"/>
      <c r="E118" s="99"/>
      <c r="G118" s="102" t="s">
        <v>3399</v>
      </c>
      <c r="H118" s="102"/>
      <c r="I118" s="99"/>
      <c r="J118" s="102" t="s">
        <v>3400</v>
      </c>
      <c r="K118" s="102"/>
      <c r="L118" s="102"/>
      <c r="M118" s="102"/>
      <c r="N118" s="102"/>
      <c r="O118" s="102"/>
      <c r="P118" s="99"/>
      <c r="Q118" s="4854"/>
      <c r="R118" s="4855"/>
      <c r="S118" s="148"/>
      <c r="T118" s="148"/>
      <c r="U118" s="99"/>
      <c r="V118" s="232"/>
      <c r="W118" s="232"/>
      <c r="X118" s="232"/>
      <c r="AA118" s="42"/>
      <c r="AB118" s="42"/>
    </row>
    <row r="119" spans="1:28" s="100" customFormat="1" ht="11.65" customHeight="1">
      <c r="A119" s="102"/>
      <c r="B119" s="102"/>
      <c r="C119" s="102"/>
      <c r="D119" s="99"/>
      <c r="E119" s="99"/>
      <c r="F119" s="102" t="s">
        <v>2945</v>
      </c>
      <c r="G119" s="102" t="s">
        <v>1985</v>
      </c>
      <c r="I119" s="99"/>
      <c r="J119" s="102" t="s">
        <v>3401</v>
      </c>
      <c r="K119" s="102"/>
      <c r="L119" s="102"/>
      <c r="M119" s="102"/>
      <c r="N119" s="102"/>
      <c r="O119" s="102"/>
      <c r="P119" s="99"/>
      <c r="Q119" s="4888">
        <v>4000000</v>
      </c>
      <c r="R119" s="4888"/>
      <c r="S119" s="148"/>
      <c r="T119" s="148"/>
      <c r="U119" s="99"/>
      <c r="V119" s="232"/>
      <c r="W119" s="232"/>
      <c r="X119" s="232"/>
      <c r="AA119" s="42"/>
      <c r="AB119" s="42"/>
    </row>
    <row r="120" spans="1:28" s="100" customFormat="1" ht="11.65" customHeight="1">
      <c r="A120" s="102"/>
      <c r="B120" s="102"/>
      <c r="C120" s="102"/>
      <c r="D120" s="99"/>
      <c r="E120" s="99"/>
      <c r="F120" s="102"/>
      <c r="G120" s="102" t="s">
        <v>3402</v>
      </c>
      <c r="H120" s="99"/>
      <c r="I120" s="99"/>
      <c r="J120" s="102" t="s">
        <v>3388</v>
      </c>
      <c r="K120" s="102"/>
      <c r="O120" s="102" t="s">
        <v>3389</v>
      </c>
      <c r="Q120" s="4881">
        <v>1035000</v>
      </c>
      <c r="R120" s="4882"/>
      <c r="S120" s="148"/>
      <c r="T120" s="148"/>
      <c r="U120" s="99"/>
      <c r="V120" s="232"/>
      <c r="W120" s="232"/>
      <c r="X120" s="232"/>
      <c r="AA120" s="42"/>
      <c r="AB120" s="42"/>
    </row>
    <row r="121" spans="1:28" s="100" customFormat="1" ht="12.75" customHeight="1">
      <c r="A121" s="147"/>
      <c r="B121" s="102"/>
      <c r="C121" s="102"/>
      <c r="D121" s="99"/>
      <c r="E121" s="99"/>
      <c r="F121" s="102"/>
      <c r="G121" s="102"/>
      <c r="H121" s="99"/>
      <c r="I121" s="99"/>
      <c r="J121" s="102"/>
      <c r="K121" s="102"/>
      <c r="L121" s="102"/>
      <c r="M121" s="102"/>
      <c r="N121" s="102"/>
      <c r="O121" s="102"/>
      <c r="P121" s="99"/>
      <c r="Q121" s="225"/>
      <c r="R121" s="225"/>
      <c r="S121" s="99"/>
      <c r="T121" s="99"/>
      <c r="U121" s="99"/>
      <c r="V121" s="565"/>
      <c r="W121" s="565"/>
      <c r="X121" s="103"/>
      <c r="AA121" s="42"/>
      <c r="AB121" s="42"/>
    </row>
    <row r="122" spans="1:28" s="100" customFormat="1" ht="12.75" customHeight="1">
      <c r="A122" s="147" t="s">
        <v>3403</v>
      </c>
      <c r="B122" s="102"/>
      <c r="C122" s="102"/>
      <c r="D122" s="99"/>
      <c r="E122" s="99"/>
      <c r="F122" s="102" t="s">
        <v>3404</v>
      </c>
      <c r="G122" s="102"/>
      <c r="H122" s="99"/>
      <c r="I122" s="99"/>
      <c r="J122" s="102" t="s">
        <v>3405</v>
      </c>
      <c r="K122" s="102"/>
      <c r="L122" s="102"/>
      <c r="M122" s="102"/>
      <c r="N122" s="102"/>
      <c r="O122" s="102"/>
      <c r="P122" s="99"/>
      <c r="Q122" s="4880">
        <v>0.05</v>
      </c>
      <c r="R122" s="4880"/>
      <c r="S122" s="99"/>
      <c r="T122" s="99"/>
      <c r="U122" s="99"/>
      <c r="V122" s="565"/>
      <c r="W122" s="565"/>
      <c r="X122" s="103"/>
      <c r="AA122" s="42"/>
      <c r="AB122" s="42"/>
    </row>
    <row r="123" spans="1:28" s="100" customFormat="1" ht="12.75" customHeight="1">
      <c r="A123" s="147"/>
      <c r="B123" s="102"/>
      <c r="C123" s="102"/>
      <c r="D123" s="99"/>
      <c r="E123" s="99"/>
      <c r="F123" s="102"/>
      <c r="G123" s="102" t="s">
        <v>3406</v>
      </c>
      <c r="H123" s="99"/>
      <c r="I123" s="99"/>
      <c r="J123" s="102" t="s">
        <v>3407</v>
      </c>
      <c r="K123" s="102"/>
      <c r="L123" s="102"/>
      <c r="M123" s="102"/>
      <c r="N123" s="102"/>
      <c r="O123" s="102"/>
      <c r="P123" s="99"/>
      <c r="Q123" s="4878">
        <v>0.4</v>
      </c>
      <c r="R123" s="4878"/>
      <c r="S123" s="99"/>
      <c r="T123" s="99"/>
      <c r="U123" s="99"/>
      <c r="V123" s="565"/>
      <c r="W123" s="565"/>
      <c r="X123" s="103"/>
      <c r="AA123" s="42"/>
      <c r="AB123" s="42"/>
    </row>
    <row r="124" spans="1:28" s="100" customFormat="1" ht="12.75" customHeight="1">
      <c r="A124" s="147"/>
      <c r="B124" s="102"/>
      <c r="C124" s="102"/>
      <c r="E124" s="99"/>
      <c r="F124" s="102" t="s">
        <v>3408</v>
      </c>
      <c r="G124" s="102"/>
      <c r="H124" s="99"/>
      <c r="I124" s="99"/>
      <c r="J124" s="102" t="s">
        <v>3405</v>
      </c>
      <c r="K124" s="102"/>
      <c r="L124" s="102"/>
      <c r="M124" s="102"/>
      <c r="N124" s="102"/>
      <c r="O124" s="102"/>
      <c r="P124" s="99"/>
      <c r="Q124" s="4879">
        <v>0.02</v>
      </c>
      <c r="R124" s="4879"/>
      <c r="S124" s="99"/>
      <c r="T124" s="99"/>
      <c r="U124" s="99"/>
      <c r="V124" s="565"/>
      <c r="W124" s="565"/>
      <c r="X124" s="103"/>
      <c r="AA124" s="42"/>
      <c r="AB124" s="42"/>
    </row>
    <row r="125" spans="1:28" s="100" customFormat="1" ht="12.75" customHeight="1">
      <c r="A125" s="4889" t="s">
        <v>3409</v>
      </c>
      <c r="B125" s="4889"/>
      <c r="C125" s="1672"/>
      <c r="D125" s="4891" t="s">
        <v>3410</v>
      </c>
      <c r="E125" s="99"/>
      <c r="F125" s="102"/>
      <c r="G125" s="102"/>
      <c r="H125" s="99"/>
      <c r="I125" s="99"/>
      <c r="J125" s="102"/>
      <c r="K125" s="102"/>
      <c r="L125" s="102"/>
      <c r="M125" s="102"/>
      <c r="N125" s="102"/>
      <c r="O125" s="102"/>
      <c r="P125" s="99"/>
      <c r="Q125" s="225"/>
      <c r="R125" s="225"/>
      <c r="S125" s="99"/>
      <c r="T125" s="99"/>
      <c r="U125" s="99"/>
      <c r="V125" s="565"/>
      <c r="W125" s="565"/>
      <c r="X125" s="103"/>
      <c r="AA125" s="42"/>
      <c r="AB125" s="42"/>
    </row>
    <row r="126" spans="1:28" ht="13.35" customHeight="1">
      <c r="A126" s="4889"/>
      <c r="B126" s="4889"/>
      <c r="C126" s="1671">
        <v>2022</v>
      </c>
      <c r="D126" s="4892"/>
      <c r="E126" s="155"/>
      <c r="F126" s="155"/>
      <c r="G126" s="155"/>
      <c r="H126" s="155"/>
      <c r="I126" s="155"/>
    </row>
    <row r="127" spans="1:28" ht="13.5">
      <c r="A127" s="4889"/>
      <c r="B127" s="4889"/>
      <c r="C127" s="102"/>
      <c r="D127" s="4892"/>
      <c r="H127" s="4886" t="s">
        <v>3411</v>
      </c>
      <c r="J127" s="97" t="s">
        <v>3412</v>
      </c>
      <c r="K127" s="97"/>
      <c r="L127" s="141"/>
    </row>
    <row r="128" spans="1:28" ht="13.5">
      <c r="C128" s="565" t="s">
        <v>3413</v>
      </c>
      <c r="D128" s="1049" t="s">
        <v>1215</v>
      </c>
      <c r="F128" s="565" t="s">
        <v>3414</v>
      </c>
      <c r="H128" s="4887"/>
      <c r="J128" s="223" t="s">
        <v>3413</v>
      </c>
      <c r="K128" s="223" t="s">
        <v>3415</v>
      </c>
      <c r="L128" s="224" t="s">
        <v>3416</v>
      </c>
    </row>
    <row r="129" spans="2:37" ht="10.5" customHeight="1">
      <c r="C129" s="232">
        <v>0</v>
      </c>
      <c r="D129" s="524">
        <v>66564</v>
      </c>
      <c r="E129" s="1051" t="s">
        <v>3417</v>
      </c>
      <c r="F129" s="1670">
        <v>2.4</v>
      </c>
      <c r="G129" s="714" t="s">
        <v>732</v>
      </c>
      <c r="H129" s="1673">
        <f>D129*F129</f>
        <v>159753.60000000001</v>
      </c>
      <c r="J129" s="232">
        <v>0</v>
      </c>
      <c r="K129" s="232">
        <v>0.7</v>
      </c>
      <c r="L129" s="232">
        <v>1</v>
      </c>
    </row>
    <row r="130" spans="2:37" ht="10.5" customHeight="1">
      <c r="C130" s="232">
        <v>1</v>
      </c>
      <c r="D130" s="524">
        <v>76305</v>
      </c>
      <c r="E130" s="1051" t="s">
        <v>3417</v>
      </c>
      <c r="F130" s="1670">
        <v>2.4</v>
      </c>
      <c r="G130" s="714" t="s">
        <v>732</v>
      </c>
      <c r="H130" s="1673">
        <f t="shared" ref="H130:H133" si="0">D130*F130</f>
        <v>183132</v>
      </c>
      <c r="J130" s="232">
        <v>1</v>
      </c>
      <c r="K130" s="232">
        <v>0.75</v>
      </c>
      <c r="L130" s="232">
        <v>1.5</v>
      </c>
    </row>
    <row r="131" spans="2:37" ht="10.5" customHeight="1">
      <c r="C131" s="232">
        <v>2</v>
      </c>
      <c r="D131" s="524">
        <v>92789</v>
      </c>
      <c r="E131" s="1051" t="s">
        <v>3417</v>
      </c>
      <c r="F131" s="1670">
        <v>2.4</v>
      </c>
      <c r="G131" s="714" t="s">
        <v>732</v>
      </c>
      <c r="H131" s="1673">
        <f t="shared" si="0"/>
        <v>222693.6</v>
      </c>
      <c r="J131" s="232">
        <v>2</v>
      </c>
      <c r="K131" s="232">
        <v>0.9</v>
      </c>
      <c r="L131" s="232">
        <v>3</v>
      </c>
    </row>
    <row r="132" spans="2:37" ht="10.5" customHeight="1">
      <c r="C132" s="232">
        <v>3</v>
      </c>
      <c r="D132" s="524">
        <v>120039</v>
      </c>
      <c r="E132" s="1051" t="s">
        <v>3417</v>
      </c>
      <c r="F132" s="1670">
        <v>2.4</v>
      </c>
      <c r="G132" s="714" t="s">
        <v>732</v>
      </c>
      <c r="H132" s="1673">
        <f t="shared" si="0"/>
        <v>288093.59999999998</v>
      </c>
      <c r="J132" s="232">
        <v>3</v>
      </c>
      <c r="K132" s="232">
        <v>1.04</v>
      </c>
      <c r="L132" s="232">
        <v>4.5</v>
      </c>
    </row>
    <row r="133" spans="2:37" ht="10.5" customHeight="1">
      <c r="C133" s="232" t="s">
        <v>2455</v>
      </c>
      <c r="D133" s="524">
        <v>131765</v>
      </c>
      <c r="E133" s="1051" t="s">
        <v>3417</v>
      </c>
      <c r="F133" s="1670">
        <v>2.4</v>
      </c>
      <c r="G133" s="714" t="s">
        <v>732</v>
      </c>
      <c r="H133" s="1674">
        <f t="shared" si="0"/>
        <v>316236</v>
      </c>
      <c r="J133" s="232">
        <v>4</v>
      </c>
      <c r="K133" s="232">
        <v>1.1599999999999999</v>
      </c>
      <c r="L133" s="232">
        <v>6</v>
      </c>
    </row>
    <row r="134" spans="2:37" ht="10.5" customHeight="1">
      <c r="E134" s="232"/>
      <c r="F134" s="524"/>
      <c r="J134" s="232">
        <v>5</v>
      </c>
      <c r="K134" s="232">
        <v>1.28</v>
      </c>
      <c r="L134" s="232">
        <v>7.5</v>
      </c>
    </row>
    <row r="135" spans="2:37" ht="10.5" customHeight="1">
      <c r="E135" s="153"/>
      <c r="F135" s="153"/>
      <c r="J135" s="232"/>
      <c r="K135" s="232"/>
      <c r="L135" s="232"/>
    </row>
    <row r="136" spans="2:37" ht="10.5" customHeight="1">
      <c r="E136" s="153"/>
      <c r="F136" s="153"/>
      <c r="J136" s="232"/>
      <c r="K136" s="232"/>
      <c r="L136" s="232"/>
    </row>
    <row r="137" spans="2:37" ht="10.5" customHeight="1">
      <c r="C137" s="3315" t="s">
        <v>3418</v>
      </c>
      <c r="E137" s="153"/>
      <c r="F137" s="153"/>
    </row>
    <row r="138" spans="2:37" ht="10.5" customHeight="1">
      <c r="C138" s="3315"/>
      <c r="E138" s="153"/>
      <c r="F138" s="153"/>
    </row>
    <row r="139" spans="2:37" ht="10.5" customHeight="1">
      <c r="C139" s="3315"/>
      <c r="D139" s="755"/>
      <c r="E139" s="354"/>
      <c r="F139" s="153"/>
    </row>
    <row r="140" spans="2:37" ht="39.75" customHeight="1">
      <c r="C140" s="284" t="s">
        <v>1101</v>
      </c>
      <c r="D140" s="222"/>
      <c r="E140" s="153"/>
      <c r="F140" s="325" t="s">
        <v>201</v>
      </c>
      <c r="G140" s="325" t="s">
        <v>1911</v>
      </c>
      <c r="H140" s="325" t="s">
        <v>3419</v>
      </c>
      <c r="I140" s="325" t="s">
        <v>3420</v>
      </c>
      <c r="J140" s="325" t="s">
        <v>3421</v>
      </c>
      <c r="K140" s="325" t="s">
        <v>3422</v>
      </c>
      <c r="L140" s="326" t="s">
        <v>3423</v>
      </c>
      <c r="M140" s="1630" t="s">
        <v>3424</v>
      </c>
      <c r="N140" s="326" t="s">
        <v>3425</v>
      </c>
      <c r="O140" s="326" t="s">
        <v>3426</v>
      </c>
      <c r="P140" s="325" t="s">
        <v>3427</v>
      </c>
      <c r="Q140" s="325"/>
      <c r="R140" s="102"/>
      <c r="S140" s="153"/>
      <c r="T140" s="940" t="s">
        <v>54</v>
      </c>
      <c r="U140" s="327" t="s">
        <v>56</v>
      </c>
      <c r="W140" s="346" t="s">
        <v>3428</v>
      </c>
      <c r="Z140" s="27"/>
      <c r="AA140" s="27"/>
      <c r="AB140" s="79"/>
      <c r="AC140" s="42"/>
      <c r="AD140" s="42"/>
      <c r="AE140" s="79"/>
      <c r="AF140" s="79"/>
      <c r="AG140" s="79"/>
      <c r="AH140" s="79"/>
      <c r="AI140" s="79"/>
      <c r="AJ140" s="79"/>
      <c r="AK140" s="79"/>
    </row>
    <row r="141" spans="2:37" ht="10.5" customHeight="1">
      <c r="B141" s="153"/>
      <c r="C141" s="220" t="s">
        <v>1975</v>
      </c>
      <c r="D141" s="257"/>
      <c r="E141" s="153"/>
      <c r="F141" s="153" t="s">
        <v>299</v>
      </c>
      <c r="G141" s="625" t="s">
        <v>3429</v>
      </c>
      <c r="H141" s="625" t="s">
        <v>3430</v>
      </c>
      <c r="I141" s="626" t="s">
        <v>3431</v>
      </c>
      <c r="J141" s="626" t="s">
        <v>3293</v>
      </c>
      <c r="K141" s="627" t="s">
        <v>3432</v>
      </c>
      <c r="L141" s="628" t="s">
        <v>3433</v>
      </c>
      <c r="M141" s="1631" t="s">
        <v>3292</v>
      </c>
      <c r="N141" s="628" t="s">
        <v>2462</v>
      </c>
      <c r="O141" s="809" t="s">
        <v>3434</v>
      </c>
      <c r="P141" s="157" t="s">
        <v>3435</v>
      </c>
      <c r="Q141" s="157"/>
      <c r="R141" s="102"/>
      <c r="S141" s="153"/>
      <c r="T141" s="290" t="s">
        <v>3436</v>
      </c>
      <c r="U141" s="290" t="s">
        <v>3437</v>
      </c>
      <c r="W141" s="27" t="s">
        <v>3438</v>
      </c>
      <c r="X141" s="27" t="s">
        <v>3439</v>
      </c>
      <c r="Z141" s="27"/>
      <c r="AA141" s="79"/>
      <c r="AB141" s="79"/>
      <c r="AC141" s="283"/>
      <c r="AD141" s="42"/>
      <c r="AE141" s="79"/>
      <c r="AF141" s="79"/>
      <c r="AG141" s="79"/>
      <c r="AH141" s="79"/>
      <c r="AI141" s="79"/>
      <c r="AJ141" s="79"/>
      <c r="AK141" s="79"/>
    </row>
    <row r="142" spans="2:37" ht="10.5" customHeight="1">
      <c r="B142" s="153"/>
      <c r="C142" s="220" t="s">
        <v>3431</v>
      </c>
      <c r="D142" s="257"/>
      <c r="E142" s="153"/>
      <c r="F142" s="153" t="s">
        <v>298</v>
      </c>
      <c r="G142" s="625" t="s">
        <v>3440</v>
      </c>
      <c r="H142" s="625" t="s">
        <v>3430</v>
      </c>
      <c r="I142" s="626" t="s">
        <v>3441</v>
      </c>
      <c r="J142" s="626" t="s">
        <v>3293</v>
      </c>
      <c r="K142" s="627" t="s">
        <v>3442</v>
      </c>
      <c r="L142" s="628" t="s">
        <v>3433</v>
      </c>
      <c r="M142" s="1631" t="s">
        <v>3292</v>
      </c>
      <c r="N142" s="628" t="s">
        <v>2048</v>
      </c>
      <c r="O142" s="809" t="s">
        <v>3443</v>
      </c>
      <c r="P142" s="157" t="s">
        <v>3444</v>
      </c>
      <c r="Q142" s="157"/>
      <c r="R142" s="102"/>
      <c r="S142" s="153"/>
      <c r="T142" s="290" t="s">
        <v>3438</v>
      </c>
      <c r="U142" s="290" t="s">
        <v>3445</v>
      </c>
      <c r="W142" s="27" t="s">
        <v>3446</v>
      </c>
      <c r="X142" s="27" t="s">
        <v>3439</v>
      </c>
      <c r="Z142" s="27"/>
      <c r="AA142" s="79"/>
      <c r="AB142" s="79"/>
      <c r="AC142" s="283"/>
      <c r="AD142" s="42"/>
      <c r="AE142" s="79"/>
      <c r="AF142" s="79"/>
      <c r="AG142" s="79"/>
      <c r="AH142" s="79"/>
      <c r="AI142" s="79"/>
      <c r="AJ142" s="79"/>
      <c r="AK142" s="79"/>
    </row>
    <row r="143" spans="2:37" ht="10.5" customHeight="1">
      <c r="B143" s="153"/>
      <c r="C143" s="220" t="s">
        <v>1983</v>
      </c>
      <c r="D143" s="257"/>
      <c r="E143" s="153"/>
      <c r="F143" s="153" t="s">
        <v>301</v>
      </c>
      <c r="G143" s="625" t="s">
        <v>3447</v>
      </c>
      <c r="H143" s="625" t="s">
        <v>3430</v>
      </c>
      <c r="I143" s="626" t="s">
        <v>3448</v>
      </c>
      <c r="J143" s="626" t="s">
        <v>3293</v>
      </c>
      <c r="K143" s="627" t="s">
        <v>3449</v>
      </c>
      <c r="L143" s="628" t="s">
        <v>3433</v>
      </c>
      <c r="M143" s="1631" t="s">
        <v>3292</v>
      </c>
      <c r="N143" s="628" t="s">
        <v>2048</v>
      </c>
      <c r="O143" s="809" t="s">
        <v>3450</v>
      </c>
      <c r="P143" s="157" t="s">
        <v>3451</v>
      </c>
      <c r="Q143" s="157"/>
      <c r="R143" s="102"/>
      <c r="S143" s="153"/>
      <c r="T143" s="290" t="s">
        <v>3446</v>
      </c>
      <c r="U143" s="290" t="s">
        <v>118</v>
      </c>
      <c r="W143" s="27" t="s">
        <v>3452</v>
      </c>
      <c r="X143" s="27" t="s">
        <v>3439</v>
      </c>
      <c r="Z143" s="27"/>
      <c r="AA143" s="79"/>
      <c r="AB143" s="79"/>
      <c r="AC143" s="283"/>
      <c r="AD143" s="42"/>
      <c r="AE143" s="79"/>
      <c r="AF143" s="79"/>
      <c r="AG143" s="79"/>
      <c r="AH143" s="79"/>
      <c r="AI143" s="79"/>
      <c r="AJ143" s="79"/>
      <c r="AK143" s="79"/>
    </row>
    <row r="144" spans="2:37" ht="10.5" customHeight="1">
      <c r="B144" s="153"/>
      <c r="C144" s="220" t="s">
        <v>3441</v>
      </c>
      <c r="D144" s="257"/>
      <c r="E144" s="153"/>
      <c r="F144" s="153" t="s">
        <v>300</v>
      </c>
      <c r="G144" s="625" t="s">
        <v>3453</v>
      </c>
      <c r="H144" s="625" t="s">
        <v>3430</v>
      </c>
      <c r="I144" s="629" t="s">
        <v>3454</v>
      </c>
      <c r="J144" s="629" t="s">
        <v>3293</v>
      </c>
      <c r="K144" s="627" t="s">
        <v>3455</v>
      </c>
      <c r="L144" s="628" t="s">
        <v>3456</v>
      </c>
      <c r="M144" s="1631" t="s">
        <v>3290</v>
      </c>
      <c r="N144" s="628" t="s">
        <v>1975</v>
      </c>
      <c r="O144" s="809" t="s">
        <v>3457</v>
      </c>
      <c r="P144" s="157" t="s">
        <v>3458</v>
      </c>
      <c r="Q144" s="157"/>
      <c r="R144" s="102"/>
      <c r="S144" s="153"/>
      <c r="T144" s="290" t="s">
        <v>3452</v>
      </c>
      <c r="U144" s="290" t="s">
        <v>3459</v>
      </c>
      <c r="W144" s="27" t="s">
        <v>3460</v>
      </c>
      <c r="X144" s="27" t="s">
        <v>3439</v>
      </c>
      <c r="Z144" s="27"/>
      <c r="AA144" s="79"/>
      <c r="AB144" s="79"/>
      <c r="AC144" s="283"/>
      <c r="AD144" s="42"/>
      <c r="AE144" s="79"/>
      <c r="AF144" s="79"/>
      <c r="AG144" s="79"/>
      <c r="AH144" s="79"/>
      <c r="AI144" s="79"/>
      <c r="AJ144" s="79"/>
      <c r="AK144" s="79"/>
    </row>
    <row r="145" spans="2:37" ht="10.5" customHeight="1">
      <c r="B145" s="153"/>
      <c r="C145" s="220" t="s">
        <v>3461</v>
      </c>
      <c r="D145" s="257"/>
      <c r="E145" s="153"/>
      <c r="F145" s="153" t="s">
        <v>302</v>
      </c>
      <c r="G145" s="625" t="s">
        <v>3462</v>
      </c>
      <c r="H145" s="625" t="s">
        <v>3430</v>
      </c>
      <c r="I145" s="629" t="s">
        <v>3463</v>
      </c>
      <c r="J145" s="629" t="s">
        <v>3293</v>
      </c>
      <c r="K145" s="627" t="s">
        <v>3464</v>
      </c>
      <c r="L145" s="628" t="s">
        <v>3433</v>
      </c>
      <c r="M145" s="1631" t="s">
        <v>3292</v>
      </c>
      <c r="N145" s="628" t="s">
        <v>2461</v>
      </c>
      <c r="O145" s="809" t="s">
        <v>3465</v>
      </c>
      <c r="P145" s="157" t="s">
        <v>3466</v>
      </c>
      <c r="Q145" s="157"/>
      <c r="R145" s="102"/>
      <c r="S145" s="153"/>
      <c r="T145" s="290" t="s">
        <v>1970</v>
      </c>
      <c r="U145" s="290" t="s">
        <v>3467</v>
      </c>
      <c r="W145" s="27" t="s">
        <v>3468</v>
      </c>
      <c r="X145" s="27" t="s">
        <v>3439</v>
      </c>
      <c r="Z145" s="27"/>
      <c r="AA145" s="79"/>
      <c r="AB145" s="79"/>
      <c r="AC145" s="283"/>
      <c r="AD145" s="42"/>
      <c r="AE145" s="79"/>
      <c r="AF145" s="79"/>
      <c r="AG145" s="79"/>
      <c r="AH145" s="79"/>
      <c r="AI145" s="79"/>
      <c r="AJ145" s="79"/>
      <c r="AK145" s="79"/>
    </row>
    <row r="146" spans="2:37" ht="10.5" customHeight="1">
      <c r="B146" s="153"/>
      <c r="C146" s="220" t="s">
        <v>3469</v>
      </c>
      <c r="D146" s="257"/>
      <c r="E146" s="153"/>
      <c r="F146" s="153" t="s">
        <v>303</v>
      </c>
      <c r="G146" s="625" t="s">
        <v>3470</v>
      </c>
      <c r="H146" s="625" t="s">
        <v>3471</v>
      </c>
      <c r="I146" s="626" t="s">
        <v>3472</v>
      </c>
      <c r="J146" s="626" t="s">
        <v>3293</v>
      </c>
      <c r="K146" s="627" t="s">
        <v>3473</v>
      </c>
      <c r="L146" s="628" t="s">
        <v>3433</v>
      </c>
      <c r="M146" s="1631" t="s">
        <v>3292</v>
      </c>
      <c r="N146" s="628" t="s">
        <v>2457</v>
      </c>
      <c r="O146" s="809" t="s">
        <v>3474</v>
      </c>
      <c r="P146" s="157" t="s">
        <v>3475</v>
      </c>
      <c r="Q146" s="157"/>
      <c r="R146" s="102"/>
      <c r="S146" s="153"/>
      <c r="T146" s="290" t="s">
        <v>3460</v>
      </c>
      <c r="U146" s="290" t="s">
        <v>3476</v>
      </c>
      <c r="W146" s="27" t="s">
        <v>1975</v>
      </c>
      <c r="X146" s="27" t="s">
        <v>3439</v>
      </c>
      <c r="Z146" s="27"/>
      <c r="AA146" s="79"/>
      <c r="AB146" s="79"/>
      <c r="AC146" s="283"/>
      <c r="AD146" s="42"/>
      <c r="AE146" s="79"/>
      <c r="AF146" s="79"/>
      <c r="AG146" s="79"/>
      <c r="AH146" s="79"/>
      <c r="AI146" s="79"/>
      <c r="AJ146" s="79"/>
      <c r="AK146" s="79"/>
    </row>
    <row r="147" spans="2:37" ht="10.5" customHeight="1">
      <c r="B147" s="153"/>
      <c r="C147" s="220" t="s">
        <v>3448</v>
      </c>
      <c r="D147" s="257"/>
      <c r="E147" s="153"/>
      <c r="F147" s="153" t="s">
        <v>304</v>
      </c>
      <c r="G147" s="625" t="s">
        <v>168</v>
      </c>
      <c r="H147" s="625" t="s">
        <v>3471</v>
      </c>
      <c r="I147" s="629" t="s">
        <v>3461</v>
      </c>
      <c r="J147" s="629" t="s">
        <v>2453</v>
      </c>
      <c r="K147" s="627" t="s">
        <v>3477</v>
      </c>
      <c r="L147" s="628" t="s">
        <v>3456</v>
      </c>
      <c r="M147" s="1631" t="s">
        <v>3290</v>
      </c>
      <c r="N147" s="628" t="s">
        <v>55</v>
      </c>
      <c r="O147" s="809" t="s">
        <v>3478</v>
      </c>
      <c r="P147" s="157" t="s">
        <v>3479</v>
      </c>
      <c r="Q147" s="157"/>
      <c r="R147" s="102"/>
      <c r="S147" s="153"/>
      <c r="T147" s="290" t="s">
        <v>3480</v>
      </c>
      <c r="U147" s="290" t="s">
        <v>147</v>
      </c>
      <c r="W147" s="27" t="s">
        <v>3481</v>
      </c>
      <c r="X147" s="27" t="s">
        <v>3439</v>
      </c>
      <c r="Z147" s="27"/>
      <c r="AA147" s="79"/>
      <c r="AB147" s="79"/>
      <c r="AC147" s="283"/>
      <c r="AD147" s="42"/>
      <c r="AE147" s="79"/>
      <c r="AF147" s="79"/>
      <c r="AG147" s="79"/>
      <c r="AH147" s="79"/>
      <c r="AI147" s="79"/>
      <c r="AJ147" s="79"/>
      <c r="AK147" s="79"/>
    </row>
    <row r="148" spans="2:37" ht="10.5" customHeight="1">
      <c r="B148" s="153"/>
      <c r="C148" s="220" t="s">
        <v>3463</v>
      </c>
      <c r="D148" s="257"/>
      <c r="E148" s="153"/>
      <c r="F148" s="153" t="s">
        <v>306</v>
      </c>
      <c r="G148" s="625" t="s">
        <v>3459</v>
      </c>
      <c r="H148" s="625" t="s">
        <v>3471</v>
      </c>
      <c r="I148" s="629" t="s">
        <v>3461</v>
      </c>
      <c r="J148" s="629" t="s">
        <v>2453</v>
      </c>
      <c r="K148" s="627" t="s">
        <v>3477</v>
      </c>
      <c r="L148" s="628" t="s">
        <v>3456</v>
      </c>
      <c r="M148" s="1631" t="s">
        <v>3290</v>
      </c>
      <c r="N148" s="628" t="s">
        <v>55</v>
      </c>
      <c r="O148" s="809" t="s">
        <v>3482</v>
      </c>
      <c r="P148" s="157" t="s">
        <v>3483</v>
      </c>
      <c r="Q148" s="157"/>
      <c r="R148" s="102"/>
      <c r="S148" s="153"/>
      <c r="T148" s="290" t="s">
        <v>3468</v>
      </c>
      <c r="U148" s="290" t="s">
        <v>3484</v>
      </c>
      <c r="W148" s="27" t="s">
        <v>3485</v>
      </c>
      <c r="X148" s="27" t="s">
        <v>3439</v>
      </c>
      <c r="Z148" s="27"/>
      <c r="AA148" s="79"/>
      <c r="AB148" s="79"/>
      <c r="AC148" s="283"/>
      <c r="AD148" s="42"/>
      <c r="AE148" s="79"/>
      <c r="AF148" s="79"/>
      <c r="AG148" s="79"/>
      <c r="AH148" s="79"/>
      <c r="AI148" s="79"/>
      <c r="AJ148" s="79"/>
      <c r="AK148" s="79"/>
    </row>
    <row r="149" spans="2:37" ht="10.5" customHeight="1">
      <c r="B149" s="153"/>
      <c r="C149" s="220" t="s">
        <v>3472</v>
      </c>
      <c r="D149" s="257"/>
      <c r="E149" s="153"/>
      <c r="F149" s="153" t="s">
        <v>305</v>
      </c>
      <c r="G149" s="625" t="s">
        <v>3486</v>
      </c>
      <c r="H149" s="625" t="s">
        <v>3430</v>
      </c>
      <c r="I149" s="626" t="s">
        <v>3487</v>
      </c>
      <c r="J149" s="626" t="s">
        <v>3293</v>
      </c>
      <c r="K149" s="627" t="s">
        <v>3488</v>
      </c>
      <c r="L149" s="628" t="s">
        <v>3433</v>
      </c>
      <c r="M149" s="1631" t="s">
        <v>3292</v>
      </c>
      <c r="N149" s="628" t="s">
        <v>1975</v>
      </c>
      <c r="O149" s="809" t="s">
        <v>3489</v>
      </c>
      <c r="P149" s="157" t="s">
        <v>3490</v>
      </c>
      <c r="Q149" s="290"/>
      <c r="R149" s="102"/>
      <c r="S149" s="153"/>
      <c r="T149" s="290" t="s">
        <v>3491</v>
      </c>
      <c r="U149" s="290" t="s">
        <v>3492</v>
      </c>
      <c r="W149" s="27" t="s">
        <v>3493</v>
      </c>
      <c r="X149" s="27" t="s">
        <v>3439</v>
      </c>
      <c r="Z149" s="27"/>
      <c r="AA149" s="79"/>
      <c r="AB149" s="79"/>
      <c r="AC149" s="283"/>
      <c r="AD149" s="42"/>
      <c r="AE149" s="79"/>
      <c r="AF149" s="79"/>
      <c r="AG149" s="79"/>
      <c r="AH149" s="79"/>
      <c r="AI149" s="79"/>
      <c r="AJ149" s="79"/>
      <c r="AK149" s="79"/>
    </row>
    <row r="150" spans="2:37" ht="10.5" customHeight="1">
      <c r="B150" s="153"/>
      <c r="C150" s="221" t="s">
        <v>3494</v>
      </c>
      <c r="D150" s="257"/>
      <c r="E150" s="153"/>
      <c r="F150" s="153" t="s">
        <v>307</v>
      </c>
      <c r="G150" s="625" t="s">
        <v>3492</v>
      </c>
      <c r="H150" s="625" t="s">
        <v>3430</v>
      </c>
      <c r="I150" s="626" t="s">
        <v>3495</v>
      </c>
      <c r="J150" s="626" t="s">
        <v>3293</v>
      </c>
      <c r="K150" s="627" t="s">
        <v>3496</v>
      </c>
      <c r="L150" s="628" t="s">
        <v>3433</v>
      </c>
      <c r="M150" s="1631" t="s">
        <v>3292</v>
      </c>
      <c r="N150" s="628" t="s">
        <v>2048</v>
      </c>
      <c r="O150" s="809" t="s">
        <v>3497</v>
      </c>
      <c r="P150" s="157" t="s">
        <v>3498</v>
      </c>
      <c r="Q150" s="290"/>
      <c r="R150" s="153"/>
      <c r="S150" s="153"/>
      <c r="T150" s="290" t="s">
        <v>1975</v>
      </c>
      <c r="U150" s="290" t="s">
        <v>159</v>
      </c>
      <c r="W150" s="27" t="s">
        <v>3499</v>
      </c>
      <c r="X150" s="27" t="s">
        <v>3439</v>
      </c>
      <c r="Z150" s="27"/>
      <c r="AA150" s="79"/>
      <c r="AB150" s="79"/>
      <c r="AC150" s="283"/>
      <c r="AD150" s="42"/>
      <c r="AE150" s="79"/>
      <c r="AF150" s="79"/>
      <c r="AG150" s="79"/>
      <c r="AH150" s="79"/>
      <c r="AI150" s="79"/>
      <c r="AJ150" s="79"/>
      <c r="AK150" s="79"/>
    </row>
    <row r="151" spans="2:37" ht="10.5" customHeight="1">
      <c r="B151" s="153"/>
      <c r="C151" s="221" t="s">
        <v>3495</v>
      </c>
      <c r="D151" s="257"/>
      <c r="E151" s="153"/>
      <c r="F151" s="153" t="s">
        <v>308</v>
      </c>
      <c r="G151" s="625" t="s">
        <v>3500</v>
      </c>
      <c r="H151" s="625" t="s">
        <v>3501</v>
      </c>
      <c r="I151" s="629" t="s">
        <v>2461</v>
      </c>
      <c r="J151" s="629" t="s">
        <v>2453</v>
      </c>
      <c r="K151" s="627" t="s">
        <v>3502</v>
      </c>
      <c r="L151" s="628" t="s">
        <v>3456</v>
      </c>
      <c r="M151" s="1631" t="s">
        <v>3290</v>
      </c>
      <c r="N151" s="628" t="s">
        <v>2461</v>
      </c>
      <c r="O151" s="809" t="s">
        <v>3503</v>
      </c>
      <c r="P151" s="157" t="s">
        <v>3504</v>
      </c>
      <c r="Q151" s="290"/>
      <c r="R151" s="102"/>
      <c r="S151" s="153"/>
      <c r="T151" s="290" t="s">
        <v>3505</v>
      </c>
      <c r="U151" s="290" t="s">
        <v>3506</v>
      </c>
      <c r="W151" s="27" t="s">
        <v>1979</v>
      </c>
      <c r="X151" s="27" t="s">
        <v>3439</v>
      </c>
      <c r="Z151" s="27"/>
      <c r="AA151" s="79"/>
      <c r="AB151" s="79"/>
      <c r="AC151" s="283"/>
      <c r="AD151" s="42"/>
      <c r="AE151" s="79"/>
      <c r="AF151" s="79"/>
      <c r="AG151" s="79"/>
      <c r="AH151" s="79"/>
      <c r="AI151" s="79"/>
      <c r="AJ151" s="79"/>
      <c r="AK151" s="79"/>
    </row>
    <row r="152" spans="2:37" ht="10.5" customHeight="1">
      <c r="B152" s="153"/>
      <c r="C152" s="221" t="s">
        <v>3507</v>
      </c>
      <c r="D152" s="257"/>
      <c r="E152" s="153"/>
      <c r="F152" s="153" t="s">
        <v>309</v>
      </c>
      <c r="G152" s="625" t="s">
        <v>3508</v>
      </c>
      <c r="H152" s="625" t="s">
        <v>3430</v>
      </c>
      <c r="I152" s="629" t="s">
        <v>3507</v>
      </c>
      <c r="J152" s="629" t="s">
        <v>3293</v>
      </c>
      <c r="K152" s="627" t="s">
        <v>3509</v>
      </c>
      <c r="L152" s="628" t="s">
        <v>3433</v>
      </c>
      <c r="M152" s="1631" t="s">
        <v>3292</v>
      </c>
      <c r="N152" s="628" t="s">
        <v>2461</v>
      </c>
      <c r="O152" s="809" t="s">
        <v>3510</v>
      </c>
      <c r="P152" s="157" t="s">
        <v>3511</v>
      </c>
      <c r="Q152" s="157"/>
      <c r="R152" s="102"/>
      <c r="S152" s="153"/>
      <c r="T152" s="290" t="s">
        <v>3512</v>
      </c>
      <c r="U152" s="290" t="s">
        <v>121</v>
      </c>
      <c r="W152" s="27" t="s">
        <v>3513</v>
      </c>
      <c r="X152" s="27" t="s">
        <v>3439</v>
      </c>
      <c r="Z152" s="27"/>
      <c r="AA152" s="79"/>
      <c r="AB152" s="79"/>
      <c r="AC152" s="283"/>
      <c r="AD152" s="42"/>
      <c r="AE152" s="79"/>
      <c r="AF152" s="79"/>
      <c r="AG152" s="79"/>
      <c r="AH152" s="79"/>
      <c r="AI152" s="79"/>
      <c r="AJ152" s="79"/>
      <c r="AK152" s="79"/>
    </row>
    <row r="153" spans="2:37" ht="10.5" customHeight="1">
      <c r="B153" s="153"/>
      <c r="C153" s="220" t="s">
        <v>3514</v>
      </c>
      <c r="D153" s="257"/>
      <c r="E153" s="153"/>
      <c r="F153" s="153" t="s">
        <v>313</v>
      </c>
      <c r="G153" s="625" t="s">
        <v>3515</v>
      </c>
      <c r="H153" s="625" t="s">
        <v>3430</v>
      </c>
      <c r="I153" s="626" t="s">
        <v>3514</v>
      </c>
      <c r="J153" s="626" t="s">
        <v>2453</v>
      </c>
      <c r="K153" s="627" t="s">
        <v>3516</v>
      </c>
      <c r="L153" s="628" t="s">
        <v>3456</v>
      </c>
      <c r="M153" s="1631" t="s">
        <v>3290</v>
      </c>
      <c r="N153" s="628" t="s">
        <v>2048</v>
      </c>
      <c r="O153" s="809" t="s">
        <v>3517</v>
      </c>
      <c r="P153" s="157" t="s">
        <v>3518</v>
      </c>
      <c r="Q153" s="157"/>
      <c r="R153" s="102"/>
      <c r="S153" s="153"/>
      <c r="T153" s="290" t="s">
        <v>3519</v>
      </c>
      <c r="U153" s="290" t="s">
        <v>3520</v>
      </c>
      <c r="W153" s="27" t="s">
        <v>2457</v>
      </c>
      <c r="X153" s="27" t="s">
        <v>3439</v>
      </c>
      <c r="Z153" s="27"/>
      <c r="AA153" s="79"/>
      <c r="AB153" s="79"/>
      <c r="AC153" s="283"/>
      <c r="AD153" s="42"/>
      <c r="AE153" s="79"/>
      <c r="AF153" s="79"/>
      <c r="AG153" s="79"/>
      <c r="AH153" s="79"/>
      <c r="AI153" s="79"/>
      <c r="AJ153" s="79"/>
      <c r="AK153" s="79"/>
    </row>
    <row r="154" spans="2:37" ht="10.5" customHeight="1">
      <c r="B154" s="153"/>
      <c r="C154" s="221" t="s">
        <v>3521</v>
      </c>
      <c r="D154" s="257"/>
      <c r="E154" s="153"/>
      <c r="F154" s="153" t="s">
        <v>310</v>
      </c>
      <c r="G154" s="625" t="s">
        <v>3522</v>
      </c>
      <c r="H154" s="625" t="s">
        <v>3430</v>
      </c>
      <c r="I154" s="626" t="s">
        <v>2048</v>
      </c>
      <c r="J154" s="626" t="s">
        <v>2453</v>
      </c>
      <c r="K154" s="627" t="s">
        <v>3523</v>
      </c>
      <c r="L154" s="628" t="s">
        <v>3456</v>
      </c>
      <c r="M154" s="1631" t="s">
        <v>3290</v>
      </c>
      <c r="N154" s="628" t="s">
        <v>2048</v>
      </c>
      <c r="O154" s="809" t="s">
        <v>3524</v>
      </c>
      <c r="P154" s="157" t="s">
        <v>3525</v>
      </c>
      <c r="Q154" s="157"/>
      <c r="R154" s="102"/>
      <c r="S154" s="153"/>
      <c r="T154" s="290" t="s">
        <v>3481</v>
      </c>
      <c r="U154" s="290" t="s">
        <v>3447</v>
      </c>
      <c r="W154" s="27" t="s">
        <v>55</v>
      </c>
      <c r="X154" s="27" t="s">
        <v>3439</v>
      </c>
      <c r="Z154" s="27"/>
      <c r="AA154" s="79"/>
      <c r="AB154" s="79"/>
      <c r="AC154" s="283"/>
      <c r="AD154" s="42"/>
      <c r="AE154" s="79"/>
      <c r="AF154" s="79"/>
      <c r="AG154" s="79"/>
      <c r="AH154" s="79"/>
      <c r="AI154" s="79"/>
      <c r="AJ154" s="79"/>
      <c r="AK154" s="79"/>
    </row>
    <row r="155" spans="2:37" ht="10.5" customHeight="1">
      <c r="B155" s="153"/>
      <c r="C155" s="220" t="s">
        <v>3526</v>
      </c>
      <c r="D155" s="257"/>
      <c r="E155" s="153"/>
      <c r="F155" s="153" t="s">
        <v>311</v>
      </c>
      <c r="G155" s="625" t="s">
        <v>3527</v>
      </c>
      <c r="H155" s="625" t="s">
        <v>3430</v>
      </c>
      <c r="I155" s="629" t="s">
        <v>2462</v>
      </c>
      <c r="J155" s="629" t="s">
        <v>2453</v>
      </c>
      <c r="K155" s="627" t="s">
        <v>3528</v>
      </c>
      <c r="L155" s="628" t="s">
        <v>3456</v>
      </c>
      <c r="M155" s="1631" t="s">
        <v>3290</v>
      </c>
      <c r="N155" s="628" t="s">
        <v>2462</v>
      </c>
      <c r="O155" s="809" t="s">
        <v>3529</v>
      </c>
      <c r="P155" s="157" t="s">
        <v>3530</v>
      </c>
      <c r="Q155" s="157"/>
      <c r="R155" s="102"/>
      <c r="S155" s="153"/>
      <c r="T155" s="290" t="s">
        <v>3485</v>
      </c>
      <c r="U155" s="290" t="s">
        <v>151</v>
      </c>
      <c r="W155" s="27" t="s">
        <v>3531</v>
      </c>
      <c r="X155" s="27" t="s">
        <v>3439</v>
      </c>
      <c r="Z155" s="27"/>
      <c r="AA155" s="79"/>
      <c r="AB155" s="79"/>
      <c r="AC155" s="283"/>
      <c r="AD155" s="42"/>
      <c r="AE155" s="79"/>
      <c r="AF155" s="79"/>
      <c r="AG155" s="79"/>
      <c r="AH155" s="79"/>
      <c r="AI155" s="79"/>
      <c r="AJ155" s="79"/>
      <c r="AK155" s="79"/>
    </row>
    <row r="156" spans="2:37" ht="10.5" customHeight="1">
      <c r="B156" s="153"/>
      <c r="C156" s="221" t="s">
        <v>3532</v>
      </c>
      <c r="D156" s="257"/>
      <c r="E156" s="153"/>
      <c r="F156" s="153" t="s">
        <v>312</v>
      </c>
      <c r="G156" s="625" t="s">
        <v>104</v>
      </c>
      <c r="H156" s="625" t="s">
        <v>3430</v>
      </c>
      <c r="I156" s="629" t="s">
        <v>3521</v>
      </c>
      <c r="J156" s="629" t="s">
        <v>3293</v>
      </c>
      <c r="K156" s="627" t="s">
        <v>3533</v>
      </c>
      <c r="L156" s="628" t="s">
        <v>3433</v>
      </c>
      <c r="M156" s="1631" t="s">
        <v>3292</v>
      </c>
      <c r="N156" s="628" t="s">
        <v>2462</v>
      </c>
      <c r="O156" s="809" t="s">
        <v>3534</v>
      </c>
      <c r="P156" s="157" t="s">
        <v>3535</v>
      </c>
      <c r="Q156" s="157"/>
      <c r="R156" s="102"/>
      <c r="S156" s="153"/>
      <c r="T156" s="290" t="s">
        <v>3536</v>
      </c>
      <c r="U156" s="290" t="s">
        <v>147</v>
      </c>
      <c r="W156" s="27" t="s">
        <v>2458</v>
      </c>
      <c r="X156" s="27" t="s">
        <v>3439</v>
      </c>
      <c r="Z156" s="27"/>
      <c r="AA156" s="79"/>
      <c r="AB156" s="79"/>
      <c r="AC156" s="283"/>
      <c r="AD156" s="42"/>
      <c r="AE156" s="79"/>
      <c r="AF156" s="79"/>
      <c r="AG156" s="79"/>
      <c r="AH156" s="79"/>
      <c r="AI156" s="79"/>
      <c r="AJ156" s="79"/>
      <c r="AK156" s="79"/>
    </row>
    <row r="157" spans="2:37" ht="10.5" customHeight="1">
      <c r="B157" s="153"/>
      <c r="C157" s="221" t="s">
        <v>3537</v>
      </c>
      <c r="D157" s="257"/>
      <c r="E157" s="153"/>
      <c r="F157" s="153" t="s">
        <v>314</v>
      </c>
      <c r="G157" s="625" t="s">
        <v>3538</v>
      </c>
      <c r="H157" s="625" t="s">
        <v>3430</v>
      </c>
      <c r="I157" s="629" t="s">
        <v>3469</v>
      </c>
      <c r="J157" s="629" t="s">
        <v>2453</v>
      </c>
      <c r="K157" s="627" t="s">
        <v>3539</v>
      </c>
      <c r="L157" s="628" t="s">
        <v>3456</v>
      </c>
      <c r="M157" s="1631" t="s">
        <v>3292</v>
      </c>
      <c r="N157" s="628" t="s">
        <v>2458</v>
      </c>
      <c r="O157" s="809" t="s">
        <v>3540</v>
      </c>
      <c r="P157" s="157" t="s">
        <v>3541</v>
      </c>
      <c r="Q157" s="157"/>
      <c r="R157" s="102"/>
      <c r="S157" s="153"/>
      <c r="T157" s="290" t="s">
        <v>3542</v>
      </c>
      <c r="U157" s="290" t="s">
        <v>161</v>
      </c>
      <c r="W157" s="27" t="s">
        <v>3543</v>
      </c>
      <c r="X157" s="27" t="s">
        <v>3439</v>
      </c>
      <c r="Z157" s="27"/>
      <c r="AA157" s="79"/>
      <c r="AB157" s="79"/>
      <c r="AC157" s="283"/>
      <c r="AD157" s="42"/>
      <c r="AE157" s="79"/>
      <c r="AF157" s="79"/>
      <c r="AG157" s="79"/>
      <c r="AH157" s="79"/>
      <c r="AI157" s="79"/>
      <c r="AJ157" s="79"/>
      <c r="AK157" s="79"/>
    </row>
    <row r="158" spans="2:37" ht="10.5" customHeight="1">
      <c r="B158" s="153"/>
      <c r="C158" s="221" t="s">
        <v>3544</v>
      </c>
      <c r="D158" s="257"/>
      <c r="E158" s="153"/>
      <c r="F158" s="153" t="s">
        <v>315</v>
      </c>
      <c r="G158" s="625" t="s">
        <v>3545</v>
      </c>
      <c r="H158" s="625" t="s">
        <v>3471</v>
      </c>
      <c r="I158" s="629" t="s">
        <v>3526</v>
      </c>
      <c r="J158" s="629" t="s">
        <v>2453</v>
      </c>
      <c r="K158" s="627" t="s">
        <v>3546</v>
      </c>
      <c r="L158" s="628" t="s">
        <v>3456</v>
      </c>
      <c r="M158" s="1631" t="s">
        <v>3292</v>
      </c>
      <c r="N158" s="628" t="s">
        <v>55</v>
      </c>
      <c r="O158" s="809" t="s">
        <v>3547</v>
      </c>
      <c r="P158" s="157" t="s">
        <v>3548</v>
      </c>
      <c r="Q158" s="157"/>
      <c r="R158" s="102"/>
      <c r="S158" s="153"/>
      <c r="T158" s="290" t="s">
        <v>3549</v>
      </c>
      <c r="U158" s="290" t="s">
        <v>3550</v>
      </c>
      <c r="W158" s="27" t="s">
        <v>3551</v>
      </c>
      <c r="X158" s="27" t="s">
        <v>3439</v>
      </c>
      <c r="Z158" s="27"/>
      <c r="AA158" s="79"/>
      <c r="AB158" s="79"/>
      <c r="AC158" s="283"/>
      <c r="AD158" s="42"/>
      <c r="AE158" s="79"/>
      <c r="AF158" s="79"/>
      <c r="AG158" s="79"/>
      <c r="AH158" s="79"/>
      <c r="AI158" s="79"/>
      <c r="AJ158" s="79"/>
      <c r="AK158" s="79"/>
    </row>
    <row r="159" spans="2:37" ht="10.5" customHeight="1">
      <c r="B159" s="153"/>
      <c r="C159" s="220" t="s">
        <v>3552</v>
      </c>
      <c r="D159" s="257"/>
      <c r="E159" s="153"/>
      <c r="F159" s="153" t="s">
        <v>316</v>
      </c>
      <c r="G159" s="625" t="s">
        <v>3553</v>
      </c>
      <c r="H159" s="625" t="s">
        <v>3430</v>
      </c>
      <c r="I159" s="626" t="s">
        <v>3532</v>
      </c>
      <c r="J159" s="626" t="s">
        <v>3293</v>
      </c>
      <c r="K159" s="627" t="s">
        <v>3554</v>
      </c>
      <c r="L159" s="628" t="s">
        <v>3433</v>
      </c>
      <c r="M159" s="1631" t="s">
        <v>3292</v>
      </c>
      <c r="N159" s="628" t="s">
        <v>1975</v>
      </c>
      <c r="O159" s="809" t="s">
        <v>3555</v>
      </c>
      <c r="P159" s="157" t="s">
        <v>3556</v>
      </c>
      <c r="Q159" s="157"/>
      <c r="R159" s="102"/>
      <c r="S159" s="153"/>
      <c r="T159" s="290" t="s">
        <v>3493</v>
      </c>
      <c r="U159" s="290" t="s">
        <v>3557</v>
      </c>
      <c r="W159" s="27" t="s">
        <v>3558</v>
      </c>
      <c r="X159" s="27" t="s">
        <v>3439</v>
      </c>
      <c r="Z159" s="27"/>
      <c r="AA159" s="79"/>
      <c r="AB159" s="79"/>
      <c r="AC159" s="283"/>
      <c r="AD159" s="42"/>
      <c r="AE159" s="79"/>
      <c r="AF159" s="79"/>
      <c r="AG159" s="79"/>
      <c r="AH159" s="79"/>
      <c r="AI159" s="79"/>
      <c r="AJ159" s="79"/>
      <c r="AK159" s="79"/>
    </row>
    <row r="160" spans="2:37" ht="10.5" customHeight="1">
      <c r="B160" s="153"/>
      <c r="C160" s="220" t="s">
        <v>2459</v>
      </c>
      <c r="D160" s="257"/>
      <c r="E160" s="153"/>
      <c r="F160" s="153" t="s">
        <v>319</v>
      </c>
      <c r="G160" s="625" t="s">
        <v>137</v>
      </c>
      <c r="H160" s="625" t="s">
        <v>3430</v>
      </c>
      <c r="I160" s="629" t="s">
        <v>3537</v>
      </c>
      <c r="J160" s="629" t="s">
        <v>3293</v>
      </c>
      <c r="K160" s="627" t="s">
        <v>3559</v>
      </c>
      <c r="L160" s="628" t="s">
        <v>3433</v>
      </c>
      <c r="M160" s="1631" t="s">
        <v>3292</v>
      </c>
      <c r="N160" s="628" t="s">
        <v>2048</v>
      </c>
      <c r="O160" s="809" t="s">
        <v>3560</v>
      </c>
      <c r="P160" s="157" t="s">
        <v>3561</v>
      </c>
      <c r="Q160" s="157"/>
      <c r="R160" s="102"/>
      <c r="S160" s="153"/>
      <c r="T160" s="290" t="s">
        <v>3562</v>
      </c>
      <c r="U160" s="290" t="s">
        <v>3557</v>
      </c>
      <c r="W160" s="27" t="s">
        <v>3462</v>
      </c>
      <c r="X160" s="27" t="s">
        <v>3439</v>
      </c>
      <c r="Z160" s="27"/>
      <c r="AA160" s="79"/>
      <c r="AB160" s="79"/>
      <c r="AC160" s="283"/>
      <c r="AD160" s="42"/>
      <c r="AE160" s="79"/>
      <c r="AF160" s="79"/>
      <c r="AG160" s="79"/>
      <c r="AH160" s="79"/>
      <c r="AI160" s="79"/>
      <c r="AJ160" s="79"/>
      <c r="AK160" s="79"/>
    </row>
    <row r="161" spans="2:37" ht="10.5" customHeight="1">
      <c r="B161" s="153"/>
      <c r="C161" s="220" t="s">
        <v>3563</v>
      </c>
      <c r="D161" s="257"/>
      <c r="E161" s="153"/>
      <c r="F161" s="153" t="s">
        <v>318</v>
      </c>
      <c r="G161" s="625" t="s">
        <v>3564</v>
      </c>
      <c r="H161" s="625" t="s">
        <v>3430</v>
      </c>
      <c r="I161" s="626" t="s">
        <v>3544</v>
      </c>
      <c r="J161" s="626" t="s">
        <v>3293</v>
      </c>
      <c r="K161" s="627" t="s">
        <v>3565</v>
      </c>
      <c r="L161" s="628" t="s">
        <v>3433</v>
      </c>
      <c r="M161" s="1631" t="s">
        <v>3292</v>
      </c>
      <c r="N161" s="628" t="s">
        <v>2462</v>
      </c>
      <c r="O161" s="809" t="s">
        <v>3566</v>
      </c>
      <c r="P161" s="157" t="s">
        <v>3567</v>
      </c>
      <c r="Q161" s="157"/>
      <c r="R161" s="102"/>
      <c r="S161" s="153"/>
      <c r="T161" s="290" t="s">
        <v>3429</v>
      </c>
      <c r="U161" s="290" t="s">
        <v>115</v>
      </c>
      <c r="W161" s="27" t="s">
        <v>3568</v>
      </c>
      <c r="X161" s="27" t="s">
        <v>3439</v>
      </c>
      <c r="Z161" s="27"/>
      <c r="AA161" s="79"/>
      <c r="AB161" s="79"/>
      <c r="AC161" s="283"/>
      <c r="AD161" s="42"/>
      <c r="AE161" s="79"/>
      <c r="AF161" s="79"/>
      <c r="AG161" s="79"/>
      <c r="AH161" s="79"/>
      <c r="AI161" s="79"/>
      <c r="AJ161" s="79"/>
      <c r="AK161" s="79"/>
    </row>
    <row r="162" spans="2:37" ht="10.5" customHeight="1">
      <c r="B162" s="153"/>
      <c r="C162" s="220" t="s">
        <v>3569</v>
      </c>
      <c r="D162" s="257"/>
      <c r="E162" s="153"/>
      <c r="F162" s="153" t="s">
        <v>317</v>
      </c>
      <c r="G162" s="625" t="s">
        <v>3570</v>
      </c>
      <c r="H162" s="625" t="s">
        <v>3471</v>
      </c>
      <c r="I162" s="629" t="s">
        <v>3461</v>
      </c>
      <c r="J162" s="629" t="s">
        <v>2453</v>
      </c>
      <c r="K162" s="627" t="s">
        <v>3477</v>
      </c>
      <c r="L162" s="628" t="s">
        <v>3456</v>
      </c>
      <c r="M162" s="1631" t="s">
        <v>3290</v>
      </c>
      <c r="N162" s="628" t="s">
        <v>55</v>
      </c>
      <c r="O162" s="809" t="s">
        <v>3571</v>
      </c>
      <c r="P162" s="157" t="s">
        <v>3572</v>
      </c>
      <c r="Q162" s="157"/>
      <c r="R162" s="102"/>
      <c r="S162" s="153"/>
      <c r="T162" s="290" t="s">
        <v>3573</v>
      </c>
      <c r="U162" s="290" t="s">
        <v>3574</v>
      </c>
      <c r="W162" s="27" t="s">
        <v>3575</v>
      </c>
      <c r="X162" s="27" t="s">
        <v>3439</v>
      </c>
      <c r="Z162" s="27"/>
      <c r="AA162" s="79"/>
      <c r="AB162" s="79"/>
      <c r="AC162" s="283"/>
      <c r="AD162" s="42"/>
      <c r="AE162" s="79"/>
      <c r="AF162" s="79"/>
      <c r="AG162" s="79"/>
      <c r="AH162" s="79"/>
      <c r="AI162" s="79"/>
      <c r="AJ162" s="79"/>
      <c r="AK162" s="79"/>
    </row>
    <row r="163" spans="2:37" ht="10.5" customHeight="1">
      <c r="B163" s="153"/>
      <c r="C163" s="221" t="s">
        <v>3576</v>
      </c>
      <c r="D163" s="257"/>
      <c r="E163" s="153"/>
      <c r="F163" s="153" t="s">
        <v>320</v>
      </c>
      <c r="G163" s="625" t="s">
        <v>132</v>
      </c>
      <c r="H163" s="625" t="s">
        <v>3471</v>
      </c>
      <c r="I163" s="629" t="s">
        <v>2459</v>
      </c>
      <c r="J163" s="629" t="s">
        <v>2453</v>
      </c>
      <c r="K163" s="627" t="s">
        <v>3577</v>
      </c>
      <c r="L163" s="628" t="s">
        <v>3456</v>
      </c>
      <c r="M163" s="1631" t="s">
        <v>3292</v>
      </c>
      <c r="N163" s="628" t="s">
        <v>2459</v>
      </c>
      <c r="O163" s="809" t="s">
        <v>3578</v>
      </c>
      <c r="P163" s="157" t="s">
        <v>3579</v>
      </c>
      <c r="Q163" s="157"/>
      <c r="R163" s="102"/>
      <c r="S163" s="153"/>
      <c r="T163" s="290" t="s">
        <v>3499</v>
      </c>
      <c r="U163" s="290" t="s">
        <v>3580</v>
      </c>
      <c r="W163" s="27" t="s">
        <v>3581</v>
      </c>
      <c r="X163" s="27" t="s">
        <v>3439</v>
      </c>
      <c r="Z163" s="27"/>
      <c r="AA163" s="79"/>
      <c r="AB163" s="79"/>
      <c r="AC163" s="283"/>
      <c r="AD163" s="42"/>
      <c r="AE163" s="79"/>
      <c r="AF163" s="79"/>
      <c r="AG163" s="79"/>
      <c r="AH163" s="79"/>
      <c r="AI163" s="79"/>
      <c r="AJ163" s="79"/>
      <c r="AK163" s="79"/>
    </row>
    <row r="164" spans="2:37" ht="10.5" customHeight="1">
      <c r="B164" s="153"/>
      <c r="C164" s="221" t="s">
        <v>3582</v>
      </c>
      <c r="D164" s="257"/>
      <c r="E164" s="153"/>
      <c r="F164" s="153" t="s">
        <v>321</v>
      </c>
      <c r="G164" s="625" t="s">
        <v>3583</v>
      </c>
      <c r="H164" s="625" t="s">
        <v>3430</v>
      </c>
      <c r="I164" s="626" t="s">
        <v>3552</v>
      </c>
      <c r="J164" s="626" t="s">
        <v>3293</v>
      </c>
      <c r="K164" s="627" t="s">
        <v>3584</v>
      </c>
      <c r="L164" s="628" t="s">
        <v>3433</v>
      </c>
      <c r="M164" s="1631" t="s">
        <v>3292</v>
      </c>
      <c r="N164" s="628" t="s">
        <v>2048</v>
      </c>
      <c r="O164" s="809" t="s">
        <v>3585</v>
      </c>
      <c r="P164" s="157" t="s">
        <v>3586</v>
      </c>
      <c r="Q164" s="157"/>
      <c r="R164" s="102"/>
      <c r="S164" s="153"/>
      <c r="T164" s="290" t="s">
        <v>3587</v>
      </c>
      <c r="U164" s="290" t="s">
        <v>3588</v>
      </c>
      <c r="W164" s="27" t="s">
        <v>3589</v>
      </c>
      <c r="X164" s="27" t="s">
        <v>3439</v>
      </c>
      <c r="Z164" s="27"/>
      <c r="AA164" s="79"/>
      <c r="AB164" s="79"/>
      <c r="AC164" s="283"/>
      <c r="AD164" s="42"/>
      <c r="AE164" s="79"/>
      <c r="AF164" s="79"/>
      <c r="AG164" s="79"/>
      <c r="AH164" s="79"/>
      <c r="AI164" s="79"/>
      <c r="AJ164" s="79"/>
      <c r="AK164" s="79"/>
    </row>
    <row r="165" spans="2:37" ht="10.5" customHeight="1">
      <c r="B165" s="153"/>
      <c r="C165" s="221" t="s">
        <v>3590</v>
      </c>
      <c r="D165" s="257"/>
      <c r="E165" s="153"/>
      <c r="F165" s="153" t="s">
        <v>323</v>
      </c>
      <c r="G165" s="625" t="s">
        <v>135</v>
      </c>
      <c r="H165" s="625" t="s">
        <v>3501</v>
      </c>
      <c r="I165" s="629" t="s">
        <v>2462</v>
      </c>
      <c r="J165" s="629" t="s">
        <v>2453</v>
      </c>
      <c r="K165" s="627" t="s">
        <v>3528</v>
      </c>
      <c r="L165" s="628" t="s">
        <v>3456</v>
      </c>
      <c r="M165" s="1631" t="s">
        <v>3290</v>
      </c>
      <c r="N165" s="628" t="s">
        <v>2462</v>
      </c>
      <c r="O165" s="809" t="s">
        <v>3591</v>
      </c>
      <c r="P165" s="157" t="s">
        <v>3592</v>
      </c>
      <c r="Q165" s="157"/>
      <c r="R165" s="102"/>
      <c r="S165" s="153"/>
      <c r="T165" s="290" t="s">
        <v>3593</v>
      </c>
      <c r="U165" s="290" t="s">
        <v>3594</v>
      </c>
      <c r="W165" s="27" t="s">
        <v>3595</v>
      </c>
      <c r="X165" s="27" t="s">
        <v>3439</v>
      </c>
      <c r="Z165" s="27"/>
      <c r="AA165" s="79"/>
      <c r="AB165" s="79"/>
      <c r="AC165" s="283"/>
      <c r="AD165" s="42"/>
      <c r="AE165" s="79"/>
      <c r="AF165" s="79"/>
      <c r="AG165" s="79"/>
      <c r="AH165" s="79"/>
      <c r="AI165" s="79"/>
      <c r="AJ165" s="79"/>
      <c r="AK165" s="79"/>
    </row>
    <row r="166" spans="2:37" ht="10.5" customHeight="1">
      <c r="B166" s="153"/>
      <c r="C166" s="220" t="s">
        <v>2460</v>
      </c>
      <c r="D166" s="257"/>
      <c r="E166" s="153"/>
      <c r="F166" s="153" t="s">
        <v>322</v>
      </c>
      <c r="G166" s="625" t="s">
        <v>3596</v>
      </c>
      <c r="H166" s="625" t="s">
        <v>3430</v>
      </c>
      <c r="I166" s="629" t="s">
        <v>2460</v>
      </c>
      <c r="J166" s="629" t="s">
        <v>2453</v>
      </c>
      <c r="K166" s="627" t="s">
        <v>3597</v>
      </c>
      <c r="L166" s="628" t="s">
        <v>3456</v>
      </c>
      <c r="M166" s="1631" t="s">
        <v>3292</v>
      </c>
      <c r="N166" s="628" t="s">
        <v>2460</v>
      </c>
      <c r="O166" s="809" t="s">
        <v>3598</v>
      </c>
      <c r="P166" s="157" t="s">
        <v>3599</v>
      </c>
      <c r="Q166" s="157"/>
      <c r="R166" s="102"/>
      <c r="S166" s="153"/>
      <c r="T166" s="290" t="s">
        <v>1979</v>
      </c>
      <c r="U166" s="290" t="s">
        <v>3553</v>
      </c>
      <c r="W166" s="27" t="s">
        <v>3600</v>
      </c>
      <c r="X166" s="27" t="s">
        <v>3439</v>
      </c>
      <c r="Z166" s="27"/>
      <c r="AA166" s="79"/>
      <c r="AB166" s="79"/>
      <c r="AC166" s="283"/>
      <c r="AD166" s="42"/>
      <c r="AE166" s="79"/>
      <c r="AF166" s="79"/>
      <c r="AG166" s="79"/>
      <c r="AH166" s="79"/>
      <c r="AI166" s="79"/>
      <c r="AJ166" s="79"/>
      <c r="AK166" s="79"/>
    </row>
    <row r="167" spans="2:37" ht="10.5" customHeight="1">
      <c r="B167" s="153"/>
      <c r="C167" s="221" t="s">
        <v>3601</v>
      </c>
      <c r="D167" s="257"/>
      <c r="E167" s="153"/>
      <c r="F167" s="153" t="s">
        <v>324</v>
      </c>
      <c r="G167" s="625" t="s">
        <v>3602</v>
      </c>
      <c r="H167" s="625" t="s">
        <v>3471</v>
      </c>
      <c r="I167" s="626" t="s">
        <v>3563</v>
      </c>
      <c r="J167" s="626" t="s">
        <v>3293</v>
      </c>
      <c r="K167" s="627" t="s">
        <v>3603</v>
      </c>
      <c r="L167" s="628" t="s">
        <v>3433</v>
      </c>
      <c r="M167" s="1631" t="s">
        <v>3292</v>
      </c>
      <c r="N167" s="628" t="s">
        <v>2459</v>
      </c>
      <c r="O167" s="809" t="s">
        <v>3604</v>
      </c>
      <c r="P167" s="157" t="s">
        <v>3605</v>
      </c>
      <c r="Q167" s="157"/>
      <c r="R167" s="102"/>
      <c r="S167" s="153"/>
      <c r="T167" s="290" t="s">
        <v>3606</v>
      </c>
      <c r="U167" s="290" t="s">
        <v>3607</v>
      </c>
      <c r="W167" s="27" t="s">
        <v>3608</v>
      </c>
      <c r="X167" s="27" t="s">
        <v>3439</v>
      </c>
      <c r="Z167" s="27"/>
      <c r="AA167" s="79"/>
      <c r="AB167" s="79"/>
      <c r="AC167" s="283"/>
      <c r="AD167" s="42"/>
      <c r="AE167" s="79"/>
      <c r="AF167" s="79"/>
      <c r="AG167" s="79"/>
      <c r="AH167" s="79"/>
      <c r="AI167" s="79"/>
      <c r="AJ167" s="79"/>
      <c r="AK167" s="79"/>
    </row>
    <row r="168" spans="2:37" ht="10.5" customHeight="1">
      <c r="B168" s="153"/>
      <c r="C168" s="221" t="s">
        <v>3609</v>
      </c>
      <c r="D168" s="257"/>
      <c r="E168" s="153"/>
      <c r="F168" s="153" t="s">
        <v>331</v>
      </c>
      <c r="G168" s="625" t="s">
        <v>3610</v>
      </c>
      <c r="H168" s="625" t="s">
        <v>3471</v>
      </c>
      <c r="I168" s="629" t="s">
        <v>3461</v>
      </c>
      <c r="J168" s="629" t="s">
        <v>2453</v>
      </c>
      <c r="K168" s="627" t="s">
        <v>3477</v>
      </c>
      <c r="L168" s="628" t="s">
        <v>3456</v>
      </c>
      <c r="M168" s="1631" t="s">
        <v>3290</v>
      </c>
      <c r="N168" s="628" t="s">
        <v>55</v>
      </c>
      <c r="O168" s="809" t="s">
        <v>3611</v>
      </c>
      <c r="P168" s="157" t="s">
        <v>3612</v>
      </c>
      <c r="Q168" s="157"/>
      <c r="R168" s="102"/>
      <c r="S168" s="153"/>
      <c r="T168" s="290" t="s">
        <v>3513</v>
      </c>
      <c r="U168" s="290" t="s">
        <v>3613</v>
      </c>
      <c r="W168" s="27" t="s">
        <v>3614</v>
      </c>
      <c r="X168" s="27" t="s">
        <v>3439</v>
      </c>
      <c r="Z168" s="27"/>
      <c r="AA168" s="79"/>
      <c r="AB168" s="79"/>
      <c r="AC168" s="283"/>
      <c r="AD168" s="42"/>
      <c r="AE168" s="79"/>
      <c r="AF168" s="79"/>
      <c r="AG168" s="79"/>
      <c r="AH168" s="79"/>
      <c r="AI168" s="79"/>
      <c r="AJ168" s="79"/>
      <c r="AK168" s="79"/>
    </row>
    <row r="169" spans="2:37" ht="10.5" customHeight="1">
      <c r="B169" s="153"/>
      <c r="C169" s="221" t="s">
        <v>2011</v>
      </c>
      <c r="D169" s="257"/>
      <c r="E169" s="153"/>
      <c r="F169" s="153" t="s">
        <v>332</v>
      </c>
      <c r="G169" s="625" t="s">
        <v>3615</v>
      </c>
      <c r="H169" s="625" t="s">
        <v>3471</v>
      </c>
      <c r="I169" s="626" t="s">
        <v>3616</v>
      </c>
      <c r="J169" s="626" t="s">
        <v>2453</v>
      </c>
      <c r="K169" s="627" t="s">
        <v>3617</v>
      </c>
      <c r="L169" s="628" t="s">
        <v>3456</v>
      </c>
      <c r="M169" s="1631" t="s">
        <v>3290</v>
      </c>
      <c r="N169" s="628" t="s">
        <v>2457</v>
      </c>
      <c r="O169" s="809" t="s">
        <v>3618</v>
      </c>
      <c r="P169" s="157" t="s">
        <v>3619</v>
      </c>
      <c r="Q169" s="157"/>
      <c r="R169" s="153"/>
      <c r="S169" s="153"/>
      <c r="T169" s="290" t="s">
        <v>2457</v>
      </c>
      <c r="U169" s="290" t="s">
        <v>3615</v>
      </c>
      <c r="W169" s="27" t="s">
        <v>3514</v>
      </c>
      <c r="X169" s="27" t="s">
        <v>3439</v>
      </c>
      <c r="Z169" s="27"/>
      <c r="AA169" s="79"/>
      <c r="AB169" s="79"/>
      <c r="AC169" s="283"/>
      <c r="AD169" s="42"/>
      <c r="AE169" s="79"/>
      <c r="AF169" s="79"/>
      <c r="AG169" s="79"/>
      <c r="AH169" s="79"/>
      <c r="AI169" s="79"/>
      <c r="AJ169" s="79"/>
      <c r="AK169" s="79"/>
    </row>
    <row r="170" spans="2:37" ht="10.5" customHeight="1">
      <c r="B170" s="153"/>
      <c r="C170" s="220" t="s">
        <v>3620</v>
      </c>
      <c r="D170" s="257"/>
      <c r="E170" s="153"/>
      <c r="F170" s="153" t="s">
        <v>325</v>
      </c>
      <c r="G170" s="625" t="s">
        <v>3621</v>
      </c>
      <c r="H170" s="625" t="s">
        <v>3430</v>
      </c>
      <c r="I170" s="626" t="s">
        <v>3569</v>
      </c>
      <c r="J170" s="626" t="s">
        <v>3293</v>
      </c>
      <c r="K170" s="627" t="s">
        <v>3622</v>
      </c>
      <c r="L170" s="628" t="s">
        <v>3433</v>
      </c>
      <c r="M170" s="1631" t="s">
        <v>3292</v>
      </c>
      <c r="N170" s="628" t="s">
        <v>1975</v>
      </c>
      <c r="O170" s="809" t="s">
        <v>3623</v>
      </c>
      <c r="P170" s="157" t="s">
        <v>3624</v>
      </c>
      <c r="Q170" s="290"/>
      <c r="R170" s="102"/>
      <c r="S170" s="153"/>
      <c r="T170" s="290" t="s">
        <v>55</v>
      </c>
      <c r="U170" s="290" t="s">
        <v>151</v>
      </c>
      <c r="W170" s="27" t="s">
        <v>3625</v>
      </c>
      <c r="X170" s="27" t="s">
        <v>3439</v>
      </c>
      <c r="Z170" s="27"/>
      <c r="AA170" s="79"/>
      <c r="AB170" s="79"/>
      <c r="AC170" s="283"/>
      <c r="AD170" s="42"/>
      <c r="AE170" s="79"/>
      <c r="AF170" s="79"/>
      <c r="AG170" s="79"/>
      <c r="AH170" s="79"/>
      <c r="AI170" s="79"/>
      <c r="AJ170" s="79"/>
      <c r="AK170" s="79"/>
    </row>
    <row r="171" spans="2:37" ht="10.5" customHeight="1">
      <c r="B171" s="153"/>
      <c r="C171" s="220" t="s">
        <v>3626</v>
      </c>
      <c r="D171" s="257"/>
      <c r="E171" s="153"/>
      <c r="F171" s="153" t="s">
        <v>327</v>
      </c>
      <c r="G171" s="625" t="s">
        <v>98</v>
      </c>
      <c r="H171" s="625" t="s">
        <v>3501</v>
      </c>
      <c r="I171" s="629" t="s">
        <v>3461</v>
      </c>
      <c r="J171" s="629" t="s">
        <v>2453</v>
      </c>
      <c r="K171" s="627" t="s">
        <v>3477</v>
      </c>
      <c r="L171" s="628" t="s">
        <v>3456</v>
      </c>
      <c r="M171" s="1631" t="s">
        <v>3290</v>
      </c>
      <c r="N171" s="628" t="s">
        <v>55</v>
      </c>
      <c r="O171" s="809" t="s">
        <v>3627</v>
      </c>
      <c r="P171" s="157" t="s">
        <v>3628</v>
      </c>
      <c r="Q171" s="290"/>
      <c r="R171" s="102"/>
      <c r="S171" s="153"/>
      <c r="T171" s="290" t="s">
        <v>3629</v>
      </c>
      <c r="U171" s="290" t="s">
        <v>3630</v>
      </c>
      <c r="W171" s="27" t="s">
        <v>3631</v>
      </c>
      <c r="X171" s="27" t="s">
        <v>3439</v>
      </c>
      <c r="Z171" s="27"/>
      <c r="AA171" s="79"/>
      <c r="AB171" s="79"/>
      <c r="AC171" s="283"/>
      <c r="AD171" s="42"/>
      <c r="AE171" s="79"/>
      <c r="AF171" s="79"/>
      <c r="AG171" s="79"/>
      <c r="AH171" s="79"/>
      <c r="AI171" s="79"/>
      <c r="AJ171" s="79"/>
      <c r="AK171" s="79"/>
    </row>
    <row r="172" spans="2:37" ht="10.5" customHeight="1">
      <c r="B172" s="153"/>
      <c r="C172" s="221" t="s">
        <v>3632</v>
      </c>
      <c r="D172" s="257"/>
      <c r="E172" s="153"/>
      <c r="F172" s="153" t="s">
        <v>328</v>
      </c>
      <c r="G172" s="625" t="s">
        <v>3594</v>
      </c>
      <c r="H172" s="625" t="s">
        <v>3430</v>
      </c>
      <c r="I172" s="626" t="s">
        <v>3576</v>
      </c>
      <c r="J172" s="626" t="s">
        <v>3293</v>
      </c>
      <c r="K172" s="627" t="s">
        <v>3633</v>
      </c>
      <c r="L172" s="628" t="s">
        <v>3433</v>
      </c>
      <c r="M172" s="1631" t="s">
        <v>3292</v>
      </c>
      <c r="N172" s="628" t="s">
        <v>2048</v>
      </c>
      <c r="O172" s="809" t="s">
        <v>3634</v>
      </c>
      <c r="P172" s="157" t="s">
        <v>3635</v>
      </c>
      <c r="Q172" s="290"/>
      <c r="R172" s="102"/>
      <c r="S172" s="153"/>
      <c r="T172" s="290" t="s">
        <v>3531</v>
      </c>
      <c r="U172" s="290" t="s">
        <v>168</v>
      </c>
      <c r="W172" s="27" t="s">
        <v>3636</v>
      </c>
      <c r="X172" s="27" t="s">
        <v>3439</v>
      </c>
      <c r="Z172" s="27"/>
      <c r="AA172" s="79"/>
      <c r="AB172" s="79"/>
      <c r="AC172" s="283"/>
      <c r="AD172" s="42"/>
      <c r="AE172" s="79"/>
      <c r="AF172" s="79"/>
      <c r="AG172" s="79"/>
      <c r="AH172" s="79"/>
      <c r="AI172" s="79"/>
      <c r="AJ172" s="79"/>
      <c r="AK172" s="79"/>
    </row>
    <row r="173" spans="2:37" ht="10.5" customHeight="1">
      <c r="B173" s="153"/>
      <c r="C173" s="220" t="s">
        <v>3637</v>
      </c>
      <c r="D173" s="257"/>
      <c r="E173" s="153"/>
      <c r="F173" s="153" t="s">
        <v>329</v>
      </c>
      <c r="G173" s="625" t="s">
        <v>118</v>
      </c>
      <c r="H173" s="625" t="s">
        <v>3501</v>
      </c>
      <c r="I173" s="629" t="s">
        <v>3461</v>
      </c>
      <c r="J173" s="629" t="s">
        <v>2453</v>
      </c>
      <c r="K173" s="627" t="s">
        <v>3477</v>
      </c>
      <c r="L173" s="628" t="s">
        <v>3456</v>
      </c>
      <c r="M173" s="1631" t="s">
        <v>3290</v>
      </c>
      <c r="N173" s="628" t="s">
        <v>55</v>
      </c>
      <c r="O173" s="809" t="s">
        <v>3638</v>
      </c>
      <c r="P173" s="157" t="s">
        <v>3639</v>
      </c>
      <c r="Q173" s="290"/>
      <c r="R173" s="102"/>
      <c r="S173" s="153"/>
      <c r="T173" s="290" t="s">
        <v>2458</v>
      </c>
      <c r="U173" s="290" t="s">
        <v>3640</v>
      </c>
      <c r="W173" s="27" t="s">
        <v>3641</v>
      </c>
      <c r="X173" s="27" t="s">
        <v>3439</v>
      </c>
      <c r="Z173" s="27"/>
      <c r="AA173" s="79"/>
      <c r="AB173" s="79"/>
      <c r="AC173" s="283"/>
      <c r="AD173" s="42"/>
      <c r="AE173" s="79"/>
      <c r="AF173" s="79"/>
      <c r="AG173" s="79"/>
      <c r="AH173" s="79"/>
      <c r="AI173" s="79"/>
      <c r="AJ173" s="79"/>
      <c r="AK173" s="79"/>
    </row>
    <row r="174" spans="2:37" ht="10.5" customHeight="1">
      <c r="B174" s="153"/>
      <c r="C174" s="221" t="s">
        <v>3642</v>
      </c>
      <c r="D174" s="257"/>
      <c r="E174" s="153"/>
      <c r="F174" s="153" t="s">
        <v>326</v>
      </c>
      <c r="G174" s="625" t="s">
        <v>3550</v>
      </c>
      <c r="H174" s="625" t="s">
        <v>3430</v>
      </c>
      <c r="I174" s="626" t="s">
        <v>3582</v>
      </c>
      <c r="J174" s="626" t="s">
        <v>3293</v>
      </c>
      <c r="K174" s="627" t="s">
        <v>3643</v>
      </c>
      <c r="L174" s="628" t="s">
        <v>3433</v>
      </c>
      <c r="M174" s="1631" t="s">
        <v>3292</v>
      </c>
      <c r="N174" s="628" t="s">
        <v>2048</v>
      </c>
      <c r="O174" s="809" t="s">
        <v>3644</v>
      </c>
      <c r="P174" s="157" t="s">
        <v>3645</v>
      </c>
      <c r="Q174" s="290"/>
      <c r="R174" s="102"/>
      <c r="S174" s="153"/>
      <c r="T174" s="290" t="s">
        <v>3543</v>
      </c>
      <c r="U174" s="290" t="s">
        <v>118</v>
      </c>
      <c r="W174" s="27" t="s">
        <v>1990</v>
      </c>
      <c r="X174" s="27" t="s">
        <v>3439</v>
      </c>
      <c r="Z174" s="27"/>
      <c r="AA174" s="79"/>
      <c r="AB174" s="79"/>
      <c r="AC174" s="283"/>
      <c r="AD174" s="42"/>
      <c r="AE174" s="79"/>
      <c r="AF174" s="79"/>
      <c r="AG174" s="79"/>
      <c r="AH174" s="79"/>
      <c r="AI174" s="79"/>
      <c r="AJ174" s="79"/>
      <c r="AK174" s="79"/>
    </row>
    <row r="175" spans="2:37" ht="10.5" customHeight="1">
      <c r="B175" s="153"/>
      <c r="C175" s="221" t="s">
        <v>3646</v>
      </c>
      <c r="D175" s="257"/>
      <c r="E175" s="153"/>
      <c r="F175" s="153" t="s">
        <v>330</v>
      </c>
      <c r="G175" s="625" t="s">
        <v>3647</v>
      </c>
      <c r="H175" s="625" t="s">
        <v>3430</v>
      </c>
      <c r="I175" s="626" t="s">
        <v>3590</v>
      </c>
      <c r="J175" s="626" t="s">
        <v>3293</v>
      </c>
      <c r="K175" s="627" t="s">
        <v>3648</v>
      </c>
      <c r="L175" s="628" t="s">
        <v>3433</v>
      </c>
      <c r="M175" s="1631" t="s">
        <v>3292</v>
      </c>
      <c r="N175" s="628" t="s">
        <v>1975</v>
      </c>
      <c r="O175" s="809" t="s">
        <v>3649</v>
      </c>
      <c r="P175" s="157" t="s">
        <v>3650</v>
      </c>
      <c r="Q175" s="290"/>
      <c r="R175" s="102"/>
      <c r="S175" s="153"/>
      <c r="T175" s="290" t="s">
        <v>3651</v>
      </c>
      <c r="U175" s="290" t="s">
        <v>3652</v>
      </c>
      <c r="W175" s="27" t="s">
        <v>3653</v>
      </c>
      <c r="X175" s="27" t="s">
        <v>3439</v>
      </c>
      <c r="Z175" s="27"/>
      <c r="AA175" s="79"/>
      <c r="AB175" s="79"/>
      <c r="AC175" s="283"/>
      <c r="AD175" s="42"/>
      <c r="AE175" s="79"/>
      <c r="AF175" s="79"/>
      <c r="AG175" s="79"/>
      <c r="AH175" s="79"/>
      <c r="AI175" s="79"/>
      <c r="AJ175" s="79"/>
      <c r="AK175" s="79"/>
    </row>
    <row r="176" spans="2:37" ht="10.5" customHeight="1">
      <c r="B176" s="153"/>
      <c r="C176" s="221" t="s">
        <v>3654</v>
      </c>
      <c r="D176" s="257"/>
      <c r="E176" s="153"/>
      <c r="F176" s="153" t="s">
        <v>333</v>
      </c>
      <c r="G176" s="625" t="s">
        <v>115</v>
      </c>
      <c r="H176" s="625" t="s">
        <v>3471</v>
      </c>
      <c r="I176" s="629" t="s">
        <v>3469</v>
      </c>
      <c r="J176" s="629" t="s">
        <v>2453</v>
      </c>
      <c r="K176" s="627" t="s">
        <v>3539</v>
      </c>
      <c r="L176" s="628" t="s">
        <v>3456</v>
      </c>
      <c r="M176" s="1631" t="s">
        <v>3292</v>
      </c>
      <c r="N176" s="628" t="s">
        <v>2458</v>
      </c>
      <c r="O176" s="809" t="s">
        <v>3655</v>
      </c>
      <c r="P176" s="157" t="s">
        <v>3656</v>
      </c>
      <c r="Q176" s="290"/>
      <c r="R176" s="102"/>
      <c r="S176" s="153"/>
      <c r="T176" s="290" t="s">
        <v>3657</v>
      </c>
      <c r="U176" s="290" t="s">
        <v>3658</v>
      </c>
      <c r="W176" s="27" t="s">
        <v>3553</v>
      </c>
      <c r="X176" s="27" t="s">
        <v>3439</v>
      </c>
      <c r="Z176" s="27"/>
      <c r="AA176" s="79"/>
      <c r="AB176" s="79"/>
      <c r="AC176" s="283"/>
      <c r="AD176" s="42"/>
      <c r="AE176" s="79"/>
      <c r="AF176" s="79"/>
      <c r="AG176" s="79"/>
      <c r="AH176" s="79"/>
      <c r="AI176" s="79"/>
      <c r="AJ176" s="79"/>
      <c r="AK176" s="79"/>
    </row>
    <row r="177" spans="2:37" ht="10.5" customHeight="1">
      <c r="B177" s="153"/>
      <c r="C177" s="221" t="s">
        <v>3659</v>
      </c>
      <c r="D177" s="257"/>
      <c r="E177" s="153"/>
      <c r="F177" s="153" t="s">
        <v>334</v>
      </c>
      <c r="G177" s="625" t="s">
        <v>3467</v>
      </c>
      <c r="H177" s="625" t="s">
        <v>3430</v>
      </c>
      <c r="I177" s="626" t="s">
        <v>3601</v>
      </c>
      <c r="J177" s="626" t="s">
        <v>3293</v>
      </c>
      <c r="K177" s="627" t="s">
        <v>3660</v>
      </c>
      <c r="L177" s="628" t="s">
        <v>3433</v>
      </c>
      <c r="M177" s="1631" t="s">
        <v>3292</v>
      </c>
      <c r="N177" s="628" t="s">
        <v>2048</v>
      </c>
      <c r="O177" s="809" t="s">
        <v>3661</v>
      </c>
      <c r="P177" s="157" t="s">
        <v>3662</v>
      </c>
      <c r="Q177" s="290"/>
      <c r="R177" s="102"/>
      <c r="S177" s="153"/>
      <c r="T177" s="290" t="s">
        <v>3551</v>
      </c>
      <c r="U177" s="290" t="s">
        <v>93</v>
      </c>
      <c r="W177" s="27" t="s">
        <v>3663</v>
      </c>
      <c r="X177" s="27" t="s">
        <v>3439</v>
      </c>
      <c r="Z177" s="27"/>
      <c r="AA177" s="79"/>
      <c r="AB177" s="79"/>
      <c r="AC177" s="283"/>
      <c r="AD177" s="42"/>
      <c r="AE177" s="79"/>
      <c r="AF177" s="79"/>
      <c r="AG177" s="79"/>
      <c r="AH177" s="79"/>
      <c r="AI177" s="79"/>
      <c r="AJ177" s="79"/>
      <c r="AK177" s="79"/>
    </row>
    <row r="178" spans="2:37" ht="10.5" customHeight="1">
      <c r="B178" s="153"/>
      <c r="C178" s="221" t="s">
        <v>3664</v>
      </c>
      <c r="D178" s="257"/>
      <c r="E178" s="153"/>
      <c r="F178" s="153" t="s">
        <v>335</v>
      </c>
      <c r="G178" s="625" t="s">
        <v>113</v>
      </c>
      <c r="H178" s="625" t="s">
        <v>3430</v>
      </c>
      <c r="I178" s="629" t="s">
        <v>3461</v>
      </c>
      <c r="J178" s="629" t="s">
        <v>2453</v>
      </c>
      <c r="K178" s="627" t="s">
        <v>3477</v>
      </c>
      <c r="L178" s="628" t="s">
        <v>3456</v>
      </c>
      <c r="M178" s="1631" t="s">
        <v>3290</v>
      </c>
      <c r="N178" s="628" t="s">
        <v>55</v>
      </c>
      <c r="O178" s="809" t="s">
        <v>3665</v>
      </c>
      <c r="P178" s="157" t="s">
        <v>3666</v>
      </c>
      <c r="Q178" s="290"/>
      <c r="R178" s="102"/>
      <c r="S178" s="153"/>
      <c r="T178" s="290" t="s">
        <v>3667</v>
      </c>
      <c r="U178" s="290" t="s">
        <v>3668</v>
      </c>
      <c r="W178" s="27" t="s">
        <v>3669</v>
      </c>
      <c r="X178" s="27" t="s">
        <v>3439</v>
      </c>
      <c r="Z178" s="27"/>
      <c r="AA178" s="79"/>
      <c r="AB178" s="79"/>
      <c r="AC178" s="283"/>
      <c r="AD178" s="42"/>
      <c r="AE178" s="79"/>
      <c r="AF178" s="79"/>
      <c r="AG178" s="79"/>
      <c r="AH178" s="79"/>
      <c r="AI178" s="79"/>
      <c r="AJ178" s="79"/>
      <c r="AK178" s="79"/>
    </row>
    <row r="179" spans="2:37" ht="10.5" customHeight="1">
      <c r="B179" s="153"/>
      <c r="C179" s="221" t="s">
        <v>3670</v>
      </c>
      <c r="D179" s="257"/>
      <c r="E179" s="153"/>
      <c r="F179" s="153" t="s">
        <v>336</v>
      </c>
      <c r="G179" s="625" t="s">
        <v>3671</v>
      </c>
      <c r="H179" s="625" t="s">
        <v>3471</v>
      </c>
      <c r="I179" s="629" t="s">
        <v>2461</v>
      </c>
      <c r="J179" s="629" t="s">
        <v>2453</v>
      </c>
      <c r="K179" s="627" t="s">
        <v>3502</v>
      </c>
      <c r="L179" s="628" t="s">
        <v>3456</v>
      </c>
      <c r="M179" s="1631" t="s">
        <v>3292</v>
      </c>
      <c r="N179" s="628" t="s">
        <v>2461</v>
      </c>
      <c r="O179" s="809" t="s">
        <v>3672</v>
      </c>
      <c r="P179" s="157" t="s">
        <v>3673</v>
      </c>
      <c r="Q179" s="290"/>
      <c r="R179" s="102"/>
      <c r="S179" s="153"/>
      <c r="T179" s="290" t="s">
        <v>3558</v>
      </c>
      <c r="U179" s="290" t="s">
        <v>3630</v>
      </c>
      <c r="W179" s="27" t="s">
        <v>3674</v>
      </c>
      <c r="X179" s="27" t="s">
        <v>3439</v>
      </c>
      <c r="Z179" s="27"/>
      <c r="AA179" s="79"/>
      <c r="AB179" s="79"/>
      <c r="AC179" s="283"/>
      <c r="AD179" s="42"/>
      <c r="AE179" s="79"/>
      <c r="AF179" s="79"/>
      <c r="AG179" s="79"/>
      <c r="AH179" s="79"/>
      <c r="AI179" s="79"/>
      <c r="AJ179" s="79"/>
      <c r="AK179" s="79"/>
    </row>
    <row r="180" spans="2:37" ht="10.5" customHeight="1">
      <c r="B180" s="153"/>
      <c r="C180" s="221" t="s">
        <v>3675</v>
      </c>
      <c r="D180" s="257"/>
      <c r="E180" s="153"/>
      <c r="F180" s="153" t="s">
        <v>337</v>
      </c>
      <c r="G180" s="625" t="s">
        <v>3574</v>
      </c>
      <c r="H180" s="625" t="s">
        <v>3430</v>
      </c>
      <c r="I180" s="626" t="s">
        <v>3609</v>
      </c>
      <c r="J180" s="626" t="s">
        <v>3293</v>
      </c>
      <c r="K180" s="627" t="s">
        <v>3676</v>
      </c>
      <c r="L180" s="628" t="s">
        <v>3433</v>
      </c>
      <c r="M180" s="1631" t="s">
        <v>3292</v>
      </c>
      <c r="N180" s="628" t="s">
        <v>1975</v>
      </c>
      <c r="O180" s="809" t="s">
        <v>3677</v>
      </c>
      <c r="P180" s="157" t="s">
        <v>3678</v>
      </c>
      <c r="Q180" s="290"/>
      <c r="R180" s="102"/>
      <c r="S180" s="153"/>
      <c r="T180" s="290" t="s">
        <v>3462</v>
      </c>
      <c r="U180" s="290" t="s">
        <v>161</v>
      </c>
      <c r="W180" s="27" t="s">
        <v>3679</v>
      </c>
      <c r="X180" s="27" t="s">
        <v>3439</v>
      </c>
      <c r="Z180" s="27"/>
      <c r="AA180" s="79"/>
      <c r="AB180" s="79"/>
      <c r="AC180" s="283"/>
      <c r="AD180" s="42"/>
      <c r="AE180" s="79"/>
      <c r="AF180" s="79"/>
      <c r="AG180" s="79"/>
      <c r="AH180" s="79"/>
      <c r="AI180" s="79"/>
      <c r="AJ180" s="79"/>
      <c r="AK180" s="79"/>
    </row>
    <row r="181" spans="2:37" ht="10.5" customHeight="1">
      <c r="B181" s="153"/>
      <c r="C181" s="221" t="s">
        <v>3680</v>
      </c>
      <c r="D181" s="257"/>
      <c r="E181" s="153"/>
      <c r="F181" s="153" t="s">
        <v>338</v>
      </c>
      <c r="G181" s="625" t="s">
        <v>3681</v>
      </c>
      <c r="H181" s="625" t="s">
        <v>3471</v>
      </c>
      <c r="I181" s="629" t="s">
        <v>2459</v>
      </c>
      <c r="J181" s="629" t="s">
        <v>2453</v>
      </c>
      <c r="K181" s="627" t="s">
        <v>3577</v>
      </c>
      <c r="L181" s="628" t="s">
        <v>3456</v>
      </c>
      <c r="M181" s="1631" t="s">
        <v>3292</v>
      </c>
      <c r="N181" s="628" t="s">
        <v>2459</v>
      </c>
      <c r="O181" s="809" t="s">
        <v>3682</v>
      </c>
      <c r="P181" s="157" t="s">
        <v>3683</v>
      </c>
      <c r="Q181" s="290"/>
      <c r="R181" s="102"/>
      <c r="S181" s="153"/>
      <c r="T181" s="290" t="s">
        <v>3684</v>
      </c>
      <c r="U181" s="290" t="s">
        <v>3610</v>
      </c>
      <c r="W181" s="27" t="s">
        <v>3685</v>
      </c>
      <c r="X181" s="27" t="s">
        <v>3439</v>
      </c>
      <c r="Z181" s="27"/>
      <c r="AA181" s="79"/>
      <c r="AB181" s="79"/>
      <c r="AC181" s="283"/>
      <c r="AD181" s="42"/>
      <c r="AE181" s="79"/>
      <c r="AF181" s="79"/>
      <c r="AG181" s="79"/>
      <c r="AH181" s="79"/>
      <c r="AI181" s="79"/>
      <c r="AJ181" s="79"/>
      <c r="AK181" s="79"/>
    </row>
    <row r="182" spans="2:37" ht="10.5" customHeight="1">
      <c r="B182" s="153"/>
      <c r="C182" s="221" t="s">
        <v>3686</v>
      </c>
      <c r="D182" s="257"/>
      <c r="E182" s="153"/>
      <c r="F182" s="153" t="s">
        <v>339</v>
      </c>
      <c r="G182" s="625" t="s">
        <v>3687</v>
      </c>
      <c r="H182" s="625" t="s">
        <v>3471</v>
      </c>
      <c r="I182" s="629" t="s">
        <v>3461</v>
      </c>
      <c r="J182" s="629" t="s">
        <v>2453</v>
      </c>
      <c r="K182" s="627" t="s">
        <v>3477</v>
      </c>
      <c r="L182" s="628" t="s">
        <v>3456</v>
      </c>
      <c r="M182" s="1631" t="s">
        <v>3290</v>
      </c>
      <c r="N182" s="628" t="s">
        <v>55</v>
      </c>
      <c r="O182" s="809" t="s">
        <v>3688</v>
      </c>
      <c r="P182" s="157" t="s">
        <v>3689</v>
      </c>
      <c r="Q182" s="290"/>
      <c r="R182" s="102"/>
      <c r="S182" s="153"/>
      <c r="T182" s="290" t="s">
        <v>3568</v>
      </c>
      <c r="U182" s="290" t="s">
        <v>3506</v>
      </c>
      <c r="W182" s="27" t="s">
        <v>1993</v>
      </c>
      <c r="X182" s="27" t="s">
        <v>3439</v>
      </c>
      <c r="Z182" s="27"/>
      <c r="AA182" s="79"/>
      <c r="AB182" s="79"/>
      <c r="AC182" s="283"/>
      <c r="AD182" s="42"/>
      <c r="AE182" s="79"/>
      <c r="AF182" s="79"/>
      <c r="AG182" s="79"/>
      <c r="AH182" s="79"/>
      <c r="AI182" s="79"/>
      <c r="AJ182" s="79"/>
      <c r="AK182" s="79"/>
    </row>
    <row r="183" spans="2:37" ht="10.5" customHeight="1">
      <c r="B183" s="153"/>
      <c r="C183" s="221" t="s">
        <v>3690</v>
      </c>
      <c r="D183" s="257"/>
      <c r="E183" s="153"/>
      <c r="F183" s="153" t="s">
        <v>340</v>
      </c>
      <c r="G183" s="625" t="s">
        <v>3630</v>
      </c>
      <c r="H183" s="625" t="s">
        <v>3430</v>
      </c>
      <c r="I183" s="626" t="s">
        <v>3620</v>
      </c>
      <c r="J183" s="626" t="s">
        <v>3293</v>
      </c>
      <c r="K183" s="627" t="s">
        <v>3691</v>
      </c>
      <c r="L183" s="628" t="s">
        <v>3433</v>
      </c>
      <c r="M183" s="1631" t="s">
        <v>3292</v>
      </c>
      <c r="N183" s="628" t="s">
        <v>1975</v>
      </c>
      <c r="O183" s="809" t="s">
        <v>3692</v>
      </c>
      <c r="P183" s="157" t="s">
        <v>3693</v>
      </c>
      <c r="Q183" s="290"/>
      <c r="R183" s="102"/>
      <c r="S183" s="153"/>
      <c r="T183" s="290" t="s">
        <v>3459</v>
      </c>
      <c r="U183" s="290" t="s">
        <v>3658</v>
      </c>
      <c r="W183" s="27" t="s">
        <v>3694</v>
      </c>
      <c r="X183" s="27" t="s">
        <v>3439</v>
      </c>
      <c r="Z183" s="27"/>
      <c r="AA183" s="79"/>
      <c r="AB183" s="79"/>
      <c r="AC183" s="283"/>
      <c r="AD183" s="42"/>
      <c r="AE183" s="79"/>
      <c r="AF183" s="79"/>
      <c r="AG183" s="79"/>
      <c r="AH183" s="79"/>
      <c r="AI183" s="79"/>
      <c r="AJ183" s="79"/>
      <c r="AK183" s="79"/>
    </row>
    <row r="184" spans="2:37" ht="10.5" customHeight="1">
      <c r="B184" s="153"/>
      <c r="C184" s="221" t="s">
        <v>3695</v>
      </c>
      <c r="D184" s="257"/>
      <c r="E184" s="153"/>
      <c r="F184" s="153" t="s">
        <v>341</v>
      </c>
      <c r="G184" s="625" t="s">
        <v>3696</v>
      </c>
      <c r="H184" s="625" t="s">
        <v>3501</v>
      </c>
      <c r="I184" s="629" t="s">
        <v>3461</v>
      </c>
      <c r="J184" s="629" t="s">
        <v>2453</v>
      </c>
      <c r="K184" s="627" t="s">
        <v>3477</v>
      </c>
      <c r="L184" s="628" t="s">
        <v>3456</v>
      </c>
      <c r="M184" s="1631" t="s">
        <v>3290</v>
      </c>
      <c r="N184" s="628" t="s">
        <v>55</v>
      </c>
      <c r="O184" s="809" t="s">
        <v>3697</v>
      </c>
      <c r="P184" s="157" t="s">
        <v>3698</v>
      </c>
      <c r="Q184" s="290"/>
      <c r="R184" s="102"/>
      <c r="S184" s="153"/>
      <c r="T184" s="290" t="s">
        <v>3699</v>
      </c>
      <c r="U184" s="290" t="s">
        <v>3700</v>
      </c>
      <c r="W184" s="27" t="s">
        <v>3701</v>
      </c>
      <c r="X184" s="27" t="s">
        <v>3439</v>
      </c>
      <c r="Z184" s="27"/>
      <c r="AA184" s="79"/>
      <c r="AB184" s="79"/>
      <c r="AC184" s="283"/>
      <c r="AD184" s="42"/>
      <c r="AE184" s="79"/>
      <c r="AF184" s="79"/>
      <c r="AG184" s="79"/>
      <c r="AH184" s="79"/>
      <c r="AI184" s="79"/>
      <c r="AJ184" s="79"/>
      <c r="AK184" s="79"/>
    </row>
    <row r="185" spans="2:37" ht="10.5" customHeight="1">
      <c r="B185" s="153"/>
      <c r="C185" s="221" t="s">
        <v>3702</v>
      </c>
      <c r="D185" s="257"/>
      <c r="E185" s="153"/>
      <c r="F185" s="153" t="s">
        <v>342</v>
      </c>
      <c r="G185" s="625" t="s">
        <v>3703</v>
      </c>
      <c r="H185" s="625" t="s">
        <v>3430</v>
      </c>
      <c r="I185" s="626" t="s">
        <v>3626</v>
      </c>
      <c r="J185" s="626" t="s">
        <v>3293</v>
      </c>
      <c r="K185" s="627" t="s">
        <v>3704</v>
      </c>
      <c r="L185" s="628" t="s">
        <v>3433</v>
      </c>
      <c r="M185" s="1631" t="s">
        <v>3292</v>
      </c>
      <c r="N185" s="628" t="s">
        <v>2461</v>
      </c>
      <c r="O185" s="809" t="s">
        <v>3705</v>
      </c>
      <c r="P185" s="157" t="s">
        <v>3706</v>
      </c>
      <c r="Q185" s="290"/>
      <c r="R185" s="102"/>
      <c r="S185" s="153"/>
      <c r="T185" s="153" t="s">
        <v>3707</v>
      </c>
      <c r="U185" s="153" t="s">
        <v>3429</v>
      </c>
      <c r="W185" s="27" t="s">
        <v>3708</v>
      </c>
      <c r="X185" s="27" t="s">
        <v>3439</v>
      </c>
      <c r="Z185" s="27"/>
      <c r="AA185" s="79"/>
      <c r="AB185" s="79"/>
      <c r="AC185" s="42"/>
      <c r="AD185" s="42"/>
      <c r="AE185" s="79"/>
      <c r="AF185" s="79"/>
      <c r="AG185" s="79"/>
      <c r="AH185" s="79"/>
      <c r="AI185" s="79"/>
      <c r="AJ185" s="79"/>
      <c r="AK185" s="79"/>
    </row>
    <row r="186" spans="2:37" ht="10.5" customHeight="1">
      <c r="B186" s="153"/>
      <c r="C186" s="221" t="s">
        <v>3709</v>
      </c>
      <c r="D186" s="257"/>
      <c r="E186" s="153"/>
      <c r="F186" s="153" t="s">
        <v>344</v>
      </c>
      <c r="G186" s="625" t="s">
        <v>3710</v>
      </c>
      <c r="H186" s="625" t="s">
        <v>3430</v>
      </c>
      <c r="I186" s="626" t="s">
        <v>3632</v>
      </c>
      <c r="J186" s="626" t="s">
        <v>3293</v>
      </c>
      <c r="K186" s="627" t="s">
        <v>3711</v>
      </c>
      <c r="L186" s="628" t="s">
        <v>3433</v>
      </c>
      <c r="M186" s="1631" t="s">
        <v>3292</v>
      </c>
      <c r="N186" s="628" t="s">
        <v>1975</v>
      </c>
      <c r="O186" s="809" t="s">
        <v>3712</v>
      </c>
      <c r="P186" s="157" t="s">
        <v>3713</v>
      </c>
      <c r="Q186" s="290"/>
      <c r="R186" s="102"/>
      <c r="S186" s="153"/>
      <c r="T186" s="290" t="s">
        <v>3714</v>
      </c>
      <c r="U186" s="290" t="s">
        <v>114</v>
      </c>
      <c r="W186" s="27" t="s">
        <v>3715</v>
      </c>
      <c r="X186" s="27" t="s">
        <v>3439</v>
      </c>
      <c r="Z186" s="27"/>
      <c r="AA186" s="79"/>
      <c r="AB186" s="79"/>
      <c r="AC186" s="283"/>
      <c r="AD186" s="42"/>
      <c r="AE186" s="79"/>
      <c r="AF186" s="79"/>
      <c r="AG186" s="79"/>
      <c r="AH186" s="79"/>
      <c r="AI186" s="79"/>
      <c r="AJ186" s="79"/>
      <c r="AK186" s="79"/>
    </row>
    <row r="187" spans="2:37" ht="10.5" customHeight="1">
      <c r="B187" s="153"/>
      <c r="C187" s="221" t="s">
        <v>3716</v>
      </c>
      <c r="D187" s="257"/>
      <c r="E187" s="153"/>
      <c r="F187" s="153" t="s">
        <v>343</v>
      </c>
      <c r="G187" s="625" t="s">
        <v>159</v>
      </c>
      <c r="H187" s="625" t="s">
        <v>3430</v>
      </c>
      <c r="I187" s="629" t="s">
        <v>1975</v>
      </c>
      <c r="J187" s="629" t="s">
        <v>2453</v>
      </c>
      <c r="K187" s="627" t="s">
        <v>3717</v>
      </c>
      <c r="L187" s="628" t="s">
        <v>3456</v>
      </c>
      <c r="M187" s="1631" t="s">
        <v>3290</v>
      </c>
      <c r="N187" s="628" t="s">
        <v>1975</v>
      </c>
      <c r="O187" s="809" t="s">
        <v>3718</v>
      </c>
      <c r="P187" s="157" t="s">
        <v>3719</v>
      </c>
      <c r="Q187" s="290"/>
      <c r="R187" s="102"/>
      <c r="S187" s="153"/>
      <c r="T187" s="290" t="s">
        <v>92</v>
      </c>
      <c r="U187" s="290" t="s">
        <v>93</v>
      </c>
      <c r="W187" s="27" t="s">
        <v>3720</v>
      </c>
      <c r="X187" s="27" t="s">
        <v>3439</v>
      </c>
      <c r="Z187" s="27"/>
      <c r="AA187" s="79"/>
      <c r="AB187" s="79"/>
      <c r="AC187" s="283"/>
      <c r="AD187" s="42"/>
      <c r="AE187" s="79"/>
      <c r="AF187" s="79"/>
      <c r="AG187" s="79"/>
      <c r="AH187" s="79"/>
      <c r="AI187" s="79"/>
      <c r="AJ187" s="79"/>
      <c r="AK187" s="79"/>
    </row>
    <row r="188" spans="2:37" ht="10.5" customHeight="1">
      <c r="B188" s="153"/>
      <c r="C188" s="221" t="s">
        <v>3721</v>
      </c>
      <c r="D188" s="257"/>
      <c r="E188" s="153"/>
      <c r="F188" s="153" t="s">
        <v>345</v>
      </c>
      <c r="G188" s="625" t="s">
        <v>143</v>
      </c>
      <c r="H188" s="625" t="s">
        <v>3471</v>
      </c>
      <c r="I188" s="629" t="s">
        <v>3461</v>
      </c>
      <c r="J188" s="629" t="s">
        <v>2453</v>
      </c>
      <c r="K188" s="627" t="s">
        <v>3477</v>
      </c>
      <c r="L188" s="628" t="s">
        <v>3456</v>
      </c>
      <c r="M188" s="1631" t="s">
        <v>3290</v>
      </c>
      <c r="N188" s="628" t="s">
        <v>55</v>
      </c>
      <c r="O188" s="809" t="s">
        <v>3722</v>
      </c>
      <c r="P188" s="157" t="s">
        <v>3723</v>
      </c>
      <c r="Q188" s="290"/>
      <c r="R188" s="102"/>
      <c r="S188" s="153"/>
      <c r="T188" s="290" t="s">
        <v>3724</v>
      </c>
      <c r="U188" s="290" t="s">
        <v>3725</v>
      </c>
      <c r="W188" s="27" t="s">
        <v>98</v>
      </c>
      <c r="X188" s="27" t="s">
        <v>3439</v>
      </c>
      <c r="Z188" s="27"/>
      <c r="AA188" s="79"/>
      <c r="AB188" s="79"/>
      <c r="AC188" s="283"/>
      <c r="AD188" s="42"/>
      <c r="AE188" s="79"/>
      <c r="AF188" s="79"/>
      <c r="AG188" s="79"/>
      <c r="AH188" s="79"/>
      <c r="AI188" s="79"/>
      <c r="AJ188" s="79"/>
      <c r="AK188" s="79"/>
    </row>
    <row r="189" spans="2:37" ht="10.5" customHeight="1">
      <c r="B189" s="153"/>
      <c r="C189" s="221" t="s">
        <v>3726</v>
      </c>
      <c r="D189" s="257"/>
      <c r="E189" s="153"/>
      <c r="F189" s="153" t="s">
        <v>347</v>
      </c>
      <c r="G189" s="625" t="s">
        <v>3727</v>
      </c>
      <c r="H189" s="625" t="s">
        <v>3430</v>
      </c>
      <c r="I189" s="626" t="s">
        <v>3637</v>
      </c>
      <c r="J189" s="626" t="s">
        <v>3293</v>
      </c>
      <c r="K189" s="627" t="s">
        <v>3728</v>
      </c>
      <c r="L189" s="628" t="s">
        <v>3433</v>
      </c>
      <c r="M189" s="1631" t="s">
        <v>3292</v>
      </c>
      <c r="N189" s="628" t="s">
        <v>1975</v>
      </c>
      <c r="O189" s="809" t="s">
        <v>3729</v>
      </c>
      <c r="P189" s="157" t="s">
        <v>3730</v>
      </c>
      <c r="Q189" s="290"/>
      <c r="R189" s="102"/>
      <c r="S189" s="153"/>
      <c r="T189" s="290" t="s">
        <v>3731</v>
      </c>
      <c r="U189" s="290" t="s">
        <v>3647</v>
      </c>
      <c r="W189" s="27" t="s">
        <v>3732</v>
      </c>
      <c r="X189" s="27" t="s">
        <v>3439</v>
      </c>
      <c r="Z189" s="27"/>
      <c r="AA189" s="79"/>
      <c r="AB189" s="79"/>
      <c r="AC189" s="283"/>
      <c r="AD189" s="42"/>
      <c r="AE189" s="79"/>
      <c r="AF189" s="79"/>
      <c r="AG189" s="79"/>
      <c r="AH189" s="79"/>
      <c r="AI189" s="79"/>
      <c r="AJ189" s="79"/>
      <c r="AK189" s="79"/>
    </row>
    <row r="190" spans="2:37" ht="10.5" customHeight="1">
      <c r="B190" s="153"/>
      <c r="C190" s="221" t="s">
        <v>3733</v>
      </c>
      <c r="D190" s="257"/>
      <c r="E190" s="153"/>
      <c r="F190" s="153" t="s">
        <v>346</v>
      </c>
      <c r="G190" s="625" t="s">
        <v>3734</v>
      </c>
      <c r="H190" s="625" t="s">
        <v>3430</v>
      </c>
      <c r="I190" s="626" t="s">
        <v>2048</v>
      </c>
      <c r="J190" s="626" t="s">
        <v>2453</v>
      </c>
      <c r="K190" s="627" t="s">
        <v>3523</v>
      </c>
      <c r="L190" s="628" t="s">
        <v>3456</v>
      </c>
      <c r="M190" s="1631" t="s">
        <v>3292</v>
      </c>
      <c r="N190" s="628" t="s">
        <v>2048</v>
      </c>
      <c r="O190" s="809" t="s">
        <v>3735</v>
      </c>
      <c r="P190" s="157" t="s">
        <v>3736</v>
      </c>
      <c r="Q190" s="290"/>
      <c r="R190" s="102"/>
      <c r="S190" s="153"/>
      <c r="T190" s="290" t="s">
        <v>3737</v>
      </c>
      <c r="U190" s="290" t="s">
        <v>168</v>
      </c>
      <c r="W190" s="27" t="s">
        <v>1998</v>
      </c>
      <c r="X190" s="27" t="s">
        <v>3439</v>
      </c>
      <c r="Z190" s="27"/>
      <c r="AA190" s="79"/>
      <c r="AB190" s="79"/>
      <c r="AC190" s="283"/>
      <c r="AD190" s="42"/>
      <c r="AE190" s="79"/>
      <c r="AF190" s="79"/>
      <c r="AG190" s="79"/>
      <c r="AH190" s="79"/>
      <c r="AI190" s="79"/>
      <c r="AJ190" s="79"/>
      <c r="AK190" s="79"/>
    </row>
    <row r="191" spans="2:37" ht="10.5" customHeight="1">
      <c r="B191" s="153"/>
      <c r="C191" s="220" t="s">
        <v>3738</v>
      </c>
      <c r="D191" s="257"/>
      <c r="E191" s="153"/>
      <c r="F191" s="153" t="s">
        <v>348</v>
      </c>
      <c r="G191" s="625" t="s">
        <v>3739</v>
      </c>
      <c r="H191" s="625" t="s">
        <v>3430</v>
      </c>
      <c r="I191" s="629" t="s">
        <v>2462</v>
      </c>
      <c r="J191" s="629" t="s">
        <v>2453</v>
      </c>
      <c r="K191" s="627" t="s">
        <v>3528</v>
      </c>
      <c r="L191" s="628" t="s">
        <v>3456</v>
      </c>
      <c r="M191" s="1631" t="s">
        <v>3292</v>
      </c>
      <c r="N191" s="628" t="s">
        <v>2462</v>
      </c>
      <c r="O191" s="809" t="s">
        <v>3740</v>
      </c>
      <c r="P191" s="157" t="s">
        <v>3741</v>
      </c>
      <c r="Q191" s="157"/>
      <c r="R191" s="102"/>
      <c r="S191" s="153"/>
      <c r="T191" s="290" t="s">
        <v>3742</v>
      </c>
      <c r="U191" s="290" t="s">
        <v>3743</v>
      </c>
      <c r="W191" s="27" t="s">
        <v>3744</v>
      </c>
      <c r="X191" s="27" t="s">
        <v>3439</v>
      </c>
      <c r="Z191" s="27"/>
      <c r="AA191" s="79"/>
      <c r="AB191" s="79"/>
      <c r="AC191" s="283"/>
      <c r="AD191" s="283"/>
      <c r="AE191" s="79"/>
      <c r="AF191" s="79"/>
      <c r="AG191" s="79"/>
      <c r="AH191" s="79"/>
      <c r="AI191" s="79"/>
      <c r="AJ191" s="79"/>
      <c r="AK191" s="79"/>
    </row>
    <row r="192" spans="2:37" ht="10.5" customHeight="1">
      <c r="B192" s="153"/>
      <c r="C192" s="221" t="s">
        <v>3745</v>
      </c>
      <c r="D192" s="257"/>
      <c r="E192" s="153"/>
      <c r="F192" s="307"/>
      <c r="G192" s="625" t="s">
        <v>3746</v>
      </c>
      <c r="H192" s="625" t="s">
        <v>3471</v>
      </c>
      <c r="I192" s="626" t="s">
        <v>3642</v>
      </c>
      <c r="J192" s="626" t="s">
        <v>3293</v>
      </c>
      <c r="K192" s="627" t="s">
        <v>3747</v>
      </c>
      <c r="L192" s="628" t="s">
        <v>3433</v>
      </c>
      <c r="M192" s="1631" t="s">
        <v>3292</v>
      </c>
      <c r="N192" s="628" t="s">
        <v>2457</v>
      </c>
      <c r="O192" s="809" t="s">
        <v>3748</v>
      </c>
      <c r="P192" s="157" t="s">
        <v>3749</v>
      </c>
      <c r="Q192" s="157"/>
      <c r="R192" s="102"/>
      <c r="S192" s="153"/>
      <c r="T192" s="290" t="s">
        <v>3750</v>
      </c>
      <c r="U192" s="290" t="s">
        <v>3751</v>
      </c>
      <c r="W192" s="27" t="s">
        <v>2460</v>
      </c>
      <c r="X192" s="27" t="s">
        <v>3439</v>
      </c>
      <c r="Z192" s="27"/>
      <c r="AA192" s="79"/>
      <c r="AB192" s="79"/>
      <c r="AC192" s="283"/>
      <c r="AD192" s="42"/>
      <c r="AE192" s="79"/>
      <c r="AF192" s="79"/>
      <c r="AG192" s="79"/>
      <c r="AH192" s="79"/>
      <c r="AI192" s="79"/>
      <c r="AJ192" s="79"/>
      <c r="AK192" s="79"/>
    </row>
    <row r="193" spans="2:37" ht="10.5" customHeight="1">
      <c r="B193" s="153"/>
      <c r="C193" s="220" t="s">
        <v>3752</v>
      </c>
      <c r="D193" s="257"/>
      <c r="E193" s="153"/>
      <c r="F193" s="307"/>
      <c r="G193" s="625" t="s">
        <v>3753</v>
      </c>
      <c r="H193" s="625" t="s">
        <v>3430</v>
      </c>
      <c r="I193" s="626" t="s">
        <v>3646</v>
      </c>
      <c r="J193" s="626" t="s">
        <v>3293</v>
      </c>
      <c r="K193" s="627" t="s">
        <v>3754</v>
      </c>
      <c r="L193" s="628" t="s">
        <v>3433</v>
      </c>
      <c r="M193" s="1631" t="s">
        <v>3292</v>
      </c>
      <c r="N193" s="628" t="s">
        <v>2458</v>
      </c>
      <c r="O193" s="809" t="s">
        <v>3755</v>
      </c>
      <c r="P193" s="157" t="s">
        <v>3756</v>
      </c>
      <c r="Q193" s="157"/>
      <c r="R193" s="102"/>
      <c r="S193" s="153"/>
      <c r="T193" s="153" t="s">
        <v>3757</v>
      </c>
      <c r="U193" s="153" t="s">
        <v>3758</v>
      </c>
      <c r="W193" s="27" t="s">
        <v>2000</v>
      </c>
      <c r="X193" s="27" t="s">
        <v>3439</v>
      </c>
      <c r="Z193" s="27"/>
      <c r="AA193" s="79"/>
      <c r="AB193" s="79"/>
      <c r="AC193" s="42"/>
      <c r="AD193" s="42"/>
      <c r="AE193" s="79"/>
      <c r="AF193" s="79"/>
      <c r="AG193" s="79"/>
      <c r="AH193" s="79"/>
      <c r="AI193" s="79"/>
      <c r="AJ193" s="79"/>
      <c r="AK193" s="79"/>
    </row>
    <row r="194" spans="2:37" ht="10.5" customHeight="1">
      <c r="B194" s="153"/>
      <c r="C194" s="221" t="s">
        <v>3759</v>
      </c>
      <c r="D194" s="257"/>
      <c r="E194" s="153"/>
      <c r="F194" s="307"/>
      <c r="G194" s="625" t="s">
        <v>114</v>
      </c>
      <c r="H194" s="625" t="s">
        <v>3430</v>
      </c>
      <c r="I194" s="626" t="s">
        <v>3654</v>
      </c>
      <c r="J194" s="626" t="s">
        <v>3293</v>
      </c>
      <c r="K194" s="627" t="s">
        <v>3760</v>
      </c>
      <c r="L194" s="628" t="s">
        <v>3433</v>
      </c>
      <c r="M194" s="1631" t="s">
        <v>3292</v>
      </c>
      <c r="N194" s="628" t="s">
        <v>2462</v>
      </c>
      <c r="O194" s="809" t="s">
        <v>3761</v>
      </c>
      <c r="P194" s="157" t="s">
        <v>3762</v>
      </c>
      <c r="Q194" s="157"/>
      <c r="R194" s="102"/>
      <c r="S194" s="153"/>
      <c r="T194" s="290" t="s">
        <v>3575</v>
      </c>
      <c r="U194" s="290" t="s">
        <v>3763</v>
      </c>
      <c r="W194" s="27" t="s">
        <v>2003</v>
      </c>
      <c r="X194" s="27" t="s">
        <v>3439</v>
      </c>
      <c r="Z194" s="27"/>
      <c r="AA194" s="79"/>
      <c r="AB194" s="79"/>
      <c r="AC194" s="283"/>
      <c r="AD194" s="564"/>
      <c r="AE194" s="79"/>
      <c r="AF194" s="79"/>
      <c r="AG194" s="79"/>
      <c r="AH194" s="79"/>
      <c r="AI194" s="79"/>
      <c r="AJ194" s="79"/>
      <c r="AK194" s="79"/>
    </row>
    <row r="195" spans="2:37" ht="10.5" customHeight="1">
      <c r="B195" s="153"/>
      <c r="C195" s="221" t="s">
        <v>3764</v>
      </c>
      <c r="D195" s="257"/>
      <c r="E195" s="153"/>
      <c r="F195" s="307"/>
      <c r="G195" s="625" t="s">
        <v>3765</v>
      </c>
      <c r="H195" s="625" t="s">
        <v>3471</v>
      </c>
      <c r="I195" s="626" t="s">
        <v>3659</v>
      </c>
      <c r="J195" s="626" t="s">
        <v>3293</v>
      </c>
      <c r="K195" s="627" t="s">
        <v>3766</v>
      </c>
      <c r="L195" s="628" t="s">
        <v>3433</v>
      </c>
      <c r="M195" s="1631" t="s">
        <v>3292</v>
      </c>
      <c r="N195" s="628" t="s">
        <v>55</v>
      </c>
      <c r="O195" s="809" t="s">
        <v>3767</v>
      </c>
      <c r="P195" s="157" t="s">
        <v>3768</v>
      </c>
      <c r="Q195" s="157"/>
      <c r="R195" s="102"/>
      <c r="S195" s="153"/>
      <c r="T195" s="290" t="s">
        <v>95</v>
      </c>
      <c r="U195" s="290" t="s">
        <v>96</v>
      </c>
      <c r="W195" s="27" t="s">
        <v>2007</v>
      </c>
      <c r="X195" s="27" t="s">
        <v>3439</v>
      </c>
      <c r="Z195" s="27"/>
      <c r="AA195" s="79"/>
      <c r="AB195" s="79"/>
      <c r="AC195" s="283"/>
      <c r="AD195" s="42"/>
      <c r="AE195" s="79"/>
      <c r="AF195" s="79"/>
      <c r="AG195" s="79"/>
      <c r="AH195" s="79"/>
      <c r="AI195" s="79"/>
      <c r="AJ195" s="79"/>
      <c r="AK195" s="79"/>
    </row>
    <row r="196" spans="2:37" ht="10.5" customHeight="1">
      <c r="B196" s="153"/>
      <c r="C196" s="221" t="s">
        <v>3769</v>
      </c>
      <c r="D196" s="257"/>
      <c r="E196" s="153"/>
      <c r="F196" s="307"/>
      <c r="G196" s="625" t="s">
        <v>3770</v>
      </c>
      <c r="H196" s="625" t="s">
        <v>3471</v>
      </c>
      <c r="I196" s="629" t="s">
        <v>3461</v>
      </c>
      <c r="J196" s="629" t="s">
        <v>2453</v>
      </c>
      <c r="K196" s="627" t="s">
        <v>3477</v>
      </c>
      <c r="L196" s="628" t="s">
        <v>3456</v>
      </c>
      <c r="M196" s="1631" t="s">
        <v>3290</v>
      </c>
      <c r="N196" s="628" t="s">
        <v>55</v>
      </c>
      <c r="O196" s="809" t="s">
        <v>3771</v>
      </c>
      <c r="P196" s="157" t="s">
        <v>3772</v>
      </c>
      <c r="Q196" s="157"/>
      <c r="R196" s="102"/>
      <c r="S196" s="153"/>
      <c r="T196" s="290" t="s">
        <v>3581</v>
      </c>
      <c r="U196" s="290" t="s">
        <v>3773</v>
      </c>
      <c r="W196" s="27" t="s">
        <v>3774</v>
      </c>
      <c r="X196" s="27" t="s">
        <v>3439</v>
      </c>
      <c r="Z196" s="27"/>
      <c r="AA196" s="79"/>
      <c r="AB196" s="79"/>
      <c r="AC196" s="283"/>
      <c r="AD196" s="42"/>
      <c r="AE196" s="79"/>
      <c r="AF196" s="79"/>
      <c r="AG196" s="79"/>
      <c r="AH196" s="79"/>
      <c r="AI196" s="79"/>
      <c r="AJ196" s="79"/>
      <c r="AK196" s="79"/>
    </row>
    <row r="197" spans="2:37" ht="10.5" customHeight="1">
      <c r="B197" s="153"/>
      <c r="C197" s="221" t="s">
        <v>3775</v>
      </c>
      <c r="D197" s="257"/>
      <c r="E197" s="153"/>
      <c r="F197" s="307"/>
      <c r="G197" s="625" t="s">
        <v>173</v>
      </c>
      <c r="H197" s="625" t="s">
        <v>3471</v>
      </c>
      <c r="I197" s="629" t="s">
        <v>2037</v>
      </c>
      <c r="J197" s="629" t="s">
        <v>2453</v>
      </c>
      <c r="K197" s="627" t="s">
        <v>3776</v>
      </c>
      <c r="L197" s="628" t="s">
        <v>3456</v>
      </c>
      <c r="M197" s="1631" t="s">
        <v>3290</v>
      </c>
      <c r="N197" s="628" t="s">
        <v>55</v>
      </c>
      <c r="O197" s="809" t="s">
        <v>3777</v>
      </c>
      <c r="P197" s="157" t="s">
        <v>3778</v>
      </c>
      <c r="Q197" s="157"/>
      <c r="R197" s="102"/>
      <c r="S197" s="153"/>
      <c r="T197" s="290" t="s">
        <v>3589</v>
      </c>
      <c r="U197" s="290" t="s">
        <v>3727</v>
      </c>
      <c r="W197" s="27" t="s">
        <v>3779</v>
      </c>
      <c r="X197" s="27" t="s">
        <v>3439</v>
      </c>
      <c r="Z197" s="27"/>
      <c r="AA197" s="79"/>
      <c r="AB197" s="79"/>
      <c r="AC197" s="283"/>
      <c r="AD197" s="42"/>
      <c r="AE197" s="79"/>
      <c r="AF197" s="79"/>
      <c r="AG197" s="79"/>
      <c r="AH197" s="79"/>
      <c r="AI197" s="79"/>
      <c r="AJ197" s="79"/>
      <c r="AK197" s="79"/>
    </row>
    <row r="198" spans="2:37" ht="10.5" customHeight="1">
      <c r="B198" s="153"/>
      <c r="C198" s="221" t="s">
        <v>3780</v>
      </c>
      <c r="D198" s="257"/>
      <c r="E198" s="153"/>
      <c r="F198" s="307"/>
      <c r="G198" s="625" t="s">
        <v>3781</v>
      </c>
      <c r="H198" s="625" t="s">
        <v>3471</v>
      </c>
      <c r="I198" s="629" t="s">
        <v>3461</v>
      </c>
      <c r="J198" s="629" t="s">
        <v>2453</v>
      </c>
      <c r="K198" s="627" t="s">
        <v>3477</v>
      </c>
      <c r="L198" s="628" t="s">
        <v>3456</v>
      </c>
      <c r="M198" s="1631" t="s">
        <v>3290</v>
      </c>
      <c r="N198" s="628" t="s">
        <v>55</v>
      </c>
      <c r="O198" s="809" t="s">
        <v>3782</v>
      </c>
      <c r="P198" s="157" t="s">
        <v>3783</v>
      </c>
      <c r="Q198" s="157"/>
      <c r="R198" s="102"/>
      <c r="S198" s="153"/>
      <c r="T198" s="290" t="s">
        <v>3595</v>
      </c>
      <c r="U198" s="290" t="s">
        <v>135</v>
      </c>
      <c r="W198" s="27" t="s">
        <v>3671</v>
      </c>
      <c r="X198" s="27" t="s">
        <v>3439</v>
      </c>
      <c r="Z198" s="27"/>
      <c r="AA198" s="79"/>
      <c r="AB198" s="79"/>
      <c r="AC198" s="283"/>
      <c r="AD198" s="42"/>
      <c r="AE198" s="79"/>
      <c r="AF198" s="79"/>
      <c r="AG198" s="79"/>
      <c r="AH198" s="79"/>
      <c r="AI198" s="79"/>
      <c r="AJ198" s="79"/>
      <c r="AK198" s="79"/>
    </row>
    <row r="199" spans="2:37" ht="10.5" customHeight="1">
      <c r="B199" s="153"/>
      <c r="C199" s="221" t="s">
        <v>3784</v>
      </c>
      <c r="D199" s="257"/>
      <c r="E199" s="153"/>
      <c r="F199" s="307"/>
      <c r="G199" s="625" t="s">
        <v>3785</v>
      </c>
      <c r="H199" s="625" t="s">
        <v>3471</v>
      </c>
      <c r="I199" s="629" t="s">
        <v>3664</v>
      </c>
      <c r="J199" s="629" t="s">
        <v>3293</v>
      </c>
      <c r="K199" s="627" t="s">
        <v>3786</v>
      </c>
      <c r="L199" s="628" t="s">
        <v>3433</v>
      </c>
      <c r="M199" s="1631" t="s">
        <v>3292</v>
      </c>
      <c r="N199" s="628" t="s">
        <v>2457</v>
      </c>
      <c r="O199" s="809" t="s">
        <v>3787</v>
      </c>
      <c r="P199" s="157" t="s">
        <v>3788</v>
      </c>
      <c r="Q199" s="157"/>
      <c r="R199" s="102"/>
      <c r="S199" s="153"/>
      <c r="T199" s="290" t="s">
        <v>3600</v>
      </c>
      <c r="U199" s="290" t="s">
        <v>3765</v>
      </c>
      <c r="W199" s="27" t="s">
        <v>3789</v>
      </c>
      <c r="X199" s="27" t="s">
        <v>3439</v>
      </c>
      <c r="Z199" s="27"/>
      <c r="AA199" s="79"/>
      <c r="AB199" s="79"/>
      <c r="AC199" s="283"/>
      <c r="AD199" s="42"/>
      <c r="AE199" s="79"/>
      <c r="AF199" s="79"/>
      <c r="AG199" s="79"/>
      <c r="AH199" s="79"/>
      <c r="AI199" s="79"/>
      <c r="AJ199" s="79"/>
      <c r="AK199" s="79"/>
    </row>
    <row r="200" spans="2:37" ht="10.5" customHeight="1">
      <c r="B200" s="153"/>
      <c r="C200" s="221" t="s">
        <v>3790</v>
      </c>
      <c r="D200" s="257"/>
      <c r="E200" s="153"/>
      <c r="F200" s="307"/>
      <c r="G200" s="625" t="s">
        <v>151</v>
      </c>
      <c r="H200" s="625" t="s">
        <v>3501</v>
      </c>
      <c r="I200" s="629" t="s">
        <v>3461</v>
      </c>
      <c r="J200" s="629" t="s">
        <v>2453</v>
      </c>
      <c r="K200" s="627" t="s">
        <v>3477</v>
      </c>
      <c r="L200" s="628" t="s">
        <v>3456</v>
      </c>
      <c r="M200" s="1631" t="s">
        <v>3290</v>
      </c>
      <c r="N200" s="628" t="s">
        <v>55</v>
      </c>
      <c r="O200" s="809" t="s">
        <v>3791</v>
      </c>
      <c r="P200" s="157" t="s">
        <v>3792</v>
      </c>
      <c r="Q200" s="157"/>
      <c r="R200" s="102"/>
      <c r="S200" s="153"/>
      <c r="T200" s="290" t="s">
        <v>3793</v>
      </c>
      <c r="U200" s="290" t="s">
        <v>3621</v>
      </c>
      <c r="W200" s="27" t="s">
        <v>3794</v>
      </c>
      <c r="X200" s="27" t="s">
        <v>3439</v>
      </c>
      <c r="Z200" s="27"/>
      <c r="AA200" s="79"/>
      <c r="AB200" s="79"/>
      <c r="AC200" s="283"/>
      <c r="AD200" s="42"/>
      <c r="AE200" s="79"/>
      <c r="AF200" s="79"/>
      <c r="AG200" s="79"/>
      <c r="AH200" s="79"/>
      <c r="AI200" s="79"/>
      <c r="AJ200" s="79"/>
      <c r="AK200" s="79"/>
    </row>
    <row r="201" spans="2:37" ht="10.5" customHeight="1">
      <c r="B201" s="153"/>
      <c r="C201" s="221" t="s">
        <v>2461</v>
      </c>
      <c r="D201" s="257"/>
      <c r="E201" s="153"/>
      <c r="F201" s="307"/>
      <c r="G201" s="625" t="s">
        <v>3795</v>
      </c>
      <c r="H201" s="625" t="s">
        <v>3471</v>
      </c>
      <c r="I201" s="626" t="s">
        <v>3675</v>
      </c>
      <c r="J201" s="626" t="s">
        <v>3293</v>
      </c>
      <c r="K201" s="627" t="s">
        <v>3796</v>
      </c>
      <c r="L201" s="628" t="s">
        <v>3433</v>
      </c>
      <c r="M201" s="1631" t="s">
        <v>3292</v>
      </c>
      <c r="N201" s="628" t="s">
        <v>55</v>
      </c>
      <c r="O201" s="809" t="s">
        <v>3797</v>
      </c>
      <c r="P201" s="157" t="s">
        <v>3798</v>
      </c>
      <c r="Q201" s="157"/>
      <c r="R201" s="102"/>
      <c r="S201" s="153"/>
      <c r="T201" s="153" t="s">
        <v>3799</v>
      </c>
      <c r="U201" s="153" t="s">
        <v>3640</v>
      </c>
      <c r="W201" s="27" t="s">
        <v>3800</v>
      </c>
      <c r="X201" s="27" t="s">
        <v>3439</v>
      </c>
      <c r="Z201" s="27"/>
      <c r="AA201" s="79"/>
      <c r="AB201" s="79"/>
      <c r="AC201" s="42"/>
      <c r="AD201" s="42"/>
      <c r="AE201" s="79"/>
      <c r="AF201" s="79"/>
      <c r="AG201" s="79"/>
      <c r="AH201" s="79"/>
      <c r="AI201" s="79"/>
      <c r="AJ201" s="79"/>
      <c r="AK201" s="79"/>
    </row>
    <row r="202" spans="2:37" ht="10.5" customHeight="1">
      <c r="B202" s="153"/>
      <c r="C202" s="221" t="s">
        <v>3801</v>
      </c>
      <c r="D202" s="257"/>
      <c r="E202" s="153"/>
      <c r="F202" s="307"/>
      <c r="G202" s="625" t="s">
        <v>3802</v>
      </c>
      <c r="H202" s="625" t="s">
        <v>3471</v>
      </c>
      <c r="I202" s="629" t="s">
        <v>3680</v>
      </c>
      <c r="J202" s="629" t="s">
        <v>3293</v>
      </c>
      <c r="K202" s="627" t="s">
        <v>3803</v>
      </c>
      <c r="L202" s="628" t="s">
        <v>3433</v>
      </c>
      <c r="M202" s="1631" t="s">
        <v>3292</v>
      </c>
      <c r="N202" s="628" t="s">
        <v>2458</v>
      </c>
      <c r="O202" s="809" t="s">
        <v>3804</v>
      </c>
      <c r="P202" s="157" t="s">
        <v>3805</v>
      </c>
      <c r="Q202" s="157"/>
      <c r="R202" s="102"/>
      <c r="S202" s="153"/>
      <c r="T202" s="290" t="s">
        <v>3806</v>
      </c>
      <c r="U202" s="290" t="s">
        <v>3758</v>
      </c>
      <c r="W202" s="27" t="s">
        <v>3807</v>
      </c>
      <c r="X202" s="27" t="s">
        <v>3439</v>
      </c>
      <c r="Z202" s="27"/>
      <c r="AA202" s="79"/>
      <c r="AB202" s="79"/>
      <c r="AC202" s="283"/>
      <c r="AD202" s="42"/>
      <c r="AE202" s="79"/>
      <c r="AF202" s="79"/>
      <c r="AG202" s="79"/>
      <c r="AH202" s="79"/>
      <c r="AI202" s="79"/>
      <c r="AJ202" s="79"/>
      <c r="AK202" s="79"/>
    </row>
    <row r="203" spans="2:37" ht="10.5" customHeight="1">
      <c r="B203" s="153"/>
      <c r="C203" s="221" t="s">
        <v>3808</v>
      </c>
      <c r="D203" s="257"/>
      <c r="E203" s="153"/>
      <c r="F203" s="307"/>
      <c r="G203" s="625" t="s">
        <v>108</v>
      </c>
      <c r="H203" s="625" t="s">
        <v>3501</v>
      </c>
      <c r="I203" s="626" t="s">
        <v>3514</v>
      </c>
      <c r="J203" s="626" t="s">
        <v>2453</v>
      </c>
      <c r="K203" s="627" t="s">
        <v>3516</v>
      </c>
      <c r="L203" s="628" t="s">
        <v>3456</v>
      </c>
      <c r="M203" s="1631" t="s">
        <v>3290</v>
      </c>
      <c r="N203" s="628" t="s">
        <v>2462</v>
      </c>
      <c r="O203" s="809" t="s">
        <v>3809</v>
      </c>
      <c r="P203" s="157" t="s">
        <v>3810</v>
      </c>
      <c r="Q203" s="157"/>
      <c r="R203" s="102"/>
      <c r="S203" s="153"/>
      <c r="T203" s="290" t="s">
        <v>97</v>
      </c>
      <c r="U203" s="290" t="s">
        <v>98</v>
      </c>
      <c r="W203" s="27" t="s">
        <v>3811</v>
      </c>
      <c r="X203" s="27" t="s">
        <v>3439</v>
      </c>
      <c r="Z203" s="27"/>
      <c r="AA203" s="79"/>
      <c r="AB203" s="79"/>
      <c r="AC203" s="283"/>
      <c r="AD203" s="42"/>
      <c r="AE203" s="79"/>
      <c r="AF203" s="79"/>
      <c r="AG203" s="79"/>
      <c r="AH203" s="79"/>
      <c r="AI203" s="79"/>
      <c r="AJ203" s="79"/>
      <c r="AK203" s="79"/>
    </row>
    <row r="204" spans="2:37" ht="10.5" customHeight="1">
      <c r="B204" s="153"/>
      <c r="C204" s="221" t="s">
        <v>3812</v>
      </c>
      <c r="D204" s="257"/>
      <c r="E204" s="153"/>
      <c r="F204" s="307"/>
      <c r="G204" s="625" t="s">
        <v>3813</v>
      </c>
      <c r="H204" s="625" t="s">
        <v>3471</v>
      </c>
      <c r="I204" s="626" t="s">
        <v>3686</v>
      </c>
      <c r="J204" s="626" t="s">
        <v>3293</v>
      </c>
      <c r="K204" s="627" t="s">
        <v>3814</v>
      </c>
      <c r="L204" s="628" t="s">
        <v>3433</v>
      </c>
      <c r="M204" s="1631" t="s">
        <v>3292</v>
      </c>
      <c r="N204" s="628" t="s">
        <v>55</v>
      </c>
      <c r="O204" s="809" t="s">
        <v>3815</v>
      </c>
      <c r="P204" s="157" t="s">
        <v>3816</v>
      </c>
      <c r="Q204" s="157"/>
      <c r="R204" s="102"/>
      <c r="S204" s="153"/>
      <c r="T204" s="290" t="s">
        <v>3817</v>
      </c>
      <c r="U204" s="290" t="s">
        <v>3700</v>
      </c>
      <c r="W204" s="27" t="s">
        <v>2011</v>
      </c>
      <c r="X204" s="27" t="s">
        <v>3439</v>
      </c>
      <c r="Z204" s="27"/>
      <c r="AA204" s="79"/>
      <c r="AB204" s="79"/>
      <c r="AC204" s="283"/>
      <c r="AD204" s="42"/>
      <c r="AE204" s="79"/>
      <c r="AF204" s="79"/>
      <c r="AG204" s="79"/>
      <c r="AH204" s="79"/>
      <c r="AI204" s="79"/>
      <c r="AJ204" s="79"/>
      <c r="AK204" s="79"/>
    </row>
    <row r="205" spans="2:37" ht="10.5" customHeight="1">
      <c r="B205" s="153"/>
      <c r="C205" s="221" t="s">
        <v>3818</v>
      </c>
      <c r="D205" s="257"/>
      <c r="E205" s="153"/>
      <c r="F205" s="307"/>
      <c r="G205" s="625" t="s">
        <v>3819</v>
      </c>
      <c r="H205" s="625" t="s">
        <v>3430</v>
      </c>
      <c r="I205" s="626" t="s">
        <v>3690</v>
      </c>
      <c r="J205" s="626" t="s">
        <v>3293</v>
      </c>
      <c r="K205" s="627" t="s">
        <v>3820</v>
      </c>
      <c r="L205" s="628" t="s">
        <v>3433</v>
      </c>
      <c r="M205" s="1631" t="s">
        <v>3292</v>
      </c>
      <c r="N205" s="628" t="s">
        <v>1975</v>
      </c>
      <c r="O205" s="809" t="s">
        <v>3821</v>
      </c>
      <c r="P205" s="157" t="s">
        <v>3822</v>
      </c>
      <c r="Q205" s="157"/>
      <c r="R205" s="102"/>
      <c r="S205" s="153"/>
      <c r="T205" s="290" t="s">
        <v>3823</v>
      </c>
      <c r="U205" s="290" t="s">
        <v>3824</v>
      </c>
      <c r="W205" s="27" t="s">
        <v>3825</v>
      </c>
      <c r="X205" s="27" t="s">
        <v>3439</v>
      </c>
      <c r="Z205" s="27"/>
      <c r="AA205" s="79"/>
      <c r="AB205" s="79"/>
      <c r="AC205" s="283"/>
      <c r="AD205" s="42"/>
      <c r="AE205" s="79"/>
      <c r="AF205" s="79"/>
      <c r="AG205" s="79"/>
      <c r="AH205" s="79"/>
      <c r="AI205" s="79"/>
      <c r="AJ205" s="79"/>
      <c r="AK205" s="79"/>
    </row>
    <row r="206" spans="2:37" ht="10.5" customHeight="1">
      <c r="B206" s="153"/>
      <c r="C206" s="221" t="s">
        <v>3826</v>
      </c>
      <c r="D206" s="257"/>
      <c r="E206" s="153"/>
      <c r="F206" s="307"/>
      <c r="G206" s="625" t="s">
        <v>3827</v>
      </c>
      <c r="H206" s="625" t="s">
        <v>3471</v>
      </c>
      <c r="I206" s="626" t="s">
        <v>3695</v>
      </c>
      <c r="J206" s="626" t="s">
        <v>3293</v>
      </c>
      <c r="K206" s="627" t="s">
        <v>3828</v>
      </c>
      <c r="L206" s="628" t="s">
        <v>3433</v>
      </c>
      <c r="M206" s="1631" t="s">
        <v>3292</v>
      </c>
      <c r="N206" s="628" t="s">
        <v>2457</v>
      </c>
      <c r="O206" s="809" t="s">
        <v>3829</v>
      </c>
      <c r="P206" s="157" t="s">
        <v>3830</v>
      </c>
      <c r="Q206" s="157"/>
      <c r="R206" s="102"/>
      <c r="S206" s="153"/>
      <c r="T206" s="290" t="s">
        <v>3831</v>
      </c>
      <c r="U206" s="290" t="s">
        <v>3570</v>
      </c>
      <c r="W206" s="27" t="s">
        <v>3687</v>
      </c>
      <c r="X206" s="27" t="s">
        <v>3439</v>
      </c>
      <c r="Z206" s="27"/>
      <c r="AA206" s="79"/>
      <c r="AB206" s="79"/>
      <c r="AC206" s="283"/>
      <c r="AD206" s="42"/>
      <c r="AE206" s="79"/>
      <c r="AF206" s="79"/>
      <c r="AG206" s="79"/>
      <c r="AH206" s="79"/>
      <c r="AI206" s="79"/>
      <c r="AJ206" s="79"/>
      <c r="AK206" s="79"/>
    </row>
    <row r="207" spans="2:37" ht="10.5" customHeight="1">
      <c r="B207" s="153"/>
      <c r="C207" s="221" t="s">
        <v>3832</v>
      </c>
      <c r="D207" s="257"/>
      <c r="E207" s="153"/>
      <c r="F207" s="307"/>
      <c r="G207" s="625" t="s">
        <v>3725</v>
      </c>
      <c r="H207" s="625" t="s">
        <v>3471</v>
      </c>
      <c r="I207" s="629" t="s">
        <v>3461</v>
      </c>
      <c r="J207" s="629" t="s">
        <v>2453</v>
      </c>
      <c r="K207" s="627" t="s">
        <v>3477</v>
      </c>
      <c r="L207" s="628" t="s">
        <v>3456</v>
      </c>
      <c r="M207" s="1631" t="s">
        <v>3290</v>
      </c>
      <c r="N207" s="628" t="s">
        <v>55</v>
      </c>
      <c r="O207" s="809" t="s">
        <v>3833</v>
      </c>
      <c r="P207" s="157" t="s">
        <v>3834</v>
      </c>
      <c r="Q207" s="157"/>
      <c r="R207" s="102"/>
      <c r="S207" s="153"/>
      <c r="T207" s="290" t="s">
        <v>3835</v>
      </c>
      <c r="U207" s="290" t="s">
        <v>164</v>
      </c>
      <c r="W207" s="27" t="s">
        <v>3836</v>
      </c>
      <c r="X207" s="27" t="s">
        <v>3439</v>
      </c>
      <c r="Z207" s="27"/>
      <c r="AA207" s="79"/>
      <c r="AB207" s="79"/>
      <c r="AC207" s="283"/>
      <c r="AD207" s="42"/>
      <c r="AE207" s="79"/>
      <c r="AF207" s="79"/>
      <c r="AG207" s="79"/>
      <c r="AH207" s="79"/>
      <c r="AI207" s="79"/>
      <c r="AJ207" s="79"/>
      <c r="AK207" s="79"/>
    </row>
    <row r="208" spans="2:37" ht="10.5" customHeight="1">
      <c r="B208" s="153"/>
      <c r="C208" s="220" t="s">
        <v>3837</v>
      </c>
      <c r="D208" s="257"/>
      <c r="E208" s="153"/>
      <c r="F208" s="307"/>
      <c r="G208" s="625" t="s">
        <v>161</v>
      </c>
      <c r="H208" s="625" t="s">
        <v>3471</v>
      </c>
      <c r="I208" s="626" t="s">
        <v>3702</v>
      </c>
      <c r="J208" s="626" t="s">
        <v>3293</v>
      </c>
      <c r="K208" s="627" t="s">
        <v>3838</v>
      </c>
      <c r="L208" s="628" t="s">
        <v>3433</v>
      </c>
      <c r="M208" s="1631" t="s">
        <v>3292</v>
      </c>
      <c r="N208" s="628" t="s">
        <v>2457</v>
      </c>
      <c r="O208" s="809" t="s">
        <v>3839</v>
      </c>
      <c r="P208" s="157" t="s">
        <v>3840</v>
      </c>
      <c r="Q208" s="157"/>
      <c r="R208" s="102"/>
      <c r="S208" s="153"/>
      <c r="T208" s="290" t="s">
        <v>3608</v>
      </c>
      <c r="U208" s="290" t="s">
        <v>3746</v>
      </c>
      <c r="W208" s="27" t="s">
        <v>3630</v>
      </c>
      <c r="X208" s="27" t="s">
        <v>3439</v>
      </c>
      <c r="Z208" s="27"/>
      <c r="AA208" s="79"/>
      <c r="AB208" s="79"/>
      <c r="AC208" s="563"/>
      <c r="AD208" s="42"/>
      <c r="AE208" s="79"/>
      <c r="AF208" s="79"/>
      <c r="AG208" s="79"/>
      <c r="AH208" s="79"/>
      <c r="AI208" s="79"/>
      <c r="AJ208" s="79"/>
      <c r="AK208" s="79"/>
    </row>
    <row r="209" spans="2:37" ht="10.5" customHeight="1">
      <c r="B209" s="153"/>
      <c r="C209" s="221" t="s">
        <v>3841</v>
      </c>
      <c r="D209" s="257"/>
      <c r="E209" s="153"/>
      <c r="F209" s="307"/>
      <c r="G209" s="625" t="s">
        <v>3842</v>
      </c>
      <c r="H209" s="625" t="s">
        <v>3471</v>
      </c>
      <c r="I209" s="626" t="s">
        <v>3670</v>
      </c>
      <c r="J209" s="626" t="s">
        <v>2453</v>
      </c>
      <c r="K209" s="627" t="s">
        <v>3843</v>
      </c>
      <c r="L209" s="628" t="s">
        <v>3456</v>
      </c>
      <c r="M209" s="1631" t="s">
        <v>3290</v>
      </c>
      <c r="N209" s="628" t="s">
        <v>55</v>
      </c>
      <c r="O209" s="809" t="s">
        <v>3844</v>
      </c>
      <c r="P209" s="157" t="s">
        <v>3845</v>
      </c>
      <c r="Q209" s="157"/>
      <c r="R209" s="102"/>
      <c r="S209" s="153"/>
      <c r="T209" s="290" t="s">
        <v>3846</v>
      </c>
      <c r="U209" s="290" t="s">
        <v>3588</v>
      </c>
      <c r="W209" s="27" t="s">
        <v>3847</v>
      </c>
      <c r="X209" s="27" t="s">
        <v>3439</v>
      </c>
      <c r="Z209" s="27"/>
      <c r="AA209" s="79"/>
      <c r="AB209" s="79"/>
      <c r="AC209" s="283"/>
      <c r="AD209" s="42"/>
      <c r="AE209" s="79"/>
      <c r="AF209" s="79"/>
      <c r="AG209" s="79"/>
      <c r="AH209" s="79"/>
      <c r="AI209" s="79"/>
      <c r="AJ209" s="79"/>
      <c r="AK209" s="79"/>
    </row>
    <row r="210" spans="2:37" ht="10.5" customHeight="1">
      <c r="B210" s="153"/>
      <c r="C210" s="221" t="s">
        <v>3848</v>
      </c>
      <c r="D210" s="257"/>
      <c r="E210" s="153"/>
      <c r="F210" s="307"/>
      <c r="G210" s="630" t="s">
        <v>3849</v>
      </c>
      <c r="H210" s="625" t="s">
        <v>3471</v>
      </c>
      <c r="I210" s="626" t="s">
        <v>3709</v>
      </c>
      <c r="J210" s="626" t="s">
        <v>3293</v>
      </c>
      <c r="K210" s="627" t="s">
        <v>3850</v>
      </c>
      <c r="L210" s="628" t="s">
        <v>3433</v>
      </c>
      <c r="M210" s="1631" t="s">
        <v>3292</v>
      </c>
      <c r="N210" s="628" t="s">
        <v>2461</v>
      </c>
      <c r="O210" s="809" t="s">
        <v>3851</v>
      </c>
      <c r="P210" s="157" t="s">
        <v>3852</v>
      </c>
      <c r="Q210" s="157"/>
      <c r="R210" s="102"/>
      <c r="S210" s="153"/>
      <c r="T210" s="290" t="s">
        <v>3853</v>
      </c>
      <c r="U210" s="290" t="s">
        <v>3854</v>
      </c>
      <c r="W210" s="27" t="s">
        <v>143</v>
      </c>
      <c r="X210" s="27" t="s">
        <v>3439</v>
      </c>
      <c r="Z210" s="27"/>
      <c r="AA210" s="79"/>
      <c r="AB210" s="79"/>
      <c r="AC210" s="283"/>
      <c r="AD210" s="42"/>
      <c r="AE210" s="79"/>
      <c r="AF210" s="79"/>
      <c r="AG210" s="79"/>
      <c r="AH210" s="79"/>
      <c r="AI210" s="79"/>
      <c r="AJ210" s="79"/>
      <c r="AK210" s="79"/>
    </row>
    <row r="211" spans="2:37" ht="10.5" customHeight="1">
      <c r="B211" s="153"/>
      <c r="C211" s="221" t="s">
        <v>3855</v>
      </c>
      <c r="D211" s="257"/>
      <c r="E211" s="153"/>
      <c r="F211" s="307"/>
      <c r="G211" s="625" t="s">
        <v>3856</v>
      </c>
      <c r="H211" s="625" t="s">
        <v>3471</v>
      </c>
      <c r="I211" s="629" t="s">
        <v>3716</v>
      </c>
      <c r="J211" s="629" t="s">
        <v>2453</v>
      </c>
      <c r="K211" s="627" t="s">
        <v>3857</v>
      </c>
      <c r="L211" s="628" t="s">
        <v>3456</v>
      </c>
      <c r="M211" s="1631" t="s">
        <v>3292</v>
      </c>
      <c r="N211" s="628" t="s">
        <v>55</v>
      </c>
      <c r="O211" s="809" t="s">
        <v>3858</v>
      </c>
      <c r="P211" s="157" t="s">
        <v>3859</v>
      </c>
      <c r="Q211" s="157"/>
      <c r="R211" s="102"/>
      <c r="S211" s="153"/>
      <c r="T211" s="290" t="s">
        <v>3614</v>
      </c>
      <c r="U211" s="290" t="s">
        <v>3856</v>
      </c>
      <c r="W211" s="27" t="s">
        <v>3860</v>
      </c>
      <c r="X211" s="27" t="s">
        <v>3439</v>
      </c>
      <c r="Z211" s="27"/>
      <c r="AA211" s="79"/>
      <c r="AB211" s="79"/>
      <c r="AC211" s="283"/>
      <c r="AD211" s="42"/>
      <c r="AE211" s="79"/>
      <c r="AF211" s="79"/>
      <c r="AG211" s="79"/>
      <c r="AH211" s="79"/>
      <c r="AI211" s="79"/>
      <c r="AJ211" s="79"/>
      <c r="AK211" s="79"/>
    </row>
    <row r="212" spans="2:37" ht="10.5" customHeight="1">
      <c r="B212" s="153"/>
      <c r="C212" s="221" t="s">
        <v>3861</v>
      </c>
      <c r="D212" s="257"/>
      <c r="E212" s="153"/>
      <c r="F212" s="307"/>
      <c r="G212" s="625" t="s">
        <v>3862</v>
      </c>
      <c r="H212" s="625" t="s">
        <v>3430</v>
      </c>
      <c r="I212" s="629" t="s">
        <v>2460</v>
      </c>
      <c r="J212" s="629" t="s">
        <v>2453</v>
      </c>
      <c r="K212" s="627" t="s">
        <v>3597</v>
      </c>
      <c r="L212" s="628" t="s">
        <v>3456</v>
      </c>
      <c r="M212" s="1631" t="s">
        <v>3292</v>
      </c>
      <c r="N212" s="628" t="s">
        <v>2460</v>
      </c>
      <c r="O212" s="809" t="s">
        <v>3863</v>
      </c>
      <c r="P212" s="157" t="s">
        <v>3864</v>
      </c>
      <c r="Q212" s="157"/>
      <c r="R212" s="102"/>
      <c r="S212" s="153"/>
      <c r="T212" s="290" t="s">
        <v>3865</v>
      </c>
      <c r="U212" s="290" t="s">
        <v>3630</v>
      </c>
      <c r="W212" s="27" t="s">
        <v>2015</v>
      </c>
      <c r="X212" s="27" t="s">
        <v>3439</v>
      </c>
      <c r="Z212" s="27"/>
      <c r="AA212" s="79"/>
      <c r="AB212" s="79"/>
      <c r="AC212" s="283"/>
      <c r="AD212" s="42"/>
      <c r="AE212" s="79"/>
      <c r="AF212" s="79"/>
      <c r="AG212" s="79"/>
      <c r="AH212" s="79"/>
      <c r="AI212" s="79"/>
      <c r="AJ212" s="79"/>
      <c r="AK212" s="79"/>
    </row>
    <row r="213" spans="2:37" ht="10.5" customHeight="1">
      <c r="B213" s="153"/>
      <c r="C213" s="220" t="s">
        <v>3866</v>
      </c>
      <c r="D213" s="257"/>
      <c r="E213" s="153"/>
      <c r="F213" s="307"/>
      <c r="G213" s="625" t="s">
        <v>164</v>
      </c>
      <c r="H213" s="625" t="s">
        <v>3471</v>
      </c>
      <c r="I213" s="626" t="s">
        <v>3721</v>
      </c>
      <c r="J213" s="626" t="s">
        <v>3293</v>
      </c>
      <c r="K213" s="627" t="s">
        <v>3867</v>
      </c>
      <c r="L213" s="628" t="s">
        <v>3433</v>
      </c>
      <c r="M213" s="1631" t="s">
        <v>3292</v>
      </c>
      <c r="N213" s="628" t="s">
        <v>2457</v>
      </c>
      <c r="O213" s="809" t="s">
        <v>3868</v>
      </c>
      <c r="P213" s="157" t="s">
        <v>3869</v>
      </c>
      <c r="Q213" s="157"/>
      <c r="R213" s="102"/>
      <c r="S213" s="153"/>
      <c r="T213" s="290" t="s">
        <v>3870</v>
      </c>
      <c r="U213" s="290" t="s">
        <v>3871</v>
      </c>
      <c r="W213" s="27" t="s">
        <v>3872</v>
      </c>
      <c r="X213" s="27" t="s">
        <v>3439</v>
      </c>
      <c r="Z213" s="27"/>
      <c r="AA213" s="79"/>
      <c r="AB213" s="79"/>
      <c r="AC213" s="283"/>
      <c r="AD213" s="42"/>
      <c r="AE213" s="79"/>
      <c r="AF213" s="79"/>
      <c r="AG213" s="79"/>
      <c r="AH213" s="79"/>
      <c r="AI213" s="79"/>
      <c r="AJ213" s="79"/>
      <c r="AK213" s="79"/>
    </row>
    <row r="214" spans="2:37" ht="10.5" customHeight="1">
      <c r="B214" s="153"/>
      <c r="C214" s="221" t="s">
        <v>3873</v>
      </c>
      <c r="D214" s="257"/>
      <c r="E214" s="153"/>
      <c r="F214" s="307"/>
      <c r="G214" s="625" t="s">
        <v>3874</v>
      </c>
      <c r="H214" s="625" t="s">
        <v>3430</v>
      </c>
      <c r="I214" s="629" t="s">
        <v>3461</v>
      </c>
      <c r="J214" s="629" t="s">
        <v>2453</v>
      </c>
      <c r="K214" s="627" t="s">
        <v>3477</v>
      </c>
      <c r="L214" s="628" t="s">
        <v>3456</v>
      </c>
      <c r="M214" s="1631" t="s">
        <v>3290</v>
      </c>
      <c r="N214" s="628" t="s">
        <v>55</v>
      </c>
      <c r="O214" s="809" t="s">
        <v>3875</v>
      </c>
      <c r="P214" s="157" t="s">
        <v>3876</v>
      </c>
      <c r="Q214" s="157"/>
      <c r="R214" s="102"/>
      <c r="S214" s="153"/>
      <c r="T214" s="290" t="s">
        <v>3877</v>
      </c>
      <c r="U214" s="290" t="s">
        <v>93</v>
      </c>
      <c r="W214" s="27" t="s">
        <v>3878</v>
      </c>
      <c r="X214" s="27" t="s">
        <v>3439</v>
      </c>
      <c r="Z214" s="27"/>
      <c r="AA214" s="79"/>
      <c r="AB214" s="79"/>
      <c r="AC214" s="283"/>
      <c r="AD214" s="42"/>
      <c r="AE214" s="79"/>
      <c r="AF214" s="79"/>
      <c r="AG214" s="79"/>
      <c r="AH214" s="79"/>
      <c r="AI214" s="79"/>
      <c r="AJ214" s="79"/>
      <c r="AK214" s="79"/>
    </row>
    <row r="215" spans="2:37" ht="10.5" customHeight="1">
      <c r="B215" s="153"/>
      <c r="C215" s="221" t="s">
        <v>3879</v>
      </c>
      <c r="D215" s="257"/>
      <c r="E215" s="153"/>
      <c r="F215" s="307"/>
      <c r="G215" s="625" t="s">
        <v>96</v>
      </c>
      <c r="H215" s="625" t="s">
        <v>3471</v>
      </c>
      <c r="I215" s="629" t="s">
        <v>3461</v>
      </c>
      <c r="J215" s="629" t="s">
        <v>2453</v>
      </c>
      <c r="K215" s="627" t="s">
        <v>3477</v>
      </c>
      <c r="L215" s="628" t="s">
        <v>3456</v>
      </c>
      <c r="M215" s="1631" t="s">
        <v>3290</v>
      </c>
      <c r="N215" s="628" t="s">
        <v>55</v>
      </c>
      <c r="O215" s="809" t="s">
        <v>3880</v>
      </c>
      <c r="P215" s="157" t="s">
        <v>3881</v>
      </c>
      <c r="Q215" s="157"/>
      <c r="R215" s="102"/>
      <c r="S215" s="153"/>
      <c r="T215" s="290" t="s">
        <v>3882</v>
      </c>
      <c r="U215" s="290" t="s">
        <v>104</v>
      </c>
      <c r="W215" s="27" t="s">
        <v>3883</v>
      </c>
      <c r="X215" s="27" t="s">
        <v>3439</v>
      </c>
      <c r="Z215" s="27"/>
      <c r="AA215" s="79"/>
      <c r="AB215" s="79"/>
      <c r="AC215" s="283"/>
      <c r="AD215" s="42"/>
      <c r="AE215" s="79"/>
      <c r="AF215" s="79"/>
      <c r="AG215" s="79"/>
      <c r="AH215" s="79"/>
      <c r="AI215" s="79"/>
      <c r="AJ215" s="79"/>
      <c r="AK215" s="79"/>
    </row>
    <row r="216" spans="2:37" ht="10.5" customHeight="1">
      <c r="B216" s="153"/>
      <c r="C216" s="221" t="s">
        <v>3884</v>
      </c>
      <c r="D216" s="257"/>
      <c r="E216" s="153"/>
      <c r="F216" s="307"/>
      <c r="G216" s="625" t="s">
        <v>166</v>
      </c>
      <c r="H216" s="625" t="s">
        <v>3430</v>
      </c>
      <c r="I216" s="629" t="s">
        <v>2050</v>
      </c>
      <c r="J216" s="629" t="s">
        <v>2453</v>
      </c>
      <c r="K216" s="627" t="s">
        <v>3885</v>
      </c>
      <c r="L216" s="628" t="s">
        <v>3456</v>
      </c>
      <c r="M216" s="1631" t="s">
        <v>3290</v>
      </c>
      <c r="N216" s="628" t="s">
        <v>2461</v>
      </c>
      <c r="O216" s="809" t="s">
        <v>3886</v>
      </c>
      <c r="P216" s="157" t="s">
        <v>3887</v>
      </c>
      <c r="Q216" s="157"/>
      <c r="R216" s="102"/>
      <c r="S216" s="153"/>
      <c r="T216" s="290" t="s">
        <v>3522</v>
      </c>
      <c r="U216" s="290" t="s">
        <v>3770</v>
      </c>
      <c r="W216" s="27" t="s">
        <v>3888</v>
      </c>
      <c r="X216" s="27" t="s">
        <v>3439</v>
      </c>
      <c r="Z216" s="27"/>
      <c r="AA216" s="79"/>
      <c r="AB216" s="79"/>
      <c r="AC216" s="283"/>
      <c r="AD216" s="42"/>
      <c r="AE216" s="79"/>
      <c r="AF216" s="79"/>
      <c r="AG216" s="79"/>
      <c r="AH216" s="79"/>
      <c r="AI216" s="79"/>
      <c r="AJ216" s="79"/>
      <c r="AK216" s="79"/>
    </row>
    <row r="217" spans="2:37" ht="10.5" customHeight="1">
      <c r="B217" s="153"/>
      <c r="C217" s="220" t="s">
        <v>3889</v>
      </c>
      <c r="D217" s="257"/>
      <c r="E217" s="153"/>
      <c r="F217" s="307"/>
      <c r="G217" s="625" t="s">
        <v>3890</v>
      </c>
      <c r="H217" s="625" t="s">
        <v>3430</v>
      </c>
      <c r="I217" s="626" t="s">
        <v>3733</v>
      </c>
      <c r="J217" s="626" t="s">
        <v>3293</v>
      </c>
      <c r="K217" s="627" t="s">
        <v>3891</v>
      </c>
      <c r="L217" s="628" t="s">
        <v>3433</v>
      </c>
      <c r="M217" s="1631" t="s">
        <v>3292</v>
      </c>
      <c r="N217" s="628" t="s">
        <v>1975</v>
      </c>
      <c r="O217" s="809" t="s">
        <v>3892</v>
      </c>
      <c r="P217" s="157" t="s">
        <v>3893</v>
      </c>
      <c r="Q217" s="157"/>
      <c r="R217" s="102"/>
      <c r="S217" s="153"/>
      <c r="T217" s="290" t="s">
        <v>3894</v>
      </c>
      <c r="U217" s="290" t="s">
        <v>3550</v>
      </c>
      <c r="W217" s="27" t="s">
        <v>3895</v>
      </c>
      <c r="X217" s="27" t="s">
        <v>3439</v>
      </c>
      <c r="Z217" s="27"/>
      <c r="AA217" s="79"/>
      <c r="AB217" s="79"/>
      <c r="AC217" s="283"/>
      <c r="AD217" s="42"/>
      <c r="AE217" s="79"/>
      <c r="AF217" s="79"/>
      <c r="AG217" s="79"/>
      <c r="AH217" s="79"/>
      <c r="AI217" s="79"/>
      <c r="AJ217" s="79"/>
      <c r="AK217" s="79"/>
    </row>
    <row r="218" spans="2:37" ht="10.5" customHeight="1">
      <c r="B218" s="153"/>
      <c r="C218" s="220" t="s">
        <v>2037</v>
      </c>
      <c r="D218" s="257"/>
      <c r="E218" s="153"/>
      <c r="F218" s="307"/>
      <c r="G218" s="625" t="s">
        <v>3588</v>
      </c>
      <c r="H218" s="625" t="s">
        <v>3471</v>
      </c>
      <c r="I218" s="626" t="s">
        <v>3738</v>
      </c>
      <c r="J218" s="626" t="s">
        <v>3293</v>
      </c>
      <c r="K218" s="627" t="s">
        <v>3896</v>
      </c>
      <c r="L218" s="628" t="s">
        <v>3433</v>
      </c>
      <c r="M218" s="1631" t="s">
        <v>3292</v>
      </c>
      <c r="N218" s="628" t="s">
        <v>55</v>
      </c>
      <c r="O218" s="809" t="s">
        <v>3897</v>
      </c>
      <c r="P218" s="157" t="s">
        <v>3898</v>
      </c>
      <c r="Q218" s="157"/>
      <c r="R218" s="102"/>
      <c r="S218" s="153"/>
      <c r="T218" s="290" t="s">
        <v>3514</v>
      </c>
      <c r="U218" s="290" t="s">
        <v>108</v>
      </c>
      <c r="W218" s="27" t="s">
        <v>3899</v>
      </c>
      <c r="X218" s="27" t="s">
        <v>3439</v>
      </c>
      <c r="Z218" s="27"/>
      <c r="AA218" s="79"/>
      <c r="AB218" s="79"/>
      <c r="AC218" s="283"/>
      <c r="AD218" s="42"/>
      <c r="AE218" s="79"/>
      <c r="AF218" s="79"/>
      <c r="AG218" s="79"/>
      <c r="AH218" s="79"/>
      <c r="AI218" s="79"/>
      <c r="AJ218" s="79"/>
      <c r="AK218" s="79"/>
    </row>
    <row r="219" spans="2:37" ht="10.5" customHeight="1">
      <c r="B219" s="153"/>
      <c r="C219" s="221" t="s">
        <v>2462</v>
      </c>
      <c r="D219" s="257"/>
      <c r="E219" s="153"/>
      <c r="F219" s="307"/>
      <c r="G219" s="625" t="s">
        <v>3900</v>
      </c>
      <c r="H219" s="625" t="s">
        <v>3471</v>
      </c>
      <c r="I219" s="629" t="s">
        <v>3461</v>
      </c>
      <c r="J219" s="629" t="s">
        <v>2453</v>
      </c>
      <c r="K219" s="627" t="s">
        <v>3477</v>
      </c>
      <c r="L219" s="628" t="s">
        <v>3456</v>
      </c>
      <c r="M219" s="1631" t="s">
        <v>3290</v>
      </c>
      <c r="N219" s="628" t="s">
        <v>55</v>
      </c>
      <c r="O219" s="809" t="s">
        <v>3901</v>
      </c>
      <c r="P219" s="157" t="s">
        <v>3902</v>
      </c>
      <c r="Q219" s="157"/>
      <c r="R219" s="102"/>
      <c r="S219" s="153"/>
      <c r="T219" s="290" t="s">
        <v>3625</v>
      </c>
      <c r="U219" s="290" t="s">
        <v>3856</v>
      </c>
      <c r="W219" s="27" t="s">
        <v>3903</v>
      </c>
      <c r="X219" s="27" t="s">
        <v>3439</v>
      </c>
      <c r="Z219" s="27"/>
      <c r="AA219" s="79"/>
      <c r="AB219" s="79"/>
      <c r="AC219" s="283"/>
      <c r="AD219" s="42"/>
      <c r="AE219" s="79"/>
      <c r="AF219" s="79"/>
      <c r="AG219" s="79"/>
      <c r="AH219" s="79"/>
      <c r="AI219" s="79"/>
      <c r="AJ219" s="79"/>
      <c r="AK219" s="79"/>
    </row>
    <row r="220" spans="2:37" ht="10.5" customHeight="1">
      <c r="B220" s="153"/>
      <c r="C220" s="221" t="s">
        <v>3904</v>
      </c>
      <c r="D220" s="257"/>
      <c r="E220" s="153"/>
      <c r="F220" s="307"/>
      <c r="G220" s="625" t="s">
        <v>3905</v>
      </c>
      <c r="H220" s="625" t="s">
        <v>3430</v>
      </c>
      <c r="I220" s="626" t="s">
        <v>3745</v>
      </c>
      <c r="J220" s="626" t="s">
        <v>3293</v>
      </c>
      <c r="K220" s="627" t="s">
        <v>3906</v>
      </c>
      <c r="L220" s="628" t="s">
        <v>3433</v>
      </c>
      <c r="M220" s="1631" t="s">
        <v>3292</v>
      </c>
      <c r="N220" s="628" t="s">
        <v>2048</v>
      </c>
      <c r="O220" s="809" t="s">
        <v>3907</v>
      </c>
      <c r="P220" s="157" t="s">
        <v>3908</v>
      </c>
      <c r="Q220" s="157"/>
      <c r="R220" s="102"/>
      <c r="S220" s="153"/>
      <c r="T220" s="290" t="s">
        <v>3909</v>
      </c>
      <c r="U220" s="290" t="s">
        <v>3824</v>
      </c>
      <c r="W220" s="27" t="s">
        <v>3910</v>
      </c>
      <c r="X220" s="27" t="s">
        <v>3439</v>
      </c>
      <c r="Z220" s="27"/>
      <c r="AA220" s="79"/>
      <c r="AB220" s="79"/>
      <c r="AC220" s="283"/>
      <c r="AD220" s="42"/>
      <c r="AE220" s="79"/>
      <c r="AF220" s="79"/>
      <c r="AG220" s="79"/>
      <c r="AH220" s="79"/>
      <c r="AI220" s="79"/>
      <c r="AJ220" s="79"/>
      <c r="AK220" s="79"/>
    </row>
    <row r="221" spans="2:37" ht="10.5" customHeight="1">
      <c r="B221" s="153"/>
      <c r="C221" s="221" t="s">
        <v>3911</v>
      </c>
      <c r="D221" s="257"/>
      <c r="E221" s="153"/>
      <c r="F221" s="307"/>
      <c r="G221" s="625" t="s">
        <v>3658</v>
      </c>
      <c r="H221" s="625" t="s">
        <v>3430</v>
      </c>
      <c r="I221" s="626" t="s">
        <v>3752</v>
      </c>
      <c r="J221" s="626" t="s">
        <v>3293</v>
      </c>
      <c r="K221" s="627" t="s">
        <v>3912</v>
      </c>
      <c r="L221" s="628" t="s">
        <v>3433</v>
      </c>
      <c r="M221" s="1631" t="s">
        <v>3292</v>
      </c>
      <c r="N221" s="628" t="s">
        <v>2458</v>
      </c>
      <c r="O221" s="809" t="s">
        <v>3913</v>
      </c>
      <c r="P221" s="157" t="s">
        <v>3914</v>
      </c>
      <c r="Q221" s="157"/>
      <c r="R221" s="102"/>
      <c r="S221" s="153"/>
      <c r="T221" s="290" t="s">
        <v>3631</v>
      </c>
      <c r="U221" s="290" t="s">
        <v>3915</v>
      </c>
      <c r="W221" s="27" t="s">
        <v>3916</v>
      </c>
      <c r="X221" s="27" t="s">
        <v>3439</v>
      </c>
      <c r="Z221" s="27"/>
      <c r="AA221" s="79"/>
      <c r="AB221" s="79"/>
      <c r="AC221" s="283"/>
      <c r="AD221" s="42"/>
      <c r="AE221" s="79"/>
      <c r="AF221" s="79"/>
      <c r="AG221" s="79"/>
      <c r="AH221" s="79"/>
      <c r="AI221" s="79"/>
      <c r="AJ221" s="79"/>
      <c r="AK221" s="79"/>
    </row>
    <row r="222" spans="2:37" ht="10.5" customHeight="1">
      <c r="B222" s="153"/>
      <c r="C222" s="221" t="s">
        <v>3917</v>
      </c>
      <c r="D222" s="257"/>
      <c r="E222" s="153"/>
      <c r="F222" s="307"/>
      <c r="G222" s="625" t="s">
        <v>3918</v>
      </c>
      <c r="H222" s="625" t="s">
        <v>3430</v>
      </c>
      <c r="I222" s="626" t="s">
        <v>3759</v>
      </c>
      <c r="J222" s="626" t="s">
        <v>3293</v>
      </c>
      <c r="K222" s="627" t="s">
        <v>3919</v>
      </c>
      <c r="L222" s="628" t="s">
        <v>3433</v>
      </c>
      <c r="M222" s="1631" t="s">
        <v>3292</v>
      </c>
      <c r="N222" s="628" t="s">
        <v>2458</v>
      </c>
      <c r="O222" s="809" t="s">
        <v>3920</v>
      </c>
      <c r="P222" s="157" t="s">
        <v>3921</v>
      </c>
      <c r="Q222" s="157"/>
      <c r="R222" s="102"/>
      <c r="S222" s="153"/>
      <c r="T222" s="290" t="s">
        <v>3636</v>
      </c>
      <c r="U222" s="290" t="s">
        <v>3725</v>
      </c>
      <c r="W222" s="27" t="s">
        <v>3922</v>
      </c>
      <c r="X222" s="27" t="s">
        <v>3439</v>
      </c>
      <c r="Z222" s="27"/>
      <c r="AA222" s="79"/>
      <c r="AB222" s="79"/>
      <c r="AC222" s="283"/>
      <c r="AD222" s="42"/>
      <c r="AE222" s="79"/>
      <c r="AF222" s="79"/>
      <c r="AG222" s="79"/>
      <c r="AH222" s="79"/>
      <c r="AI222" s="79"/>
      <c r="AJ222" s="79"/>
      <c r="AK222" s="79"/>
    </row>
    <row r="223" spans="2:37" ht="10.5" customHeight="1">
      <c r="B223" s="153"/>
      <c r="C223" s="221" t="s">
        <v>3923</v>
      </c>
      <c r="D223" s="257"/>
      <c r="E223" s="153"/>
      <c r="F223" s="307"/>
      <c r="G223" s="625" t="s">
        <v>3476</v>
      </c>
      <c r="H223" s="625" t="s">
        <v>3430</v>
      </c>
      <c r="I223" s="626" t="s">
        <v>3764</v>
      </c>
      <c r="J223" s="626" t="s">
        <v>3293</v>
      </c>
      <c r="K223" s="627" t="s">
        <v>3924</v>
      </c>
      <c r="L223" s="628" t="s">
        <v>3433</v>
      </c>
      <c r="M223" s="1631" t="s">
        <v>3292</v>
      </c>
      <c r="N223" s="628" t="s">
        <v>2461</v>
      </c>
      <c r="O223" s="809" t="s">
        <v>3925</v>
      </c>
      <c r="P223" s="157" t="s">
        <v>3926</v>
      </c>
      <c r="Q223" s="157"/>
      <c r="R223" s="102"/>
      <c r="S223" s="153"/>
      <c r="T223" s="290" t="s">
        <v>3641</v>
      </c>
      <c r="U223" s="290" t="s">
        <v>3927</v>
      </c>
      <c r="W223" s="27" t="s">
        <v>114</v>
      </c>
      <c r="X223" s="27" t="s">
        <v>3439</v>
      </c>
      <c r="Z223" s="27"/>
      <c r="AA223" s="79"/>
      <c r="AB223" s="79"/>
      <c r="AC223" s="283"/>
      <c r="AD223" s="42"/>
      <c r="AE223" s="79"/>
      <c r="AF223" s="79"/>
      <c r="AG223" s="79"/>
      <c r="AH223" s="79"/>
      <c r="AI223" s="79"/>
      <c r="AJ223" s="79"/>
      <c r="AK223" s="79"/>
    </row>
    <row r="224" spans="2:37" ht="10.5" customHeight="1">
      <c r="B224" s="153"/>
      <c r="C224" s="220" t="s">
        <v>3928</v>
      </c>
      <c r="D224" s="257"/>
      <c r="E224" s="153"/>
      <c r="F224" s="307"/>
      <c r="G224" s="625" t="s">
        <v>3929</v>
      </c>
      <c r="H224" s="625" t="s">
        <v>3430</v>
      </c>
      <c r="I224" s="629" t="s">
        <v>2461</v>
      </c>
      <c r="J224" s="629" t="s">
        <v>2453</v>
      </c>
      <c r="K224" s="627" t="s">
        <v>3502</v>
      </c>
      <c r="L224" s="628" t="s">
        <v>3456</v>
      </c>
      <c r="M224" s="1631" t="s">
        <v>3292</v>
      </c>
      <c r="N224" s="628" t="s">
        <v>2461</v>
      </c>
      <c r="O224" s="809" t="s">
        <v>3930</v>
      </c>
      <c r="P224" s="157" t="s">
        <v>3931</v>
      </c>
      <c r="Q224" s="157"/>
      <c r="R224" s="102"/>
      <c r="S224" s="153"/>
      <c r="T224" s="290" t="s">
        <v>3932</v>
      </c>
      <c r="U224" s="290" t="s">
        <v>3710</v>
      </c>
      <c r="W224" s="27" t="s">
        <v>2017</v>
      </c>
      <c r="X224" s="27" t="s">
        <v>3439</v>
      </c>
      <c r="Z224" s="27"/>
      <c r="AA224" s="79"/>
      <c r="AB224" s="79"/>
      <c r="AC224" s="283"/>
      <c r="AD224" s="42"/>
      <c r="AE224" s="79"/>
      <c r="AF224" s="79"/>
      <c r="AG224" s="79"/>
      <c r="AH224" s="79"/>
      <c r="AI224" s="79"/>
      <c r="AJ224" s="79"/>
      <c r="AK224" s="79"/>
    </row>
    <row r="225" spans="2:37" ht="10.5" customHeight="1">
      <c r="B225" s="153"/>
      <c r="C225" s="220" t="s">
        <v>3933</v>
      </c>
      <c r="D225" s="257"/>
      <c r="E225" s="153"/>
      <c r="F225" s="307"/>
      <c r="G225" s="625" t="s">
        <v>3506</v>
      </c>
      <c r="H225" s="625" t="s">
        <v>3471</v>
      </c>
      <c r="I225" s="629" t="s">
        <v>3769</v>
      </c>
      <c r="J225" s="629" t="s">
        <v>2453</v>
      </c>
      <c r="K225" s="627" t="s">
        <v>3934</v>
      </c>
      <c r="L225" s="628" t="s">
        <v>3456</v>
      </c>
      <c r="M225" s="1631" t="s">
        <v>3292</v>
      </c>
      <c r="N225" s="628" t="s">
        <v>55</v>
      </c>
      <c r="O225" s="809" t="s">
        <v>3935</v>
      </c>
      <c r="P225" s="157" t="s">
        <v>3936</v>
      </c>
      <c r="Q225" s="157"/>
      <c r="R225" s="102"/>
      <c r="S225" s="153"/>
      <c r="T225" s="290" t="s">
        <v>1990</v>
      </c>
      <c r="U225" s="290" t="s">
        <v>3937</v>
      </c>
      <c r="W225" s="27" t="s">
        <v>3938</v>
      </c>
      <c r="X225" s="27" t="s">
        <v>3439</v>
      </c>
      <c r="Z225" s="27"/>
      <c r="AA225" s="79"/>
      <c r="AB225" s="79"/>
      <c r="AC225" s="283"/>
      <c r="AD225" s="42"/>
      <c r="AE225" s="79"/>
      <c r="AF225" s="79"/>
      <c r="AG225" s="79"/>
      <c r="AH225" s="79"/>
      <c r="AI225" s="79"/>
      <c r="AJ225" s="79"/>
      <c r="AK225" s="79"/>
    </row>
    <row r="226" spans="2:37" ht="10.5" customHeight="1">
      <c r="B226" s="153"/>
      <c r="C226" s="221" t="s">
        <v>3939</v>
      </c>
      <c r="D226" s="257"/>
      <c r="E226" s="153"/>
      <c r="F226" s="307"/>
      <c r="G226" s="625" t="s">
        <v>3940</v>
      </c>
      <c r="H226" s="625" t="s">
        <v>3430</v>
      </c>
      <c r="I226" s="626" t="s">
        <v>2048</v>
      </c>
      <c r="J226" s="626" t="s">
        <v>2453</v>
      </c>
      <c r="K226" s="627" t="s">
        <v>3523</v>
      </c>
      <c r="L226" s="628" t="s">
        <v>3456</v>
      </c>
      <c r="M226" s="1631" t="s">
        <v>3292</v>
      </c>
      <c r="N226" s="628" t="s">
        <v>2048</v>
      </c>
      <c r="O226" s="809" t="s">
        <v>3941</v>
      </c>
      <c r="P226" s="157" t="s">
        <v>3942</v>
      </c>
      <c r="Q226" s="157"/>
      <c r="R226" s="102"/>
      <c r="S226" s="153"/>
      <c r="T226" s="290" t="s">
        <v>3943</v>
      </c>
      <c r="U226" s="290" t="s">
        <v>3944</v>
      </c>
      <c r="W226" s="27" t="s">
        <v>3945</v>
      </c>
      <c r="X226" s="27" t="s">
        <v>3439</v>
      </c>
      <c r="Z226" s="27"/>
      <c r="AA226" s="79"/>
      <c r="AB226" s="79"/>
      <c r="AC226" s="283"/>
      <c r="AD226" s="42"/>
      <c r="AE226" s="79"/>
      <c r="AF226" s="79"/>
      <c r="AG226" s="79"/>
      <c r="AH226" s="79"/>
      <c r="AI226" s="79"/>
      <c r="AJ226" s="79"/>
      <c r="AK226" s="79"/>
    </row>
    <row r="227" spans="2:37" ht="10.5" customHeight="1">
      <c r="B227" s="153"/>
      <c r="C227" s="221" t="s">
        <v>3946</v>
      </c>
      <c r="D227" s="257"/>
      <c r="E227" s="153"/>
      <c r="F227" s="307"/>
      <c r="G227" s="625" t="s">
        <v>3944</v>
      </c>
      <c r="H227" s="625" t="s">
        <v>3430</v>
      </c>
      <c r="I227" s="626" t="s">
        <v>3775</v>
      </c>
      <c r="J227" s="626" t="s">
        <v>3293</v>
      </c>
      <c r="K227" s="627" t="s">
        <v>3947</v>
      </c>
      <c r="L227" s="628" t="s">
        <v>3433</v>
      </c>
      <c r="M227" s="1631" t="s">
        <v>3292</v>
      </c>
      <c r="N227" s="628" t="s">
        <v>2461</v>
      </c>
      <c r="O227" s="809" t="s">
        <v>3948</v>
      </c>
      <c r="P227" s="157" t="s">
        <v>3949</v>
      </c>
      <c r="Q227" s="157"/>
      <c r="R227" s="102"/>
      <c r="S227" s="153"/>
      <c r="T227" s="290" t="s">
        <v>3653</v>
      </c>
      <c r="U227" s="290" t="s">
        <v>3819</v>
      </c>
      <c r="W227" s="27" t="s">
        <v>3950</v>
      </c>
      <c r="X227" s="27" t="s">
        <v>3439</v>
      </c>
      <c r="Z227" s="27"/>
      <c r="AA227" s="79"/>
      <c r="AB227" s="79"/>
      <c r="AC227" s="283"/>
      <c r="AD227" s="42"/>
      <c r="AE227" s="79"/>
      <c r="AF227" s="79"/>
      <c r="AG227" s="79"/>
      <c r="AH227" s="79"/>
      <c r="AI227" s="79"/>
      <c r="AJ227" s="79"/>
      <c r="AK227" s="79"/>
    </row>
    <row r="228" spans="2:37" ht="10.5" customHeight="1">
      <c r="B228" s="153"/>
      <c r="C228" s="221" t="s">
        <v>3951</v>
      </c>
      <c r="D228" s="257"/>
      <c r="E228" s="153"/>
      <c r="F228" s="307"/>
      <c r="G228" s="625" t="s">
        <v>3952</v>
      </c>
      <c r="H228" s="625" t="s">
        <v>3430</v>
      </c>
      <c r="I228" s="629" t="s">
        <v>1975</v>
      </c>
      <c r="J228" s="629" t="s">
        <v>2453</v>
      </c>
      <c r="K228" s="627" t="s">
        <v>3717</v>
      </c>
      <c r="L228" s="628" t="s">
        <v>3456</v>
      </c>
      <c r="M228" s="1631" t="s">
        <v>3292</v>
      </c>
      <c r="N228" s="628" t="s">
        <v>1975</v>
      </c>
      <c r="O228" s="809" t="s">
        <v>3953</v>
      </c>
      <c r="P228" s="157" t="s">
        <v>3954</v>
      </c>
      <c r="Q228" s="157"/>
      <c r="R228" s="102"/>
      <c r="S228" s="153"/>
      <c r="T228" s="290" t="s">
        <v>3553</v>
      </c>
      <c r="U228" s="290" t="s">
        <v>3813</v>
      </c>
      <c r="W228" s="27" t="s">
        <v>3955</v>
      </c>
      <c r="X228" s="27" t="s">
        <v>3439</v>
      </c>
      <c r="Z228" s="27"/>
      <c r="AA228" s="79"/>
      <c r="AB228" s="79"/>
      <c r="AC228" s="283"/>
      <c r="AD228" s="42"/>
      <c r="AE228" s="79"/>
      <c r="AF228" s="79"/>
      <c r="AG228" s="79"/>
      <c r="AH228" s="79"/>
      <c r="AI228" s="79"/>
      <c r="AJ228" s="79"/>
      <c r="AK228" s="79"/>
    </row>
    <row r="229" spans="2:37" ht="10.5" customHeight="1">
      <c r="B229" s="153"/>
      <c r="C229" s="221" t="s">
        <v>3956</v>
      </c>
      <c r="D229" s="257"/>
      <c r="E229" s="153"/>
      <c r="F229" s="307"/>
      <c r="G229" s="625" t="s">
        <v>121</v>
      </c>
      <c r="H229" s="625" t="s">
        <v>3430</v>
      </c>
      <c r="I229" s="626" t="s">
        <v>3957</v>
      </c>
      <c r="J229" s="626" t="s">
        <v>2453</v>
      </c>
      <c r="K229" s="627" t="s">
        <v>3958</v>
      </c>
      <c r="L229" s="628" t="s">
        <v>3456</v>
      </c>
      <c r="M229" s="1631" t="s">
        <v>3290</v>
      </c>
      <c r="N229" s="628" t="s">
        <v>2462</v>
      </c>
      <c r="O229" s="809" t="s">
        <v>3959</v>
      </c>
      <c r="P229" s="157" t="s">
        <v>3960</v>
      </c>
      <c r="Q229" s="157"/>
      <c r="R229" s="102"/>
      <c r="S229" s="153"/>
      <c r="T229" s="290" t="s">
        <v>3961</v>
      </c>
      <c r="U229" s="290" t="s">
        <v>3819</v>
      </c>
      <c r="W229" s="27" t="s">
        <v>3962</v>
      </c>
      <c r="X229" s="27" t="s">
        <v>3439</v>
      </c>
      <c r="Z229" s="27"/>
      <c r="AA229" s="79"/>
      <c r="AB229" s="79"/>
      <c r="AC229" s="283"/>
      <c r="AD229" s="42"/>
      <c r="AE229" s="79"/>
      <c r="AF229" s="79"/>
      <c r="AG229" s="79"/>
      <c r="AH229" s="79"/>
      <c r="AI229" s="79"/>
      <c r="AJ229" s="79"/>
      <c r="AK229" s="79"/>
    </row>
    <row r="230" spans="2:37" ht="10.5" customHeight="1">
      <c r="B230" s="153"/>
      <c r="C230" s="221" t="s">
        <v>3963</v>
      </c>
      <c r="D230" s="257"/>
      <c r="E230" s="153"/>
      <c r="F230" s="307"/>
      <c r="G230" s="625" t="s">
        <v>3964</v>
      </c>
      <c r="H230" s="625" t="s">
        <v>3471</v>
      </c>
      <c r="I230" s="626" t="s">
        <v>3780</v>
      </c>
      <c r="J230" s="626" t="s">
        <v>2453</v>
      </c>
      <c r="K230" s="627" t="s">
        <v>3965</v>
      </c>
      <c r="L230" s="628" t="s">
        <v>3456</v>
      </c>
      <c r="M230" s="1631" t="s">
        <v>3292</v>
      </c>
      <c r="N230" s="628" t="s">
        <v>2458</v>
      </c>
      <c r="O230" s="809" t="s">
        <v>3966</v>
      </c>
      <c r="P230" s="157" t="s">
        <v>3967</v>
      </c>
      <c r="Q230" s="157"/>
      <c r="R230" s="102"/>
      <c r="S230" s="153"/>
      <c r="T230" s="290" t="s">
        <v>3968</v>
      </c>
      <c r="U230" s="290" t="s">
        <v>3969</v>
      </c>
      <c r="W230" s="27" t="s">
        <v>3781</v>
      </c>
      <c r="X230" s="27" t="s">
        <v>3439</v>
      </c>
      <c r="Z230" s="27"/>
      <c r="AA230" s="79"/>
      <c r="AB230" s="79"/>
      <c r="AC230" s="283"/>
      <c r="AD230" s="42"/>
      <c r="AE230" s="79"/>
      <c r="AF230" s="79"/>
      <c r="AG230" s="79"/>
      <c r="AH230" s="79"/>
      <c r="AI230" s="79"/>
      <c r="AJ230" s="79"/>
      <c r="AK230" s="79"/>
    </row>
    <row r="231" spans="2:37" ht="10.5" customHeight="1">
      <c r="B231" s="153"/>
      <c r="C231" s="221" t="s">
        <v>3970</v>
      </c>
      <c r="D231" s="257"/>
      <c r="E231" s="153"/>
      <c r="F231" s="307"/>
      <c r="G231" s="625" t="s">
        <v>3971</v>
      </c>
      <c r="H231" s="625" t="s">
        <v>3430</v>
      </c>
      <c r="I231" s="626" t="s">
        <v>3784</v>
      </c>
      <c r="J231" s="626" t="s">
        <v>2453</v>
      </c>
      <c r="K231" s="627" t="s">
        <v>3972</v>
      </c>
      <c r="L231" s="628" t="s">
        <v>3456</v>
      </c>
      <c r="M231" s="1631" t="s">
        <v>3292</v>
      </c>
      <c r="N231" s="628" t="s">
        <v>2462</v>
      </c>
      <c r="O231" s="809" t="s">
        <v>3973</v>
      </c>
      <c r="P231" s="157" t="s">
        <v>3974</v>
      </c>
      <c r="Q231" s="157"/>
      <c r="R231" s="102"/>
      <c r="S231" s="153"/>
      <c r="T231" s="290" t="s">
        <v>3663</v>
      </c>
      <c r="U231" s="290" t="s">
        <v>3668</v>
      </c>
      <c r="W231" s="27" t="s">
        <v>3975</v>
      </c>
      <c r="X231" s="27" t="s">
        <v>3439</v>
      </c>
      <c r="Z231" s="27"/>
      <c r="AA231" s="79"/>
      <c r="AB231" s="79"/>
      <c r="AC231" s="283"/>
      <c r="AD231" s="42"/>
      <c r="AE231" s="79"/>
      <c r="AF231" s="79"/>
      <c r="AG231" s="79"/>
      <c r="AH231" s="79"/>
      <c r="AI231" s="79"/>
      <c r="AJ231" s="79"/>
      <c r="AK231" s="79"/>
    </row>
    <row r="232" spans="2:37" ht="10.5" customHeight="1">
      <c r="B232" s="153"/>
      <c r="C232" s="221" t="s">
        <v>3976</v>
      </c>
      <c r="D232" s="257"/>
      <c r="E232" s="153"/>
      <c r="F232" s="307"/>
      <c r="G232" s="625" t="s">
        <v>149</v>
      </c>
      <c r="H232" s="625" t="s">
        <v>3430</v>
      </c>
      <c r="I232" s="626" t="s">
        <v>2048</v>
      </c>
      <c r="J232" s="626" t="s">
        <v>2453</v>
      </c>
      <c r="K232" s="627" t="s">
        <v>3523</v>
      </c>
      <c r="L232" s="628" t="s">
        <v>3456</v>
      </c>
      <c r="M232" s="1631" t="s">
        <v>3290</v>
      </c>
      <c r="N232" s="628" t="s">
        <v>2048</v>
      </c>
      <c r="O232" s="809" t="s">
        <v>3977</v>
      </c>
      <c r="P232" s="157" t="s">
        <v>3978</v>
      </c>
      <c r="Q232" s="157"/>
      <c r="R232" s="102"/>
      <c r="S232" s="153"/>
      <c r="T232" s="290" t="s">
        <v>99</v>
      </c>
      <c r="U232" s="290" t="s">
        <v>93</v>
      </c>
      <c r="W232" s="27" t="s">
        <v>3785</v>
      </c>
      <c r="X232" s="27" t="s">
        <v>3439</v>
      </c>
      <c r="Z232" s="27"/>
      <c r="AA232" s="79"/>
      <c r="AB232" s="79"/>
      <c r="AC232" s="283"/>
      <c r="AD232" s="42"/>
      <c r="AE232" s="79"/>
      <c r="AF232" s="79"/>
      <c r="AG232" s="79"/>
      <c r="AH232" s="79"/>
      <c r="AI232" s="79"/>
      <c r="AJ232" s="79"/>
      <c r="AK232" s="79"/>
    </row>
    <row r="233" spans="2:37" ht="10.5" customHeight="1">
      <c r="B233" s="153"/>
      <c r="C233" s="220" t="s">
        <v>3979</v>
      </c>
      <c r="D233" s="257"/>
      <c r="E233" s="153"/>
      <c r="F233" s="307"/>
      <c r="G233" s="625" t="s">
        <v>3980</v>
      </c>
      <c r="H233" s="625" t="s">
        <v>3471</v>
      </c>
      <c r="I233" s="629" t="s">
        <v>3790</v>
      </c>
      <c r="J233" s="629" t="s">
        <v>3293</v>
      </c>
      <c r="K233" s="627" t="s">
        <v>3981</v>
      </c>
      <c r="L233" s="628" t="s">
        <v>3433</v>
      </c>
      <c r="M233" s="1631" t="s">
        <v>3292</v>
      </c>
      <c r="N233" s="628" t="s">
        <v>55</v>
      </c>
      <c r="O233" s="809" t="s">
        <v>3982</v>
      </c>
      <c r="P233" s="157" t="s">
        <v>3983</v>
      </c>
      <c r="Q233" s="157"/>
      <c r="R233" s="102"/>
      <c r="S233" s="153"/>
      <c r="T233" s="290" t="s">
        <v>3984</v>
      </c>
      <c r="U233" s="290" t="s">
        <v>3785</v>
      </c>
      <c r="W233" s="27" t="s">
        <v>3985</v>
      </c>
      <c r="X233" s="27" t="s">
        <v>3439</v>
      </c>
      <c r="Z233" s="27"/>
      <c r="AA233" s="79"/>
      <c r="AB233" s="79"/>
      <c r="AC233" s="283"/>
      <c r="AD233" s="42"/>
      <c r="AE233" s="79"/>
      <c r="AF233" s="79"/>
      <c r="AG233" s="79"/>
      <c r="AH233" s="79"/>
      <c r="AI233" s="79"/>
      <c r="AJ233" s="79"/>
      <c r="AK233" s="79"/>
    </row>
    <row r="234" spans="2:37" ht="10.5" customHeight="1">
      <c r="B234" s="153"/>
      <c r="C234" s="220" t="s">
        <v>3986</v>
      </c>
      <c r="D234" s="257"/>
      <c r="E234" s="153"/>
      <c r="F234" s="307"/>
      <c r="G234" s="625" t="s">
        <v>2461</v>
      </c>
      <c r="H234" s="625" t="s">
        <v>3430</v>
      </c>
      <c r="I234" s="626" t="s">
        <v>3801</v>
      </c>
      <c r="J234" s="626" t="s">
        <v>3293</v>
      </c>
      <c r="K234" s="627" t="s">
        <v>3987</v>
      </c>
      <c r="L234" s="628" t="s">
        <v>3433</v>
      </c>
      <c r="M234" s="1631" t="s">
        <v>3292</v>
      </c>
      <c r="N234" s="628" t="s">
        <v>2461</v>
      </c>
      <c r="O234" s="809" t="s">
        <v>3988</v>
      </c>
      <c r="P234" s="157" t="s">
        <v>3989</v>
      </c>
      <c r="Q234" s="157"/>
      <c r="R234" s="102"/>
      <c r="S234" s="153"/>
      <c r="T234" s="290" t="s">
        <v>3990</v>
      </c>
      <c r="U234" s="290" t="s">
        <v>3753</v>
      </c>
      <c r="W234" s="27" t="s">
        <v>3991</v>
      </c>
      <c r="X234" s="27" t="s">
        <v>3439</v>
      </c>
      <c r="Z234" s="27"/>
      <c r="AA234" s="79"/>
      <c r="AB234" s="79"/>
      <c r="AC234" s="283"/>
      <c r="AD234" s="42"/>
      <c r="AE234" s="79"/>
      <c r="AF234" s="79"/>
      <c r="AG234" s="79"/>
      <c r="AH234" s="79"/>
      <c r="AI234" s="79"/>
      <c r="AJ234" s="79"/>
      <c r="AK234" s="79"/>
    </row>
    <row r="235" spans="2:37" ht="10.5" customHeight="1">
      <c r="B235" s="153"/>
      <c r="C235" s="220" t="s">
        <v>3992</v>
      </c>
      <c r="D235" s="257"/>
      <c r="E235" s="153"/>
      <c r="F235" s="307"/>
      <c r="G235" s="625" t="s">
        <v>2025</v>
      </c>
      <c r="H235" s="625" t="s">
        <v>3471</v>
      </c>
      <c r="I235" s="626" t="s">
        <v>3616</v>
      </c>
      <c r="J235" s="626" t="s">
        <v>2453</v>
      </c>
      <c r="K235" s="627" t="s">
        <v>3617</v>
      </c>
      <c r="L235" s="628" t="s">
        <v>3456</v>
      </c>
      <c r="M235" s="1631" t="s">
        <v>3292</v>
      </c>
      <c r="N235" s="628" t="s">
        <v>2457</v>
      </c>
      <c r="O235" s="809" t="s">
        <v>3993</v>
      </c>
      <c r="P235" s="157" t="s">
        <v>3994</v>
      </c>
      <c r="Q235" s="157"/>
      <c r="R235" s="102"/>
      <c r="S235" s="153"/>
      <c r="T235" s="290" t="s">
        <v>3669</v>
      </c>
      <c r="U235" s="290" t="s">
        <v>3610</v>
      </c>
      <c r="W235" s="27" t="s">
        <v>3995</v>
      </c>
      <c r="X235" s="27" t="s">
        <v>3439</v>
      </c>
      <c r="Z235" s="27"/>
      <c r="AA235" s="79"/>
      <c r="AB235" s="79"/>
      <c r="AC235" s="283"/>
      <c r="AD235" s="42"/>
      <c r="AE235" s="79"/>
      <c r="AF235" s="79"/>
      <c r="AG235" s="79"/>
      <c r="AH235" s="79"/>
      <c r="AI235" s="79"/>
      <c r="AJ235" s="79"/>
      <c r="AK235" s="79"/>
    </row>
    <row r="236" spans="2:37" ht="10.5" customHeight="1">
      <c r="B236" s="153"/>
      <c r="C236" s="220" t="s">
        <v>3996</v>
      </c>
      <c r="D236" s="257"/>
      <c r="E236" s="153"/>
      <c r="F236" s="307"/>
      <c r="G236" s="625" t="s">
        <v>3915</v>
      </c>
      <c r="H236" s="625" t="s">
        <v>3430</v>
      </c>
      <c r="I236" s="629" t="s">
        <v>2460</v>
      </c>
      <c r="J236" s="629" t="s">
        <v>2453</v>
      </c>
      <c r="K236" s="627" t="s">
        <v>3597</v>
      </c>
      <c r="L236" s="628" t="s">
        <v>3456</v>
      </c>
      <c r="M236" s="1631" t="s">
        <v>3292</v>
      </c>
      <c r="N236" s="628" t="s">
        <v>2460</v>
      </c>
      <c r="O236" s="809" t="s">
        <v>3997</v>
      </c>
      <c r="P236" s="157" t="s">
        <v>3998</v>
      </c>
      <c r="Q236" s="157"/>
      <c r="R236" s="102"/>
      <c r="S236" s="153"/>
      <c r="T236" s="290" t="s">
        <v>3999</v>
      </c>
      <c r="U236" s="290" t="s">
        <v>168</v>
      </c>
      <c r="W236" s="27" t="s">
        <v>3670</v>
      </c>
      <c r="X236" s="27" t="s">
        <v>3439</v>
      </c>
      <c r="Z236" s="27"/>
      <c r="AA236" s="79"/>
      <c r="AB236" s="79"/>
      <c r="AC236" s="283"/>
      <c r="AD236" s="42"/>
      <c r="AE236" s="79"/>
      <c r="AF236" s="79"/>
      <c r="AG236" s="79"/>
      <c r="AH236" s="79"/>
      <c r="AI236" s="79"/>
      <c r="AJ236" s="79"/>
      <c r="AK236" s="79"/>
    </row>
    <row r="237" spans="2:37" ht="10.5" customHeight="1">
      <c r="B237" s="153"/>
      <c r="C237" s="220" t="s">
        <v>4000</v>
      </c>
      <c r="D237" s="257"/>
      <c r="E237" s="153"/>
      <c r="F237" s="307"/>
      <c r="G237" s="625" t="s">
        <v>4001</v>
      </c>
      <c r="H237" s="625" t="s">
        <v>3471</v>
      </c>
      <c r="I237" s="629" t="s">
        <v>3469</v>
      </c>
      <c r="J237" s="629" t="s">
        <v>2453</v>
      </c>
      <c r="K237" s="627" t="s">
        <v>3539</v>
      </c>
      <c r="L237" s="628" t="s">
        <v>3456</v>
      </c>
      <c r="M237" s="1631" t="s">
        <v>3292</v>
      </c>
      <c r="N237" s="628" t="s">
        <v>2458</v>
      </c>
      <c r="O237" s="809" t="s">
        <v>4002</v>
      </c>
      <c r="P237" s="157" t="s">
        <v>4003</v>
      </c>
      <c r="Q237" s="157"/>
      <c r="R237" s="102"/>
      <c r="S237" s="153"/>
      <c r="T237" s="290" t="s">
        <v>4004</v>
      </c>
      <c r="U237" s="290" t="s">
        <v>2025</v>
      </c>
      <c r="W237" s="27" t="s">
        <v>4005</v>
      </c>
      <c r="X237" s="27" t="s">
        <v>3439</v>
      </c>
      <c r="Z237" s="27"/>
      <c r="AA237" s="79"/>
      <c r="AB237" s="79"/>
      <c r="AC237" s="283"/>
      <c r="AD237" s="42"/>
      <c r="AE237" s="79"/>
      <c r="AF237" s="79"/>
      <c r="AG237" s="79"/>
      <c r="AH237" s="79"/>
      <c r="AI237" s="79"/>
      <c r="AJ237" s="79"/>
      <c r="AK237" s="79"/>
    </row>
    <row r="238" spans="2:37" ht="10.5" customHeight="1">
      <c r="B238" s="153"/>
      <c r="C238" s="221" t="s">
        <v>4006</v>
      </c>
      <c r="D238" s="257"/>
      <c r="E238" s="153"/>
      <c r="F238" s="307"/>
      <c r="G238" s="625" t="s">
        <v>4007</v>
      </c>
      <c r="H238" s="625" t="s">
        <v>3430</v>
      </c>
      <c r="I238" s="626" t="s">
        <v>3514</v>
      </c>
      <c r="J238" s="626" t="s">
        <v>2453</v>
      </c>
      <c r="K238" s="627" t="s">
        <v>3516</v>
      </c>
      <c r="L238" s="628" t="s">
        <v>3456</v>
      </c>
      <c r="M238" s="1631" t="s">
        <v>3292</v>
      </c>
      <c r="N238" s="628" t="s">
        <v>2462</v>
      </c>
      <c r="O238" s="809" t="s">
        <v>4008</v>
      </c>
      <c r="P238" s="157" t="s">
        <v>4009</v>
      </c>
      <c r="Q238" s="157"/>
      <c r="R238" s="102"/>
      <c r="S238" s="153"/>
      <c r="T238" s="290" t="s">
        <v>4010</v>
      </c>
      <c r="U238" s="290" t="s">
        <v>3785</v>
      </c>
      <c r="W238" s="27" t="s">
        <v>3813</v>
      </c>
      <c r="X238" s="27" t="s">
        <v>3439</v>
      </c>
      <c r="Z238" s="27"/>
      <c r="AA238" s="79"/>
      <c r="AB238" s="79"/>
      <c r="AC238" s="283"/>
      <c r="AD238" s="42"/>
      <c r="AE238" s="79"/>
      <c r="AF238" s="79"/>
      <c r="AG238" s="79"/>
      <c r="AH238" s="79"/>
      <c r="AI238" s="79"/>
      <c r="AJ238" s="79"/>
      <c r="AK238" s="79"/>
    </row>
    <row r="239" spans="2:37" ht="10.5" customHeight="1">
      <c r="B239" s="153"/>
      <c r="C239" s="220" t="s">
        <v>4011</v>
      </c>
      <c r="D239" s="257"/>
      <c r="E239" s="153"/>
      <c r="F239" s="307"/>
      <c r="G239" s="625" t="s">
        <v>4012</v>
      </c>
      <c r="H239" s="625" t="s">
        <v>3430</v>
      </c>
      <c r="I239" s="629" t="s">
        <v>3808</v>
      </c>
      <c r="J239" s="629" t="s">
        <v>2453</v>
      </c>
      <c r="K239" s="627" t="s">
        <v>4013</v>
      </c>
      <c r="L239" s="628" t="s">
        <v>3456</v>
      </c>
      <c r="M239" s="1631" t="s">
        <v>3292</v>
      </c>
      <c r="N239" s="628" t="s">
        <v>55</v>
      </c>
      <c r="O239" s="809" t="s">
        <v>4014</v>
      </c>
      <c r="P239" s="157" t="s">
        <v>4015</v>
      </c>
      <c r="Q239" s="157"/>
      <c r="R239" s="102"/>
      <c r="S239" s="153"/>
      <c r="T239" s="290" t="s">
        <v>3674</v>
      </c>
      <c r="U239" s="290" t="s">
        <v>3570</v>
      </c>
      <c r="W239" s="27" t="s">
        <v>4016</v>
      </c>
      <c r="X239" s="27" t="s">
        <v>3439</v>
      </c>
      <c r="Z239" s="27"/>
      <c r="AA239" s="79"/>
      <c r="AB239" s="79"/>
      <c r="AC239" s="283"/>
      <c r="AD239" s="42"/>
      <c r="AE239" s="79"/>
      <c r="AF239" s="79"/>
      <c r="AG239" s="79"/>
      <c r="AH239" s="79"/>
      <c r="AI239" s="79"/>
      <c r="AJ239" s="79"/>
      <c r="AK239" s="79"/>
    </row>
    <row r="240" spans="2:37" ht="10.5" customHeight="1">
      <c r="B240" s="153"/>
      <c r="C240" s="220" t="s">
        <v>2048</v>
      </c>
      <c r="D240" s="257"/>
      <c r="E240" s="153"/>
      <c r="F240" s="307"/>
      <c r="G240" s="625" t="s">
        <v>4017</v>
      </c>
      <c r="H240" s="625" t="s">
        <v>3430</v>
      </c>
      <c r="I240" s="626" t="s">
        <v>3812</v>
      </c>
      <c r="J240" s="626" t="s">
        <v>3293</v>
      </c>
      <c r="K240" s="627" t="s">
        <v>4018</v>
      </c>
      <c r="L240" s="628" t="s">
        <v>3433</v>
      </c>
      <c r="M240" s="1631" t="s">
        <v>3292</v>
      </c>
      <c r="N240" s="628" t="s">
        <v>1975</v>
      </c>
      <c r="O240" s="809" t="s">
        <v>4019</v>
      </c>
      <c r="P240" s="157" t="s">
        <v>4020</v>
      </c>
      <c r="Q240" s="157"/>
      <c r="R240" s="102"/>
      <c r="S240" s="153"/>
      <c r="T240" s="290" t="s">
        <v>3679</v>
      </c>
      <c r="U240" s="290" t="s">
        <v>3459</v>
      </c>
      <c r="W240" s="27" t="s">
        <v>2018</v>
      </c>
      <c r="X240" s="27" t="s">
        <v>3439</v>
      </c>
      <c r="Z240" s="27"/>
      <c r="AA240" s="79"/>
      <c r="AB240" s="79"/>
      <c r="AC240" s="283"/>
      <c r="AD240" s="42"/>
      <c r="AE240" s="79"/>
      <c r="AF240" s="79"/>
      <c r="AG240" s="79"/>
      <c r="AH240" s="79"/>
      <c r="AI240" s="79"/>
      <c r="AJ240" s="79"/>
      <c r="AK240" s="79"/>
    </row>
    <row r="241" spans="2:37" ht="10.5" customHeight="1">
      <c r="B241" s="153"/>
      <c r="C241" s="221" t="s">
        <v>4021</v>
      </c>
      <c r="D241" s="257"/>
      <c r="E241" s="153"/>
      <c r="F241" s="307"/>
      <c r="G241" s="625" t="s">
        <v>3668</v>
      </c>
      <c r="H241" s="625" t="s">
        <v>3430</v>
      </c>
      <c r="I241" s="626" t="s">
        <v>3818</v>
      </c>
      <c r="J241" s="626" t="s">
        <v>3293</v>
      </c>
      <c r="K241" s="627" t="s">
        <v>4022</v>
      </c>
      <c r="L241" s="628" t="s">
        <v>3433</v>
      </c>
      <c r="M241" s="1631" t="s">
        <v>3292</v>
      </c>
      <c r="N241" s="628" t="s">
        <v>1975</v>
      </c>
      <c r="O241" s="809" t="s">
        <v>4023</v>
      </c>
      <c r="P241" s="157" t="s">
        <v>4024</v>
      </c>
      <c r="Q241" s="157"/>
      <c r="R241" s="102"/>
      <c r="S241" s="153"/>
      <c r="T241" s="290" t="s">
        <v>3685</v>
      </c>
      <c r="U241" s="290" t="s">
        <v>173</v>
      </c>
      <c r="W241" s="27" t="s">
        <v>4025</v>
      </c>
      <c r="X241" s="27" t="s">
        <v>3439</v>
      </c>
      <c r="Z241" s="27"/>
      <c r="AA241" s="79"/>
      <c r="AB241" s="79"/>
      <c r="AC241" s="283"/>
      <c r="AD241" s="42"/>
      <c r="AE241" s="79"/>
      <c r="AF241" s="79"/>
      <c r="AG241" s="79"/>
      <c r="AH241" s="79"/>
      <c r="AI241" s="79"/>
      <c r="AJ241" s="79"/>
      <c r="AK241" s="79"/>
    </row>
    <row r="242" spans="2:37" ht="10.5" customHeight="1">
      <c r="B242" s="153"/>
      <c r="C242" s="220" t="s">
        <v>2050</v>
      </c>
      <c r="D242" s="257"/>
      <c r="E242" s="153"/>
      <c r="F242" s="307"/>
      <c r="G242" s="625" t="s">
        <v>4026</v>
      </c>
      <c r="H242" s="625" t="s">
        <v>3471</v>
      </c>
      <c r="I242" s="629" t="s">
        <v>3826</v>
      </c>
      <c r="J242" s="629" t="s">
        <v>2453</v>
      </c>
      <c r="K242" s="627" t="s">
        <v>4027</v>
      </c>
      <c r="L242" s="628" t="s">
        <v>3456</v>
      </c>
      <c r="M242" s="1631" t="s">
        <v>3292</v>
      </c>
      <c r="N242" s="628" t="s">
        <v>55</v>
      </c>
      <c r="O242" s="809" t="s">
        <v>4028</v>
      </c>
      <c r="P242" s="157" t="s">
        <v>4029</v>
      </c>
      <c r="Q242" s="157"/>
      <c r="R242" s="102"/>
      <c r="S242" s="153"/>
      <c r="T242" s="290" t="s">
        <v>4030</v>
      </c>
      <c r="U242" s="290" t="s">
        <v>3467</v>
      </c>
      <c r="W242" s="27" t="s">
        <v>2020</v>
      </c>
      <c r="X242" s="27" t="s">
        <v>3439</v>
      </c>
      <c r="Z242" s="27"/>
      <c r="AA242" s="79"/>
      <c r="AB242" s="79"/>
      <c r="AC242" s="283"/>
      <c r="AD242" s="42"/>
      <c r="AE242" s="79"/>
      <c r="AF242" s="79"/>
      <c r="AG242" s="79"/>
      <c r="AH242" s="79"/>
      <c r="AI242" s="79"/>
      <c r="AJ242" s="79"/>
      <c r="AK242" s="79"/>
    </row>
    <row r="243" spans="2:37" ht="10.5" customHeight="1">
      <c r="B243" s="153"/>
      <c r="C243" s="220" t="s">
        <v>4031</v>
      </c>
      <c r="D243" s="257"/>
      <c r="F243" s="307"/>
      <c r="G243" s="625" t="s">
        <v>147</v>
      </c>
      <c r="H243" s="625" t="s">
        <v>3430</v>
      </c>
      <c r="I243" s="626" t="s">
        <v>3832</v>
      </c>
      <c r="J243" s="626" t="s">
        <v>3293</v>
      </c>
      <c r="K243" s="627" t="s">
        <v>4032</v>
      </c>
      <c r="L243" s="628" t="s">
        <v>3433</v>
      </c>
      <c r="M243" s="1631" t="s">
        <v>3292</v>
      </c>
      <c r="N243" s="628" t="s">
        <v>2462</v>
      </c>
      <c r="O243" s="809" t="s">
        <v>4033</v>
      </c>
      <c r="P243" s="157" t="s">
        <v>4034</v>
      </c>
      <c r="Q243" s="157"/>
      <c r="R243" s="102"/>
      <c r="S243" s="153"/>
      <c r="T243" s="153" t="s">
        <v>4035</v>
      </c>
      <c r="U243" s="153" t="s">
        <v>3727</v>
      </c>
      <c r="W243" s="27" t="s">
        <v>4036</v>
      </c>
      <c r="X243" s="27" t="s">
        <v>3439</v>
      </c>
      <c r="Z243" s="27"/>
      <c r="AA243" s="79"/>
      <c r="AB243" s="79"/>
      <c r="AC243" s="283"/>
      <c r="AD243" s="42"/>
      <c r="AE243" s="79"/>
      <c r="AF243" s="79"/>
      <c r="AG243" s="79"/>
      <c r="AH243" s="79"/>
      <c r="AI243" s="79"/>
      <c r="AJ243" s="79"/>
      <c r="AK243" s="79"/>
    </row>
    <row r="244" spans="2:37" ht="10.5" customHeight="1">
      <c r="B244" s="153"/>
      <c r="C244" s="220" t="s">
        <v>4037</v>
      </c>
      <c r="D244" s="257"/>
      <c r="F244" s="307"/>
      <c r="G244" s="625" t="s">
        <v>3824</v>
      </c>
      <c r="H244" s="625" t="s">
        <v>3471</v>
      </c>
      <c r="I244" s="629" t="s">
        <v>3837</v>
      </c>
      <c r="J244" s="626" t="s">
        <v>2453</v>
      </c>
      <c r="K244" s="627" t="s">
        <v>4038</v>
      </c>
      <c r="L244" s="628" t="s">
        <v>3456</v>
      </c>
      <c r="M244" s="1631" t="s">
        <v>3292</v>
      </c>
      <c r="N244" s="628" t="s">
        <v>55</v>
      </c>
      <c r="O244" s="809" t="s">
        <v>4039</v>
      </c>
      <c r="P244" s="157" t="s">
        <v>4040</v>
      </c>
      <c r="Q244" s="157"/>
      <c r="R244" s="102"/>
      <c r="S244" s="153"/>
      <c r="T244" s="290" t="s">
        <v>1993</v>
      </c>
      <c r="U244" s="290" t="s">
        <v>3580</v>
      </c>
      <c r="W244" s="27" t="s">
        <v>4041</v>
      </c>
      <c r="X244" s="27" t="s">
        <v>3439</v>
      </c>
      <c r="Z244" s="27"/>
      <c r="AA244" s="79"/>
      <c r="AB244" s="79"/>
      <c r="AC244" s="42"/>
      <c r="AD244" s="42"/>
      <c r="AE244" s="79"/>
      <c r="AF244" s="79"/>
      <c r="AG244" s="79"/>
      <c r="AH244" s="79"/>
      <c r="AI244" s="79"/>
      <c r="AJ244" s="79"/>
      <c r="AK244" s="79"/>
    </row>
    <row r="245" spans="2:37" ht="10.5" customHeight="1">
      <c r="B245" s="153"/>
      <c r="C245" s="220" t="s">
        <v>4042</v>
      </c>
      <c r="D245" s="257"/>
      <c r="F245" s="307"/>
      <c r="G245" s="625" t="s">
        <v>4043</v>
      </c>
      <c r="H245" s="625" t="s">
        <v>3471</v>
      </c>
      <c r="I245" s="626" t="s">
        <v>3841</v>
      </c>
      <c r="J245" s="626" t="s">
        <v>2453</v>
      </c>
      <c r="K245" s="627" t="s">
        <v>4044</v>
      </c>
      <c r="L245" s="628" t="s">
        <v>3456</v>
      </c>
      <c r="M245" s="1631" t="s">
        <v>3292</v>
      </c>
      <c r="N245" s="628" t="s">
        <v>55</v>
      </c>
      <c r="O245" s="809" t="s">
        <v>4045</v>
      </c>
      <c r="P245" s="157" t="s">
        <v>4046</v>
      </c>
      <c r="Q245" s="157"/>
      <c r="R245" s="102"/>
      <c r="S245" s="153"/>
      <c r="T245" s="290" t="s">
        <v>1996</v>
      </c>
      <c r="U245" s="290" t="s">
        <v>166</v>
      </c>
      <c r="W245" s="27" t="s">
        <v>4047</v>
      </c>
      <c r="X245" s="27" t="s">
        <v>3439</v>
      </c>
      <c r="Z245" s="27"/>
      <c r="AA245" s="79"/>
      <c r="AB245" s="79"/>
      <c r="AC245" s="283"/>
      <c r="AD245" s="42"/>
      <c r="AE245" s="79"/>
      <c r="AF245" s="79"/>
      <c r="AG245" s="79"/>
      <c r="AH245" s="79"/>
      <c r="AI245" s="79"/>
      <c r="AJ245" s="79"/>
      <c r="AK245" s="79"/>
    </row>
    <row r="246" spans="2:37" ht="10.5" customHeight="1">
      <c r="B246" s="153"/>
      <c r="C246" s="220" t="s">
        <v>4048</v>
      </c>
      <c r="D246" s="257"/>
      <c r="F246" s="307"/>
      <c r="G246" s="625" t="s">
        <v>3751</v>
      </c>
      <c r="H246" s="625" t="s">
        <v>3501</v>
      </c>
      <c r="I246" s="629" t="s">
        <v>2460</v>
      </c>
      <c r="J246" s="629" t="s">
        <v>2453</v>
      </c>
      <c r="K246" s="627" t="s">
        <v>3597</v>
      </c>
      <c r="L246" s="628" t="s">
        <v>3456</v>
      </c>
      <c r="M246" s="1631" t="s">
        <v>3290</v>
      </c>
      <c r="N246" s="628" t="s">
        <v>2460</v>
      </c>
      <c r="O246" s="809" t="s">
        <v>4049</v>
      </c>
      <c r="P246" s="157" t="s">
        <v>4050</v>
      </c>
      <c r="Q246" s="157"/>
      <c r="R246" s="102"/>
      <c r="S246" s="153"/>
      <c r="T246" s="290" t="s">
        <v>4051</v>
      </c>
      <c r="U246" s="290" t="s">
        <v>3874</v>
      </c>
      <c r="W246" s="27" t="s">
        <v>4052</v>
      </c>
      <c r="X246" s="27" t="s">
        <v>3439</v>
      </c>
      <c r="Z246" s="27"/>
      <c r="AA246" s="79"/>
      <c r="AB246" s="79"/>
      <c r="AC246" s="283"/>
      <c r="AD246" s="42"/>
      <c r="AE246" s="79"/>
      <c r="AF246" s="79"/>
      <c r="AG246" s="79"/>
      <c r="AH246" s="79"/>
      <c r="AI246" s="79"/>
      <c r="AJ246" s="79"/>
      <c r="AK246" s="79"/>
    </row>
    <row r="247" spans="2:37" ht="10.5" customHeight="1">
      <c r="B247" s="153"/>
      <c r="C247" s="220" t="s">
        <v>4053</v>
      </c>
      <c r="D247" s="257"/>
      <c r="F247" s="307"/>
      <c r="G247" s="625" t="s">
        <v>4054</v>
      </c>
      <c r="H247" s="625" t="s">
        <v>3471</v>
      </c>
      <c r="I247" s="629" t="s">
        <v>3461</v>
      </c>
      <c r="J247" s="629" t="s">
        <v>2453</v>
      </c>
      <c r="K247" s="627" t="s">
        <v>3477</v>
      </c>
      <c r="L247" s="628" t="s">
        <v>3456</v>
      </c>
      <c r="M247" s="1631" t="s">
        <v>3290</v>
      </c>
      <c r="N247" s="628" t="s">
        <v>55</v>
      </c>
      <c r="O247" s="809" t="s">
        <v>4055</v>
      </c>
      <c r="P247" s="157" t="s">
        <v>4056</v>
      </c>
      <c r="Q247" s="157"/>
      <c r="R247" s="102"/>
      <c r="S247" s="153"/>
      <c r="T247" s="290" t="s">
        <v>3694</v>
      </c>
      <c r="U247" s="290" t="s">
        <v>93</v>
      </c>
      <c r="W247" s="27" t="s">
        <v>4057</v>
      </c>
      <c r="X247" s="27" t="s">
        <v>3439</v>
      </c>
      <c r="Z247" s="27"/>
      <c r="AA247" s="79"/>
      <c r="AB247" s="79"/>
      <c r="AC247" s="283"/>
      <c r="AD247" s="42"/>
      <c r="AE247" s="79"/>
      <c r="AF247" s="79"/>
      <c r="AG247" s="79"/>
      <c r="AH247" s="79"/>
      <c r="AI247" s="79"/>
      <c r="AJ247" s="79"/>
      <c r="AK247" s="79"/>
    </row>
    <row r="248" spans="2:37" ht="10.5" customHeight="1">
      <c r="B248" s="153"/>
      <c r="C248" s="220" t="s">
        <v>4058</v>
      </c>
      <c r="D248" s="257"/>
      <c r="F248" s="307"/>
      <c r="G248" s="625" t="s">
        <v>3758</v>
      </c>
      <c r="H248" s="625" t="s">
        <v>3471</v>
      </c>
      <c r="I248" s="626" t="s">
        <v>3616</v>
      </c>
      <c r="J248" s="626" t="s">
        <v>2453</v>
      </c>
      <c r="K248" s="627" t="s">
        <v>3617</v>
      </c>
      <c r="L248" s="628" t="s">
        <v>3456</v>
      </c>
      <c r="M248" s="1631" t="s">
        <v>3292</v>
      </c>
      <c r="N248" s="628" t="s">
        <v>2457</v>
      </c>
      <c r="O248" s="809" t="s">
        <v>4059</v>
      </c>
      <c r="P248" s="157" t="s">
        <v>4060</v>
      </c>
      <c r="Q248" s="157"/>
      <c r="R248" s="102"/>
      <c r="S248" s="153"/>
      <c r="T248" s="290" t="s">
        <v>3701</v>
      </c>
      <c r="U248" s="290" t="s">
        <v>4043</v>
      </c>
      <c r="W248" s="27" t="s">
        <v>2021</v>
      </c>
      <c r="X248" s="27" t="s">
        <v>3439</v>
      </c>
      <c r="Z248" s="27"/>
      <c r="AA248" s="79"/>
      <c r="AB248" s="79"/>
      <c r="AC248" s="283"/>
      <c r="AD248" s="42"/>
      <c r="AE248" s="79"/>
      <c r="AF248" s="79"/>
      <c r="AG248" s="79"/>
      <c r="AH248" s="79"/>
      <c r="AI248" s="79"/>
      <c r="AJ248" s="79"/>
      <c r="AK248" s="79"/>
    </row>
    <row r="249" spans="2:37" ht="10.5" customHeight="1">
      <c r="B249" s="153"/>
      <c r="C249" s="220" t="s">
        <v>4061</v>
      </c>
      <c r="D249" s="257"/>
      <c r="F249" s="307"/>
      <c r="G249" s="625" t="s">
        <v>3607</v>
      </c>
      <c r="H249" s="625" t="s">
        <v>3471</v>
      </c>
      <c r="I249" s="626" t="s">
        <v>3616</v>
      </c>
      <c r="J249" s="626" t="s">
        <v>2453</v>
      </c>
      <c r="K249" s="627" t="s">
        <v>3617</v>
      </c>
      <c r="L249" s="628" t="s">
        <v>3456</v>
      </c>
      <c r="M249" s="1631" t="s">
        <v>3292</v>
      </c>
      <c r="N249" s="628" t="s">
        <v>2457</v>
      </c>
      <c r="O249" s="809" t="s">
        <v>4062</v>
      </c>
      <c r="P249" s="157" t="s">
        <v>4063</v>
      </c>
      <c r="Q249" s="157"/>
      <c r="R249" s="102"/>
      <c r="S249" s="153"/>
      <c r="T249" s="290" t="s">
        <v>4064</v>
      </c>
      <c r="U249" s="290" t="s">
        <v>151</v>
      </c>
      <c r="W249" s="27" t="s">
        <v>4065</v>
      </c>
      <c r="X249" s="27" t="s">
        <v>3439</v>
      </c>
      <c r="Z249" s="27"/>
      <c r="AA249" s="79"/>
      <c r="AB249" s="79"/>
      <c r="AC249" s="283"/>
      <c r="AD249" s="42"/>
      <c r="AE249" s="79"/>
      <c r="AF249" s="79"/>
      <c r="AG249" s="79"/>
      <c r="AH249" s="79"/>
      <c r="AI249" s="79"/>
      <c r="AJ249" s="79"/>
      <c r="AK249" s="79"/>
    </row>
    <row r="250" spans="2:37" ht="10.5" customHeight="1">
      <c r="B250" s="153"/>
      <c r="C250" s="220" t="s">
        <v>4066</v>
      </c>
      <c r="D250" s="257"/>
      <c r="F250" s="307"/>
      <c r="G250" s="625" t="s">
        <v>3854</v>
      </c>
      <c r="H250" s="625" t="s">
        <v>3471</v>
      </c>
      <c r="I250" s="629" t="s">
        <v>3461</v>
      </c>
      <c r="J250" s="629" t="s">
        <v>2453</v>
      </c>
      <c r="K250" s="627" t="s">
        <v>3477</v>
      </c>
      <c r="L250" s="628" t="s">
        <v>3456</v>
      </c>
      <c r="M250" s="1631" t="s">
        <v>3290</v>
      </c>
      <c r="N250" s="628" t="s">
        <v>55</v>
      </c>
      <c r="O250" s="809" t="s">
        <v>4067</v>
      </c>
      <c r="P250" s="157" t="s">
        <v>4068</v>
      </c>
      <c r="Q250" s="157"/>
      <c r="R250" s="102"/>
      <c r="S250" s="153"/>
      <c r="T250" s="290" t="s">
        <v>100</v>
      </c>
      <c r="U250" s="290" t="s">
        <v>101</v>
      </c>
      <c r="W250" s="27" t="s">
        <v>4069</v>
      </c>
      <c r="X250" s="27" t="s">
        <v>3439</v>
      </c>
      <c r="Z250" s="27"/>
      <c r="AA250" s="79"/>
      <c r="AB250" s="79"/>
      <c r="AC250" s="283"/>
      <c r="AD250" s="42"/>
      <c r="AE250" s="79"/>
      <c r="AF250" s="79"/>
      <c r="AG250" s="79"/>
      <c r="AH250" s="79"/>
      <c r="AI250" s="79"/>
      <c r="AJ250" s="79"/>
      <c r="AK250" s="79"/>
    </row>
    <row r="251" spans="2:37" ht="10.5" customHeight="1">
      <c r="B251" s="153"/>
      <c r="C251" s="220" t="s">
        <v>4070</v>
      </c>
      <c r="D251" s="257"/>
      <c r="F251" s="307"/>
      <c r="G251" s="625" t="s">
        <v>3937</v>
      </c>
      <c r="H251" s="625" t="s">
        <v>3471</v>
      </c>
      <c r="I251" s="629" t="s">
        <v>3848</v>
      </c>
      <c r="J251" s="629" t="s">
        <v>2453</v>
      </c>
      <c r="K251" s="627" t="s">
        <v>4071</v>
      </c>
      <c r="L251" s="628" t="s">
        <v>3456</v>
      </c>
      <c r="M251" s="1631" t="s">
        <v>3292</v>
      </c>
      <c r="N251" s="628" t="s">
        <v>2461</v>
      </c>
      <c r="O251" s="809" t="s">
        <v>4072</v>
      </c>
      <c r="P251" s="157" t="s">
        <v>4073</v>
      </c>
      <c r="Q251" s="157"/>
      <c r="R251" s="102"/>
      <c r="S251" s="153"/>
      <c r="T251" s="290" t="s">
        <v>4074</v>
      </c>
      <c r="U251" s="290" t="s">
        <v>3703</v>
      </c>
      <c r="W251" s="27" t="s">
        <v>4075</v>
      </c>
      <c r="X251" s="27" t="s">
        <v>3439</v>
      </c>
      <c r="Z251" s="27"/>
      <c r="AA251" s="79"/>
      <c r="AB251" s="79"/>
      <c r="AC251" s="283"/>
      <c r="AD251" s="42"/>
      <c r="AE251" s="79"/>
      <c r="AF251" s="79"/>
      <c r="AG251" s="79"/>
      <c r="AH251" s="79"/>
      <c r="AI251" s="79"/>
      <c r="AJ251" s="79"/>
      <c r="AK251" s="79"/>
    </row>
    <row r="252" spans="2:37" ht="10.5" customHeight="1">
      <c r="F252" s="307"/>
      <c r="G252" s="625" t="s">
        <v>4076</v>
      </c>
      <c r="H252" s="625" t="s">
        <v>3471</v>
      </c>
      <c r="I252" s="629" t="s">
        <v>3461</v>
      </c>
      <c r="J252" s="629" t="s">
        <v>2453</v>
      </c>
      <c r="K252" s="627" t="s">
        <v>3477</v>
      </c>
      <c r="L252" s="628" t="s">
        <v>3456</v>
      </c>
      <c r="M252" s="1631" t="s">
        <v>3290</v>
      </c>
      <c r="N252" s="628" t="s">
        <v>55</v>
      </c>
      <c r="O252" s="809" t="s">
        <v>4077</v>
      </c>
      <c r="P252" s="157" t="s">
        <v>4078</v>
      </c>
      <c r="Q252" s="157"/>
      <c r="R252" s="102"/>
      <c r="S252" s="153"/>
      <c r="T252" s="290" t="s">
        <v>4079</v>
      </c>
      <c r="U252" s="290" t="s">
        <v>3795</v>
      </c>
      <c r="W252" s="27" t="s">
        <v>4080</v>
      </c>
      <c r="X252" s="27" t="s">
        <v>3439</v>
      </c>
      <c r="Z252" s="79"/>
      <c r="AA252" s="79"/>
      <c r="AB252" s="79"/>
      <c r="AC252" s="283"/>
      <c r="AD252" s="42"/>
      <c r="AE252" s="79"/>
      <c r="AF252" s="79"/>
      <c r="AG252" s="79"/>
      <c r="AH252" s="79"/>
      <c r="AI252" s="79"/>
      <c r="AJ252" s="79"/>
      <c r="AK252" s="79"/>
    </row>
    <row r="253" spans="2:37" ht="10.5" customHeight="1">
      <c r="F253" s="307"/>
      <c r="G253" s="625" t="s">
        <v>3763</v>
      </c>
      <c r="H253" s="625" t="s">
        <v>3430</v>
      </c>
      <c r="I253" s="626" t="s">
        <v>3855</v>
      </c>
      <c r="J253" s="626" t="s">
        <v>3293</v>
      </c>
      <c r="K253" s="627" t="s">
        <v>4081</v>
      </c>
      <c r="L253" s="628" t="s">
        <v>3433</v>
      </c>
      <c r="M253" s="1631" t="s">
        <v>3292</v>
      </c>
      <c r="N253" s="628" t="s">
        <v>2048</v>
      </c>
      <c r="O253" s="809" t="s">
        <v>4082</v>
      </c>
      <c r="P253" s="157" t="s">
        <v>4083</v>
      </c>
      <c r="Q253" s="157"/>
      <c r="R253" s="102"/>
      <c r="S253" s="153"/>
      <c r="T253" s="290" t="s">
        <v>4084</v>
      </c>
      <c r="U253" s="290" t="s">
        <v>3703</v>
      </c>
      <c r="W253" s="27" t="s">
        <v>4085</v>
      </c>
      <c r="X253" s="27" t="s">
        <v>3439</v>
      </c>
      <c r="Z253" s="79"/>
      <c r="AA253" s="79"/>
      <c r="AB253" s="79"/>
      <c r="AC253" s="283"/>
      <c r="AD253" s="42"/>
      <c r="AE253" s="79"/>
      <c r="AF253" s="79"/>
      <c r="AG253" s="79"/>
      <c r="AH253" s="79"/>
      <c r="AI253" s="79"/>
      <c r="AJ253" s="79"/>
      <c r="AK253" s="79"/>
    </row>
    <row r="254" spans="2:37" ht="10.5" customHeight="1">
      <c r="F254" s="307"/>
      <c r="G254" s="625" t="s">
        <v>130</v>
      </c>
      <c r="H254" s="625" t="s">
        <v>3430</v>
      </c>
      <c r="I254" s="629" t="s">
        <v>3461</v>
      </c>
      <c r="J254" s="629" t="s">
        <v>2453</v>
      </c>
      <c r="K254" s="627" t="s">
        <v>3477</v>
      </c>
      <c r="L254" s="628" t="s">
        <v>3456</v>
      </c>
      <c r="M254" s="1631" t="s">
        <v>3290</v>
      </c>
      <c r="N254" s="628" t="s">
        <v>55</v>
      </c>
      <c r="O254" s="809" t="s">
        <v>4086</v>
      </c>
      <c r="P254" s="157" t="s">
        <v>4087</v>
      </c>
      <c r="Q254" s="157"/>
      <c r="R254" s="102"/>
      <c r="S254" s="153"/>
      <c r="T254" s="290" t="s">
        <v>3708</v>
      </c>
      <c r="U254" s="290" t="s">
        <v>101</v>
      </c>
      <c r="W254" s="27" t="s">
        <v>4088</v>
      </c>
      <c r="X254" s="27" t="s">
        <v>3439</v>
      </c>
      <c r="Z254" s="79"/>
      <c r="AA254" s="79"/>
      <c r="AB254" s="79"/>
      <c r="AC254" s="283"/>
      <c r="AD254" s="42"/>
      <c r="AE254" s="79"/>
      <c r="AF254" s="79"/>
      <c r="AG254" s="79"/>
      <c r="AH254" s="79"/>
      <c r="AI254" s="79"/>
      <c r="AJ254" s="79"/>
      <c r="AK254" s="79"/>
    </row>
    <row r="255" spans="2:37" ht="10.5" customHeight="1">
      <c r="F255" s="307"/>
      <c r="G255" s="625" t="s">
        <v>3580</v>
      </c>
      <c r="H255" s="625" t="s">
        <v>3471</v>
      </c>
      <c r="I255" s="626" t="s">
        <v>3861</v>
      </c>
      <c r="J255" s="626" t="s">
        <v>3293</v>
      </c>
      <c r="K255" s="627" t="s">
        <v>4089</v>
      </c>
      <c r="L255" s="628" t="s">
        <v>3433</v>
      </c>
      <c r="M255" s="1631" t="s">
        <v>3292</v>
      </c>
      <c r="N255" s="628" t="s">
        <v>55</v>
      </c>
      <c r="O255" s="809" t="s">
        <v>4090</v>
      </c>
      <c r="P255" s="157" t="s">
        <v>4091</v>
      </c>
      <c r="Q255" s="157"/>
      <c r="R255" s="102"/>
      <c r="S255" s="153"/>
      <c r="T255" s="290" t="s">
        <v>4092</v>
      </c>
      <c r="U255" s="290" t="s">
        <v>161</v>
      </c>
      <c r="W255" s="27" t="s">
        <v>4093</v>
      </c>
      <c r="X255" s="27" t="s">
        <v>3439</v>
      </c>
      <c r="Z255" s="79"/>
      <c r="AA255" s="79"/>
      <c r="AB255" s="79"/>
      <c r="AC255" s="283"/>
      <c r="AD255" s="42"/>
      <c r="AE255" s="79"/>
      <c r="AF255" s="79"/>
      <c r="AG255" s="79"/>
      <c r="AH255" s="79"/>
      <c r="AI255" s="79"/>
      <c r="AJ255" s="79"/>
      <c r="AK255" s="79"/>
    </row>
    <row r="256" spans="2:37" ht="10.5" customHeight="1">
      <c r="F256" s="307"/>
      <c r="G256" s="625" t="s">
        <v>4094</v>
      </c>
      <c r="H256" s="625" t="s">
        <v>3430</v>
      </c>
      <c r="I256" s="629" t="s">
        <v>3866</v>
      </c>
      <c r="J256" s="629" t="s">
        <v>2453</v>
      </c>
      <c r="K256" s="627" t="s">
        <v>4095</v>
      </c>
      <c r="L256" s="628" t="s">
        <v>3456</v>
      </c>
      <c r="M256" s="1631" t="s">
        <v>3292</v>
      </c>
      <c r="N256" s="628" t="s">
        <v>2461</v>
      </c>
      <c r="O256" s="809" t="s">
        <v>4096</v>
      </c>
      <c r="P256" s="157" t="s">
        <v>4097</v>
      </c>
      <c r="Q256" s="157"/>
      <c r="R256" s="102"/>
      <c r="S256" s="153"/>
      <c r="T256" s="290" t="s">
        <v>3715</v>
      </c>
      <c r="U256" s="290" t="s">
        <v>93</v>
      </c>
      <c r="W256" s="27" t="s">
        <v>4098</v>
      </c>
      <c r="X256" s="27" t="s">
        <v>3439</v>
      </c>
      <c r="Z256" s="79"/>
      <c r="AA256" s="79"/>
      <c r="AB256" s="79"/>
      <c r="AC256" s="283"/>
      <c r="AD256" s="42"/>
      <c r="AE256" s="79"/>
      <c r="AF256" s="79"/>
      <c r="AG256" s="79"/>
      <c r="AH256" s="79"/>
      <c r="AI256" s="79"/>
      <c r="AJ256" s="79"/>
      <c r="AK256" s="79"/>
    </row>
    <row r="257" spans="6:37" ht="10.5" customHeight="1">
      <c r="F257" s="307"/>
      <c r="G257" s="625" t="s">
        <v>4099</v>
      </c>
      <c r="H257" s="625" t="s">
        <v>3471</v>
      </c>
      <c r="I257" s="629" t="s">
        <v>3873</v>
      </c>
      <c r="J257" s="629" t="s">
        <v>3293</v>
      </c>
      <c r="K257" s="627" t="s">
        <v>4100</v>
      </c>
      <c r="L257" s="628" t="s">
        <v>3433</v>
      </c>
      <c r="M257" s="1631" t="s">
        <v>3292</v>
      </c>
      <c r="N257" s="628" t="s">
        <v>55</v>
      </c>
      <c r="O257" s="809" t="s">
        <v>4101</v>
      </c>
      <c r="P257" s="157" t="s">
        <v>4102</v>
      </c>
      <c r="Q257" s="157"/>
      <c r="R257" s="102"/>
      <c r="S257" s="153"/>
      <c r="T257" s="290" t="s">
        <v>3720</v>
      </c>
      <c r="U257" s="290" t="s">
        <v>114</v>
      </c>
      <c r="W257" s="27" t="s">
        <v>4103</v>
      </c>
      <c r="X257" s="27" t="s">
        <v>3439</v>
      </c>
      <c r="Z257" s="79"/>
      <c r="AA257" s="79"/>
      <c r="AB257" s="79"/>
      <c r="AC257" s="283"/>
      <c r="AD257" s="42"/>
      <c r="AE257" s="79"/>
      <c r="AF257" s="79"/>
      <c r="AG257" s="79"/>
      <c r="AH257" s="79"/>
      <c r="AI257" s="79"/>
      <c r="AJ257" s="79"/>
      <c r="AK257" s="79"/>
    </row>
    <row r="258" spans="6:37" ht="10.5" customHeight="1">
      <c r="F258" s="307"/>
      <c r="G258" s="625" t="s">
        <v>123</v>
      </c>
      <c r="H258" s="625" t="s">
        <v>3430</v>
      </c>
      <c r="I258" s="626" t="s">
        <v>3879</v>
      </c>
      <c r="J258" s="626" t="s">
        <v>3293</v>
      </c>
      <c r="K258" s="627" t="s">
        <v>4104</v>
      </c>
      <c r="L258" s="628" t="s">
        <v>3433</v>
      </c>
      <c r="M258" s="1631" t="s">
        <v>3292</v>
      </c>
      <c r="N258" s="628" t="s">
        <v>2460</v>
      </c>
      <c r="O258" s="809" t="s">
        <v>4105</v>
      </c>
      <c r="P258" s="157" t="s">
        <v>4106</v>
      </c>
      <c r="Q258" s="157"/>
      <c r="R258" s="102"/>
      <c r="S258" s="153"/>
      <c r="T258" s="290" t="s">
        <v>98</v>
      </c>
      <c r="U258" s="290" t="s">
        <v>4107</v>
      </c>
      <c r="W258" s="27" t="s">
        <v>3588</v>
      </c>
      <c r="X258" s="27" t="s">
        <v>3439</v>
      </c>
      <c r="Z258" s="79"/>
      <c r="AA258" s="79"/>
      <c r="AB258" s="79"/>
      <c r="AC258" s="283"/>
      <c r="AD258" s="42"/>
      <c r="AE258" s="79"/>
      <c r="AF258" s="79"/>
      <c r="AG258" s="79"/>
      <c r="AH258" s="79"/>
      <c r="AI258" s="79"/>
      <c r="AJ258" s="79"/>
      <c r="AK258" s="79"/>
    </row>
    <row r="259" spans="6:37" ht="10.5" customHeight="1">
      <c r="F259" s="307"/>
      <c r="G259" s="625" t="s">
        <v>4107</v>
      </c>
      <c r="H259" s="625" t="s">
        <v>3471</v>
      </c>
      <c r="I259" s="626" t="s">
        <v>3884</v>
      </c>
      <c r="J259" s="626" t="s">
        <v>3293</v>
      </c>
      <c r="K259" s="627" t="s">
        <v>4108</v>
      </c>
      <c r="L259" s="628" t="s">
        <v>3433</v>
      </c>
      <c r="M259" s="1631" t="s">
        <v>3292</v>
      </c>
      <c r="N259" s="628" t="s">
        <v>2457</v>
      </c>
      <c r="O259" s="809" t="s">
        <v>4109</v>
      </c>
      <c r="P259" s="157" t="s">
        <v>4110</v>
      </c>
      <c r="Q259" s="157"/>
      <c r="R259" s="102"/>
      <c r="S259" s="153"/>
      <c r="T259" s="290" t="s">
        <v>4111</v>
      </c>
      <c r="U259" s="290" t="s">
        <v>3842</v>
      </c>
      <c r="W259" s="27" t="s">
        <v>3900</v>
      </c>
      <c r="X259" s="27" t="s">
        <v>3439</v>
      </c>
      <c r="Z259" s="79"/>
      <c r="AA259" s="79"/>
      <c r="AB259" s="79"/>
      <c r="AC259" s="283"/>
      <c r="AD259" s="42"/>
      <c r="AE259" s="79"/>
      <c r="AF259" s="79"/>
      <c r="AG259" s="79"/>
      <c r="AH259" s="79"/>
      <c r="AI259" s="79"/>
      <c r="AJ259" s="79"/>
      <c r="AK259" s="79"/>
    </row>
    <row r="260" spans="6:37" ht="10.5" customHeight="1">
      <c r="F260" s="307"/>
      <c r="G260" s="625" t="s">
        <v>4112</v>
      </c>
      <c r="H260" s="625" t="s">
        <v>3430</v>
      </c>
      <c r="I260" s="626" t="s">
        <v>3889</v>
      </c>
      <c r="J260" s="626" t="s">
        <v>3293</v>
      </c>
      <c r="K260" s="627" t="s">
        <v>4113</v>
      </c>
      <c r="L260" s="628" t="s">
        <v>3433</v>
      </c>
      <c r="M260" s="1631" t="s">
        <v>3292</v>
      </c>
      <c r="N260" s="628" t="s">
        <v>1975</v>
      </c>
      <c r="O260" s="809" t="s">
        <v>4114</v>
      </c>
      <c r="P260" s="157" t="s">
        <v>4115</v>
      </c>
      <c r="Q260" s="157"/>
      <c r="R260" s="102"/>
      <c r="S260" s="153"/>
      <c r="T260" s="290" t="s">
        <v>3732</v>
      </c>
      <c r="U260" s="290" t="s">
        <v>4116</v>
      </c>
      <c r="W260" s="27" t="s">
        <v>3658</v>
      </c>
      <c r="X260" s="27" t="s">
        <v>3439</v>
      </c>
      <c r="Z260" s="79"/>
      <c r="AA260" s="79"/>
      <c r="AB260" s="79"/>
      <c r="AC260" s="283"/>
      <c r="AD260" s="42"/>
      <c r="AE260" s="79"/>
      <c r="AF260" s="79"/>
      <c r="AG260" s="79"/>
      <c r="AH260" s="79"/>
      <c r="AI260" s="79"/>
      <c r="AJ260" s="79"/>
      <c r="AK260" s="79"/>
    </row>
    <row r="261" spans="6:37" ht="10.5" customHeight="1">
      <c r="F261" s="307"/>
      <c r="G261" s="625" t="s">
        <v>3640</v>
      </c>
      <c r="H261" s="625" t="s">
        <v>3501</v>
      </c>
      <c r="I261" s="629" t="s">
        <v>3469</v>
      </c>
      <c r="J261" s="629" t="s">
        <v>2453</v>
      </c>
      <c r="K261" s="627" t="s">
        <v>3539</v>
      </c>
      <c r="L261" s="628" t="s">
        <v>3456</v>
      </c>
      <c r="M261" s="1631" t="s">
        <v>3290</v>
      </c>
      <c r="N261" s="628" t="s">
        <v>2458</v>
      </c>
      <c r="O261" s="809" t="s">
        <v>4117</v>
      </c>
      <c r="P261" s="157" t="s">
        <v>4118</v>
      </c>
      <c r="Q261" s="157"/>
      <c r="R261" s="102"/>
      <c r="S261" s="153"/>
      <c r="T261" s="290" t="s">
        <v>4119</v>
      </c>
      <c r="U261" s="290" t="s">
        <v>3630</v>
      </c>
      <c r="W261" s="27" t="s">
        <v>4120</v>
      </c>
      <c r="X261" s="27" t="s">
        <v>3439</v>
      </c>
      <c r="AA261"/>
      <c r="AB261"/>
      <c r="AC261" s="283"/>
      <c r="AD261" s="42"/>
    </row>
    <row r="262" spans="6:37" ht="10.5" customHeight="1">
      <c r="F262" s="307"/>
      <c r="G262" s="625" t="s">
        <v>140</v>
      </c>
      <c r="H262" s="625" t="s">
        <v>3471</v>
      </c>
      <c r="I262" s="629" t="s">
        <v>3461</v>
      </c>
      <c r="J262" s="629" t="s">
        <v>2453</v>
      </c>
      <c r="K262" s="627" t="s">
        <v>3477</v>
      </c>
      <c r="L262" s="628" t="s">
        <v>3456</v>
      </c>
      <c r="M262" s="1631" t="s">
        <v>3290</v>
      </c>
      <c r="N262" s="628" t="s">
        <v>55</v>
      </c>
      <c r="O262" s="809" t="s">
        <v>4121</v>
      </c>
      <c r="P262" s="157" t="s">
        <v>4122</v>
      </c>
      <c r="Q262" s="157"/>
      <c r="R262" s="102"/>
      <c r="S262" s="153"/>
      <c r="T262" s="290" t="s">
        <v>4123</v>
      </c>
      <c r="U262" s="290" t="s">
        <v>4124</v>
      </c>
      <c r="W262" s="27" t="s">
        <v>4125</v>
      </c>
      <c r="X262" s="27" t="s">
        <v>3439</v>
      </c>
      <c r="AA262"/>
      <c r="AB262"/>
      <c r="AC262" s="283"/>
      <c r="AD262" s="42"/>
    </row>
    <row r="263" spans="6:37" ht="10.5" customHeight="1">
      <c r="F263" s="307"/>
      <c r="G263" s="625" t="s">
        <v>4126</v>
      </c>
      <c r="H263" s="625" t="s">
        <v>3430</v>
      </c>
      <c r="I263" s="626" t="s">
        <v>3904</v>
      </c>
      <c r="J263" s="626" t="s">
        <v>3293</v>
      </c>
      <c r="K263" s="627" t="s">
        <v>4127</v>
      </c>
      <c r="L263" s="628" t="s">
        <v>3433</v>
      </c>
      <c r="M263" s="1631" t="s">
        <v>3292</v>
      </c>
      <c r="N263" s="628" t="s">
        <v>2460</v>
      </c>
      <c r="O263" s="809" t="s">
        <v>4128</v>
      </c>
      <c r="P263" s="157" t="s">
        <v>4129</v>
      </c>
      <c r="Q263" s="157"/>
      <c r="R263" s="102"/>
      <c r="S263" s="153"/>
      <c r="T263" s="290" t="s">
        <v>1998</v>
      </c>
      <c r="U263" s="290" t="s">
        <v>3508</v>
      </c>
      <c r="W263" s="27" t="s">
        <v>4130</v>
      </c>
      <c r="X263" s="27" t="s">
        <v>3439</v>
      </c>
      <c r="AA263"/>
      <c r="AB263"/>
      <c r="AC263" s="283"/>
      <c r="AD263" s="42"/>
    </row>
    <row r="264" spans="6:37" ht="10.5" customHeight="1">
      <c r="F264" s="307"/>
      <c r="G264" s="625" t="s">
        <v>4131</v>
      </c>
      <c r="H264" s="625" t="s">
        <v>3430</v>
      </c>
      <c r="I264" s="626" t="s">
        <v>3911</v>
      </c>
      <c r="J264" s="626" t="s">
        <v>3293</v>
      </c>
      <c r="K264" s="627" t="s">
        <v>4132</v>
      </c>
      <c r="L264" s="628" t="s">
        <v>3433</v>
      </c>
      <c r="M264" s="1631" t="s">
        <v>3292</v>
      </c>
      <c r="N264" s="628" t="s">
        <v>2462</v>
      </c>
      <c r="O264" s="809" t="s">
        <v>4133</v>
      </c>
      <c r="P264" s="157" t="s">
        <v>4134</v>
      </c>
      <c r="Q264" s="157"/>
      <c r="R264" s="102"/>
      <c r="S264" s="153"/>
      <c r="T264" s="290" t="s">
        <v>4135</v>
      </c>
      <c r="U264" s="290" t="s">
        <v>4136</v>
      </c>
      <c r="W264" s="27" t="s">
        <v>4137</v>
      </c>
      <c r="X264" s="27" t="s">
        <v>3439</v>
      </c>
      <c r="AA264"/>
      <c r="AB264"/>
      <c r="AC264" s="283"/>
      <c r="AD264" s="42"/>
    </row>
    <row r="265" spans="6:37" ht="10.5" customHeight="1">
      <c r="F265" s="307"/>
      <c r="G265" s="625" t="s">
        <v>3437</v>
      </c>
      <c r="H265" s="625"/>
      <c r="I265" s="625" t="s">
        <v>3437</v>
      </c>
      <c r="J265" s="626"/>
      <c r="K265" s="627"/>
      <c r="L265" s="628"/>
      <c r="M265" s="1632" t="s">
        <v>3437</v>
      </c>
      <c r="N265" s="625" t="s">
        <v>3437</v>
      </c>
      <c r="O265" s="809" t="s">
        <v>4138</v>
      </c>
      <c r="P265" s="157" t="s">
        <v>4139</v>
      </c>
      <c r="Q265" s="157"/>
      <c r="R265" s="102"/>
      <c r="S265" s="153"/>
      <c r="T265" s="290" t="s">
        <v>4140</v>
      </c>
      <c r="U265" s="290" t="s">
        <v>2025</v>
      </c>
      <c r="W265" s="27" t="s">
        <v>4141</v>
      </c>
      <c r="X265" s="27" t="s">
        <v>3439</v>
      </c>
      <c r="AA265"/>
      <c r="AB265"/>
      <c r="AC265" s="283"/>
      <c r="AD265" s="42"/>
    </row>
    <row r="266" spans="6:37" ht="10.5" customHeight="1">
      <c r="F266" s="307"/>
      <c r="G266" s="625" t="s">
        <v>4142</v>
      </c>
      <c r="H266" s="625" t="s">
        <v>3430</v>
      </c>
      <c r="I266" s="629" t="s">
        <v>3917</v>
      </c>
      <c r="J266" s="626" t="s">
        <v>3293</v>
      </c>
      <c r="K266" s="627" t="s">
        <v>4143</v>
      </c>
      <c r="L266" s="628" t="s">
        <v>3433</v>
      </c>
      <c r="M266" s="1631" t="s">
        <v>3292</v>
      </c>
      <c r="N266" s="628" t="s">
        <v>1975</v>
      </c>
      <c r="O266" s="809" t="s">
        <v>4144</v>
      </c>
      <c r="P266" s="157" t="s">
        <v>4145</v>
      </c>
      <c r="Q266" s="157"/>
      <c r="R266" s="102"/>
      <c r="S266" s="153"/>
      <c r="T266" s="153" t="s">
        <v>4146</v>
      </c>
      <c r="U266" s="153" t="s">
        <v>4112</v>
      </c>
      <c r="W266" s="27" t="s">
        <v>4147</v>
      </c>
      <c r="X266" s="27" t="s">
        <v>3439</v>
      </c>
      <c r="AA266"/>
      <c r="AB266"/>
      <c r="AC266" s="283"/>
      <c r="AD266" s="42"/>
    </row>
    <row r="267" spans="6:37" ht="10.5" customHeight="1">
      <c r="F267" s="307"/>
      <c r="G267" s="625" t="s">
        <v>111</v>
      </c>
      <c r="H267" s="625" t="s">
        <v>3471</v>
      </c>
      <c r="I267" s="629" t="s">
        <v>3461</v>
      </c>
      <c r="J267" s="629" t="s">
        <v>2453</v>
      </c>
      <c r="K267" s="627" t="s">
        <v>3477</v>
      </c>
      <c r="L267" s="628" t="s">
        <v>3456</v>
      </c>
      <c r="M267" s="1631" t="s">
        <v>3290</v>
      </c>
      <c r="N267" s="628" t="s">
        <v>55</v>
      </c>
      <c r="O267" s="809" t="s">
        <v>4148</v>
      </c>
      <c r="P267" s="157" t="s">
        <v>4149</v>
      </c>
      <c r="Q267" s="157"/>
      <c r="R267" s="102"/>
      <c r="S267" s="153"/>
      <c r="T267" s="290" t="s">
        <v>3744</v>
      </c>
      <c r="U267" s="290" t="s">
        <v>151</v>
      </c>
      <c r="W267" s="27" t="s">
        <v>4150</v>
      </c>
      <c r="X267" s="27" t="s">
        <v>3439</v>
      </c>
      <c r="AA267"/>
      <c r="AB267"/>
      <c r="AC267" s="42"/>
      <c r="AD267" s="42"/>
    </row>
    <row r="268" spans="6:37" ht="10.5" customHeight="1">
      <c r="F268" s="307"/>
      <c r="G268" s="625" t="s">
        <v>3652</v>
      </c>
      <c r="H268" s="625" t="s">
        <v>3471</v>
      </c>
      <c r="I268" s="629" t="s">
        <v>3923</v>
      </c>
      <c r="J268" s="629" t="s">
        <v>3293</v>
      </c>
      <c r="K268" s="627" t="s">
        <v>4151</v>
      </c>
      <c r="L268" s="628" t="s">
        <v>3433</v>
      </c>
      <c r="M268" s="1631" t="s">
        <v>3292</v>
      </c>
      <c r="N268" s="628" t="s">
        <v>2457</v>
      </c>
      <c r="O268" s="809" t="s">
        <v>4152</v>
      </c>
      <c r="P268" s="157" t="s">
        <v>4153</v>
      </c>
      <c r="Q268" s="157"/>
      <c r="R268" s="102"/>
      <c r="S268" s="153"/>
      <c r="T268" s="290" t="s">
        <v>4154</v>
      </c>
      <c r="U268" s="290" t="s">
        <v>4124</v>
      </c>
      <c r="W268" s="27" t="s">
        <v>4155</v>
      </c>
      <c r="X268" s="27" t="s">
        <v>3439</v>
      </c>
      <c r="AA268"/>
      <c r="AB268"/>
      <c r="AC268" s="283"/>
      <c r="AD268" s="42"/>
    </row>
    <row r="269" spans="6:37" ht="10.5" customHeight="1">
      <c r="F269" s="307"/>
      <c r="G269" s="625" t="s">
        <v>4156</v>
      </c>
      <c r="H269" s="625" t="s">
        <v>3430</v>
      </c>
      <c r="I269" s="626" t="s">
        <v>3928</v>
      </c>
      <c r="J269" s="629" t="s">
        <v>2453</v>
      </c>
      <c r="K269" s="627" t="s">
        <v>4157</v>
      </c>
      <c r="L269" s="628" t="s">
        <v>3433</v>
      </c>
      <c r="M269" s="1631" t="s">
        <v>3292</v>
      </c>
      <c r="N269" s="628" t="s">
        <v>2460</v>
      </c>
      <c r="O269" s="809" t="s">
        <v>4158</v>
      </c>
      <c r="P269" s="157" t="s">
        <v>4159</v>
      </c>
      <c r="Q269" s="157"/>
      <c r="R269" s="102"/>
      <c r="S269" s="153"/>
      <c r="T269" s="290" t="s">
        <v>3647</v>
      </c>
      <c r="U269" s="290" t="s">
        <v>4017</v>
      </c>
      <c r="W269" s="27" t="s">
        <v>4160</v>
      </c>
      <c r="X269" s="27" t="s">
        <v>3439</v>
      </c>
      <c r="AA269"/>
      <c r="AB269"/>
      <c r="AC269" s="283"/>
      <c r="AD269" s="42"/>
    </row>
    <row r="270" spans="6:37" ht="10.5" customHeight="1">
      <c r="F270" s="307"/>
      <c r="G270" s="625" t="s">
        <v>3557</v>
      </c>
      <c r="H270" s="625" t="s">
        <v>3501</v>
      </c>
      <c r="I270" s="626" t="s">
        <v>3933</v>
      </c>
      <c r="J270" s="626" t="s">
        <v>3293</v>
      </c>
      <c r="K270" s="627" t="s">
        <v>4161</v>
      </c>
      <c r="L270" s="628" t="s">
        <v>3433</v>
      </c>
      <c r="M270" s="1631" t="s">
        <v>3292</v>
      </c>
      <c r="N270" s="628" t="s">
        <v>1975</v>
      </c>
      <c r="O270" s="809" t="s">
        <v>4162</v>
      </c>
      <c r="P270" s="157" t="s">
        <v>4163</v>
      </c>
      <c r="Q270" s="157"/>
      <c r="R270" s="102"/>
      <c r="S270" s="153"/>
      <c r="T270" s="290" t="s">
        <v>2460</v>
      </c>
      <c r="U270" s="290" t="s">
        <v>3751</v>
      </c>
      <c r="W270" s="27" t="s">
        <v>4164</v>
      </c>
      <c r="X270" s="27" t="s">
        <v>3439</v>
      </c>
      <c r="AA270"/>
      <c r="AB270"/>
      <c r="AC270" s="283"/>
      <c r="AD270" s="42"/>
    </row>
    <row r="271" spans="6:37" ht="10.5" customHeight="1">
      <c r="F271" s="307"/>
      <c r="G271" s="625" t="s">
        <v>4165</v>
      </c>
      <c r="H271" s="625" t="s">
        <v>3430</v>
      </c>
      <c r="I271" s="626" t="s">
        <v>3939</v>
      </c>
      <c r="J271" s="626" t="s">
        <v>2453</v>
      </c>
      <c r="K271" s="627" t="s">
        <v>4166</v>
      </c>
      <c r="L271" s="628" t="s">
        <v>3433</v>
      </c>
      <c r="M271" s="1631" t="s">
        <v>3292</v>
      </c>
      <c r="N271" s="628" t="s">
        <v>2460</v>
      </c>
      <c r="O271" s="809" t="s">
        <v>4167</v>
      </c>
      <c r="P271" s="157" t="s">
        <v>4168</v>
      </c>
      <c r="Q271" s="157"/>
      <c r="R271" s="102"/>
      <c r="S271" s="153"/>
      <c r="T271" s="290" t="s">
        <v>4169</v>
      </c>
      <c r="U271" s="290" t="s">
        <v>2025</v>
      </c>
      <c r="W271" s="27" t="s">
        <v>4170</v>
      </c>
      <c r="X271" s="27" t="s">
        <v>3439</v>
      </c>
      <c r="AA271"/>
      <c r="AB271"/>
      <c r="AC271" s="283"/>
      <c r="AD271" s="42"/>
    </row>
    <row r="272" spans="6:37" ht="10.5" customHeight="1">
      <c r="F272" s="307"/>
      <c r="G272" s="625" t="s">
        <v>4171</v>
      </c>
      <c r="H272" s="625" t="s">
        <v>3471</v>
      </c>
      <c r="I272" s="626" t="s">
        <v>3946</v>
      </c>
      <c r="J272" s="626" t="s">
        <v>3293</v>
      </c>
      <c r="K272" s="627" t="s">
        <v>4172</v>
      </c>
      <c r="L272" s="628" t="s">
        <v>3433</v>
      </c>
      <c r="M272" s="1631" t="s">
        <v>3292</v>
      </c>
      <c r="N272" s="628" t="s">
        <v>2457</v>
      </c>
      <c r="O272" s="809" t="s">
        <v>4173</v>
      </c>
      <c r="P272" s="157" t="s">
        <v>4174</v>
      </c>
      <c r="Q272" s="157"/>
      <c r="R272" s="102"/>
      <c r="S272" s="153"/>
      <c r="T272" s="153" t="s">
        <v>2000</v>
      </c>
      <c r="U272" s="153" t="s">
        <v>3588</v>
      </c>
      <c r="W272" s="27" t="s">
        <v>4175</v>
      </c>
      <c r="X272" s="27" t="s">
        <v>3439</v>
      </c>
      <c r="AA272"/>
      <c r="AB272"/>
      <c r="AC272" s="283"/>
      <c r="AD272" s="42"/>
    </row>
    <row r="273" spans="6:30" ht="10.5" customHeight="1">
      <c r="F273" s="307"/>
      <c r="G273" s="625" t="s">
        <v>4124</v>
      </c>
      <c r="H273" s="625" t="s">
        <v>3430</v>
      </c>
      <c r="I273" s="626" t="s">
        <v>3951</v>
      </c>
      <c r="J273" s="626" t="s">
        <v>3293</v>
      </c>
      <c r="K273" s="627" t="s">
        <v>4176</v>
      </c>
      <c r="L273" s="628" t="s">
        <v>3433</v>
      </c>
      <c r="M273" s="1631" t="s">
        <v>3292</v>
      </c>
      <c r="N273" s="628" t="s">
        <v>2462</v>
      </c>
      <c r="O273" s="809" t="s">
        <v>4177</v>
      </c>
      <c r="P273" s="157" t="s">
        <v>4178</v>
      </c>
      <c r="Q273" s="157"/>
      <c r="R273" s="102"/>
      <c r="S273" s="153"/>
      <c r="T273" s="290" t="s">
        <v>4179</v>
      </c>
      <c r="U273" s="290" t="s">
        <v>130</v>
      </c>
      <c r="W273" s="27" t="s">
        <v>2024</v>
      </c>
      <c r="X273" s="27" t="s">
        <v>3439</v>
      </c>
      <c r="AA273"/>
      <c r="AB273"/>
      <c r="AC273" s="42"/>
      <c r="AD273" s="42"/>
    </row>
    <row r="274" spans="6:30" ht="10.5" customHeight="1">
      <c r="F274" s="307"/>
      <c r="G274" s="625" t="s">
        <v>3927</v>
      </c>
      <c r="H274" s="625" t="s">
        <v>3430</v>
      </c>
      <c r="I274" s="626" t="s">
        <v>3956</v>
      </c>
      <c r="J274" s="626" t="s">
        <v>3293</v>
      </c>
      <c r="K274" s="627" t="s">
        <v>4180</v>
      </c>
      <c r="L274" s="628" t="s">
        <v>3433</v>
      </c>
      <c r="M274" s="1631" t="s">
        <v>3292</v>
      </c>
      <c r="N274" s="628" t="s">
        <v>2460</v>
      </c>
      <c r="O274" s="809" t="s">
        <v>4181</v>
      </c>
      <c r="P274" s="157" t="s">
        <v>4182</v>
      </c>
      <c r="Q274" s="157"/>
      <c r="R274" s="102"/>
      <c r="S274" s="153"/>
      <c r="T274" s="290" t="s">
        <v>102</v>
      </c>
      <c r="U274" s="290" t="s">
        <v>98</v>
      </c>
      <c r="W274" s="27" t="s">
        <v>4183</v>
      </c>
      <c r="X274" s="27" t="s">
        <v>3439</v>
      </c>
      <c r="AA274"/>
      <c r="AB274"/>
      <c r="AC274" s="283"/>
      <c r="AD274" s="42"/>
    </row>
    <row r="275" spans="6:30" ht="10.5" customHeight="1">
      <c r="F275" s="307"/>
      <c r="G275" s="625" t="s">
        <v>4184</v>
      </c>
      <c r="H275" s="625" t="s">
        <v>3430</v>
      </c>
      <c r="I275" s="626" t="s">
        <v>3963</v>
      </c>
      <c r="J275" s="626" t="s">
        <v>3293</v>
      </c>
      <c r="K275" s="627" t="s">
        <v>4185</v>
      </c>
      <c r="L275" s="628" t="s">
        <v>3433</v>
      </c>
      <c r="M275" s="1631" t="s">
        <v>3292</v>
      </c>
      <c r="N275" s="628" t="s">
        <v>1975</v>
      </c>
      <c r="O275" s="809" t="s">
        <v>4186</v>
      </c>
      <c r="P275" s="157" t="s">
        <v>4187</v>
      </c>
      <c r="Q275" s="157"/>
      <c r="R275" s="102"/>
      <c r="S275" s="153"/>
      <c r="T275" s="290" t="s">
        <v>2003</v>
      </c>
      <c r="U275" s="290" t="s">
        <v>140</v>
      </c>
      <c r="W275" s="27" t="s">
        <v>4188</v>
      </c>
      <c r="X275" s="27" t="s">
        <v>3439</v>
      </c>
      <c r="AA275"/>
      <c r="AB275"/>
      <c r="AC275" s="283"/>
      <c r="AD275" s="42"/>
    </row>
    <row r="276" spans="6:30" ht="10.5" customHeight="1">
      <c r="F276" s="307"/>
      <c r="G276" s="625" t="s">
        <v>3871</v>
      </c>
      <c r="H276" s="625" t="s">
        <v>3430</v>
      </c>
      <c r="I276" s="629" t="s">
        <v>1975</v>
      </c>
      <c r="J276" s="626" t="s">
        <v>2453</v>
      </c>
      <c r="K276" s="627" t="s">
        <v>3717</v>
      </c>
      <c r="L276" s="628" t="s">
        <v>3456</v>
      </c>
      <c r="M276" s="1631" t="s">
        <v>3292</v>
      </c>
      <c r="N276" s="628" t="s">
        <v>1975</v>
      </c>
      <c r="O276" s="809" t="s">
        <v>4189</v>
      </c>
      <c r="P276" s="157" t="s">
        <v>4190</v>
      </c>
      <c r="Q276" s="157"/>
      <c r="R276" s="102"/>
      <c r="S276" s="153"/>
      <c r="T276" s="290" t="s">
        <v>4191</v>
      </c>
      <c r="U276" s="290" t="s">
        <v>3700</v>
      </c>
      <c r="W276" s="27" t="s">
        <v>4192</v>
      </c>
      <c r="X276" s="27" t="s">
        <v>3439</v>
      </c>
      <c r="AA276"/>
      <c r="AB276"/>
      <c r="AC276" s="283"/>
      <c r="AD276" s="42"/>
    </row>
    <row r="277" spans="6:30" ht="10.5" customHeight="1">
      <c r="F277" s="307"/>
      <c r="G277" s="625" t="s">
        <v>3700</v>
      </c>
      <c r="H277" s="625" t="s">
        <v>3430</v>
      </c>
      <c r="I277" s="629" t="s">
        <v>3970</v>
      </c>
      <c r="J277" s="629" t="s">
        <v>3293</v>
      </c>
      <c r="K277" s="627" t="s">
        <v>4193</v>
      </c>
      <c r="L277" s="628" t="s">
        <v>3433</v>
      </c>
      <c r="M277" s="1631" t="s">
        <v>3292</v>
      </c>
      <c r="N277" s="628" t="s">
        <v>2048</v>
      </c>
      <c r="O277" s="809" t="s">
        <v>4194</v>
      </c>
      <c r="P277" s="157" t="s">
        <v>4195</v>
      </c>
      <c r="Q277" s="157"/>
      <c r="R277" s="102"/>
      <c r="S277" s="153"/>
      <c r="T277" s="290" t="s">
        <v>2007</v>
      </c>
      <c r="U277" s="290" t="s">
        <v>3574</v>
      </c>
      <c r="W277" s="27" t="s">
        <v>4196</v>
      </c>
      <c r="X277" s="27" t="s">
        <v>3439</v>
      </c>
      <c r="AA277"/>
      <c r="AB277"/>
      <c r="AC277" s="283"/>
      <c r="AD277" s="42"/>
    </row>
    <row r="278" spans="6:30" ht="10.5" customHeight="1">
      <c r="F278" s="307"/>
      <c r="G278" s="625" t="s">
        <v>157</v>
      </c>
      <c r="H278" s="625" t="s">
        <v>3430</v>
      </c>
      <c r="I278" s="629" t="s">
        <v>3976</v>
      </c>
      <c r="J278" s="629" t="s">
        <v>3293</v>
      </c>
      <c r="K278" s="627" t="s">
        <v>4197</v>
      </c>
      <c r="L278" s="628" t="s">
        <v>3433</v>
      </c>
      <c r="M278" s="1631" t="s">
        <v>3292</v>
      </c>
      <c r="N278" s="628" t="s">
        <v>1975</v>
      </c>
      <c r="O278" s="809" t="s">
        <v>4198</v>
      </c>
      <c r="P278" s="157" t="s">
        <v>4199</v>
      </c>
      <c r="Q278" s="157"/>
      <c r="R278" s="102"/>
      <c r="S278" s="153"/>
      <c r="T278" s="290" t="s">
        <v>4200</v>
      </c>
      <c r="U278" s="290" t="s">
        <v>3874</v>
      </c>
      <c r="W278" s="27" t="s">
        <v>4201</v>
      </c>
      <c r="X278" s="27" t="s">
        <v>3439</v>
      </c>
      <c r="AA278"/>
      <c r="AB278"/>
      <c r="AC278" s="283"/>
      <c r="AD278" s="564"/>
    </row>
    <row r="279" spans="6:30" ht="10.5" customHeight="1">
      <c r="F279" s="307"/>
      <c r="G279" s="625" t="s">
        <v>4202</v>
      </c>
      <c r="H279" s="625" t="s">
        <v>3430</v>
      </c>
      <c r="I279" s="629" t="s">
        <v>3979</v>
      </c>
      <c r="J279" s="629" t="s">
        <v>3293</v>
      </c>
      <c r="K279" s="627" t="s">
        <v>4203</v>
      </c>
      <c r="L279" s="628" t="s">
        <v>3433</v>
      </c>
      <c r="M279" s="1631" t="s">
        <v>3292</v>
      </c>
      <c r="N279" s="628" t="s">
        <v>2462</v>
      </c>
      <c r="O279" s="809" t="s">
        <v>4204</v>
      </c>
      <c r="P279" s="157" t="s">
        <v>4205</v>
      </c>
      <c r="Q279" s="157"/>
      <c r="R279" s="102"/>
      <c r="S279" s="153"/>
      <c r="T279" s="290" t="s">
        <v>3774</v>
      </c>
      <c r="U279" s="290" t="s">
        <v>161</v>
      </c>
      <c r="W279" s="27" t="s">
        <v>4206</v>
      </c>
      <c r="X279" s="27" t="s">
        <v>3439</v>
      </c>
      <c r="AA279"/>
      <c r="AB279"/>
      <c r="AC279" s="283"/>
      <c r="AD279" s="42"/>
    </row>
    <row r="280" spans="6:30" ht="10.5" customHeight="1">
      <c r="F280" s="307"/>
      <c r="G280" s="625" t="s">
        <v>126</v>
      </c>
      <c r="H280" s="625" t="s">
        <v>3471</v>
      </c>
      <c r="I280" s="629" t="s">
        <v>3986</v>
      </c>
      <c r="J280" s="629" t="s">
        <v>3293</v>
      </c>
      <c r="K280" s="627" t="s">
        <v>4207</v>
      </c>
      <c r="L280" s="628" t="s">
        <v>3433</v>
      </c>
      <c r="M280" s="1631" t="s">
        <v>3292</v>
      </c>
      <c r="N280" s="628" t="s">
        <v>2457</v>
      </c>
      <c r="O280" s="809" t="s">
        <v>4208</v>
      </c>
      <c r="P280" s="157" t="s">
        <v>4209</v>
      </c>
      <c r="Q280" s="157"/>
      <c r="R280" s="102"/>
      <c r="S280" s="153"/>
      <c r="T280" s="290" t="s">
        <v>103</v>
      </c>
      <c r="U280" s="290" t="s">
        <v>104</v>
      </c>
      <c r="W280" s="27" t="s">
        <v>144</v>
      </c>
      <c r="X280" s="27" t="s">
        <v>3439</v>
      </c>
      <c r="AA280"/>
      <c r="AB280"/>
      <c r="AC280" s="283"/>
      <c r="AD280" s="42"/>
    </row>
    <row r="281" spans="6:30" ht="10.5" customHeight="1">
      <c r="F281" s="307"/>
      <c r="G281" s="625" t="s">
        <v>4210</v>
      </c>
      <c r="H281" s="625" t="s">
        <v>3430</v>
      </c>
      <c r="I281" s="629" t="s">
        <v>3992</v>
      </c>
      <c r="J281" s="629" t="s">
        <v>3293</v>
      </c>
      <c r="K281" s="627" t="s">
        <v>4211</v>
      </c>
      <c r="L281" s="628" t="s">
        <v>3433</v>
      </c>
      <c r="M281" s="1631" t="s">
        <v>3292</v>
      </c>
      <c r="N281" s="628" t="s">
        <v>2461</v>
      </c>
      <c r="O281" s="809" t="s">
        <v>4212</v>
      </c>
      <c r="P281" s="157" t="s">
        <v>4213</v>
      </c>
      <c r="Q281" s="157"/>
      <c r="R281" s="102"/>
      <c r="S281" s="153"/>
      <c r="T281" s="290" t="s">
        <v>3779</v>
      </c>
      <c r="U281" s="290" t="s">
        <v>4054</v>
      </c>
      <c r="W281" s="27" t="s">
        <v>2461</v>
      </c>
      <c r="X281" s="27" t="s">
        <v>3439</v>
      </c>
      <c r="AA281"/>
      <c r="AB281"/>
      <c r="AC281" s="283"/>
      <c r="AD281" s="42"/>
    </row>
    <row r="282" spans="6:30" ht="10.5" customHeight="1">
      <c r="F282" s="307"/>
      <c r="G282" s="625" t="s">
        <v>4214</v>
      </c>
      <c r="H282" s="625" t="s">
        <v>3430</v>
      </c>
      <c r="I282" s="626" t="s">
        <v>3996</v>
      </c>
      <c r="J282" s="629" t="s">
        <v>3293</v>
      </c>
      <c r="K282" s="627" t="s">
        <v>4215</v>
      </c>
      <c r="L282" s="628" t="s">
        <v>3433</v>
      </c>
      <c r="M282" s="1631" t="s">
        <v>3292</v>
      </c>
      <c r="N282" s="628" t="s">
        <v>55</v>
      </c>
      <c r="O282" s="809" t="s">
        <v>4216</v>
      </c>
      <c r="P282" s="157" t="s">
        <v>4217</v>
      </c>
      <c r="Q282" s="157"/>
      <c r="R282" s="102"/>
      <c r="S282" s="153"/>
      <c r="T282" s="290" t="s">
        <v>3671</v>
      </c>
      <c r="U282" s="290" t="s">
        <v>3607</v>
      </c>
      <c r="W282" s="27" t="s">
        <v>2025</v>
      </c>
      <c r="X282" s="27" t="s">
        <v>3439</v>
      </c>
      <c r="AA282"/>
      <c r="AB282"/>
      <c r="AC282" s="283"/>
      <c r="AD282" s="42"/>
    </row>
    <row r="283" spans="6:30" ht="10.5" customHeight="1">
      <c r="F283" s="307"/>
      <c r="G283" s="625" t="s">
        <v>3613</v>
      </c>
      <c r="H283" s="625" t="s">
        <v>3430</v>
      </c>
      <c r="I283" s="629" t="s">
        <v>4000</v>
      </c>
      <c r="J283" s="626" t="s">
        <v>3293</v>
      </c>
      <c r="K283" s="627" t="s">
        <v>4218</v>
      </c>
      <c r="L283" s="628" t="s">
        <v>3433</v>
      </c>
      <c r="M283" s="1631" t="s">
        <v>3292</v>
      </c>
      <c r="N283" s="628" t="s">
        <v>1975</v>
      </c>
      <c r="O283" s="809" t="s">
        <v>4219</v>
      </c>
      <c r="P283" s="157" t="s">
        <v>4220</v>
      </c>
      <c r="Q283" s="157"/>
      <c r="R283" s="102"/>
      <c r="S283" s="153"/>
      <c r="T283" s="290" t="s">
        <v>3789</v>
      </c>
      <c r="U283" s="290" t="s">
        <v>4171</v>
      </c>
      <c r="W283" s="27" t="s">
        <v>4221</v>
      </c>
      <c r="X283" s="27" t="s">
        <v>3439</v>
      </c>
      <c r="AA283"/>
      <c r="AB283"/>
      <c r="AC283" s="283"/>
      <c r="AD283" s="42"/>
    </row>
    <row r="284" spans="6:30" ht="10.5" customHeight="1">
      <c r="F284" s="307"/>
      <c r="G284" s="625" t="s">
        <v>4222</v>
      </c>
      <c r="H284" s="625" t="s">
        <v>3430</v>
      </c>
      <c r="I284" s="629" t="s">
        <v>2461</v>
      </c>
      <c r="J284" s="629" t="s">
        <v>2453</v>
      </c>
      <c r="K284" s="627" t="s">
        <v>3502</v>
      </c>
      <c r="L284" s="628" t="s">
        <v>3456</v>
      </c>
      <c r="M284" s="1631" t="s">
        <v>3292</v>
      </c>
      <c r="N284" s="628" t="s">
        <v>2461</v>
      </c>
      <c r="O284" s="809" t="s">
        <v>4223</v>
      </c>
      <c r="P284" s="157" t="s">
        <v>4224</v>
      </c>
      <c r="Q284" s="157"/>
      <c r="R284" s="102"/>
      <c r="S284" s="153"/>
      <c r="T284" s="290" t="s">
        <v>4225</v>
      </c>
      <c r="U284" s="290" t="s">
        <v>4099</v>
      </c>
      <c r="W284" s="27" t="s">
        <v>4226</v>
      </c>
      <c r="X284" s="27" t="s">
        <v>3439</v>
      </c>
      <c r="AA284"/>
      <c r="AB284"/>
      <c r="AC284" s="283"/>
      <c r="AD284" s="42"/>
    </row>
    <row r="285" spans="6:30" ht="10.5" customHeight="1">
      <c r="F285" s="307"/>
      <c r="G285" s="625" t="s">
        <v>3773</v>
      </c>
      <c r="H285" s="625" t="s">
        <v>3471</v>
      </c>
      <c r="I285" s="629" t="s">
        <v>4006</v>
      </c>
      <c r="J285" s="629" t="s">
        <v>3293</v>
      </c>
      <c r="K285" s="627" t="s">
        <v>4227</v>
      </c>
      <c r="L285" s="628" t="s">
        <v>3433</v>
      </c>
      <c r="M285" s="1631" t="s">
        <v>3292</v>
      </c>
      <c r="N285" s="628" t="s">
        <v>2457</v>
      </c>
      <c r="O285" s="809" t="s">
        <v>4228</v>
      </c>
      <c r="P285" s="157" t="s">
        <v>4229</v>
      </c>
      <c r="Q285" s="157"/>
      <c r="R285" s="102"/>
      <c r="S285" s="153"/>
      <c r="T285" s="290" t="s">
        <v>4230</v>
      </c>
      <c r="U285" s="290" t="s">
        <v>4026</v>
      </c>
      <c r="W285" s="27" t="s">
        <v>4231</v>
      </c>
      <c r="X285" s="27" t="s">
        <v>3439</v>
      </c>
      <c r="AA285"/>
      <c r="AB285"/>
      <c r="AC285" s="283"/>
      <c r="AD285" s="42"/>
    </row>
    <row r="286" spans="6:30" ht="10.5" customHeight="1">
      <c r="F286" s="307"/>
      <c r="G286" s="625" t="s">
        <v>128</v>
      </c>
      <c r="H286" s="625" t="s">
        <v>3430</v>
      </c>
      <c r="I286" s="626" t="s">
        <v>4011</v>
      </c>
      <c r="J286" s="629" t="s">
        <v>3293</v>
      </c>
      <c r="K286" s="627" t="s">
        <v>4232</v>
      </c>
      <c r="L286" s="628" t="s">
        <v>3433</v>
      </c>
      <c r="M286" s="1631" t="s">
        <v>3292</v>
      </c>
      <c r="N286" s="628" t="s">
        <v>55</v>
      </c>
      <c r="O286" s="809" t="s">
        <v>4233</v>
      </c>
      <c r="P286" s="157" t="s">
        <v>4234</v>
      </c>
      <c r="Q286" s="157"/>
      <c r="R286" s="102"/>
      <c r="S286" s="153"/>
      <c r="T286" s="290" t="s">
        <v>3794</v>
      </c>
      <c r="U286" s="290" t="s">
        <v>3781</v>
      </c>
      <c r="W286" s="27" t="s">
        <v>145</v>
      </c>
      <c r="X286" s="27" t="s">
        <v>3439</v>
      </c>
      <c r="AA286"/>
      <c r="AB286"/>
      <c r="AC286" s="283"/>
      <c r="AD286" s="42"/>
    </row>
    <row r="287" spans="6:30" ht="10.5" customHeight="1">
      <c r="F287" s="307"/>
      <c r="G287" s="625" t="s">
        <v>101</v>
      </c>
      <c r="H287" s="625" t="s">
        <v>3471</v>
      </c>
      <c r="I287" s="629" t="s">
        <v>2459</v>
      </c>
      <c r="J287" s="626" t="s">
        <v>2453</v>
      </c>
      <c r="K287" s="627" t="s">
        <v>3577</v>
      </c>
      <c r="L287" s="628" t="s">
        <v>3456</v>
      </c>
      <c r="M287" s="1631" t="s">
        <v>3292</v>
      </c>
      <c r="N287" s="628" t="s">
        <v>2459</v>
      </c>
      <c r="O287" s="809" t="s">
        <v>4235</v>
      </c>
      <c r="P287" s="157" t="s">
        <v>4236</v>
      </c>
      <c r="Q287" s="157"/>
      <c r="R287" s="102"/>
      <c r="S287" s="153"/>
      <c r="T287" s="290" t="s">
        <v>4237</v>
      </c>
      <c r="U287" s="290" t="s">
        <v>3596</v>
      </c>
      <c r="W287" s="27" t="s">
        <v>4238</v>
      </c>
      <c r="X287" s="27" t="s">
        <v>3439</v>
      </c>
      <c r="AA287"/>
      <c r="AB287"/>
      <c r="AC287" s="283"/>
      <c r="AD287" s="42"/>
    </row>
    <row r="288" spans="6:30" ht="10.5" customHeight="1">
      <c r="F288" s="307"/>
      <c r="G288" s="625" t="s">
        <v>3743</v>
      </c>
      <c r="H288" s="625" t="s">
        <v>3471</v>
      </c>
      <c r="I288" s="629" t="s">
        <v>3461</v>
      </c>
      <c r="J288" s="629" t="s">
        <v>2453</v>
      </c>
      <c r="K288" s="627" t="s">
        <v>3477</v>
      </c>
      <c r="L288" s="628" t="s">
        <v>3456</v>
      </c>
      <c r="M288" s="1631" t="s">
        <v>3290</v>
      </c>
      <c r="N288" s="628" t="s">
        <v>55</v>
      </c>
      <c r="O288" s="809" t="s">
        <v>4239</v>
      </c>
      <c r="P288" s="157" t="s">
        <v>4240</v>
      </c>
      <c r="Q288" s="157"/>
      <c r="R288" s="102"/>
      <c r="S288" s="153"/>
      <c r="T288" s="290" t="s">
        <v>3800</v>
      </c>
      <c r="U288" s="290" t="s">
        <v>4112</v>
      </c>
      <c r="W288" s="27" t="s">
        <v>4241</v>
      </c>
      <c r="X288" s="27" t="s">
        <v>3439</v>
      </c>
      <c r="AA288"/>
      <c r="AB288"/>
      <c r="AC288" s="283"/>
      <c r="AD288" s="42"/>
    </row>
    <row r="289" spans="3:30" ht="10.5" customHeight="1">
      <c r="F289" s="307"/>
      <c r="G289" s="625" t="s">
        <v>106</v>
      </c>
      <c r="H289" s="625" t="s">
        <v>3430</v>
      </c>
      <c r="I289" s="629" t="s">
        <v>4021</v>
      </c>
      <c r="J289" s="629" t="s">
        <v>3293</v>
      </c>
      <c r="K289" s="627" t="s">
        <v>4242</v>
      </c>
      <c r="L289" s="628" t="s">
        <v>3433</v>
      </c>
      <c r="M289" s="1631" t="s">
        <v>3292</v>
      </c>
      <c r="N289" s="628" t="s">
        <v>2048</v>
      </c>
      <c r="O289" s="809" t="s">
        <v>4243</v>
      </c>
      <c r="P289" s="157" t="s">
        <v>4244</v>
      </c>
      <c r="Q289" s="157"/>
      <c r="R289" s="102"/>
      <c r="S289" s="153"/>
      <c r="T289" s="290" t="s">
        <v>4245</v>
      </c>
      <c r="U289" s="290" t="s">
        <v>3725</v>
      </c>
      <c r="W289" s="27" t="s">
        <v>4246</v>
      </c>
      <c r="X289" s="27" t="s">
        <v>3439</v>
      </c>
      <c r="AA289"/>
      <c r="AB289"/>
      <c r="AC289" s="283"/>
      <c r="AD289" s="42"/>
    </row>
    <row r="290" spans="3:30" ht="10.5" customHeight="1">
      <c r="F290" s="307"/>
      <c r="G290" s="625" t="s">
        <v>3969</v>
      </c>
      <c r="H290" s="625" t="s">
        <v>3471</v>
      </c>
      <c r="I290" s="629" t="s">
        <v>4031</v>
      </c>
      <c r="J290" s="629" t="s">
        <v>3293</v>
      </c>
      <c r="K290" s="627" t="s">
        <v>4247</v>
      </c>
      <c r="L290" s="628" t="s">
        <v>3433</v>
      </c>
      <c r="M290" s="1631" t="s">
        <v>3292</v>
      </c>
      <c r="N290" s="628" t="s">
        <v>2458</v>
      </c>
      <c r="O290" s="809" t="s">
        <v>4248</v>
      </c>
      <c r="P290" s="157" t="s">
        <v>4249</v>
      </c>
      <c r="Q290" s="157"/>
      <c r="R290" s="102"/>
      <c r="S290" s="153"/>
      <c r="T290" s="290" t="s">
        <v>3807</v>
      </c>
      <c r="U290" s="290" t="s">
        <v>3980</v>
      </c>
      <c r="W290" s="27" t="s">
        <v>4250</v>
      </c>
      <c r="X290" s="27" t="s">
        <v>3439</v>
      </c>
      <c r="AA290"/>
      <c r="AB290"/>
      <c r="AC290" s="283"/>
      <c r="AD290" s="42"/>
    </row>
    <row r="291" spans="3:30" ht="10.5" customHeight="1">
      <c r="F291" s="307"/>
      <c r="G291" s="625" t="s">
        <v>2052</v>
      </c>
      <c r="H291" s="625" t="s">
        <v>3430</v>
      </c>
      <c r="I291" s="629" t="s">
        <v>4037</v>
      </c>
      <c r="J291" s="629" t="s">
        <v>3293</v>
      </c>
      <c r="K291" s="627" t="s">
        <v>4251</v>
      </c>
      <c r="L291" s="628" t="s">
        <v>3433</v>
      </c>
      <c r="M291" s="1631" t="s">
        <v>3292</v>
      </c>
      <c r="N291" s="628" t="s">
        <v>2461</v>
      </c>
      <c r="O291" s="809" t="s">
        <v>4252</v>
      </c>
      <c r="P291" s="157" t="s">
        <v>4253</v>
      </c>
      <c r="Q291" s="157"/>
      <c r="R291" s="102"/>
      <c r="S291" s="153"/>
      <c r="T291" s="290" t="s">
        <v>4254</v>
      </c>
      <c r="U291" s="290" t="s">
        <v>114</v>
      </c>
      <c r="W291" s="27" t="s">
        <v>4255</v>
      </c>
      <c r="X291" s="27" t="s">
        <v>3439</v>
      </c>
      <c r="AA291"/>
      <c r="AB291"/>
      <c r="AC291" s="283"/>
      <c r="AD291" s="42"/>
    </row>
    <row r="292" spans="3:30" ht="10.5" customHeight="1">
      <c r="F292" s="307"/>
      <c r="G292" s="625" t="s">
        <v>4256</v>
      </c>
      <c r="H292" s="625" t="s">
        <v>3430</v>
      </c>
      <c r="I292" s="629" t="s">
        <v>4042</v>
      </c>
      <c r="J292" s="629" t="s">
        <v>3293</v>
      </c>
      <c r="K292" s="627" t="s">
        <v>4257</v>
      </c>
      <c r="L292" s="628" t="s">
        <v>3433</v>
      </c>
      <c r="M292" s="1631" t="s">
        <v>3292</v>
      </c>
      <c r="N292" s="628" t="s">
        <v>2462</v>
      </c>
      <c r="O292" s="809" t="s">
        <v>4258</v>
      </c>
      <c r="P292" s="157" t="s">
        <v>4259</v>
      </c>
      <c r="Q292" s="157"/>
      <c r="R292" s="102"/>
      <c r="S292" s="153"/>
      <c r="T292" s="290" t="s">
        <v>3811</v>
      </c>
      <c r="U292" s="290" t="s">
        <v>3854</v>
      </c>
      <c r="W292" s="27" t="s">
        <v>4260</v>
      </c>
      <c r="X292" s="27" t="s">
        <v>3439</v>
      </c>
      <c r="AA292"/>
      <c r="AB292"/>
      <c r="AC292" s="283"/>
      <c r="AD292" s="42"/>
    </row>
    <row r="293" spans="3:30" ht="10.5" customHeight="1">
      <c r="F293" s="307"/>
      <c r="G293" s="625" t="s">
        <v>4261</v>
      </c>
      <c r="H293" s="625" t="s">
        <v>3430</v>
      </c>
      <c r="I293" s="629" t="s">
        <v>4048</v>
      </c>
      <c r="J293" s="629" t="s">
        <v>3293</v>
      </c>
      <c r="K293" s="627" t="s">
        <v>4262</v>
      </c>
      <c r="L293" s="628" t="s">
        <v>3433</v>
      </c>
      <c r="M293" s="1631" t="s">
        <v>3292</v>
      </c>
      <c r="N293" s="628" t="s">
        <v>2460</v>
      </c>
      <c r="O293" s="809" t="s">
        <v>4263</v>
      </c>
      <c r="P293" s="157" t="s">
        <v>4264</v>
      </c>
      <c r="Q293" s="157"/>
      <c r="R293" s="102"/>
      <c r="S293" s="153"/>
      <c r="T293" s="290" t="s">
        <v>2011</v>
      </c>
      <c r="U293" s="290" t="s">
        <v>4136</v>
      </c>
      <c r="W293" s="27" t="s">
        <v>2027</v>
      </c>
      <c r="X293" s="27" t="s">
        <v>3439</v>
      </c>
      <c r="AA293"/>
      <c r="AB293"/>
      <c r="AC293" s="283"/>
      <c r="AD293" s="42"/>
    </row>
    <row r="294" spans="3:30" ht="10.5" customHeight="1">
      <c r="F294" s="307"/>
      <c r="G294" s="625" t="s">
        <v>3484</v>
      </c>
      <c r="H294" s="625" t="s">
        <v>3430</v>
      </c>
      <c r="I294" s="629" t="s">
        <v>4053</v>
      </c>
      <c r="J294" s="629" t="s">
        <v>3293</v>
      </c>
      <c r="K294" s="627" t="s">
        <v>4265</v>
      </c>
      <c r="L294" s="628" t="s">
        <v>3433</v>
      </c>
      <c r="M294" s="1631" t="s">
        <v>3292</v>
      </c>
      <c r="N294" s="628" t="s">
        <v>2461</v>
      </c>
      <c r="O294" s="809" t="s">
        <v>4266</v>
      </c>
      <c r="P294" s="157" t="s">
        <v>4267</v>
      </c>
      <c r="Q294" s="157"/>
      <c r="R294" s="102"/>
      <c r="S294" s="153"/>
      <c r="T294" s="290" t="s">
        <v>4268</v>
      </c>
      <c r="U294" s="290" t="s">
        <v>3727</v>
      </c>
      <c r="W294" s="27" t="s">
        <v>4026</v>
      </c>
      <c r="X294" s="27" t="s">
        <v>3439</v>
      </c>
      <c r="AA294"/>
      <c r="AB294"/>
      <c r="AC294" s="283"/>
      <c r="AD294" s="42"/>
    </row>
    <row r="295" spans="3:30" ht="10.5" customHeight="1">
      <c r="F295" s="307"/>
      <c r="G295" s="625" t="s">
        <v>4116</v>
      </c>
      <c r="H295" s="625" t="s">
        <v>3471</v>
      </c>
      <c r="I295" s="629" t="s">
        <v>4058</v>
      </c>
      <c r="J295" s="629" t="s">
        <v>3293</v>
      </c>
      <c r="K295" s="627" t="s">
        <v>4269</v>
      </c>
      <c r="L295" s="628" t="s">
        <v>3433</v>
      </c>
      <c r="M295" s="1631" t="s">
        <v>3292</v>
      </c>
      <c r="N295" s="628" t="s">
        <v>2457</v>
      </c>
      <c r="O295" s="809" t="s">
        <v>4270</v>
      </c>
      <c r="P295" s="157" t="s">
        <v>4271</v>
      </c>
      <c r="Q295" s="157"/>
      <c r="R295" s="102"/>
      <c r="S295" s="153"/>
      <c r="T295" s="290" t="s">
        <v>4272</v>
      </c>
      <c r="U295" s="290" t="s">
        <v>2025</v>
      </c>
      <c r="W295" s="27" t="s">
        <v>4273</v>
      </c>
      <c r="X295" s="27" t="s">
        <v>3439</v>
      </c>
      <c r="AA295"/>
      <c r="AB295"/>
      <c r="AC295" s="283"/>
      <c r="AD295" s="42"/>
    </row>
    <row r="296" spans="3:30" ht="10.5" customHeight="1">
      <c r="F296" s="307"/>
      <c r="G296" s="625" t="s">
        <v>4136</v>
      </c>
      <c r="H296" s="625" t="s">
        <v>3471</v>
      </c>
      <c r="I296" s="626" t="s">
        <v>2011</v>
      </c>
      <c r="J296" s="629" t="s">
        <v>2453</v>
      </c>
      <c r="K296" s="627" t="s">
        <v>4274</v>
      </c>
      <c r="L296" s="628" t="s">
        <v>3456</v>
      </c>
      <c r="M296" s="1631" t="s">
        <v>3290</v>
      </c>
      <c r="N296" s="628" t="s">
        <v>2459</v>
      </c>
      <c r="O296" s="809" t="s">
        <v>4275</v>
      </c>
      <c r="P296" s="157" t="s">
        <v>4276</v>
      </c>
      <c r="Q296" s="157"/>
      <c r="R296" s="102"/>
      <c r="S296" s="153"/>
      <c r="T296" s="153" t="s">
        <v>4277</v>
      </c>
      <c r="U296" s="153" t="s">
        <v>3520</v>
      </c>
      <c r="W296" s="27" t="s">
        <v>4278</v>
      </c>
      <c r="X296" s="27" t="s">
        <v>3439</v>
      </c>
      <c r="AA296"/>
      <c r="AB296"/>
      <c r="AC296" s="283"/>
      <c r="AD296" s="42"/>
    </row>
    <row r="297" spans="3:30" ht="10.5" customHeight="1">
      <c r="F297" s="307"/>
      <c r="G297" s="625" t="s">
        <v>3445</v>
      </c>
      <c r="H297" s="625" t="s">
        <v>3430</v>
      </c>
      <c r="I297" s="629" t="s">
        <v>4061</v>
      </c>
      <c r="J297" s="626" t="s">
        <v>3293</v>
      </c>
      <c r="K297" s="627" t="s">
        <v>4279</v>
      </c>
      <c r="L297" s="628" t="s">
        <v>3433</v>
      </c>
      <c r="M297" s="1631" t="s">
        <v>3292</v>
      </c>
      <c r="N297" s="628" t="s">
        <v>1975</v>
      </c>
      <c r="O297" s="809" t="s">
        <v>4280</v>
      </c>
      <c r="P297" s="157" t="s">
        <v>4281</v>
      </c>
      <c r="Q297" s="157"/>
      <c r="R297" s="102"/>
      <c r="S297" s="153"/>
      <c r="T297" s="290" t="s">
        <v>3825</v>
      </c>
      <c r="U297" s="290" t="s">
        <v>4007</v>
      </c>
      <c r="W297" s="27" t="s">
        <v>4282</v>
      </c>
      <c r="X297" s="27" t="s">
        <v>3439</v>
      </c>
      <c r="AA297"/>
      <c r="AB297"/>
      <c r="AC297" s="42"/>
      <c r="AD297" s="42"/>
    </row>
    <row r="298" spans="3:30" ht="10.5" customHeight="1">
      <c r="F298" s="307"/>
      <c r="G298" s="625" t="s">
        <v>4283</v>
      </c>
      <c r="H298" s="625" t="s">
        <v>3471</v>
      </c>
      <c r="I298" s="629" t="s">
        <v>4066</v>
      </c>
      <c r="J298" s="629" t="s">
        <v>3293</v>
      </c>
      <c r="K298" s="627" t="s">
        <v>4284</v>
      </c>
      <c r="L298" s="628" t="s">
        <v>3433</v>
      </c>
      <c r="M298" s="1631" t="s">
        <v>3292</v>
      </c>
      <c r="N298" s="628" t="s">
        <v>2458</v>
      </c>
      <c r="O298" s="809" t="s">
        <v>4285</v>
      </c>
      <c r="P298" s="157" t="s">
        <v>4286</v>
      </c>
      <c r="Q298" s="157"/>
      <c r="R298" s="102"/>
      <c r="S298" s="153"/>
      <c r="T298" s="290" t="s">
        <v>4287</v>
      </c>
      <c r="U298" s="290" t="s">
        <v>149</v>
      </c>
      <c r="W298" s="27" t="s">
        <v>2028</v>
      </c>
      <c r="X298" s="27" t="s">
        <v>3439</v>
      </c>
      <c r="AA298"/>
      <c r="AB298"/>
      <c r="AC298" s="283"/>
      <c r="AD298" s="42"/>
    </row>
    <row r="299" spans="3:30" ht="10.5" customHeight="1">
      <c r="F299" s="307"/>
      <c r="G299" s="625" t="s">
        <v>3520</v>
      </c>
      <c r="H299" s="625" t="s">
        <v>3430</v>
      </c>
      <c r="I299" s="629" t="s">
        <v>4070</v>
      </c>
      <c r="J299" s="629" t="s">
        <v>3293</v>
      </c>
      <c r="K299" s="627" t="s">
        <v>4288</v>
      </c>
      <c r="L299" s="628" t="s">
        <v>3433</v>
      </c>
      <c r="M299" s="1631" t="s">
        <v>3292</v>
      </c>
      <c r="N299" s="628" t="s">
        <v>2461</v>
      </c>
      <c r="O299" s="809" t="s">
        <v>4289</v>
      </c>
      <c r="P299" s="157" t="s">
        <v>4290</v>
      </c>
      <c r="Q299" s="157"/>
      <c r="R299" s="102"/>
      <c r="S299" s="153"/>
      <c r="T299" s="290" t="s">
        <v>4291</v>
      </c>
      <c r="U299" s="290" t="s">
        <v>2052</v>
      </c>
      <c r="W299" s="27" t="s">
        <v>2031</v>
      </c>
      <c r="X299" s="27" t="s">
        <v>3439</v>
      </c>
      <c r="AA299"/>
      <c r="AB299"/>
      <c r="AC299" s="283"/>
      <c r="AD299" s="42"/>
    </row>
    <row r="300" spans="3:30" ht="10.5" customHeight="1">
      <c r="F300" s="167"/>
      <c r="G300" s="625" t="s">
        <v>4292</v>
      </c>
      <c r="H300" s="625" t="s">
        <v>3430</v>
      </c>
      <c r="I300" s="629" t="s">
        <v>1975</v>
      </c>
      <c r="J300" s="629" t="s">
        <v>2453</v>
      </c>
      <c r="K300" s="627" t="s">
        <v>3717</v>
      </c>
      <c r="L300" s="628" t="s">
        <v>3456</v>
      </c>
      <c r="M300" s="1631" t="s">
        <v>3292</v>
      </c>
      <c r="N300" s="628" t="s">
        <v>1975</v>
      </c>
      <c r="O300" s="809" t="s">
        <v>4293</v>
      </c>
      <c r="P300" s="157" t="s">
        <v>4294</v>
      </c>
      <c r="Q300" s="157"/>
      <c r="R300" s="102"/>
      <c r="S300" s="153"/>
      <c r="T300" s="290" t="s">
        <v>3687</v>
      </c>
      <c r="U300" s="290" t="s">
        <v>3871</v>
      </c>
      <c r="W300" s="27" t="s">
        <v>4295</v>
      </c>
      <c r="X300" s="27" t="s">
        <v>3439</v>
      </c>
      <c r="AA300"/>
      <c r="AB300"/>
      <c r="AC300" s="283"/>
      <c r="AD300" s="42"/>
    </row>
    <row r="301" spans="3:30" ht="10.5" customHeight="1">
      <c r="F301" s="167"/>
      <c r="G301" s="100"/>
      <c r="H301" s="100"/>
      <c r="I301" s="220"/>
      <c r="J301" s="220"/>
      <c r="K301" s="1132"/>
      <c r="L301" s="232"/>
      <c r="M301" s="166"/>
      <c r="N301" s="166"/>
      <c r="O301" s="166"/>
      <c r="P301" s="157" t="s">
        <v>4296</v>
      </c>
      <c r="Q301" s="157"/>
      <c r="R301" s="102"/>
      <c r="S301" s="153"/>
      <c r="T301" s="290" t="s">
        <v>3836</v>
      </c>
      <c r="U301" s="290" t="s">
        <v>3687</v>
      </c>
      <c r="W301" s="27" t="s">
        <v>4297</v>
      </c>
      <c r="X301" s="27" t="s">
        <v>3439</v>
      </c>
      <c r="AA301"/>
      <c r="AB301"/>
      <c r="AC301" s="283"/>
      <c r="AD301" s="42"/>
    </row>
    <row r="302" spans="3:30" ht="10.5" customHeight="1">
      <c r="C302" s="4874">
        <v>2019</v>
      </c>
      <c r="D302" s="4890"/>
      <c r="E302" s="4890"/>
      <c r="F302" s="4890"/>
      <c r="G302" s="4874">
        <v>2020</v>
      </c>
      <c r="H302" s="4874"/>
      <c r="I302" s="4874"/>
      <c r="J302" s="4874"/>
      <c r="L302" s="4875" t="s">
        <v>4298</v>
      </c>
      <c r="M302" s="4876"/>
      <c r="N302" s="4876"/>
      <c r="O302" s="4877"/>
      <c r="P302" s="157" t="s">
        <v>4299</v>
      </c>
      <c r="Q302" s="157"/>
      <c r="R302" s="102"/>
      <c r="S302" s="153"/>
      <c r="T302" s="153" t="s">
        <v>4300</v>
      </c>
      <c r="U302" s="153" t="s">
        <v>3557</v>
      </c>
      <c r="W302" s="27" t="s">
        <v>4301</v>
      </c>
      <c r="X302" s="27" t="s">
        <v>3439</v>
      </c>
      <c r="AA302"/>
      <c r="AB302"/>
      <c r="AC302" s="283"/>
      <c r="AD302" s="42"/>
    </row>
    <row r="303" spans="3:30" ht="10.5" customHeight="1">
      <c r="C303" s="4866" t="s">
        <v>4302</v>
      </c>
      <c r="D303" s="4869" t="s">
        <v>4303</v>
      </c>
      <c r="E303" s="4869" t="s">
        <v>4304</v>
      </c>
      <c r="F303" s="4869" t="s">
        <v>4305</v>
      </c>
      <c r="G303" s="4866" t="s">
        <v>4302</v>
      </c>
      <c r="H303" s="4869" t="s">
        <v>4303</v>
      </c>
      <c r="I303" s="4869" t="s">
        <v>4304</v>
      </c>
      <c r="J303" s="4869" t="s">
        <v>4305</v>
      </c>
      <c r="L303" s="4866" t="s">
        <v>4302</v>
      </c>
      <c r="M303" s="4869" t="s">
        <v>4303</v>
      </c>
      <c r="N303" s="4869" t="s">
        <v>4304</v>
      </c>
      <c r="O303" s="4869" t="s">
        <v>4305</v>
      </c>
      <c r="P303" s="157" t="s">
        <v>4306</v>
      </c>
      <c r="Q303" s="157"/>
      <c r="R303" s="102"/>
      <c r="S303" s="153"/>
      <c r="T303" s="290" t="s">
        <v>4307</v>
      </c>
      <c r="U303" s="290" t="s">
        <v>4001</v>
      </c>
      <c r="W303" s="27" t="s">
        <v>4308</v>
      </c>
      <c r="X303" s="27" t="s">
        <v>3439</v>
      </c>
      <c r="AA303"/>
      <c r="AB303"/>
      <c r="AC303" s="42"/>
      <c r="AD303" s="42"/>
    </row>
    <row r="304" spans="3:30" ht="10.5" customHeight="1">
      <c r="C304" s="4867"/>
      <c r="D304" s="4870"/>
      <c r="E304" s="4870"/>
      <c r="F304" s="4870"/>
      <c r="G304" s="4867"/>
      <c r="H304" s="4870"/>
      <c r="I304" s="4870"/>
      <c r="J304" s="4870"/>
      <c r="L304" s="4867"/>
      <c r="M304" s="4870"/>
      <c r="N304" s="4870"/>
      <c r="O304" s="4870"/>
      <c r="P304" s="157" t="s">
        <v>4309</v>
      </c>
      <c r="Q304" s="157"/>
      <c r="R304" s="102"/>
      <c r="S304" s="153"/>
      <c r="T304" s="290" t="s">
        <v>3630</v>
      </c>
      <c r="U304" s="290" t="s">
        <v>93</v>
      </c>
      <c r="W304" s="27" t="s">
        <v>4310</v>
      </c>
      <c r="X304" s="27" t="s">
        <v>3439</v>
      </c>
      <c r="AA304"/>
      <c r="AB304"/>
      <c r="AC304" s="283"/>
      <c r="AD304" s="42"/>
    </row>
    <row r="305" spans="3:30" ht="10.5" customHeight="1">
      <c r="C305" s="4867"/>
      <c r="D305" s="4870"/>
      <c r="E305" s="4870"/>
      <c r="F305" s="4870"/>
      <c r="G305" s="4867"/>
      <c r="H305" s="4870"/>
      <c r="I305" s="4870"/>
      <c r="J305" s="4870"/>
      <c r="L305" s="4867"/>
      <c r="M305" s="4870"/>
      <c r="N305" s="4870"/>
      <c r="O305" s="4870"/>
      <c r="P305" s="157" t="s">
        <v>4311</v>
      </c>
      <c r="Q305" s="157"/>
      <c r="R305" s="102"/>
      <c r="S305" s="153"/>
      <c r="T305" s="290" t="s">
        <v>105</v>
      </c>
      <c r="U305" s="290" t="s">
        <v>106</v>
      </c>
      <c r="W305" s="27" t="s">
        <v>2032</v>
      </c>
      <c r="X305" s="27" t="s">
        <v>3439</v>
      </c>
      <c r="AA305"/>
      <c r="AB305"/>
      <c r="AC305" s="283"/>
      <c r="AD305" s="42"/>
    </row>
    <row r="306" spans="3:30" ht="10.5" customHeight="1">
      <c r="C306" s="4867"/>
      <c r="D306" s="4870"/>
      <c r="E306" s="4870"/>
      <c r="F306" s="4870"/>
      <c r="G306" s="4867"/>
      <c r="H306" s="4870"/>
      <c r="I306" s="4870"/>
      <c r="J306" s="4870"/>
      <c r="L306" s="4867"/>
      <c r="M306" s="4870"/>
      <c r="N306" s="4870"/>
      <c r="O306" s="4870"/>
      <c r="P306" s="157" t="s">
        <v>4312</v>
      </c>
      <c r="Q306" s="157"/>
      <c r="R306" s="102"/>
      <c r="S306" s="153"/>
      <c r="T306" s="290" t="s">
        <v>4313</v>
      </c>
      <c r="U306" s="290" t="s">
        <v>2052</v>
      </c>
      <c r="W306" s="27" t="s">
        <v>2033</v>
      </c>
      <c r="X306" s="27" t="s">
        <v>3439</v>
      </c>
      <c r="AA306"/>
      <c r="AB306"/>
      <c r="AC306" s="283"/>
      <c r="AD306" s="42"/>
    </row>
    <row r="307" spans="3:30" ht="10.5" customHeight="1">
      <c r="C307" s="4867"/>
      <c r="D307" s="4870"/>
      <c r="E307" s="4870"/>
      <c r="F307" s="4870"/>
      <c r="G307" s="4867"/>
      <c r="H307" s="4870"/>
      <c r="I307" s="4870"/>
      <c r="J307" s="4870"/>
      <c r="L307" s="4867"/>
      <c r="M307" s="4870"/>
      <c r="N307" s="4870"/>
      <c r="O307" s="4870"/>
      <c r="P307" s="157" t="s">
        <v>4314</v>
      </c>
      <c r="Q307" s="157"/>
      <c r="R307" s="102"/>
      <c r="S307" s="153"/>
      <c r="T307" s="290" t="s">
        <v>4315</v>
      </c>
      <c r="U307" s="290" t="s">
        <v>161</v>
      </c>
      <c r="W307" s="27" t="s">
        <v>4316</v>
      </c>
      <c r="X307" s="27" t="s">
        <v>3439</v>
      </c>
      <c r="AA307"/>
      <c r="AB307"/>
      <c r="AC307" s="283"/>
      <c r="AD307" s="42"/>
    </row>
    <row r="308" spans="3:30" ht="10.5" customHeight="1">
      <c r="C308" s="4868"/>
      <c r="D308" s="4871"/>
      <c r="E308" s="4871"/>
      <c r="F308" s="4871"/>
      <c r="G308" s="4868"/>
      <c r="H308" s="4871"/>
      <c r="I308" s="4871"/>
      <c r="J308" s="4871"/>
      <c r="L308" s="4868"/>
      <c r="M308" s="4871"/>
      <c r="N308" s="4871"/>
      <c r="O308" s="4871"/>
      <c r="P308" s="157" t="s">
        <v>4317</v>
      </c>
      <c r="Q308" s="157"/>
      <c r="R308" s="102"/>
      <c r="S308" s="153"/>
      <c r="T308" s="290" t="s">
        <v>4318</v>
      </c>
      <c r="U308" s="290" t="s">
        <v>3905</v>
      </c>
      <c r="W308" s="27" t="s">
        <v>4319</v>
      </c>
      <c r="X308" s="27" t="s">
        <v>3439</v>
      </c>
      <c r="AA308"/>
      <c r="AB308"/>
      <c r="AC308" s="283"/>
      <c r="AD308" s="42"/>
    </row>
    <row r="309" spans="3:30" ht="10.5" customHeight="1">
      <c r="C309" s="1177">
        <v>13001950100</v>
      </c>
      <c r="D309" s="1178">
        <v>0</v>
      </c>
      <c r="E309" s="1178">
        <v>1</v>
      </c>
      <c r="F309" s="1179">
        <v>1</v>
      </c>
      <c r="G309" s="1187" t="s">
        <v>4320</v>
      </c>
      <c r="H309" s="1188">
        <v>0</v>
      </c>
      <c r="I309" s="1188">
        <v>0</v>
      </c>
      <c r="J309" s="2880">
        <v>0</v>
      </c>
      <c r="K309" s="1180"/>
      <c r="L309" s="1172" t="s">
        <v>4320</v>
      </c>
      <c r="M309" s="1173">
        <v>0</v>
      </c>
      <c r="N309" s="1173">
        <v>1</v>
      </c>
      <c r="O309" s="1173">
        <v>1</v>
      </c>
      <c r="P309" s="157" t="s">
        <v>4321</v>
      </c>
      <c r="Q309" s="157"/>
      <c r="R309" s="102"/>
      <c r="S309" s="153"/>
      <c r="T309" s="153" t="s">
        <v>4322</v>
      </c>
      <c r="U309" s="153" t="s">
        <v>3746</v>
      </c>
      <c r="W309" s="27" t="s">
        <v>4323</v>
      </c>
      <c r="X309" s="27" t="s">
        <v>3439</v>
      </c>
      <c r="AA309"/>
      <c r="AB309"/>
      <c r="AC309" s="283"/>
      <c r="AD309" s="42"/>
    </row>
    <row r="310" spans="3:30" ht="10.5" customHeight="1">
      <c r="C310" s="1181" t="s">
        <v>4324</v>
      </c>
      <c r="D310" s="1178">
        <v>0</v>
      </c>
      <c r="E310" s="1178">
        <v>0</v>
      </c>
      <c r="F310" s="1179">
        <v>0</v>
      </c>
      <c r="G310" s="1189" t="s">
        <v>4324</v>
      </c>
      <c r="H310" s="1176">
        <v>0</v>
      </c>
      <c r="I310" s="1176">
        <v>0</v>
      </c>
      <c r="J310" s="1190">
        <v>0</v>
      </c>
      <c r="K310" s="1180"/>
      <c r="L310" s="1174">
        <v>13001950200</v>
      </c>
      <c r="M310" s="1175">
        <v>0</v>
      </c>
      <c r="N310" s="1175">
        <v>0</v>
      </c>
      <c r="O310" s="1175">
        <v>0</v>
      </c>
      <c r="P310" s="157" t="s">
        <v>4325</v>
      </c>
      <c r="Q310" s="157"/>
      <c r="R310" s="102"/>
      <c r="S310" s="153"/>
      <c r="T310" s="290" t="s">
        <v>4326</v>
      </c>
      <c r="U310" s="290" t="s">
        <v>3944</v>
      </c>
      <c r="W310" s="27" t="s">
        <v>4327</v>
      </c>
      <c r="X310" s="27" t="s">
        <v>3439</v>
      </c>
      <c r="AA310"/>
      <c r="AB310"/>
      <c r="AC310" s="42"/>
      <c r="AD310" s="42"/>
    </row>
    <row r="311" spans="3:30" ht="10.5" customHeight="1">
      <c r="C311" s="1181" t="s">
        <v>4328</v>
      </c>
      <c r="D311" s="1178">
        <v>0</v>
      </c>
      <c r="E311" s="1178">
        <v>0</v>
      </c>
      <c r="F311" s="1179">
        <v>0</v>
      </c>
      <c r="G311" s="1189" t="s">
        <v>4328</v>
      </c>
      <c r="H311" s="1176">
        <v>0</v>
      </c>
      <c r="I311" s="1176">
        <v>0</v>
      </c>
      <c r="J311" s="1190">
        <v>0</v>
      </c>
      <c r="K311" s="1180"/>
      <c r="L311" s="1174">
        <v>13001950300</v>
      </c>
      <c r="M311" s="1175">
        <v>0</v>
      </c>
      <c r="N311" s="1175">
        <v>0</v>
      </c>
      <c r="O311" s="1175">
        <v>0</v>
      </c>
      <c r="P311" s="157" t="s">
        <v>4329</v>
      </c>
      <c r="Q311" s="157"/>
      <c r="R311" s="102"/>
      <c r="S311" s="153"/>
      <c r="T311" s="290" t="s">
        <v>4330</v>
      </c>
      <c r="U311" s="290" t="s">
        <v>4107</v>
      </c>
      <c r="W311" s="27" t="s">
        <v>123</v>
      </c>
      <c r="X311" s="27" t="s">
        <v>3439</v>
      </c>
      <c r="AA311"/>
      <c r="AB311"/>
      <c r="AC311" s="283"/>
      <c r="AD311" s="42"/>
    </row>
    <row r="312" spans="3:30" ht="10.5" customHeight="1">
      <c r="C312" s="1181" t="s">
        <v>4331</v>
      </c>
      <c r="D312" s="1178">
        <v>0</v>
      </c>
      <c r="E312" s="1178">
        <v>0</v>
      </c>
      <c r="F312" s="1179">
        <v>0</v>
      </c>
      <c r="G312" s="1189" t="s">
        <v>4331</v>
      </c>
      <c r="H312" s="1176">
        <v>0</v>
      </c>
      <c r="I312" s="1176">
        <v>0</v>
      </c>
      <c r="J312" s="1190">
        <v>0</v>
      </c>
      <c r="K312" s="1180"/>
      <c r="L312" s="1174">
        <v>13001950400</v>
      </c>
      <c r="M312" s="1175">
        <v>0</v>
      </c>
      <c r="N312" s="1175">
        <v>0</v>
      </c>
      <c r="O312" s="1175">
        <v>0</v>
      </c>
      <c r="P312" s="157" t="s">
        <v>4332</v>
      </c>
      <c r="Q312" s="157"/>
      <c r="R312" s="102"/>
      <c r="S312" s="153"/>
      <c r="T312" s="290" t="s">
        <v>107</v>
      </c>
      <c r="U312" s="290" t="s">
        <v>108</v>
      </c>
      <c r="W312" s="27" t="s">
        <v>4333</v>
      </c>
      <c r="X312" s="27" t="s">
        <v>3439</v>
      </c>
      <c r="AA312"/>
      <c r="AB312"/>
      <c r="AC312" s="283"/>
      <c r="AD312" s="42"/>
    </row>
    <row r="313" spans="3:30" ht="10.5" customHeight="1">
      <c r="C313" s="1181" t="s">
        <v>4334</v>
      </c>
      <c r="D313" s="1178">
        <v>0</v>
      </c>
      <c r="E313" s="1178">
        <v>0</v>
      </c>
      <c r="F313" s="1179">
        <v>0</v>
      </c>
      <c r="G313" s="1189" t="s">
        <v>4334</v>
      </c>
      <c r="H313" s="1176">
        <v>0</v>
      </c>
      <c r="I313" s="1176">
        <v>0</v>
      </c>
      <c r="J313" s="1190">
        <v>0</v>
      </c>
      <c r="K313" s="1180"/>
      <c r="L313" s="1174">
        <v>13001950500</v>
      </c>
      <c r="M313" s="1175">
        <v>0</v>
      </c>
      <c r="N313" s="1175">
        <v>0</v>
      </c>
      <c r="O313" s="1175">
        <v>0</v>
      </c>
      <c r="P313" s="157" t="s">
        <v>4335</v>
      </c>
      <c r="Q313" s="157"/>
      <c r="R313" s="102"/>
      <c r="S313" s="153"/>
      <c r="T313" s="328" t="s">
        <v>4336</v>
      </c>
      <c r="U313" s="290" t="s">
        <v>3647</v>
      </c>
      <c r="W313" s="27" t="s">
        <v>4337</v>
      </c>
      <c r="X313" s="27" t="s">
        <v>3439</v>
      </c>
      <c r="AA313"/>
      <c r="AB313"/>
      <c r="AC313" s="283"/>
      <c r="AD313" s="42"/>
    </row>
    <row r="314" spans="3:30" ht="10.5" customHeight="1">
      <c r="C314" s="1181" t="s">
        <v>4338</v>
      </c>
      <c r="D314" s="1178">
        <v>0</v>
      </c>
      <c r="E314" s="1178">
        <v>0</v>
      </c>
      <c r="F314" s="1179">
        <v>0</v>
      </c>
      <c r="G314" s="1189" t="s">
        <v>4338</v>
      </c>
      <c r="H314" s="1176">
        <v>0</v>
      </c>
      <c r="I314" s="1176">
        <v>0</v>
      </c>
      <c r="J314" s="1190">
        <v>0</v>
      </c>
      <c r="K314" s="1180"/>
      <c r="L314" s="1174">
        <v>13003960100</v>
      </c>
      <c r="M314" s="1175">
        <v>0</v>
      </c>
      <c r="N314" s="1175">
        <v>0</v>
      </c>
      <c r="O314" s="1175">
        <v>0</v>
      </c>
      <c r="P314" s="157" t="s">
        <v>4339</v>
      </c>
      <c r="Q314" s="157"/>
      <c r="R314" s="102"/>
      <c r="S314" s="153"/>
      <c r="T314" s="290" t="s">
        <v>3847</v>
      </c>
      <c r="U314" s="290" t="s">
        <v>4142</v>
      </c>
      <c r="W314" s="27" t="s">
        <v>4340</v>
      </c>
      <c r="X314" s="27" t="s">
        <v>3439</v>
      </c>
      <c r="AA314"/>
      <c r="AB314"/>
      <c r="AC314" s="562"/>
      <c r="AD314" s="42"/>
    </row>
    <row r="315" spans="3:30" ht="10.5" customHeight="1">
      <c r="C315" s="1181" t="s">
        <v>4341</v>
      </c>
      <c r="D315" s="1178">
        <v>0</v>
      </c>
      <c r="E315" s="1178">
        <v>0</v>
      </c>
      <c r="F315" s="1179">
        <v>0</v>
      </c>
      <c r="G315" s="1189" t="s">
        <v>4341</v>
      </c>
      <c r="H315" s="1176">
        <v>0</v>
      </c>
      <c r="I315" s="1176">
        <v>0</v>
      </c>
      <c r="J315" s="1190">
        <v>0</v>
      </c>
      <c r="K315" s="1180"/>
      <c r="L315" s="1174">
        <v>13003960200</v>
      </c>
      <c r="M315" s="1175">
        <v>0</v>
      </c>
      <c r="N315" s="1175">
        <v>0</v>
      </c>
      <c r="O315" s="1175">
        <v>0</v>
      </c>
      <c r="P315" s="157" t="s">
        <v>4342</v>
      </c>
      <c r="Q315" s="157"/>
      <c r="R315" s="102"/>
      <c r="S315" s="153"/>
      <c r="T315" s="290" t="s">
        <v>4343</v>
      </c>
      <c r="U315" s="290" t="s">
        <v>3710</v>
      </c>
      <c r="W315" s="27" t="s">
        <v>4344</v>
      </c>
      <c r="X315" s="27" t="s">
        <v>3439</v>
      </c>
      <c r="AA315"/>
      <c r="AB315"/>
      <c r="AC315" s="283"/>
      <c r="AD315" s="42"/>
    </row>
    <row r="316" spans="3:30" ht="10.5" customHeight="1">
      <c r="C316" s="1181" t="s">
        <v>4345</v>
      </c>
      <c r="D316" s="1178">
        <v>0</v>
      </c>
      <c r="E316" s="1178">
        <v>0</v>
      </c>
      <c r="F316" s="1179">
        <v>0</v>
      </c>
      <c r="G316" s="1189" t="s">
        <v>4345</v>
      </c>
      <c r="H316" s="1176">
        <v>0</v>
      </c>
      <c r="I316" s="1176">
        <v>0</v>
      </c>
      <c r="J316" s="1190">
        <v>0</v>
      </c>
      <c r="K316" s="1180"/>
      <c r="L316" s="1174">
        <v>13003960300</v>
      </c>
      <c r="M316" s="1175">
        <v>0</v>
      </c>
      <c r="N316" s="1175">
        <v>0</v>
      </c>
      <c r="O316" s="1175">
        <v>0</v>
      </c>
      <c r="P316" s="157" t="s">
        <v>4346</v>
      </c>
      <c r="Q316" s="157"/>
      <c r="R316" s="102"/>
      <c r="S316" s="153"/>
      <c r="T316" s="290" t="s">
        <v>4347</v>
      </c>
      <c r="U316" s="290" t="s">
        <v>93</v>
      </c>
      <c r="W316" s="27" t="s">
        <v>4348</v>
      </c>
      <c r="X316" s="27" t="s">
        <v>3439</v>
      </c>
      <c r="AA316"/>
      <c r="AB316"/>
      <c r="AC316" s="283"/>
      <c r="AD316" s="42"/>
    </row>
    <row r="317" spans="3:30" ht="10.5" customHeight="1">
      <c r="C317" s="1181" t="s">
        <v>4349</v>
      </c>
      <c r="D317" s="1178">
        <v>1</v>
      </c>
      <c r="E317" s="1178">
        <v>0</v>
      </c>
      <c r="F317" s="1179">
        <v>1</v>
      </c>
      <c r="G317" s="1189" t="s">
        <v>4349</v>
      </c>
      <c r="H317" s="1176">
        <v>0</v>
      </c>
      <c r="I317" s="1176">
        <v>0</v>
      </c>
      <c r="J317" s="1190">
        <v>0</v>
      </c>
      <c r="K317" s="1180"/>
      <c r="L317" s="1174">
        <v>13005970100</v>
      </c>
      <c r="M317" s="1175">
        <v>1</v>
      </c>
      <c r="N317" s="1175">
        <v>0</v>
      </c>
      <c r="O317" s="1175">
        <v>1</v>
      </c>
      <c r="P317" s="157" t="s">
        <v>4350</v>
      </c>
      <c r="Q317" s="157"/>
      <c r="R317" s="102"/>
      <c r="S317" s="153"/>
      <c r="T317" s="153" t="s">
        <v>143</v>
      </c>
      <c r="U317" s="153" t="s">
        <v>3550</v>
      </c>
      <c r="W317" s="27" t="s">
        <v>4351</v>
      </c>
      <c r="X317" s="27" t="s">
        <v>3439</v>
      </c>
      <c r="AA317"/>
      <c r="AB317"/>
      <c r="AC317" s="283"/>
      <c r="AD317" s="42"/>
    </row>
    <row r="318" spans="3:30" ht="10.5" customHeight="1">
      <c r="C318" s="1181" t="s">
        <v>4352</v>
      </c>
      <c r="D318" s="1178">
        <v>0</v>
      </c>
      <c r="E318" s="1178">
        <v>0</v>
      </c>
      <c r="F318" s="1179">
        <v>0</v>
      </c>
      <c r="G318" s="1189" t="s">
        <v>4352</v>
      </c>
      <c r="H318" s="1176">
        <v>0</v>
      </c>
      <c r="I318" s="1176">
        <v>0</v>
      </c>
      <c r="J318" s="1190">
        <v>0</v>
      </c>
      <c r="K318" s="1180"/>
      <c r="L318" s="1174">
        <v>13005970201</v>
      </c>
      <c r="M318" s="1175">
        <v>0</v>
      </c>
      <c r="N318" s="1175">
        <v>0</v>
      </c>
      <c r="O318" s="1175">
        <v>0</v>
      </c>
      <c r="P318" s="157" t="s">
        <v>4353</v>
      </c>
      <c r="Q318" s="157"/>
      <c r="R318" s="102"/>
      <c r="S318" s="153"/>
      <c r="T318" s="153" t="s">
        <v>3860</v>
      </c>
      <c r="U318" s="153" t="s">
        <v>143</v>
      </c>
      <c r="W318" s="27" t="s">
        <v>4354</v>
      </c>
      <c r="X318" s="27" t="s">
        <v>3439</v>
      </c>
      <c r="AA318"/>
      <c r="AB318"/>
      <c r="AC318" s="42"/>
      <c r="AD318" s="42"/>
    </row>
    <row r="319" spans="3:30" ht="10.5" customHeight="1">
      <c r="C319" s="1181" t="s">
        <v>4355</v>
      </c>
      <c r="D319" s="1178">
        <v>0</v>
      </c>
      <c r="E319" s="1178">
        <v>0</v>
      </c>
      <c r="F319" s="1179">
        <v>0</v>
      </c>
      <c r="G319" s="1189" t="s">
        <v>4355</v>
      </c>
      <c r="H319" s="1176">
        <v>0</v>
      </c>
      <c r="I319" s="1176">
        <v>0</v>
      </c>
      <c r="J319" s="1190">
        <v>0</v>
      </c>
      <c r="K319" s="1180"/>
      <c r="L319" s="1174">
        <v>13005970202</v>
      </c>
      <c r="M319" s="1175">
        <v>0</v>
      </c>
      <c r="N319" s="1175">
        <v>0</v>
      </c>
      <c r="O319" s="1175">
        <v>0</v>
      </c>
      <c r="P319" s="157" t="s">
        <v>4356</v>
      </c>
      <c r="Q319" s="157"/>
      <c r="R319" s="102"/>
      <c r="S319" s="153"/>
      <c r="T319" s="290" t="s">
        <v>109</v>
      </c>
      <c r="U319" s="290" t="s">
        <v>93</v>
      </c>
      <c r="W319" s="27" t="s">
        <v>4357</v>
      </c>
      <c r="X319" s="27" t="s">
        <v>3439</v>
      </c>
      <c r="AA319"/>
      <c r="AB319"/>
      <c r="AC319" s="42"/>
      <c r="AD319" s="42"/>
    </row>
    <row r="320" spans="3:30" ht="10.5" customHeight="1">
      <c r="C320" s="1181" t="s">
        <v>4358</v>
      </c>
      <c r="D320" s="1178">
        <v>0</v>
      </c>
      <c r="E320" s="1178">
        <v>0</v>
      </c>
      <c r="F320" s="1179">
        <v>0</v>
      </c>
      <c r="G320" s="1189" t="s">
        <v>4358</v>
      </c>
      <c r="H320" s="1176">
        <v>0</v>
      </c>
      <c r="I320" s="1176">
        <v>1</v>
      </c>
      <c r="J320" s="1190">
        <v>1</v>
      </c>
      <c r="K320" s="1180"/>
      <c r="L320" s="1174">
        <v>13007960100</v>
      </c>
      <c r="M320" s="1175">
        <v>0</v>
      </c>
      <c r="N320" s="1175">
        <v>1</v>
      </c>
      <c r="O320" s="1175">
        <v>1</v>
      </c>
      <c r="P320" s="157" t="s">
        <v>4359</v>
      </c>
      <c r="Q320" s="157"/>
      <c r="R320" s="102"/>
      <c r="S320" s="153"/>
      <c r="T320" s="290" t="s">
        <v>4360</v>
      </c>
      <c r="U320" s="290" t="s">
        <v>3594</v>
      </c>
      <c r="W320" s="27" t="s">
        <v>2035</v>
      </c>
      <c r="X320" s="27" t="s">
        <v>3439</v>
      </c>
      <c r="AA320"/>
      <c r="AB320"/>
      <c r="AC320" s="283"/>
      <c r="AD320" s="42"/>
    </row>
    <row r="321" spans="3:30" ht="10.5" customHeight="1">
      <c r="C321" s="1181" t="s">
        <v>4361</v>
      </c>
      <c r="D321" s="1178">
        <v>1</v>
      </c>
      <c r="E321" s="1178">
        <v>0</v>
      </c>
      <c r="F321" s="1179">
        <v>1</v>
      </c>
      <c r="G321" s="1189" t="s">
        <v>4361</v>
      </c>
      <c r="H321" s="1176">
        <v>0</v>
      </c>
      <c r="I321" s="1176">
        <v>0</v>
      </c>
      <c r="J321" s="1190">
        <v>0</v>
      </c>
      <c r="K321" s="1180"/>
      <c r="L321" s="1174">
        <v>13007960200</v>
      </c>
      <c r="M321" s="1175">
        <v>1</v>
      </c>
      <c r="N321" s="1175">
        <v>0</v>
      </c>
      <c r="O321" s="1175">
        <v>1</v>
      </c>
      <c r="P321" s="157" t="s">
        <v>4362</v>
      </c>
      <c r="Q321" s="157"/>
      <c r="R321" s="102"/>
      <c r="S321" s="153"/>
      <c r="T321" s="290" t="s">
        <v>2015</v>
      </c>
      <c r="U321" s="290" t="s">
        <v>3944</v>
      </c>
      <c r="W321" s="27" t="s">
        <v>2037</v>
      </c>
      <c r="X321" s="27" t="s">
        <v>3439</v>
      </c>
      <c r="AA321"/>
      <c r="AB321"/>
      <c r="AC321" s="283"/>
      <c r="AD321" s="42"/>
    </row>
    <row r="322" spans="3:30" ht="10.5" customHeight="1">
      <c r="C322" s="1181" t="s">
        <v>4363</v>
      </c>
      <c r="D322" s="1178">
        <v>0</v>
      </c>
      <c r="E322" s="1178">
        <v>0</v>
      </c>
      <c r="F322" s="1179">
        <v>0</v>
      </c>
      <c r="G322" s="1189" t="s">
        <v>4363</v>
      </c>
      <c r="H322" s="1176">
        <v>1</v>
      </c>
      <c r="I322" s="1176">
        <v>0</v>
      </c>
      <c r="J322" s="1190">
        <v>1</v>
      </c>
      <c r="K322" s="1180"/>
      <c r="L322" s="1174">
        <v>13009970100</v>
      </c>
      <c r="M322" s="1175">
        <v>1</v>
      </c>
      <c r="N322" s="1175">
        <v>0</v>
      </c>
      <c r="O322" s="1175">
        <v>1</v>
      </c>
      <c r="P322" s="157" t="s">
        <v>4364</v>
      </c>
      <c r="Q322" s="157"/>
      <c r="R322" s="102"/>
      <c r="S322" s="153"/>
      <c r="T322" s="290" t="s">
        <v>4365</v>
      </c>
      <c r="U322" s="290" t="s">
        <v>3944</v>
      </c>
      <c r="W322" s="27" t="s">
        <v>4366</v>
      </c>
      <c r="X322" s="27" t="s">
        <v>3439</v>
      </c>
      <c r="AA322"/>
      <c r="AB322"/>
      <c r="AC322" s="283"/>
      <c r="AD322" s="42"/>
    </row>
    <row r="323" spans="3:30" ht="10.5" customHeight="1">
      <c r="C323" s="1181" t="s">
        <v>4367</v>
      </c>
      <c r="D323" s="1178">
        <v>0</v>
      </c>
      <c r="E323" s="1178">
        <v>0</v>
      </c>
      <c r="F323" s="1179">
        <v>0</v>
      </c>
      <c r="G323" s="1189" t="s">
        <v>4367</v>
      </c>
      <c r="H323" s="1176">
        <v>0</v>
      </c>
      <c r="I323" s="1176">
        <v>1</v>
      </c>
      <c r="J323" s="1190">
        <v>1</v>
      </c>
      <c r="K323" s="1180"/>
      <c r="L323" s="1174">
        <v>13009970200</v>
      </c>
      <c r="M323" s="1175">
        <v>0</v>
      </c>
      <c r="N323" s="1175">
        <v>1</v>
      </c>
      <c r="O323" s="1175">
        <v>1</v>
      </c>
      <c r="P323" s="157" t="s">
        <v>4368</v>
      </c>
      <c r="Q323" s="157"/>
      <c r="R323" s="102"/>
      <c r="S323" s="153"/>
      <c r="T323" s="290" t="s">
        <v>3872</v>
      </c>
      <c r="U323" s="290" t="s">
        <v>3725</v>
      </c>
      <c r="W323" s="27" t="s">
        <v>4369</v>
      </c>
      <c r="X323" s="27" t="s">
        <v>3439</v>
      </c>
      <c r="AA323"/>
      <c r="AB323"/>
      <c r="AC323" s="283"/>
      <c r="AD323" s="42"/>
    </row>
    <row r="324" spans="3:30" ht="10.5" customHeight="1">
      <c r="C324" s="1181" t="s">
        <v>4370</v>
      </c>
      <c r="D324" s="1178">
        <v>1</v>
      </c>
      <c r="E324" s="1178">
        <v>1</v>
      </c>
      <c r="F324" s="1179">
        <v>2</v>
      </c>
      <c r="G324" s="1189" t="s">
        <v>4370</v>
      </c>
      <c r="H324" s="1176">
        <v>0</v>
      </c>
      <c r="I324" s="1176">
        <v>1</v>
      </c>
      <c r="J324" s="1190">
        <v>1</v>
      </c>
      <c r="K324" s="1180"/>
      <c r="L324" s="1174">
        <v>13009970300</v>
      </c>
      <c r="M324" s="1175">
        <v>1</v>
      </c>
      <c r="N324" s="1175">
        <v>1</v>
      </c>
      <c r="O324" s="1175">
        <v>2</v>
      </c>
      <c r="P324" s="157" t="s">
        <v>4371</v>
      </c>
      <c r="Q324" s="157"/>
      <c r="R324" s="102"/>
      <c r="S324" s="153"/>
      <c r="T324" s="290" t="s">
        <v>4372</v>
      </c>
      <c r="U324" s="290" t="s">
        <v>93</v>
      </c>
      <c r="W324" s="27" t="s">
        <v>4373</v>
      </c>
      <c r="X324" s="27" t="s">
        <v>3439</v>
      </c>
      <c r="AA324"/>
      <c r="AB324"/>
      <c r="AC324" s="283"/>
      <c r="AD324" s="42"/>
    </row>
    <row r="325" spans="3:30" ht="10.5" customHeight="1">
      <c r="C325" s="1181" t="s">
        <v>4374</v>
      </c>
      <c r="D325" s="1178">
        <v>0</v>
      </c>
      <c r="E325" s="1178">
        <v>0</v>
      </c>
      <c r="F325" s="1179">
        <v>0</v>
      </c>
      <c r="G325" s="1189" t="s">
        <v>4374</v>
      </c>
      <c r="H325" s="1176">
        <v>0</v>
      </c>
      <c r="I325" s="1176">
        <v>1</v>
      </c>
      <c r="J325" s="1190">
        <v>1</v>
      </c>
      <c r="K325" s="1180"/>
      <c r="L325" s="1174">
        <v>13009970400</v>
      </c>
      <c r="M325" s="1175">
        <v>0</v>
      </c>
      <c r="N325" s="1175">
        <v>1</v>
      </c>
      <c r="O325" s="1175">
        <v>1</v>
      </c>
      <c r="P325" s="157" t="s">
        <v>4375</v>
      </c>
      <c r="Q325" s="157"/>
      <c r="R325" s="102"/>
      <c r="S325" s="153"/>
      <c r="T325" s="290" t="s">
        <v>4376</v>
      </c>
      <c r="U325" s="290" t="s">
        <v>135</v>
      </c>
      <c r="W325" s="27" t="s">
        <v>4377</v>
      </c>
      <c r="X325" s="27" t="s">
        <v>3439</v>
      </c>
      <c r="AA325"/>
      <c r="AB325"/>
      <c r="AC325" s="283"/>
      <c r="AD325" s="42"/>
    </row>
    <row r="326" spans="3:30" ht="10.5" customHeight="1">
      <c r="C326" s="1181" t="s">
        <v>4378</v>
      </c>
      <c r="D326" s="1178">
        <v>0</v>
      </c>
      <c r="E326" s="1178">
        <v>0</v>
      </c>
      <c r="F326" s="1179">
        <v>0</v>
      </c>
      <c r="G326" s="1189" t="s">
        <v>4378</v>
      </c>
      <c r="H326" s="1176">
        <v>0</v>
      </c>
      <c r="I326" s="1176">
        <v>0</v>
      </c>
      <c r="J326" s="1190">
        <v>0</v>
      </c>
      <c r="K326" s="1180"/>
      <c r="L326" s="1174">
        <v>13009970500</v>
      </c>
      <c r="M326" s="1175">
        <v>0</v>
      </c>
      <c r="N326" s="1175">
        <v>0</v>
      </c>
      <c r="O326" s="1175">
        <v>0</v>
      </c>
      <c r="P326" s="157" t="s">
        <v>4379</v>
      </c>
      <c r="Q326" s="157"/>
      <c r="R326" s="102"/>
      <c r="S326" s="153"/>
      <c r="T326" s="290" t="s">
        <v>4380</v>
      </c>
      <c r="U326" s="290" t="s">
        <v>164</v>
      </c>
      <c r="W326" s="27" t="s">
        <v>4381</v>
      </c>
      <c r="X326" s="27" t="s">
        <v>3439</v>
      </c>
      <c r="AA326"/>
      <c r="AB326"/>
      <c r="AC326" s="283"/>
      <c r="AD326" s="42"/>
    </row>
    <row r="327" spans="3:30" ht="10.5" customHeight="1">
      <c r="C327" s="1181" t="s">
        <v>4382</v>
      </c>
      <c r="D327" s="1178">
        <v>0</v>
      </c>
      <c r="E327" s="1178">
        <v>0</v>
      </c>
      <c r="F327" s="1179">
        <v>0</v>
      </c>
      <c r="G327" s="1189" t="s">
        <v>4382</v>
      </c>
      <c r="H327" s="1176">
        <v>0</v>
      </c>
      <c r="I327" s="1176">
        <v>0</v>
      </c>
      <c r="J327" s="1190">
        <v>0</v>
      </c>
      <c r="K327" s="1180"/>
      <c r="L327" s="1174">
        <v>13009970600</v>
      </c>
      <c r="M327" s="1175">
        <v>0</v>
      </c>
      <c r="N327" s="1175">
        <v>0</v>
      </c>
      <c r="O327" s="1175">
        <v>0</v>
      </c>
      <c r="P327" s="157" t="s">
        <v>4383</v>
      </c>
      <c r="Q327" s="157"/>
      <c r="R327" s="102"/>
      <c r="S327" s="153"/>
      <c r="T327" s="290" t="s">
        <v>3878</v>
      </c>
      <c r="U327" s="290" t="s">
        <v>3944</v>
      </c>
      <c r="W327" s="27" t="s">
        <v>4384</v>
      </c>
      <c r="X327" s="27" t="s">
        <v>3439</v>
      </c>
      <c r="AA327"/>
      <c r="AB327"/>
      <c r="AC327" s="283"/>
      <c r="AD327" s="42"/>
    </row>
    <row r="328" spans="3:30" ht="10.5" customHeight="1">
      <c r="C328" s="1181" t="s">
        <v>4385</v>
      </c>
      <c r="D328" s="1178">
        <v>0</v>
      </c>
      <c r="E328" s="1178">
        <v>0</v>
      </c>
      <c r="F328" s="1179">
        <v>0</v>
      </c>
      <c r="G328" s="1189" t="s">
        <v>4385</v>
      </c>
      <c r="H328" s="1176">
        <v>0</v>
      </c>
      <c r="I328" s="1176">
        <v>0</v>
      </c>
      <c r="J328" s="1190">
        <v>0</v>
      </c>
      <c r="K328" s="1180"/>
      <c r="L328" s="1174">
        <v>13009970701</v>
      </c>
      <c r="M328" s="1175">
        <v>0</v>
      </c>
      <c r="N328" s="1175">
        <v>0</v>
      </c>
      <c r="O328" s="1175">
        <v>0</v>
      </c>
      <c r="P328" s="157" t="s">
        <v>4386</v>
      </c>
      <c r="Q328" s="157"/>
      <c r="R328" s="102"/>
      <c r="S328" s="153"/>
      <c r="T328" s="290" t="s">
        <v>3883</v>
      </c>
      <c r="U328" s="290" t="s">
        <v>3795</v>
      </c>
      <c r="W328" s="27" t="s">
        <v>2462</v>
      </c>
      <c r="X328" s="27" t="s">
        <v>3439</v>
      </c>
      <c r="AA328"/>
      <c r="AB328"/>
      <c r="AC328" s="283"/>
      <c r="AD328" s="42"/>
    </row>
    <row r="329" spans="3:30" ht="10.5" customHeight="1">
      <c r="C329" s="1181" t="s">
        <v>4387</v>
      </c>
      <c r="D329" s="1178">
        <v>0</v>
      </c>
      <c r="E329" s="1178">
        <v>0</v>
      </c>
      <c r="F329" s="1179">
        <v>0</v>
      </c>
      <c r="G329" s="1189" t="s">
        <v>4387</v>
      </c>
      <c r="H329" s="1176">
        <v>0</v>
      </c>
      <c r="I329" s="1176">
        <v>0</v>
      </c>
      <c r="J329" s="1190">
        <v>0</v>
      </c>
      <c r="K329" s="1180"/>
      <c r="L329" s="1174">
        <v>13009970702</v>
      </c>
      <c r="M329" s="1175">
        <v>0</v>
      </c>
      <c r="N329" s="1175">
        <v>0</v>
      </c>
      <c r="O329" s="1175">
        <v>0</v>
      </c>
      <c r="P329" s="157" t="s">
        <v>4388</v>
      </c>
      <c r="Q329" s="157"/>
      <c r="R329" s="102"/>
      <c r="S329" s="153"/>
      <c r="T329" s="290" t="s">
        <v>110</v>
      </c>
      <c r="U329" s="290" t="s">
        <v>111</v>
      </c>
      <c r="W329" s="27" t="s">
        <v>171</v>
      </c>
      <c r="X329" s="27" t="s">
        <v>3439</v>
      </c>
      <c r="AA329"/>
      <c r="AB329"/>
      <c r="AC329" s="283"/>
      <c r="AD329" s="42"/>
    </row>
    <row r="330" spans="3:30" ht="10.5" customHeight="1">
      <c r="C330" s="1181" t="s">
        <v>4389</v>
      </c>
      <c r="D330" s="1178">
        <v>0</v>
      </c>
      <c r="E330" s="1178">
        <v>0</v>
      </c>
      <c r="F330" s="1179">
        <v>0</v>
      </c>
      <c r="G330" s="1189" t="s">
        <v>4389</v>
      </c>
      <c r="H330" s="1176">
        <v>0</v>
      </c>
      <c r="I330" s="1176">
        <v>0</v>
      </c>
      <c r="J330" s="1190">
        <v>0</v>
      </c>
      <c r="K330" s="1180"/>
      <c r="L330" s="1174">
        <v>13009970800</v>
      </c>
      <c r="M330" s="1175">
        <v>0</v>
      </c>
      <c r="N330" s="1175">
        <v>0</v>
      </c>
      <c r="O330" s="1175">
        <v>0</v>
      </c>
      <c r="P330" s="157" t="s">
        <v>4390</v>
      </c>
      <c r="Q330" s="157"/>
      <c r="R330" s="102"/>
      <c r="S330" s="153"/>
      <c r="T330" s="290" t="s">
        <v>112</v>
      </c>
      <c r="U330" s="290" t="s">
        <v>113</v>
      </c>
      <c r="W330" s="27" t="s">
        <v>4391</v>
      </c>
      <c r="X330" s="27" t="s">
        <v>3439</v>
      </c>
      <c r="AA330"/>
      <c r="AB330"/>
      <c r="AC330" s="283"/>
      <c r="AD330" s="42"/>
    </row>
    <row r="331" spans="3:30" ht="10.5" customHeight="1">
      <c r="C331" s="1181" t="s">
        <v>4392</v>
      </c>
      <c r="D331" s="1178">
        <v>0</v>
      </c>
      <c r="E331" s="1178">
        <v>0</v>
      </c>
      <c r="F331" s="1179">
        <v>0</v>
      </c>
      <c r="G331" s="1189" t="s">
        <v>4392</v>
      </c>
      <c r="H331" s="1176">
        <v>0</v>
      </c>
      <c r="I331" s="1176">
        <v>0</v>
      </c>
      <c r="J331" s="1190">
        <v>0</v>
      </c>
      <c r="K331" s="1180"/>
      <c r="L331" s="1174">
        <v>13011970100</v>
      </c>
      <c r="M331" s="1175">
        <v>0</v>
      </c>
      <c r="N331" s="1175">
        <v>0</v>
      </c>
      <c r="O331" s="1175">
        <v>0</v>
      </c>
      <c r="P331" s="157" t="s">
        <v>4393</v>
      </c>
      <c r="Q331" s="157"/>
      <c r="R331" s="102"/>
      <c r="S331" s="153"/>
      <c r="T331" s="290" t="s">
        <v>3888</v>
      </c>
      <c r="U331" s="290" t="s">
        <v>151</v>
      </c>
      <c r="W331" s="27" t="s">
        <v>2040</v>
      </c>
      <c r="X331" s="27" t="s">
        <v>3439</v>
      </c>
      <c r="AA331"/>
      <c r="AB331"/>
      <c r="AC331" s="283"/>
      <c r="AD331" s="42"/>
    </row>
    <row r="332" spans="3:30" ht="10.5" customHeight="1">
      <c r="C332" s="1181" t="s">
        <v>4394</v>
      </c>
      <c r="D332" s="1178">
        <v>0</v>
      </c>
      <c r="E332" s="1178">
        <v>0</v>
      </c>
      <c r="F332" s="1179">
        <v>0</v>
      </c>
      <c r="G332" s="1189" t="s">
        <v>4394</v>
      </c>
      <c r="H332" s="1176">
        <v>0</v>
      </c>
      <c r="I332" s="1176">
        <v>0</v>
      </c>
      <c r="J332" s="1190">
        <v>0</v>
      </c>
      <c r="K332" s="1180"/>
      <c r="L332" s="1174">
        <v>13011970200</v>
      </c>
      <c r="M332" s="1175">
        <v>0</v>
      </c>
      <c r="N332" s="1175">
        <v>0</v>
      </c>
      <c r="O332" s="1175">
        <v>0</v>
      </c>
      <c r="P332" s="157" t="s">
        <v>4395</v>
      </c>
      <c r="Q332" s="157"/>
      <c r="R332" s="102"/>
      <c r="S332" s="153"/>
      <c r="T332" s="290" t="s">
        <v>3895</v>
      </c>
      <c r="U332" s="290" t="s">
        <v>3703</v>
      </c>
      <c r="W332" s="27" t="s">
        <v>4396</v>
      </c>
      <c r="X332" s="27" t="s">
        <v>3439</v>
      </c>
      <c r="AA332"/>
      <c r="AB332"/>
      <c r="AC332" s="283"/>
      <c r="AD332" s="42"/>
    </row>
    <row r="333" spans="3:30" ht="10.5" customHeight="1">
      <c r="C333" s="1181" t="s">
        <v>4397</v>
      </c>
      <c r="D333" s="1178">
        <v>1</v>
      </c>
      <c r="E333" s="1178">
        <v>1</v>
      </c>
      <c r="F333" s="1179">
        <v>2</v>
      </c>
      <c r="G333" s="1189" t="s">
        <v>4397</v>
      </c>
      <c r="H333" s="1176">
        <v>0</v>
      </c>
      <c r="I333" s="1176">
        <v>0</v>
      </c>
      <c r="J333" s="1190">
        <v>0</v>
      </c>
      <c r="K333" s="1180"/>
      <c r="L333" s="1174">
        <v>13011970300</v>
      </c>
      <c r="M333" s="1175">
        <v>1</v>
      </c>
      <c r="N333" s="1175">
        <v>1</v>
      </c>
      <c r="O333" s="1175">
        <v>2</v>
      </c>
      <c r="P333" s="157" t="s">
        <v>4398</v>
      </c>
      <c r="Q333" s="157"/>
      <c r="R333" s="102"/>
      <c r="S333" s="153"/>
      <c r="T333" s="153" t="s">
        <v>3899</v>
      </c>
      <c r="U333" s="153" t="s">
        <v>4099</v>
      </c>
      <c r="W333" s="27" t="s">
        <v>4399</v>
      </c>
      <c r="X333" s="27" t="s">
        <v>3439</v>
      </c>
      <c r="AA333"/>
      <c r="AB333"/>
      <c r="AC333" s="283"/>
      <c r="AD333" s="42"/>
    </row>
    <row r="334" spans="3:30" ht="10.5" customHeight="1">
      <c r="C334" s="1181" t="s">
        <v>4400</v>
      </c>
      <c r="D334" s="1178">
        <v>0</v>
      </c>
      <c r="E334" s="1178">
        <v>0</v>
      </c>
      <c r="F334" s="1179">
        <v>0</v>
      </c>
      <c r="G334" s="1189" t="s">
        <v>4400</v>
      </c>
      <c r="H334" s="1176">
        <v>0</v>
      </c>
      <c r="I334" s="1176">
        <v>0</v>
      </c>
      <c r="J334" s="1190">
        <v>0</v>
      </c>
      <c r="K334" s="1180"/>
      <c r="L334" s="1174">
        <v>13011970400</v>
      </c>
      <c r="M334" s="1175">
        <v>0</v>
      </c>
      <c r="N334" s="1175">
        <v>0</v>
      </c>
      <c r="O334" s="1175">
        <v>0</v>
      </c>
      <c r="P334" s="157" t="s">
        <v>4401</v>
      </c>
      <c r="Q334" s="157"/>
      <c r="R334" s="102"/>
      <c r="S334" s="153"/>
      <c r="T334" s="153" t="s">
        <v>4402</v>
      </c>
      <c r="U334" s="153" t="s">
        <v>3802</v>
      </c>
      <c r="W334" s="27" t="s">
        <v>4403</v>
      </c>
      <c r="X334" s="27" t="s">
        <v>3439</v>
      </c>
      <c r="AA334"/>
      <c r="AB334"/>
      <c r="AC334" s="42"/>
      <c r="AD334" s="42"/>
    </row>
    <row r="335" spans="3:30" ht="10.5" customHeight="1">
      <c r="C335" s="1181" t="s">
        <v>4404</v>
      </c>
      <c r="D335" s="1178">
        <v>1</v>
      </c>
      <c r="E335" s="1178">
        <v>1</v>
      </c>
      <c r="F335" s="1179">
        <v>2</v>
      </c>
      <c r="G335" s="1189" t="s">
        <v>4404</v>
      </c>
      <c r="H335" s="1176">
        <v>1</v>
      </c>
      <c r="I335" s="1176">
        <v>1</v>
      </c>
      <c r="J335" s="1190">
        <v>2</v>
      </c>
      <c r="K335" s="1180"/>
      <c r="L335" s="1174">
        <v>13013180103</v>
      </c>
      <c r="M335" s="1175">
        <v>1</v>
      </c>
      <c r="N335" s="1175">
        <v>1</v>
      </c>
      <c r="O335" s="1175">
        <v>2</v>
      </c>
      <c r="P335" s="157" t="s">
        <v>4405</v>
      </c>
      <c r="Q335" s="157"/>
      <c r="R335" s="102"/>
      <c r="S335" s="153"/>
      <c r="T335" s="153" t="s">
        <v>3903</v>
      </c>
      <c r="U335" s="153" t="s">
        <v>3553</v>
      </c>
      <c r="W335" s="27" t="s">
        <v>4406</v>
      </c>
      <c r="X335" s="27" t="s">
        <v>3439</v>
      </c>
      <c r="AA335"/>
      <c r="AB335"/>
      <c r="AC335" s="42"/>
      <c r="AD335" s="42"/>
    </row>
    <row r="336" spans="3:30" ht="10.5" customHeight="1">
      <c r="C336" s="1181" t="s">
        <v>4407</v>
      </c>
      <c r="D336" s="1178">
        <v>0</v>
      </c>
      <c r="E336" s="1178">
        <v>1</v>
      </c>
      <c r="F336" s="1179">
        <v>1</v>
      </c>
      <c r="G336" s="1189" t="s">
        <v>4407</v>
      </c>
      <c r="H336" s="1176">
        <v>0</v>
      </c>
      <c r="I336" s="1176">
        <v>0</v>
      </c>
      <c r="J336" s="1190">
        <v>0</v>
      </c>
      <c r="K336" s="1180"/>
      <c r="L336" s="1174">
        <v>13013180104</v>
      </c>
      <c r="M336" s="1175">
        <v>0</v>
      </c>
      <c r="N336" s="1175">
        <v>1</v>
      </c>
      <c r="O336" s="1175">
        <v>1</v>
      </c>
      <c r="P336" s="157" t="s">
        <v>4408</v>
      </c>
      <c r="Q336" s="157"/>
      <c r="R336" s="102"/>
      <c r="S336" s="153"/>
      <c r="T336" s="290" t="s">
        <v>3910</v>
      </c>
      <c r="U336" s="290" t="s">
        <v>3746</v>
      </c>
      <c r="W336" s="27" t="s">
        <v>2042</v>
      </c>
      <c r="X336" s="27" t="s">
        <v>3439</v>
      </c>
      <c r="AA336"/>
      <c r="AB336"/>
      <c r="AC336" s="42"/>
      <c r="AD336" s="42"/>
    </row>
    <row r="337" spans="3:30" ht="10.5" customHeight="1">
      <c r="C337" s="1181" t="s">
        <v>4409</v>
      </c>
      <c r="D337" s="1178">
        <v>0</v>
      </c>
      <c r="E337" s="1178">
        <v>1</v>
      </c>
      <c r="F337" s="1179">
        <v>1</v>
      </c>
      <c r="G337" s="1189" t="s">
        <v>4409</v>
      </c>
      <c r="H337" s="1176">
        <v>1</v>
      </c>
      <c r="I337" s="1176">
        <v>0</v>
      </c>
      <c r="J337" s="1190">
        <v>1</v>
      </c>
      <c r="K337" s="1180"/>
      <c r="L337" s="1174">
        <v>13013180105</v>
      </c>
      <c r="M337" s="1175">
        <v>1</v>
      </c>
      <c r="N337" s="1175">
        <v>1</v>
      </c>
      <c r="O337" s="1175">
        <v>1</v>
      </c>
      <c r="P337" s="157" t="s">
        <v>4410</v>
      </c>
      <c r="Q337" s="157"/>
      <c r="R337" s="102"/>
      <c r="S337" s="153"/>
      <c r="T337" s="290" t="s">
        <v>3916</v>
      </c>
      <c r="U337" s="290" t="s">
        <v>4126</v>
      </c>
      <c r="W337" s="27" t="s">
        <v>4411</v>
      </c>
      <c r="X337" s="27" t="s">
        <v>3439</v>
      </c>
      <c r="AA337"/>
      <c r="AB337"/>
      <c r="AC337" s="283"/>
      <c r="AD337" s="42"/>
    </row>
    <row r="338" spans="3:30" ht="10.5" customHeight="1">
      <c r="C338" s="1181" t="s">
        <v>4412</v>
      </c>
      <c r="D338" s="1178">
        <v>0</v>
      </c>
      <c r="E338" s="1178">
        <v>1</v>
      </c>
      <c r="F338" s="1179">
        <v>1</v>
      </c>
      <c r="G338" s="1189" t="s">
        <v>4412</v>
      </c>
      <c r="H338" s="1176">
        <v>1</v>
      </c>
      <c r="I338" s="1176">
        <v>0</v>
      </c>
      <c r="J338" s="1190">
        <v>1</v>
      </c>
      <c r="K338" s="1180"/>
      <c r="L338" s="1174">
        <v>13013180106</v>
      </c>
      <c r="M338" s="1175">
        <v>1</v>
      </c>
      <c r="N338" s="1175">
        <v>1</v>
      </c>
      <c r="O338" s="1175">
        <v>1</v>
      </c>
      <c r="P338" s="157" t="s">
        <v>4413</v>
      </c>
      <c r="Q338" s="157"/>
      <c r="R338" s="102"/>
      <c r="S338" s="153"/>
      <c r="T338" s="153" t="s">
        <v>4414</v>
      </c>
      <c r="U338" s="153" t="s">
        <v>3647</v>
      </c>
      <c r="W338" s="27" t="s">
        <v>4415</v>
      </c>
      <c r="X338" s="27" t="s">
        <v>3439</v>
      </c>
      <c r="AA338"/>
      <c r="AB338"/>
      <c r="AC338" s="283"/>
      <c r="AD338" s="42"/>
    </row>
    <row r="339" spans="3:30" ht="10.5" customHeight="1">
      <c r="C339" s="1181" t="s">
        <v>4416</v>
      </c>
      <c r="D339" s="1178">
        <v>0</v>
      </c>
      <c r="E339" s="1178">
        <v>0</v>
      </c>
      <c r="F339" s="1179">
        <v>0</v>
      </c>
      <c r="G339" s="1189" t="s">
        <v>4416</v>
      </c>
      <c r="H339" s="1176">
        <v>0</v>
      </c>
      <c r="I339" s="1176">
        <v>0</v>
      </c>
      <c r="J339" s="1190">
        <v>0</v>
      </c>
      <c r="K339" s="1180"/>
      <c r="L339" s="1174">
        <v>13013180107</v>
      </c>
      <c r="M339" s="1175">
        <v>0</v>
      </c>
      <c r="N339" s="1175">
        <v>0</v>
      </c>
      <c r="O339" s="1175">
        <v>0</v>
      </c>
      <c r="P339" s="157" t="s">
        <v>4417</v>
      </c>
      <c r="Q339" s="157"/>
      <c r="R339" s="102"/>
      <c r="S339" s="153"/>
      <c r="T339" s="153" t="s">
        <v>4418</v>
      </c>
      <c r="U339" s="153" t="s">
        <v>98</v>
      </c>
      <c r="W339" s="27" t="s">
        <v>4419</v>
      </c>
      <c r="X339" s="27" t="s">
        <v>3439</v>
      </c>
      <c r="AA339"/>
      <c r="AB339"/>
      <c r="AC339" s="42"/>
      <c r="AD339" s="42"/>
    </row>
    <row r="340" spans="3:30" ht="10.5" customHeight="1">
      <c r="C340" s="1181" t="s">
        <v>4420</v>
      </c>
      <c r="D340" s="1178">
        <v>0</v>
      </c>
      <c r="E340" s="1178">
        <v>1</v>
      </c>
      <c r="F340" s="1179">
        <v>1</v>
      </c>
      <c r="G340" s="1189" t="s">
        <v>4420</v>
      </c>
      <c r="H340" s="1176">
        <v>0</v>
      </c>
      <c r="I340" s="1176">
        <v>0</v>
      </c>
      <c r="J340" s="1190">
        <v>0</v>
      </c>
      <c r="K340" s="1180"/>
      <c r="L340" s="1174">
        <v>13013180108</v>
      </c>
      <c r="M340" s="1175">
        <v>0</v>
      </c>
      <c r="N340" s="1175">
        <v>1</v>
      </c>
      <c r="O340" s="1175">
        <v>1</v>
      </c>
      <c r="P340" s="157" t="s">
        <v>4421</v>
      </c>
      <c r="Q340" s="157"/>
      <c r="R340" s="102"/>
      <c r="S340" s="153"/>
      <c r="T340" s="290" t="s">
        <v>3922</v>
      </c>
      <c r="U340" s="290" t="s">
        <v>3795</v>
      </c>
      <c r="W340" s="27" t="s">
        <v>4422</v>
      </c>
      <c r="X340" s="27" t="s">
        <v>3439</v>
      </c>
      <c r="AA340"/>
      <c r="AB340"/>
      <c r="AC340" s="283"/>
      <c r="AD340" s="42"/>
    </row>
    <row r="341" spans="3:30" ht="10.5" customHeight="1">
      <c r="C341" s="1181" t="s">
        <v>4423</v>
      </c>
      <c r="D341" s="1178">
        <v>0</v>
      </c>
      <c r="E341" s="1178">
        <v>0</v>
      </c>
      <c r="F341" s="1179">
        <v>0</v>
      </c>
      <c r="G341" s="1189" t="s">
        <v>4423</v>
      </c>
      <c r="H341" s="1176">
        <v>0</v>
      </c>
      <c r="I341" s="1176">
        <v>0</v>
      </c>
      <c r="J341" s="1190">
        <v>0</v>
      </c>
      <c r="K341" s="1180"/>
      <c r="L341" s="1174">
        <v>13013180203</v>
      </c>
      <c r="M341" s="1175">
        <v>0</v>
      </c>
      <c r="N341" s="1175">
        <v>0</v>
      </c>
      <c r="O341" s="1175">
        <v>0</v>
      </c>
      <c r="P341" s="157" t="s">
        <v>4424</v>
      </c>
      <c r="Q341" s="157"/>
      <c r="R341" s="102"/>
      <c r="S341" s="153"/>
      <c r="T341" s="290" t="s">
        <v>4425</v>
      </c>
      <c r="U341" s="290" t="s">
        <v>3459</v>
      </c>
      <c r="W341" s="27" t="s">
        <v>4426</v>
      </c>
      <c r="X341" s="27" t="s">
        <v>3439</v>
      </c>
      <c r="AA341"/>
      <c r="AB341"/>
      <c r="AC341" s="283"/>
      <c r="AD341" s="42"/>
    </row>
    <row r="342" spans="3:30" ht="10.5" customHeight="1">
      <c r="C342" s="1181" t="s">
        <v>4427</v>
      </c>
      <c r="D342" s="1178">
        <v>0</v>
      </c>
      <c r="E342" s="1178">
        <v>0</v>
      </c>
      <c r="F342" s="1179">
        <v>0</v>
      </c>
      <c r="G342" s="1189" t="s">
        <v>4427</v>
      </c>
      <c r="H342" s="1176">
        <v>0</v>
      </c>
      <c r="I342" s="1176">
        <v>0</v>
      </c>
      <c r="J342" s="1190">
        <v>0</v>
      </c>
      <c r="K342" s="1180"/>
      <c r="L342" s="1174">
        <v>13013180204</v>
      </c>
      <c r="M342" s="1175">
        <v>0</v>
      </c>
      <c r="N342" s="1175">
        <v>0</v>
      </c>
      <c r="O342" s="1175">
        <v>0</v>
      </c>
      <c r="P342" s="157" t="s">
        <v>4428</v>
      </c>
      <c r="Q342" s="157"/>
      <c r="R342" s="102"/>
      <c r="S342" s="153"/>
      <c r="T342" s="290" t="s">
        <v>4429</v>
      </c>
      <c r="U342" s="290" t="s">
        <v>3703</v>
      </c>
      <c r="W342" s="27" t="s">
        <v>2043</v>
      </c>
      <c r="X342" s="27" t="s">
        <v>3439</v>
      </c>
      <c r="AA342"/>
      <c r="AB342"/>
      <c r="AC342" s="283"/>
      <c r="AD342" s="42"/>
    </row>
    <row r="343" spans="3:30" ht="10.5" customHeight="1">
      <c r="C343" s="1181" t="s">
        <v>4430</v>
      </c>
      <c r="D343" s="1178">
        <v>0</v>
      </c>
      <c r="E343" s="1178">
        <v>0</v>
      </c>
      <c r="F343" s="1179">
        <v>0</v>
      </c>
      <c r="G343" s="1189" t="s">
        <v>4430</v>
      </c>
      <c r="H343" s="1176">
        <v>0</v>
      </c>
      <c r="I343" s="1176">
        <v>0</v>
      </c>
      <c r="J343" s="1190">
        <v>0</v>
      </c>
      <c r="K343" s="1180"/>
      <c r="L343" s="1174">
        <v>13013180205</v>
      </c>
      <c r="M343" s="1175">
        <v>0</v>
      </c>
      <c r="N343" s="1175">
        <v>0</v>
      </c>
      <c r="O343" s="1175">
        <v>0</v>
      </c>
      <c r="P343" s="157" t="s">
        <v>4431</v>
      </c>
      <c r="Q343" s="157"/>
      <c r="R343" s="102"/>
      <c r="S343" s="153"/>
      <c r="T343" s="290" t="s">
        <v>4432</v>
      </c>
      <c r="U343" s="290" t="s">
        <v>3492</v>
      </c>
      <c r="W343" s="27" t="s">
        <v>4433</v>
      </c>
      <c r="X343" s="27" t="s">
        <v>3439</v>
      </c>
      <c r="AA343"/>
      <c r="AB343"/>
      <c r="AC343" s="283"/>
      <c r="AD343" s="42"/>
    </row>
    <row r="344" spans="3:30" ht="10.5" customHeight="1">
      <c r="C344" s="1181" t="s">
        <v>4434</v>
      </c>
      <c r="D344" s="1178">
        <v>1</v>
      </c>
      <c r="E344" s="1178">
        <v>1</v>
      </c>
      <c r="F344" s="1179">
        <v>2</v>
      </c>
      <c r="G344" s="1189" t="s">
        <v>4434</v>
      </c>
      <c r="H344" s="1176">
        <v>1</v>
      </c>
      <c r="I344" s="1176">
        <v>0</v>
      </c>
      <c r="J344" s="1190">
        <v>1</v>
      </c>
      <c r="K344" s="1180"/>
      <c r="L344" s="1174">
        <v>13013180206</v>
      </c>
      <c r="M344" s="1175">
        <v>1</v>
      </c>
      <c r="N344" s="1175">
        <v>1</v>
      </c>
      <c r="O344" s="1175">
        <v>2</v>
      </c>
      <c r="P344" s="157" t="s">
        <v>4435</v>
      </c>
      <c r="Q344" s="157"/>
      <c r="R344" s="102"/>
      <c r="S344" s="153"/>
      <c r="T344" s="290" t="s">
        <v>4436</v>
      </c>
      <c r="U344" s="290" t="s">
        <v>3874</v>
      </c>
      <c r="W344" s="27" t="s">
        <v>4437</v>
      </c>
      <c r="X344" s="27" t="s">
        <v>3439</v>
      </c>
      <c r="AA344"/>
      <c r="AB344"/>
      <c r="AC344" s="283"/>
      <c r="AD344" s="42"/>
    </row>
    <row r="345" spans="3:30" ht="10.5" customHeight="1">
      <c r="C345" s="1181" t="s">
        <v>4438</v>
      </c>
      <c r="D345" s="1178">
        <v>1</v>
      </c>
      <c r="E345" s="1178">
        <v>1</v>
      </c>
      <c r="F345" s="1179">
        <v>2</v>
      </c>
      <c r="G345" s="1189" t="s">
        <v>4438</v>
      </c>
      <c r="H345" s="1176">
        <v>1</v>
      </c>
      <c r="I345" s="1176">
        <v>0</v>
      </c>
      <c r="J345" s="1190">
        <v>1</v>
      </c>
      <c r="K345" s="1180"/>
      <c r="L345" s="1174">
        <v>13013180301</v>
      </c>
      <c r="M345" s="1175">
        <v>1</v>
      </c>
      <c r="N345" s="1175">
        <v>1</v>
      </c>
      <c r="O345" s="1175">
        <v>2</v>
      </c>
      <c r="P345" s="157" t="s">
        <v>4439</v>
      </c>
      <c r="Q345" s="157"/>
      <c r="R345" s="102"/>
      <c r="S345" s="153"/>
      <c r="T345" s="290" t="s">
        <v>4440</v>
      </c>
      <c r="U345" s="290" t="s">
        <v>3765</v>
      </c>
      <c r="W345" s="27" t="s">
        <v>4441</v>
      </c>
      <c r="X345" s="27" t="s">
        <v>3439</v>
      </c>
      <c r="AA345"/>
      <c r="AB345"/>
      <c r="AC345" s="283"/>
      <c r="AD345" s="42"/>
    </row>
    <row r="346" spans="3:30" ht="10.5" customHeight="1">
      <c r="C346" s="1181" t="s">
        <v>4442</v>
      </c>
      <c r="D346" s="1178">
        <v>1</v>
      </c>
      <c r="E346" s="1178">
        <v>1</v>
      </c>
      <c r="F346" s="1179">
        <v>2</v>
      </c>
      <c r="G346" s="1189" t="s">
        <v>4442</v>
      </c>
      <c r="H346" s="1176">
        <v>1</v>
      </c>
      <c r="I346" s="1176">
        <v>1</v>
      </c>
      <c r="J346" s="1190">
        <v>2</v>
      </c>
      <c r="K346" s="1180"/>
      <c r="L346" s="1174">
        <v>13013180302</v>
      </c>
      <c r="M346" s="1175">
        <v>1</v>
      </c>
      <c r="N346" s="1175">
        <v>1</v>
      </c>
      <c r="O346" s="1175">
        <v>2</v>
      </c>
      <c r="P346" s="157" t="s">
        <v>4443</v>
      </c>
      <c r="Q346" s="157"/>
      <c r="R346" s="102"/>
      <c r="S346" s="153"/>
      <c r="T346" s="290" t="s">
        <v>4444</v>
      </c>
      <c r="U346" s="290" t="s">
        <v>4043</v>
      </c>
      <c r="W346" s="27" t="s">
        <v>2044</v>
      </c>
      <c r="X346" s="27" t="s">
        <v>3439</v>
      </c>
      <c r="AA346"/>
      <c r="AB346"/>
      <c r="AC346" s="283"/>
      <c r="AD346" s="42"/>
    </row>
    <row r="347" spans="3:30" ht="10.5" customHeight="1">
      <c r="C347" s="1181" t="s">
        <v>4445</v>
      </c>
      <c r="D347" s="1178">
        <v>1</v>
      </c>
      <c r="E347" s="1178">
        <v>1</v>
      </c>
      <c r="F347" s="1179">
        <v>2</v>
      </c>
      <c r="G347" s="1189" t="s">
        <v>4445</v>
      </c>
      <c r="H347" s="1176">
        <v>0</v>
      </c>
      <c r="I347" s="1176">
        <v>0</v>
      </c>
      <c r="J347" s="1190">
        <v>0</v>
      </c>
      <c r="K347" s="1180"/>
      <c r="L347" s="1174">
        <v>13013180303</v>
      </c>
      <c r="M347" s="1175">
        <v>1</v>
      </c>
      <c r="N347" s="1175">
        <v>1</v>
      </c>
      <c r="O347" s="1175">
        <v>2</v>
      </c>
      <c r="P347" s="157" t="s">
        <v>4446</v>
      </c>
      <c r="Q347" s="157"/>
      <c r="R347" s="102"/>
      <c r="S347" s="153"/>
      <c r="T347" s="290" t="s">
        <v>4447</v>
      </c>
      <c r="U347" s="290" t="s">
        <v>3459</v>
      </c>
      <c r="W347" s="27" t="s">
        <v>4448</v>
      </c>
      <c r="X347" s="27" t="s">
        <v>3439</v>
      </c>
      <c r="AA347"/>
      <c r="AB347"/>
      <c r="AC347" s="283"/>
      <c r="AD347" s="42"/>
    </row>
    <row r="348" spans="3:30" ht="10.5" customHeight="1">
      <c r="C348" s="1181" t="s">
        <v>4449</v>
      </c>
      <c r="D348" s="1178">
        <v>1</v>
      </c>
      <c r="E348" s="1178">
        <v>1</v>
      </c>
      <c r="F348" s="1179">
        <v>2</v>
      </c>
      <c r="G348" s="1189" t="s">
        <v>4449</v>
      </c>
      <c r="H348" s="1176">
        <v>0</v>
      </c>
      <c r="I348" s="1176">
        <v>1</v>
      </c>
      <c r="J348" s="1190">
        <v>1</v>
      </c>
      <c r="K348" s="1180"/>
      <c r="L348" s="1174">
        <v>13013180401</v>
      </c>
      <c r="M348" s="1175">
        <v>1</v>
      </c>
      <c r="N348" s="1175">
        <v>1</v>
      </c>
      <c r="O348" s="1175">
        <v>2</v>
      </c>
      <c r="P348" s="157" t="s">
        <v>4450</v>
      </c>
      <c r="Q348" s="157"/>
      <c r="R348" s="102"/>
      <c r="S348" s="153"/>
      <c r="T348" s="290" t="s">
        <v>114</v>
      </c>
      <c r="U348" s="290" t="s">
        <v>115</v>
      </c>
      <c r="W348" s="27" t="s">
        <v>2045</v>
      </c>
      <c r="X348" s="27" t="s">
        <v>3439</v>
      </c>
      <c r="AA348"/>
      <c r="AB348"/>
      <c r="AC348" s="283"/>
      <c r="AD348" s="42"/>
    </row>
    <row r="349" spans="3:30" ht="10.5" customHeight="1">
      <c r="C349" s="1181" t="s">
        <v>4451</v>
      </c>
      <c r="D349" s="1178">
        <v>0</v>
      </c>
      <c r="E349" s="1178">
        <v>0</v>
      </c>
      <c r="F349" s="1179">
        <v>0</v>
      </c>
      <c r="G349" s="1189" t="s">
        <v>4451</v>
      </c>
      <c r="H349" s="1176">
        <v>0</v>
      </c>
      <c r="I349" s="1176">
        <v>0</v>
      </c>
      <c r="J349" s="1190">
        <v>0</v>
      </c>
      <c r="K349" s="1180"/>
      <c r="L349" s="1174">
        <v>13013180402</v>
      </c>
      <c r="M349" s="1175">
        <v>0</v>
      </c>
      <c r="N349" s="1175">
        <v>0</v>
      </c>
      <c r="O349" s="1175">
        <v>0</v>
      </c>
      <c r="P349" s="157" t="s">
        <v>4452</v>
      </c>
      <c r="Q349" s="157"/>
      <c r="R349" s="102"/>
      <c r="S349" s="153"/>
      <c r="T349" s="290" t="s">
        <v>116</v>
      </c>
      <c r="U349" s="290" t="s">
        <v>111</v>
      </c>
      <c r="W349" s="27" t="s">
        <v>4453</v>
      </c>
      <c r="X349" s="27" t="s">
        <v>3439</v>
      </c>
      <c r="AA349"/>
      <c r="AB349"/>
      <c r="AC349" s="283"/>
      <c r="AD349" s="42"/>
    </row>
    <row r="350" spans="3:30" ht="10.5" customHeight="1">
      <c r="C350" s="1181" t="s">
        <v>4454</v>
      </c>
      <c r="D350" s="1178">
        <v>1</v>
      </c>
      <c r="E350" s="1178">
        <v>1</v>
      </c>
      <c r="F350" s="1179">
        <v>2</v>
      </c>
      <c r="G350" s="1189" t="s">
        <v>4454</v>
      </c>
      <c r="H350" s="1176">
        <v>1</v>
      </c>
      <c r="I350" s="1176" t="s">
        <v>4455</v>
      </c>
      <c r="J350" s="1190">
        <v>1</v>
      </c>
      <c r="K350" s="1180"/>
      <c r="L350" s="1174">
        <v>13013180501</v>
      </c>
      <c r="M350" s="1175">
        <v>1</v>
      </c>
      <c r="N350" s="1175">
        <v>1</v>
      </c>
      <c r="O350" s="1175">
        <v>2</v>
      </c>
      <c r="P350" s="157" t="s">
        <v>4456</v>
      </c>
      <c r="Q350" s="157"/>
      <c r="R350" s="102"/>
      <c r="S350" s="153"/>
      <c r="T350" s="290" t="s">
        <v>117</v>
      </c>
      <c r="U350" s="290" t="s">
        <v>118</v>
      </c>
      <c r="W350" s="27" t="s">
        <v>4457</v>
      </c>
      <c r="X350" s="27" t="s">
        <v>3439</v>
      </c>
      <c r="AA350"/>
      <c r="AB350"/>
      <c r="AC350" s="283"/>
      <c r="AD350" s="42"/>
    </row>
    <row r="351" spans="3:30" ht="10.5" customHeight="1">
      <c r="C351" s="1181" t="s">
        <v>4458</v>
      </c>
      <c r="D351" s="1178">
        <v>1</v>
      </c>
      <c r="E351" s="1178">
        <v>1</v>
      </c>
      <c r="F351" s="1179">
        <v>2</v>
      </c>
      <c r="G351" s="1189" t="s">
        <v>4458</v>
      </c>
      <c r="H351" s="1176">
        <v>1</v>
      </c>
      <c r="I351" s="1176">
        <v>0</v>
      </c>
      <c r="J351" s="1190">
        <v>1</v>
      </c>
      <c r="K351" s="1180"/>
      <c r="L351" s="1174">
        <v>13013180502</v>
      </c>
      <c r="M351" s="1175">
        <v>1</v>
      </c>
      <c r="N351" s="1175">
        <v>1</v>
      </c>
      <c r="O351" s="1175">
        <v>2</v>
      </c>
      <c r="P351" s="157" t="s">
        <v>4459</v>
      </c>
      <c r="Q351" s="157"/>
      <c r="R351" s="102"/>
      <c r="S351" s="153"/>
      <c r="T351" s="153" t="s">
        <v>2017</v>
      </c>
      <c r="U351" s="153" t="s">
        <v>151</v>
      </c>
      <c r="W351" s="27" t="s">
        <v>4460</v>
      </c>
      <c r="X351" s="27" t="s">
        <v>3439</v>
      </c>
      <c r="AA351"/>
      <c r="AB351"/>
      <c r="AC351" s="42"/>
      <c r="AD351" s="42"/>
    </row>
    <row r="352" spans="3:30" ht="10.5" customHeight="1">
      <c r="C352" s="1181" t="s">
        <v>4461</v>
      </c>
      <c r="D352" s="1178">
        <v>1</v>
      </c>
      <c r="E352" s="1178">
        <v>1</v>
      </c>
      <c r="F352" s="1179">
        <v>2</v>
      </c>
      <c r="G352" s="1189" t="s">
        <v>4461</v>
      </c>
      <c r="H352" s="1176">
        <v>1</v>
      </c>
      <c r="I352" s="1176">
        <v>1</v>
      </c>
      <c r="J352" s="1190">
        <v>2</v>
      </c>
      <c r="K352" s="1180"/>
      <c r="L352" s="1174">
        <v>13013180503</v>
      </c>
      <c r="M352" s="1175">
        <v>1</v>
      </c>
      <c r="N352" s="1175">
        <v>1</v>
      </c>
      <c r="O352" s="1175">
        <v>2</v>
      </c>
      <c r="P352" s="157" t="s">
        <v>4462</v>
      </c>
      <c r="Q352" s="157"/>
      <c r="R352" s="102"/>
      <c r="S352" s="153"/>
      <c r="T352" s="290" t="s">
        <v>4463</v>
      </c>
      <c r="U352" s="290" t="s">
        <v>3813</v>
      </c>
      <c r="W352" s="27" t="s">
        <v>177</v>
      </c>
      <c r="X352" s="27" t="s">
        <v>3439</v>
      </c>
      <c r="AA352"/>
      <c r="AB352"/>
      <c r="AC352" s="283"/>
      <c r="AD352" s="42"/>
    </row>
    <row r="353" spans="3:30" ht="10.5" customHeight="1">
      <c r="C353" s="1181" t="s">
        <v>4464</v>
      </c>
      <c r="D353" s="1178">
        <v>1</v>
      </c>
      <c r="E353" s="1178">
        <v>1</v>
      </c>
      <c r="F353" s="1179">
        <v>2</v>
      </c>
      <c r="G353" s="1189" t="s">
        <v>4464</v>
      </c>
      <c r="H353" s="1176">
        <v>1</v>
      </c>
      <c r="I353" s="1176">
        <v>1</v>
      </c>
      <c r="J353" s="1190">
        <v>2</v>
      </c>
      <c r="K353" s="1180"/>
      <c r="L353" s="1174">
        <v>13015960101</v>
      </c>
      <c r="M353" s="1175">
        <v>1</v>
      </c>
      <c r="N353" s="1175">
        <v>1</v>
      </c>
      <c r="O353" s="1175">
        <v>2</v>
      </c>
      <c r="P353" s="157" t="s">
        <v>4465</v>
      </c>
      <c r="Q353" s="157"/>
      <c r="R353" s="102"/>
      <c r="S353" s="153"/>
      <c r="T353" s="290" t="s">
        <v>119</v>
      </c>
      <c r="U353" s="290" t="s">
        <v>101</v>
      </c>
      <c r="W353" s="27" t="s">
        <v>2047</v>
      </c>
      <c r="X353" s="27" t="s">
        <v>3439</v>
      </c>
      <c r="AA353"/>
      <c r="AB353"/>
      <c r="AC353" s="283"/>
      <c r="AD353" s="42"/>
    </row>
    <row r="354" spans="3:30" ht="10.5" customHeight="1">
      <c r="C354" s="1181" t="s">
        <v>4466</v>
      </c>
      <c r="D354" s="1178">
        <v>1</v>
      </c>
      <c r="E354" s="1178">
        <v>1</v>
      </c>
      <c r="F354" s="1179">
        <v>2</v>
      </c>
      <c r="G354" s="1189" t="s">
        <v>4466</v>
      </c>
      <c r="H354" s="1176">
        <v>1</v>
      </c>
      <c r="I354" s="1176">
        <v>1</v>
      </c>
      <c r="J354" s="1190">
        <v>2</v>
      </c>
      <c r="K354" s="1180"/>
      <c r="L354" s="1174">
        <v>13015960102</v>
      </c>
      <c r="M354" s="1175">
        <v>1</v>
      </c>
      <c r="N354" s="1175">
        <v>1</v>
      </c>
      <c r="O354" s="1175">
        <v>2</v>
      </c>
      <c r="P354" s="157" t="s">
        <v>4467</v>
      </c>
      <c r="Q354" s="157"/>
      <c r="R354" s="102"/>
      <c r="S354" s="153"/>
      <c r="T354" s="290" t="s">
        <v>4468</v>
      </c>
      <c r="U354" s="290" t="s">
        <v>3594</v>
      </c>
      <c r="W354" s="27" t="s">
        <v>4469</v>
      </c>
      <c r="X354" s="27" t="s">
        <v>3439</v>
      </c>
      <c r="AA354"/>
      <c r="AB354"/>
      <c r="AC354" s="283"/>
      <c r="AD354" s="42"/>
    </row>
    <row r="355" spans="3:30" ht="10.5" customHeight="1">
      <c r="C355" s="1181" t="s">
        <v>4470</v>
      </c>
      <c r="D355" s="1178">
        <v>0</v>
      </c>
      <c r="E355" s="1178">
        <v>1</v>
      </c>
      <c r="F355" s="1179">
        <v>1</v>
      </c>
      <c r="G355" s="1189" t="s">
        <v>4470</v>
      </c>
      <c r="H355" s="1176">
        <v>1</v>
      </c>
      <c r="I355" s="1176">
        <v>0</v>
      </c>
      <c r="J355" s="1190">
        <v>1</v>
      </c>
      <c r="K355" s="1180"/>
      <c r="L355" s="1174">
        <v>13015960200</v>
      </c>
      <c r="M355" s="1175">
        <v>1</v>
      </c>
      <c r="N355" s="1175">
        <v>1</v>
      </c>
      <c r="O355" s="1175">
        <v>1</v>
      </c>
      <c r="P355" s="157" t="s">
        <v>4471</v>
      </c>
      <c r="Q355" s="157"/>
      <c r="R355" s="102"/>
      <c r="S355" s="153"/>
      <c r="T355" s="290" t="s">
        <v>4472</v>
      </c>
      <c r="U355" s="290" t="s">
        <v>3770</v>
      </c>
      <c r="W355" s="27" t="s">
        <v>2048</v>
      </c>
      <c r="X355" s="27" t="s">
        <v>3439</v>
      </c>
      <c r="AA355"/>
      <c r="AB355"/>
      <c r="AC355" s="283"/>
      <c r="AD355" s="42"/>
    </row>
    <row r="356" spans="3:30" ht="10.5" customHeight="1">
      <c r="C356" s="1181" t="s">
        <v>4473</v>
      </c>
      <c r="D356" s="1178">
        <v>1</v>
      </c>
      <c r="E356" s="1178">
        <v>1</v>
      </c>
      <c r="F356" s="1179">
        <v>2</v>
      </c>
      <c r="G356" s="1189" t="s">
        <v>4473</v>
      </c>
      <c r="H356" s="1176">
        <v>1</v>
      </c>
      <c r="I356" s="1176">
        <v>1</v>
      </c>
      <c r="J356" s="1190">
        <v>2</v>
      </c>
      <c r="K356" s="1180"/>
      <c r="L356" s="1174">
        <v>13015960300</v>
      </c>
      <c r="M356" s="1175">
        <v>1</v>
      </c>
      <c r="N356" s="1175">
        <v>1</v>
      </c>
      <c r="O356" s="1175">
        <v>2</v>
      </c>
      <c r="P356" s="157" t="s">
        <v>4474</v>
      </c>
      <c r="Q356" s="157"/>
      <c r="R356" s="102"/>
      <c r="S356" s="153"/>
      <c r="T356" s="290" t="s">
        <v>3938</v>
      </c>
      <c r="U356" s="290" t="s">
        <v>3486</v>
      </c>
      <c r="W356" s="27" t="s">
        <v>4475</v>
      </c>
      <c r="X356" s="27" t="s">
        <v>3439</v>
      </c>
      <c r="AA356"/>
      <c r="AB356"/>
      <c r="AC356" s="283"/>
      <c r="AD356" s="42"/>
    </row>
    <row r="357" spans="3:30" ht="10.5" customHeight="1">
      <c r="C357" s="1181" t="s">
        <v>4476</v>
      </c>
      <c r="D357" s="1178">
        <v>1</v>
      </c>
      <c r="E357" s="1178">
        <v>1</v>
      </c>
      <c r="F357" s="1179">
        <v>2</v>
      </c>
      <c r="G357" s="1189" t="s">
        <v>4476</v>
      </c>
      <c r="H357" s="1176">
        <v>1</v>
      </c>
      <c r="I357" s="1176">
        <v>0</v>
      </c>
      <c r="J357" s="1190">
        <v>1</v>
      </c>
      <c r="K357" s="1180"/>
      <c r="L357" s="1174">
        <v>13015960401</v>
      </c>
      <c r="M357" s="1175">
        <v>1</v>
      </c>
      <c r="N357" s="1175">
        <v>1</v>
      </c>
      <c r="O357" s="1175">
        <v>2</v>
      </c>
      <c r="P357" s="157" t="s">
        <v>4477</v>
      </c>
      <c r="Q357" s="157"/>
      <c r="R357" s="102"/>
      <c r="S357" s="153"/>
      <c r="T357" s="290" t="s">
        <v>4478</v>
      </c>
      <c r="U357" s="290" t="s">
        <v>121</v>
      </c>
      <c r="W357" s="27" t="s">
        <v>2049</v>
      </c>
      <c r="X357" s="27" t="s">
        <v>3439</v>
      </c>
      <c r="AA357"/>
      <c r="AB357"/>
      <c r="AC357" s="283"/>
      <c r="AD357" s="42"/>
    </row>
    <row r="358" spans="3:30" ht="10.5" customHeight="1">
      <c r="C358" s="1181" t="s">
        <v>4479</v>
      </c>
      <c r="D358" s="1178">
        <v>0</v>
      </c>
      <c r="E358" s="1178">
        <v>1</v>
      </c>
      <c r="F358" s="1179">
        <v>1</v>
      </c>
      <c r="G358" s="1189" t="s">
        <v>4479</v>
      </c>
      <c r="H358" s="1176">
        <v>0</v>
      </c>
      <c r="I358" s="1176">
        <v>0</v>
      </c>
      <c r="J358" s="1190">
        <v>0</v>
      </c>
      <c r="K358" s="1180"/>
      <c r="L358" s="1174">
        <v>13015960402</v>
      </c>
      <c r="M358" s="1175">
        <v>0</v>
      </c>
      <c r="N358" s="1175">
        <v>1</v>
      </c>
      <c r="O358" s="1175">
        <v>1</v>
      </c>
      <c r="P358" s="157" t="s">
        <v>4480</v>
      </c>
      <c r="Q358" s="157"/>
      <c r="R358" s="102"/>
      <c r="S358" s="153"/>
      <c r="T358" s="290" t="s">
        <v>4481</v>
      </c>
      <c r="U358" s="290" t="s">
        <v>3545</v>
      </c>
      <c r="W358" s="27" t="s">
        <v>4482</v>
      </c>
      <c r="X358" s="27" t="s">
        <v>3439</v>
      </c>
      <c r="AA358"/>
      <c r="AB358"/>
      <c r="AC358" s="283"/>
      <c r="AD358" s="42"/>
    </row>
    <row r="359" spans="3:30" ht="10.5" customHeight="1">
      <c r="C359" s="1181" t="s">
        <v>4483</v>
      </c>
      <c r="D359" s="1178">
        <v>0</v>
      </c>
      <c r="E359" s="1178">
        <v>0</v>
      </c>
      <c r="F359" s="1179">
        <v>0</v>
      </c>
      <c r="G359" s="1189" t="s">
        <v>4483</v>
      </c>
      <c r="H359" s="1176">
        <v>0</v>
      </c>
      <c r="I359" s="1176">
        <v>0</v>
      </c>
      <c r="J359" s="1190">
        <v>0</v>
      </c>
      <c r="K359" s="1180"/>
      <c r="L359" s="1174">
        <v>13015960500</v>
      </c>
      <c r="M359" s="1175">
        <v>0</v>
      </c>
      <c r="N359" s="1175">
        <v>0</v>
      </c>
      <c r="O359" s="1175">
        <v>0</v>
      </c>
      <c r="P359" s="157" t="s">
        <v>4484</v>
      </c>
      <c r="Q359" s="157"/>
      <c r="R359" s="102"/>
      <c r="S359" s="153"/>
      <c r="T359" s="290" t="s">
        <v>3950</v>
      </c>
      <c r="U359" s="290" t="s">
        <v>3842</v>
      </c>
      <c r="W359" s="27" t="s">
        <v>4485</v>
      </c>
      <c r="X359" s="27" t="s">
        <v>3439</v>
      </c>
      <c r="AA359"/>
      <c r="AB359"/>
      <c r="AC359" s="283"/>
      <c r="AD359" s="42"/>
    </row>
    <row r="360" spans="3:30" ht="10.5" customHeight="1">
      <c r="C360" s="1181" t="s">
        <v>4486</v>
      </c>
      <c r="D360" s="1178">
        <v>0</v>
      </c>
      <c r="E360" s="1178">
        <v>0</v>
      </c>
      <c r="F360" s="1179">
        <v>0</v>
      </c>
      <c r="G360" s="1189" t="s">
        <v>4486</v>
      </c>
      <c r="H360" s="1176">
        <v>1</v>
      </c>
      <c r="I360" s="1176">
        <v>0</v>
      </c>
      <c r="J360" s="1190">
        <v>0</v>
      </c>
      <c r="K360" s="1180"/>
      <c r="L360" s="1174">
        <v>13015960600</v>
      </c>
      <c r="M360" s="1175">
        <v>1</v>
      </c>
      <c r="N360" s="1175">
        <v>0</v>
      </c>
      <c r="O360" s="1175">
        <v>0</v>
      </c>
      <c r="P360" s="157" t="s">
        <v>4487</v>
      </c>
      <c r="Q360" s="157"/>
      <c r="R360" s="102"/>
      <c r="S360" s="153"/>
      <c r="T360" s="290" t="s">
        <v>3955</v>
      </c>
      <c r="U360" s="290" t="s">
        <v>3583</v>
      </c>
      <c r="W360" s="27" t="s">
        <v>4488</v>
      </c>
      <c r="X360" s="27" t="s">
        <v>3439</v>
      </c>
      <c r="AA360"/>
      <c r="AB360"/>
      <c r="AC360" s="283"/>
      <c r="AD360" s="42"/>
    </row>
    <row r="361" spans="3:30" ht="10.5" customHeight="1">
      <c r="C361" s="1181" t="s">
        <v>4489</v>
      </c>
      <c r="D361" s="1178">
        <v>0</v>
      </c>
      <c r="E361" s="1178">
        <v>0</v>
      </c>
      <c r="F361" s="1179">
        <v>0</v>
      </c>
      <c r="G361" s="1189" t="s">
        <v>4489</v>
      </c>
      <c r="H361" s="1176">
        <v>0</v>
      </c>
      <c r="I361" s="1176">
        <v>0</v>
      </c>
      <c r="J361" s="1190">
        <v>0</v>
      </c>
      <c r="K361" s="1180"/>
      <c r="L361" s="1174">
        <v>13015960700</v>
      </c>
      <c r="M361" s="1175">
        <v>0</v>
      </c>
      <c r="N361" s="1175">
        <v>0</v>
      </c>
      <c r="O361" s="1175">
        <v>0</v>
      </c>
      <c r="P361" s="157" t="s">
        <v>4490</v>
      </c>
      <c r="Q361" s="157"/>
      <c r="R361" s="102"/>
      <c r="S361" s="153"/>
      <c r="T361" s="290" t="s">
        <v>3962</v>
      </c>
      <c r="U361" s="290" t="s">
        <v>98</v>
      </c>
      <c r="W361" s="27" t="s">
        <v>2050</v>
      </c>
      <c r="X361" s="27" t="s">
        <v>3439</v>
      </c>
      <c r="AA361"/>
      <c r="AB361"/>
      <c r="AC361" s="283"/>
      <c r="AD361" s="42"/>
    </row>
    <row r="362" spans="3:30" ht="10.5" customHeight="1">
      <c r="C362" s="1181" t="s">
        <v>4491</v>
      </c>
      <c r="D362" s="1178">
        <v>0</v>
      </c>
      <c r="E362" s="1178">
        <v>0</v>
      </c>
      <c r="F362" s="1179">
        <v>0</v>
      </c>
      <c r="G362" s="1189" t="s">
        <v>4491</v>
      </c>
      <c r="H362" s="1176">
        <v>0</v>
      </c>
      <c r="I362" s="1176">
        <v>0</v>
      </c>
      <c r="J362" s="1190">
        <v>0</v>
      </c>
      <c r="K362" s="1180"/>
      <c r="L362" s="1174">
        <v>13015960801</v>
      </c>
      <c r="M362" s="1175">
        <v>0</v>
      </c>
      <c r="N362" s="1175">
        <v>0</v>
      </c>
      <c r="O362" s="1175">
        <v>0</v>
      </c>
      <c r="P362" s="157" t="s">
        <v>4492</v>
      </c>
      <c r="Q362" s="157"/>
      <c r="R362" s="102"/>
      <c r="S362" s="153"/>
      <c r="T362" s="290" t="s">
        <v>3781</v>
      </c>
      <c r="U362" s="290" t="s">
        <v>4026</v>
      </c>
      <c r="W362" s="27" t="s">
        <v>2051</v>
      </c>
      <c r="X362" s="27" t="s">
        <v>3439</v>
      </c>
      <c r="AA362"/>
      <c r="AB362"/>
      <c r="AC362" s="283"/>
      <c r="AD362" s="42"/>
    </row>
    <row r="363" spans="3:30" ht="10.5" customHeight="1">
      <c r="C363" s="1181" t="s">
        <v>4493</v>
      </c>
      <c r="D363" s="1178">
        <v>0</v>
      </c>
      <c r="E363" s="1178">
        <v>0</v>
      </c>
      <c r="F363" s="1179">
        <v>0</v>
      </c>
      <c r="G363" s="1189" t="s">
        <v>4493</v>
      </c>
      <c r="H363" s="1176">
        <v>0</v>
      </c>
      <c r="I363" s="1176">
        <v>0</v>
      </c>
      <c r="J363" s="1190">
        <v>0</v>
      </c>
      <c r="K363" s="1180"/>
      <c r="L363" s="1174">
        <v>13015960802</v>
      </c>
      <c r="M363" s="1175">
        <v>0</v>
      </c>
      <c r="N363" s="1175">
        <v>0</v>
      </c>
      <c r="O363" s="1175">
        <v>0</v>
      </c>
      <c r="P363" s="157" t="s">
        <v>4494</v>
      </c>
      <c r="Q363" s="157"/>
      <c r="R363" s="102"/>
      <c r="S363" s="153"/>
      <c r="T363" s="290" t="s">
        <v>4495</v>
      </c>
      <c r="U363" s="290" t="s">
        <v>3621</v>
      </c>
      <c r="W363" s="27" t="s">
        <v>2052</v>
      </c>
      <c r="X363" s="27" t="s">
        <v>3439</v>
      </c>
      <c r="AA363"/>
      <c r="AB363"/>
      <c r="AC363" s="283"/>
      <c r="AD363" s="42"/>
    </row>
    <row r="364" spans="3:30" ht="10.5" customHeight="1">
      <c r="C364" s="1181" t="s">
        <v>4496</v>
      </c>
      <c r="D364" s="1178">
        <v>0</v>
      </c>
      <c r="E364" s="1178">
        <v>0</v>
      </c>
      <c r="F364" s="1179">
        <v>0</v>
      </c>
      <c r="G364" s="1189" t="s">
        <v>4496</v>
      </c>
      <c r="H364" s="1176">
        <v>0</v>
      </c>
      <c r="I364" s="1176">
        <v>0</v>
      </c>
      <c r="J364" s="1190">
        <v>0</v>
      </c>
      <c r="K364" s="1180"/>
      <c r="L364" s="1174">
        <v>13015960803</v>
      </c>
      <c r="M364" s="1175">
        <v>0</v>
      </c>
      <c r="N364" s="1175">
        <v>0</v>
      </c>
      <c r="O364" s="1175">
        <v>0</v>
      </c>
      <c r="P364" s="157" t="s">
        <v>4497</v>
      </c>
      <c r="Q364" s="157"/>
      <c r="R364" s="102"/>
      <c r="S364" s="153"/>
      <c r="T364" s="290" t="s">
        <v>4498</v>
      </c>
      <c r="U364" s="290" t="s">
        <v>132</v>
      </c>
      <c r="W364" s="27" t="s">
        <v>4499</v>
      </c>
      <c r="X364" s="27" t="s">
        <v>3439</v>
      </c>
      <c r="AA364"/>
      <c r="AB364"/>
      <c r="AC364" s="283"/>
      <c r="AD364" s="42"/>
    </row>
    <row r="365" spans="3:30" ht="10.5" customHeight="1">
      <c r="C365" s="1181" t="s">
        <v>4500</v>
      </c>
      <c r="D365" s="1178">
        <v>0</v>
      </c>
      <c r="E365" s="1178">
        <v>1</v>
      </c>
      <c r="F365" s="1179">
        <v>1</v>
      </c>
      <c r="G365" s="1189" t="s">
        <v>4500</v>
      </c>
      <c r="H365" s="1176">
        <v>1</v>
      </c>
      <c r="I365" s="1176" t="s">
        <v>4455</v>
      </c>
      <c r="J365" s="1190">
        <v>1</v>
      </c>
      <c r="K365" s="1180"/>
      <c r="L365" s="1174">
        <v>13015960901</v>
      </c>
      <c r="M365" s="1175">
        <v>1</v>
      </c>
      <c r="N365" s="1175">
        <v>1</v>
      </c>
      <c r="O365" s="1175">
        <v>1</v>
      </c>
      <c r="P365" s="157" t="s">
        <v>4501</v>
      </c>
      <c r="Q365" s="157"/>
      <c r="R365" s="102"/>
      <c r="S365" s="153"/>
      <c r="T365" s="290" t="s">
        <v>120</v>
      </c>
      <c r="U365" s="290" t="s">
        <v>121</v>
      </c>
      <c r="W365" s="27" t="s">
        <v>2053</v>
      </c>
      <c r="X365" s="27" t="s">
        <v>3439</v>
      </c>
      <c r="AA365"/>
      <c r="AB365"/>
      <c r="AC365" s="283"/>
      <c r="AD365" s="42"/>
    </row>
    <row r="366" spans="3:30" ht="10.5" customHeight="1">
      <c r="C366" s="1181" t="s">
        <v>4502</v>
      </c>
      <c r="D366" s="1178">
        <v>1</v>
      </c>
      <c r="E366" s="1178">
        <v>1</v>
      </c>
      <c r="F366" s="1179">
        <v>2</v>
      </c>
      <c r="G366" s="1189" t="s">
        <v>4502</v>
      </c>
      <c r="H366" s="1176">
        <v>0</v>
      </c>
      <c r="I366" s="1176">
        <v>1</v>
      </c>
      <c r="J366" s="1190">
        <v>1</v>
      </c>
      <c r="K366" s="1180"/>
      <c r="L366" s="1174">
        <v>13015960902</v>
      </c>
      <c r="M366" s="1175">
        <v>1</v>
      </c>
      <c r="N366" s="1175">
        <v>1</v>
      </c>
      <c r="O366" s="1175">
        <v>2</v>
      </c>
      <c r="P366" s="157" t="s">
        <v>4503</v>
      </c>
      <c r="Q366" s="157"/>
      <c r="R366" s="102"/>
      <c r="S366" s="153"/>
      <c r="T366" s="290" t="s">
        <v>3975</v>
      </c>
      <c r="U366" s="290" t="s">
        <v>3937</v>
      </c>
      <c r="W366" s="27" t="s">
        <v>4504</v>
      </c>
      <c r="X366" s="27" t="s">
        <v>3439</v>
      </c>
      <c r="AA366"/>
      <c r="AB366"/>
      <c r="AC366" s="283"/>
      <c r="AD366" s="42"/>
    </row>
    <row r="367" spans="3:30" ht="10.5" customHeight="1">
      <c r="C367" s="1181" t="s">
        <v>4505</v>
      </c>
      <c r="D367" s="1178">
        <v>1</v>
      </c>
      <c r="E367" s="1178">
        <v>1</v>
      </c>
      <c r="F367" s="1179">
        <v>2</v>
      </c>
      <c r="G367" s="1189" t="s">
        <v>4505</v>
      </c>
      <c r="H367" s="1176">
        <v>1</v>
      </c>
      <c r="I367" s="1176">
        <v>0</v>
      </c>
      <c r="J367" s="1190">
        <v>1</v>
      </c>
      <c r="K367" s="1180"/>
      <c r="L367" s="1174">
        <v>13015961000</v>
      </c>
      <c r="M367" s="1175">
        <v>1</v>
      </c>
      <c r="N367" s="1175">
        <v>1</v>
      </c>
      <c r="O367" s="1175">
        <v>2</v>
      </c>
      <c r="P367" s="157" t="s">
        <v>4506</v>
      </c>
      <c r="Q367" s="157"/>
      <c r="R367" s="102"/>
      <c r="S367" s="153"/>
      <c r="T367" s="290" t="s">
        <v>3785</v>
      </c>
      <c r="U367" s="290" t="s">
        <v>3874</v>
      </c>
      <c r="W367" s="27" t="s">
        <v>4507</v>
      </c>
      <c r="X367" s="27" t="s">
        <v>3439</v>
      </c>
      <c r="AA367"/>
      <c r="AB367"/>
      <c r="AC367" s="283"/>
      <c r="AD367" s="42"/>
    </row>
    <row r="368" spans="3:30" ht="10.5" customHeight="1">
      <c r="C368" s="1181" t="s">
        <v>4508</v>
      </c>
      <c r="D368" s="1178">
        <v>0</v>
      </c>
      <c r="E368" s="1178">
        <v>0</v>
      </c>
      <c r="F368" s="1179">
        <v>0</v>
      </c>
      <c r="G368" s="1189" t="s">
        <v>4508</v>
      </c>
      <c r="H368" s="1176">
        <v>0</v>
      </c>
      <c r="I368" s="1176">
        <v>0</v>
      </c>
      <c r="J368" s="1190">
        <v>0</v>
      </c>
      <c r="K368" s="1180"/>
      <c r="L368" s="1174">
        <v>13017960100</v>
      </c>
      <c r="M368" s="1175">
        <v>0</v>
      </c>
      <c r="N368" s="1175">
        <v>0</v>
      </c>
      <c r="O368" s="1175">
        <v>0</v>
      </c>
      <c r="P368" s="157" t="s">
        <v>4509</v>
      </c>
      <c r="Q368" s="157"/>
      <c r="R368" s="102"/>
      <c r="S368" s="153"/>
      <c r="T368" s="290" t="s">
        <v>3985</v>
      </c>
      <c r="U368" s="290" t="s">
        <v>3785</v>
      </c>
      <c r="W368" s="27" t="s">
        <v>4510</v>
      </c>
      <c r="X368" s="27" t="s">
        <v>3439</v>
      </c>
      <c r="AA368"/>
      <c r="AB368"/>
      <c r="AC368" s="283"/>
      <c r="AD368" s="42"/>
    </row>
    <row r="369" spans="3:30" ht="10.5" customHeight="1">
      <c r="C369" s="1181" t="s">
        <v>4511</v>
      </c>
      <c r="D369" s="1178">
        <v>0</v>
      </c>
      <c r="E369" s="1178">
        <v>0</v>
      </c>
      <c r="F369" s="1179">
        <v>0</v>
      </c>
      <c r="G369" s="1189" t="s">
        <v>4511</v>
      </c>
      <c r="H369" s="1176">
        <v>0</v>
      </c>
      <c r="I369" s="1176">
        <v>0</v>
      </c>
      <c r="J369" s="1190">
        <v>0</v>
      </c>
      <c r="K369" s="1180"/>
      <c r="L369" s="1174">
        <v>13017960200</v>
      </c>
      <c r="M369" s="1175">
        <v>0</v>
      </c>
      <c r="N369" s="1175">
        <v>0</v>
      </c>
      <c r="O369" s="1175">
        <v>0</v>
      </c>
      <c r="P369" s="157" t="s">
        <v>4512</v>
      </c>
      <c r="Q369" s="157"/>
      <c r="R369" s="102"/>
      <c r="S369" s="153"/>
      <c r="T369" s="290" t="s">
        <v>4513</v>
      </c>
      <c r="U369" s="290" t="s">
        <v>3647</v>
      </c>
      <c r="W369" s="27" t="s">
        <v>2054</v>
      </c>
      <c r="X369" s="27" t="s">
        <v>3439</v>
      </c>
      <c r="AA369"/>
      <c r="AB369"/>
      <c r="AC369" s="283"/>
      <c r="AD369" s="42"/>
    </row>
    <row r="370" spans="3:30" ht="10.5" customHeight="1">
      <c r="C370" s="1181" t="s">
        <v>4514</v>
      </c>
      <c r="D370" s="1178">
        <v>0</v>
      </c>
      <c r="E370" s="1178">
        <v>0</v>
      </c>
      <c r="F370" s="1179">
        <v>0</v>
      </c>
      <c r="G370" s="1189" t="s">
        <v>4514</v>
      </c>
      <c r="H370" s="1176">
        <v>0</v>
      </c>
      <c r="I370" s="1176">
        <v>0</v>
      </c>
      <c r="J370" s="1190">
        <v>0</v>
      </c>
      <c r="K370" s="1180"/>
      <c r="L370" s="1174">
        <v>13017960300</v>
      </c>
      <c r="M370" s="1175">
        <v>0</v>
      </c>
      <c r="N370" s="1175">
        <v>0</v>
      </c>
      <c r="O370" s="1175">
        <v>0</v>
      </c>
      <c r="P370" s="157" t="s">
        <v>4515</v>
      </c>
      <c r="Q370" s="157"/>
      <c r="R370" s="102"/>
      <c r="S370" s="153"/>
      <c r="T370" s="290" t="s">
        <v>3670</v>
      </c>
      <c r="U370" s="290" t="s">
        <v>3842</v>
      </c>
      <c r="W370" s="27" t="s">
        <v>4516</v>
      </c>
      <c r="X370" s="27" t="s">
        <v>3439</v>
      </c>
      <c r="AA370"/>
      <c r="AB370"/>
      <c r="AC370" s="283"/>
      <c r="AD370" s="42"/>
    </row>
    <row r="371" spans="3:30" ht="10.5" customHeight="1">
      <c r="C371" s="1181" t="s">
        <v>4517</v>
      </c>
      <c r="D371" s="1178">
        <v>0</v>
      </c>
      <c r="E371" s="1178">
        <v>0</v>
      </c>
      <c r="F371" s="1179">
        <v>0</v>
      </c>
      <c r="G371" s="1189" t="s">
        <v>4517</v>
      </c>
      <c r="H371" s="1176">
        <v>0</v>
      </c>
      <c r="I371" s="1176">
        <v>0</v>
      </c>
      <c r="J371" s="1190">
        <v>0</v>
      </c>
      <c r="K371" s="1180"/>
      <c r="L371" s="1174">
        <v>13017960400</v>
      </c>
      <c r="M371" s="1175">
        <v>0</v>
      </c>
      <c r="N371" s="1175">
        <v>0</v>
      </c>
      <c r="O371" s="1175">
        <v>0</v>
      </c>
      <c r="P371" s="157" t="s">
        <v>4518</v>
      </c>
      <c r="Q371" s="157"/>
      <c r="R371" s="102"/>
      <c r="S371" s="153"/>
      <c r="T371" s="290" t="s">
        <v>4519</v>
      </c>
      <c r="U371" s="290" t="s">
        <v>135</v>
      </c>
      <c r="W371" s="27" t="s">
        <v>4520</v>
      </c>
      <c r="X371" s="27" t="s">
        <v>3439</v>
      </c>
      <c r="AA371"/>
      <c r="AB371"/>
      <c r="AC371" s="283"/>
      <c r="AD371" s="42"/>
    </row>
    <row r="372" spans="3:30" ht="10.5" customHeight="1">
      <c r="C372" s="1181" t="s">
        <v>4521</v>
      </c>
      <c r="D372" s="1178">
        <v>0</v>
      </c>
      <c r="E372" s="1178">
        <v>0</v>
      </c>
      <c r="F372" s="1179">
        <v>0</v>
      </c>
      <c r="G372" s="1189" t="s">
        <v>4521</v>
      </c>
      <c r="H372" s="1176">
        <v>0</v>
      </c>
      <c r="I372" s="1176">
        <v>1</v>
      </c>
      <c r="J372" s="1190">
        <v>1</v>
      </c>
      <c r="K372" s="1180"/>
      <c r="L372" s="1174">
        <v>13017960500</v>
      </c>
      <c r="M372" s="1175">
        <v>0</v>
      </c>
      <c r="N372" s="1175">
        <v>1</v>
      </c>
      <c r="O372" s="1175">
        <v>1</v>
      </c>
      <c r="P372" s="157" t="s">
        <v>4522</v>
      </c>
      <c r="Q372" s="157"/>
      <c r="R372" s="102"/>
      <c r="S372" s="153"/>
      <c r="T372" s="290" t="s">
        <v>4523</v>
      </c>
      <c r="U372" s="290" t="s">
        <v>3753</v>
      </c>
      <c r="W372" s="27" t="s">
        <v>4524</v>
      </c>
      <c r="X372" s="27" t="s">
        <v>3439</v>
      </c>
      <c r="AA372"/>
      <c r="AB372"/>
      <c r="AC372" s="283"/>
      <c r="AD372" s="42"/>
    </row>
    <row r="373" spans="3:30" ht="10.5" customHeight="1">
      <c r="C373" s="1181" t="s">
        <v>4525</v>
      </c>
      <c r="D373" s="1178">
        <v>0</v>
      </c>
      <c r="E373" s="1178">
        <v>0</v>
      </c>
      <c r="F373" s="1179">
        <v>0</v>
      </c>
      <c r="G373" s="1189" t="s">
        <v>4525</v>
      </c>
      <c r="H373" s="1176">
        <v>0</v>
      </c>
      <c r="I373" s="1176" t="s">
        <v>4455</v>
      </c>
      <c r="J373" s="1190">
        <v>0</v>
      </c>
      <c r="K373" s="1180"/>
      <c r="L373" s="1174">
        <v>13019970100</v>
      </c>
      <c r="M373" s="1175">
        <v>0</v>
      </c>
      <c r="N373" s="1175">
        <v>0</v>
      </c>
      <c r="O373" s="1175">
        <v>0</v>
      </c>
      <c r="P373" s="157" t="s">
        <v>4526</v>
      </c>
      <c r="Q373" s="157"/>
      <c r="R373" s="102"/>
      <c r="S373" s="153"/>
      <c r="T373" s="290" t="s">
        <v>4527</v>
      </c>
      <c r="U373" s="290" t="s">
        <v>4012</v>
      </c>
      <c r="W373" s="27" t="s">
        <v>4528</v>
      </c>
      <c r="X373" s="27" t="s">
        <v>3439</v>
      </c>
      <c r="AA373"/>
      <c r="AB373"/>
      <c r="AC373" s="283"/>
      <c r="AD373" s="42"/>
    </row>
    <row r="374" spans="3:30" ht="10.5" customHeight="1">
      <c r="C374" s="1181" t="s">
        <v>4529</v>
      </c>
      <c r="D374" s="1178">
        <v>0</v>
      </c>
      <c r="E374" s="1178">
        <v>0</v>
      </c>
      <c r="F374" s="1179">
        <v>0</v>
      </c>
      <c r="G374" s="1189" t="s">
        <v>4529</v>
      </c>
      <c r="H374" s="1176">
        <v>0</v>
      </c>
      <c r="I374" s="1176">
        <v>0</v>
      </c>
      <c r="J374" s="1190">
        <v>0</v>
      </c>
      <c r="K374" s="1180"/>
      <c r="L374" s="1174">
        <v>13019970200</v>
      </c>
      <c r="M374" s="1175">
        <v>0</v>
      </c>
      <c r="N374" s="1175">
        <v>0</v>
      </c>
      <c r="O374" s="1175">
        <v>0</v>
      </c>
      <c r="P374" s="157" t="s">
        <v>4530</v>
      </c>
      <c r="Q374" s="157"/>
      <c r="R374" s="102"/>
      <c r="S374" s="153"/>
      <c r="T374" s="153" t="s">
        <v>4531</v>
      </c>
      <c r="U374" s="153" t="s">
        <v>4165</v>
      </c>
      <c r="AA374"/>
      <c r="AB374"/>
      <c r="AC374" s="42"/>
      <c r="AD374" s="42"/>
    </row>
    <row r="375" spans="3:30" ht="10.5" customHeight="1">
      <c r="C375" s="1181" t="s">
        <v>4532</v>
      </c>
      <c r="D375" s="1178">
        <v>0</v>
      </c>
      <c r="E375" s="1178">
        <v>0</v>
      </c>
      <c r="F375" s="1179">
        <v>0</v>
      </c>
      <c r="G375" s="1189" t="s">
        <v>4532</v>
      </c>
      <c r="H375" s="1176">
        <v>0</v>
      </c>
      <c r="I375" s="1176">
        <v>0</v>
      </c>
      <c r="J375" s="1190">
        <v>0</v>
      </c>
      <c r="K375" s="1180"/>
      <c r="L375" s="1174">
        <v>13019970300</v>
      </c>
      <c r="M375" s="1175">
        <v>0</v>
      </c>
      <c r="N375" s="1175">
        <v>0</v>
      </c>
      <c r="O375" s="1175">
        <v>0</v>
      </c>
      <c r="P375" s="157" t="s">
        <v>4533</v>
      </c>
      <c r="Q375" s="157"/>
      <c r="R375" s="102"/>
      <c r="S375" s="153"/>
      <c r="T375" s="290" t="s">
        <v>122</v>
      </c>
      <c r="U375" s="290" t="s">
        <v>123</v>
      </c>
      <c r="AA375"/>
      <c r="AB375"/>
      <c r="AC375" s="283"/>
      <c r="AD375" s="42"/>
    </row>
    <row r="376" spans="3:30" ht="10.5" customHeight="1">
      <c r="C376" s="1181" t="s">
        <v>4534</v>
      </c>
      <c r="D376" s="1178">
        <v>0</v>
      </c>
      <c r="E376" s="1178">
        <v>0</v>
      </c>
      <c r="F376" s="1179">
        <v>0</v>
      </c>
      <c r="G376" s="1189" t="s">
        <v>4534</v>
      </c>
      <c r="H376" s="1176">
        <v>0</v>
      </c>
      <c r="I376" s="1176">
        <v>0</v>
      </c>
      <c r="J376" s="1190">
        <v>0</v>
      </c>
      <c r="K376" s="1180"/>
      <c r="L376" s="1174">
        <v>13019970400</v>
      </c>
      <c r="M376" s="1175">
        <v>0</v>
      </c>
      <c r="N376" s="1175">
        <v>0</v>
      </c>
      <c r="O376" s="1175">
        <v>0</v>
      </c>
      <c r="P376" s="157" t="s">
        <v>4535</v>
      </c>
      <c r="Q376" s="157"/>
      <c r="R376" s="102"/>
      <c r="S376" s="153"/>
      <c r="T376" s="290" t="s">
        <v>4536</v>
      </c>
      <c r="U376" s="290" t="s">
        <v>3802</v>
      </c>
      <c r="AA376"/>
      <c r="AB376"/>
      <c r="AC376" s="283"/>
      <c r="AD376" s="42"/>
    </row>
    <row r="377" spans="3:30" ht="10.5" customHeight="1">
      <c r="C377" s="1181" t="s">
        <v>4537</v>
      </c>
      <c r="D377" s="1178">
        <v>0</v>
      </c>
      <c r="E377" s="1178">
        <v>0</v>
      </c>
      <c r="F377" s="1179">
        <v>0</v>
      </c>
      <c r="G377" s="1189" t="s">
        <v>4537</v>
      </c>
      <c r="H377" s="1176">
        <v>0</v>
      </c>
      <c r="I377" s="1176">
        <v>1</v>
      </c>
      <c r="J377" s="1190">
        <v>1</v>
      </c>
      <c r="K377" s="1180"/>
      <c r="L377" s="1174">
        <v>13019970500</v>
      </c>
      <c r="M377" s="1175">
        <v>0</v>
      </c>
      <c r="N377" s="1175">
        <v>1</v>
      </c>
      <c r="O377" s="1175">
        <v>1</v>
      </c>
      <c r="P377" s="157" t="s">
        <v>4538</v>
      </c>
      <c r="Q377" s="157"/>
      <c r="R377" s="102"/>
      <c r="S377" s="153"/>
      <c r="T377" s="290" t="s">
        <v>4539</v>
      </c>
      <c r="U377" s="290" t="s">
        <v>3842</v>
      </c>
      <c r="AA377"/>
      <c r="AB377"/>
      <c r="AC377" s="283"/>
      <c r="AD377" s="42"/>
    </row>
    <row r="378" spans="3:30" ht="10.5" customHeight="1">
      <c r="C378" s="1181" t="s">
        <v>4540</v>
      </c>
      <c r="D378" s="1178">
        <v>0</v>
      </c>
      <c r="E378" s="1178">
        <v>0</v>
      </c>
      <c r="F378" s="1179">
        <v>0</v>
      </c>
      <c r="G378" s="1189" t="s">
        <v>4540</v>
      </c>
      <c r="H378" s="1176">
        <v>0</v>
      </c>
      <c r="I378" s="1176">
        <v>0</v>
      </c>
      <c r="J378" s="1190">
        <v>0</v>
      </c>
      <c r="K378" s="1180"/>
      <c r="L378" s="1174">
        <v>13019970600</v>
      </c>
      <c r="M378" s="1175">
        <v>0</v>
      </c>
      <c r="N378" s="1175">
        <v>0</v>
      </c>
      <c r="O378" s="1175">
        <v>0</v>
      </c>
      <c r="P378" s="157" t="s">
        <v>4541</v>
      </c>
      <c r="Q378" s="157"/>
      <c r="R378" s="102"/>
      <c r="S378" s="153"/>
      <c r="T378" s="153" t="s">
        <v>4542</v>
      </c>
      <c r="U378" s="153" t="s">
        <v>3538</v>
      </c>
      <c r="AA378"/>
      <c r="AB378"/>
      <c r="AC378" s="42"/>
      <c r="AD378" s="42"/>
    </row>
    <row r="379" spans="3:30" ht="10.5" customHeight="1">
      <c r="C379" s="1181" t="s">
        <v>4543</v>
      </c>
      <c r="D379" s="1178">
        <v>0</v>
      </c>
      <c r="E379" s="1178">
        <v>0</v>
      </c>
      <c r="F379" s="1179">
        <v>0</v>
      </c>
      <c r="G379" s="1189" t="s">
        <v>4543</v>
      </c>
      <c r="H379" s="1176">
        <v>0</v>
      </c>
      <c r="I379" s="1176">
        <v>0</v>
      </c>
      <c r="J379" s="1190">
        <v>0</v>
      </c>
      <c r="K379" s="1180"/>
      <c r="L379" s="1174">
        <v>13021010100</v>
      </c>
      <c r="M379" s="1175">
        <v>0</v>
      </c>
      <c r="N379" s="1175">
        <v>0</v>
      </c>
      <c r="O379" s="1175">
        <v>0</v>
      </c>
      <c r="P379" s="157" t="s">
        <v>4544</v>
      </c>
      <c r="Q379" s="157"/>
      <c r="R379" s="102"/>
      <c r="S379" s="153"/>
      <c r="T379" s="290" t="s">
        <v>4005</v>
      </c>
      <c r="U379" s="290" t="s">
        <v>4124</v>
      </c>
      <c r="AA379"/>
      <c r="AB379"/>
      <c r="AC379" s="283"/>
      <c r="AD379" s="42"/>
    </row>
    <row r="380" spans="3:30" ht="10.5" customHeight="1">
      <c r="C380" s="1181" t="s">
        <v>4545</v>
      </c>
      <c r="D380" s="1178">
        <v>0</v>
      </c>
      <c r="E380" s="1178">
        <v>0</v>
      </c>
      <c r="F380" s="1179">
        <v>0</v>
      </c>
      <c r="G380" s="1189" t="s">
        <v>4545</v>
      </c>
      <c r="H380" s="1176">
        <v>0</v>
      </c>
      <c r="I380" s="1176">
        <v>1</v>
      </c>
      <c r="J380" s="1190">
        <v>1</v>
      </c>
      <c r="K380" s="1180"/>
      <c r="L380" s="1174">
        <v>13021010200</v>
      </c>
      <c r="M380" s="1175">
        <v>0</v>
      </c>
      <c r="N380" s="1175">
        <v>1</v>
      </c>
      <c r="O380" s="1175">
        <v>1</v>
      </c>
      <c r="P380" s="157" t="s">
        <v>4546</v>
      </c>
      <c r="Q380" s="157"/>
      <c r="R380" s="102"/>
      <c r="S380" s="153"/>
      <c r="T380" s="290" t="s">
        <v>4547</v>
      </c>
      <c r="U380" s="290" t="s">
        <v>3484</v>
      </c>
      <c r="AA380"/>
      <c r="AB380"/>
      <c r="AC380" s="283"/>
      <c r="AD380" s="42"/>
    </row>
    <row r="381" spans="3:30" ht="10.5" customHeight="1">
      <c r="C381" s="1181" t="s">
        <v>4548</v>
      </c>
      <c r="D381" s="1178">
        <v>0</v>
      </c>
      <c r="E381" s="1178">
        <v>0</v>
      </c>
      <c r="F381" s="1179">
        <v>0</v>
      </c>
      <c r="G381" s="1189" t="s">
        <v>4548</v>
      </c>
      <c r="H381" s="1176">
        <v>0</v>
      </c>
      <c r="I381" s="1176" t="s">
        <v>4455</v>
      </c>
      <c r="J381" s="1190">
        <v>0</v>
      </c>
      <c r="K381" s="1180"/>
      <c r="L381" s="1174">
        <v>13021010300</v>
      </c>
      <c r="M381" s="1175">
        <v>0</v>
      </c>
      <c r="N381" s="1175">
        <v>0</v>
      </c>
      <c r="O381" s="1175">
        <v>0</v>
      </c>
      <c r="P381" s="157" t="s">
        <v>4549</v>
      </c>
      <c r="Q381" s="157"/>
      <c r="R381" s="102"/>
      <c r="S381" s="153"/>
      <c r="T381" s="290" t="s">
        <v>4550</v>
      </c>
      <c r="U381" s="290" t="s">
        <v>3743</v>
      </c>
      <c r="AA381"/>
      <c r="AB381"/>
      <c r="AC381" s="283"/>
      <c r="AD381" s="42"/>
    </row>
    <row r="382" spans="3:30" ht="10.5" customHeight="1">
      <c r="C382" s="1181" t="s">
        <v>4551</v>
      </c>
      <c r="D382" s="1178">
        <v>0</v>
      </c>
      <c r="E382" s="1178">
        <v>0</v>
      </c>
      <c r="F382" s="1179">
        <v>0</v>
      </c>
      <c r="G382" s="1189" t="s">
        <v>4551</v>
      </c>
      <c r="H382" s="1176">
        <v>0</v>
      </c>
      <c r="I382" s="1176">
        <v>0</v>
      </c>
      <c r="J382" s="1190">
        <v>0</v>
      </c>
      <c r="K382" s="1180"/>
      <c r="L382" s="1174">
        <v>13021010400</v>
      </c>
      <c r="M382" s="1175">
        <v>0</v>
      </c>
      <c r="N382" s="1175">
        <v>0</v>
      </c>
      <c r="O382" s="1175">
        <v>0</v>
      </c>
      <c r="P382" s="157" t="s">
        <v>4552</v>
      </c>
      <c r="Q382" s="157"/>
      <c r="R382" s="102"/>
      <c r="S382" s="153"/>
      <c r="T382" s="290" t="s">
        <v>3813</v>
      </c>
      <c r="U382" s="290" t="s">
        <v>3520</v>
      </c>
      <c r="AA382"/>
      <c r="AB382"/>
      <c r="AC382" s="283"/>
      <c r="AD382" s="42"/>
    </row>
    <row r="383" spans="3:30" ht="10.5" customHeight="1">
      <c r="C383" s="1181" t="s">
        <v>4553</v>
      </c>
      <c r="D383" s="1178">
        <v>0</v>
      </c>
      <c r="E383" s="1178">
        <v>0</v>
      </c>
      <c r="F383" s="1179">
        <v>0</v>
      </c>
      <c r="G383" s="1189" t="s">
        <v>4553</v>
      </c>
      <c r="H383" s="1176">
        <v>0</v>
      </c>
      <c r="I383" s="1176">
        <v>0</v>
      </c>
      <c r="J383" s="1190">
        <v>0</v>
      </c>
      <c r="K383" s="1180"/>
      <c r="L383" s="1174">
        <v>13021010500</v>
      </c>
      <c r="M383" s="1175">
        <v>0</v>
      </c>
      <c r="N383" s="1175">
        <v>0</v>
      </c>
      <c r="O383" s="1175">
        <v>0</v>
      </c>
      <c r="P383" s="157" t="s">
        <v>4554</v>
      </c>
      <c r="Q383" s="157"/>
      <c r="R383" s="102"/>
      <c r="S383" s="153"/>
      <c r="T383" s="290" t="s">
        <v>4555</v>
      </c>
      <c r="U383" s="290" t="s">
        <v>3429</v>
      </c>
      <c r="AA383"/>
      <c r="AB383"/>
      <c r="AC383" s="283"/>
      <c r="AD383" s="42"/>
    </row>
    <row r="384" spans="3:30" ht="10.5" customHeight="1">
      <c r="C384" s="1181" t="s">
        <v>4556</v>
      </c>
      <c r="D384" s="1178">
        <v>1</v>
      </c>
      <c r="E384" s="1178">
        <v>1</v>
      </c>
      <c r="F384" s="1179">
        <v>2</v>
      </c>
      <c r="G384" s="1189" t="s">
        <v>4556</v>
      </c>
      <c r="H384" s="1176">
        <v>0</v>
      </c>
      <c r="I384" s="1176" t="s">
        <v>4455</v>
      </c>
      <c r="J384" s="1190">
        <v>0</v>
      </c>
      <c r="K384" s="1180"/>
      <c r="L384" s="1174">
        <v>13021010800</v>
      </c>
      <c r="M384" s="1175">
        <v>1</v>
      </c>
      <c r="N384" s="1175">
        <v>1</v>
      </c>
      <c r="O384" s="1175">
        <v>2</v>
      </c>
      <c r="P384" s="157" t="s">
        <v>4557</v>
      </c>
      <c r="Q384" s="157"/>
      <c r="R384" s="102"/>
      <c r="S384" s="153"/>
      <c r="T384" s="153" t="s">
        <v>4558</v>
      </c>
      <c r="U384" s="153" t="s">
        <v>113</v>
      </c>
      <c r="AA384"/>
      <c r="AB384"/>
      <c r="AC384" s="42"/>
      <c r="AD384" s="42"/>
    </row>
    <row r="385" spans="3:30" ht="10.5" customHeight="1">
      <c r="C385" s="1181" t="s">
        <v>4559</v>
      </c>
      <c r="D385" s="1178">
        <v>0</v>
      </c>
      <c r="E385" s="1178">
        <v>0</v>
      </c>
      <c r="F385" s="1179">
        <v>0</v>
      </c>
      <c r="G385" s="1189" t="s">
        <v>4559</v>
      </c>
      <c r="H385" s="1176">
        <v>0</v>
      </c>
      <c r="I385" s="1176">
        <v>0</v>
      </c>
      <c r="J385" s="1190">
        <v>0</v>
      </c>
      <c r="K385" s="1180"/>
      <c r="L385" s="1174">
        <v>13021011000</v>
      </c>
      <c r="M385" s="1175">
        <v>0</v>
      </c>
      <c r="N385" s="1175">
        <v>0</v>
      </c>
      <c r="O385" s="1175">
        <v>0</v>
      </c>
      <c r="P385" s="157" t="s">
        <v>4560</v>
      </c>
      <c r="Q385" s="157"/>
      <c r="R385" s="102"/>
      <c r="S385" s="153"/>
      <c r="T385" s="290" t="s">
        <v>4016</v>
      </c>
      <c r="U385" s="290" t="s">
        <v>3929</v>
      </c>
      <c r="AA385"/>
      <c r="AB385"/>
      <c r="AC385" s="283"/>
      <c r="AD385" s="42"/>
    </row>
    <row r="386" spans="3:30" ht="10.5" customHeight="1">
      <c r="C386" s="1181" t="s">
        <v>4561</v>
      </c>
      <c r="D386" s="1178">
        <v>0</v>
      </c>
      <c r="E386" s="1178">
        <v>0</v>
      </c>
      <c r="F386" s="1179">
        <v>0</v>
      </c>
      <c r="G386" s="1189" t="s">
        <v>4561</v>
      </c>
      <c r="H386" s="1176">
        <v>0</v>
      </c>
      <c r="I386" s="1176">
        <v>0</v>
      </c>
      <c r="J386" s="1190">
        <v>0</v>
      </c>
      <c r="K386" s="1180"/>
      <c r="L386" s="1174">
        <v>13021011100</v>
      </c>
      <c r="M386" s="1175">
        <v>0</v>
      </c>
      <c r="N386" s="1175">
        <v>0</v>
      </c>
      <c r="O386" s="1175">
        <v>0</v>
      </c>
      <c r="P386" s="157" t="s">
        <v>4562</v>
      </c>
      <c r="Q386" s="157"/>
      <c r="R386" s="102"/>
      <c r="S386" s="153"/>
      <c r="T386" s="290" t="s">
        <v>4563</v>
      </c>
      <c r="U386" s="290" t="s">
        <v>3725</v>
      </c>
      <c r="AA386"/>
      <c r="AB386"/>
      <c r="AC386" s="283"/>
      <c r="AD386" s="42"/>
    </row>
    <row r="387" spans="3:30" ht="10.5" customHeight="1">
      <c r="C387" s="1181" t="s">
        <v>4564</v>
      </c>
      <c r="D387" s="1178">
        <v>0</v>
      </c>
      <c r="E387" s="1178">
        <v>0</v>
      </c>
      <c r="F387" s="1179">
        <v>0</v>
      </c>
      <c r="G387" s="1189" t="s">
        <v>4564</v>
      </c>
      <c r="H387" s="1176">
        <v>0</v>
      </c>
      <c r="I387" s="1176">
        <v>0</v>
      </c>
      <c r="J387" s="1190">
        <v>0</v>
      </c>
      <c r="K387" s="1180"/>
      <c r="L387" s="1174">
        <v>13021011500</v>
      </c>
      <c r="M387" s="1175">
        <v>0</v>
      </c>
      <c r="N387" s="1175">
        <v>0</v>
      </c>
      <c r="O387" s="1175">
        <v>0</v>
      </c>
      <c r="P387" s="157" t="s">
        <v>4565</v>
      </c>
      <c r="Q387" s="157"/>
      <c r="R387" s="102"/>
      <c r="S387" s="153"/>
      <c r="T387" s="290" t="s">
        <v>2018</v>
      </c>
      <c r="U387" s="290" t="s">
        <v>3827</v>
      </c>
      <c r="AA387"/>
      <c r="AB387"/>
      <c r="AC387" s="283"/>
      <c r="AD387" s="42"/>
    </row>
    <row r="388" spans="3:30" ht="10.5" customHeight="1">
      <c r="C388" s="1181" t="s">
        <v>4566</v>
      </c>
      <c r="D388" s="1178">
        <v>0</v>
      </c>
      <c r="E388" s="1178">
        <v>0</v>
      </c>
      <c r="F388" s="1179">
        <v>0</v>
      </c>
      <c r="G388" s="1189" t="s">
        <v>4566</v>
      </c>
      <c r="H388" s="1176">
        <v>0</v>
      </c>
      <c r="I388" s="1176">
        <v>1</v>
      </c>
      <c r="J388" s="1190">
        <v>1</v>
      </c>
      <c r="K388" s="1180"/>
      <c r="L388" s="1174">
        <v>13021011701</v>
      </c>
      <c r="M388" s="1175">
        <v>0</v>
      </c>
      <c r="N388" s="1175">
        <v>1</v>
      </c>
      <c r="O388" s="1175">
        <v>1</v>
      </c>
      <c r="P388" s="157" t="s">
        <v>4567</v>
      </c>
      <c r="Q388" s="157"/>
      <c r="R388" s="102"/>
      <c r="S388" s="153"/>
      <c r="T388" s="290" t="s">
        <v>4025</v>
      </c>
      <c r="U388" s="290" t="s">
        <v>4012</v>
      </c>
      <c r="AA388"/>
      <c r="AB388"/>
      <c r="AC388" s="283"/>
      <c r="AD388" s="42"/>
    </row>
    <row r="389" spans="3:30" ht="10.5" customHeight="1">
      <c r="C389" s="1181" t="s">
        <v>4568</v>
      </c>
      <c r="D389" s="1178">
        <v>0</v>
      </c>
      <c r="E389" s="1178">
        <v>0</v>
      </c>
      <c r="F389" s="1179">
        <v>0</v>
      </c>
      <c r="G389" s="1189" t="s">
        <v>4568</v>
      </c>
      <c r="H389" s="1176">
        <v>0</v>
      </c>
      <c r="I389" s="1176">
        <v>0</v>
      </c>
      <c r="J389" s="1190">
        <v>0</v>
      </c>
      <c r="K389" s="1180"/>
      <c r="L389" s="1174">
        <v>13021011702</v>
      </c>
      <c r="M389" s="1175">
        <v>0</v>
      </c>
      <c r="N389" s="1175">
        <v>0</v>
      </c>
      <c r="O389" s="1175">
        <v>0</v>
      </c>
      <c r="P389" s="157" t="s">
        <v>4569</v>
      </c>
      <c r="Q389" s="157"/>
      <c r="R389" s="102"/>
      <c r="S389" s="153"/>
      <c r="T389" s="290" t="s">
        <v>124</v>
      </c>
      <c r="U389" s="290" t="s">
        <v>93</v>
      </c>
      <c r="AA389"/>
      <c r="AB389"/>
      <c r="AC389" s="283"/>
      <c r="AD389" s="42"/>
    </row>
    <row r="390" spans="3:30" ht="10.5" customHeight="1">
      <c r="C390" s="1181" t="s">
        <v>4570</v>
      </c>
      <c r="D390" s="1178">
        <v>1</v>
      </c>
      <c r="E390" s="1178">
        <v>0</v>
      </c>
      <c r="F390" s="1179">
        <v>1</v>
      </c>
      <c r="G390" s="1189" t="s">
        <v>4570</v>
      </c>
      <c r="H390" s="1176">
        <v>1</v>
      </c>
      <c r="I390" s="1176">
        <v>1</v>
      </c>
      <c r="J390" s="1190">
        <v>2</v>
      </c>
      <c r="K390" s="1180"/>
      <c r="L390" s="1174">
        <v>13021011800</v>
      </c>
      <c r="M390" s="1175">
        <v>1</v>
      </c>
      <c r="N390" s="1175">
        <v>1</v>
      </c>
      <c r="O390" s="1175">
        <v>2</v>
      </c>
      <c r="P390" s="157" t="s">
        <v>4571</v>
      </c>
      <c r="Q390" s="157"/>
      <c r="R390" s="102"/>
      <c r="S390" s="153"/>
      <c r="T390" s="290" t="s">
        <v>2020</v>
      </c>
      <c r="U390" s="290" t="s">
        <v>111</v>
      </c>
      <c r="AA390"/>
      <c r="AB390"/>
      <c r="AC390" s="283"/>
      <c r="AD390" s="42"/>
    </row>
    <row r="391" spans="3:30" ht="10.5" customHeight="1">
      <c r="C391" s="1181" t="s">
        <v>4572</v>
      </c>
      <c r="D391" s="1178">
        <v>0</v>
      </c>
      <c r="E391" s="1178">
        <v>0</v>
      </c>
      <c r="F391" s="1179">
        <v>0</v>
      </c>
      <c r="G391" s="1189" t="s">
        <v>4572</v>
      </c>
      <c r="H391" s="1176">
        <v>0</v>
      </c>
      <c r="I391" s="1176">
        <v>0</v>
      </c>
      <c r="J391" s="1190">
        <v>0</v>
      </c>
      <c r="K391" s="1180"/>
      <c r="L391" s="1174">
        <v>13021011900</v>
      </c>
      <c r="M391" s="1175">
        <v>0</v>
      </c>
      <c r="N391" s="1175">
        <v>0</v>
      </c>
      <c r="O391" s="1175">
        <v>0</v>
      </c>
      <c r="P391" s="157" t="s">
        <v>4573</v>
      </c>
      <c r="Q391" s="157"/>
      <c r="R391" s="102"/>
      <c r="S391" s="153"/>
      <c r="T391" s="290" t="s">
        <v>4036</v>
      </c>
      <c r="U391" s="290" t="s">
        <v>115</v>
      </c>
      <c r="AA391"/>
      <c r="AB391"/>
      <c r="AC391" s="283"/>
      <c r="AD391" s="42"/>
    </row>
    <row r="392" spans="3:30" ht="10.5" customHeight="1">
      <c r="C392" s="1181" t="s">
        <v>4574</v>
      </c>
      <c r="D392" s="1178">
        <v>1</v>
      </c>
      <c r="E392" s="1178">
        <v>1</v>
      </c>
      <c r="F392" s="1179">
        <v>2</v>
      </c>
      <c r="G392" s="1189" t="s">
        <v>4574</v>
      </c>
      <c r="H392" s="1176">
        <v>1</v>
      </c>
      <c r="I392" s="1176">
        <v>1</v>
      </c>
      <c r="J392" s="1190">
        <v>2</v>
      </c>
      <c r="K392" s="1180"/>
      <c r="L392" s="1174">
        <v>13021012000</v>
      </c>
      <c r="M392" s="1175">
        <v>1</v>
      </c>
      <c r="N392" s="1175">
        <v>1</v>
      </c>
      <c r="O392" s="1175">
        <v>2</v>
      </c>
      <c r="P392" s="157" t="s">
        <v>4575</v>
      </c>
      <c r="Q392" s="157"/>
      <c r="R392" s="102"/>
      <c r="S392" s="153"/>
      <c r="T392" s="290" t="s">
        <v>4576</v>
      </c>
      <c r="U392" s="290" t="s">
        <v>121</v>
      </c>
      <c r="AA392"/>
      <c r="AB392"/>
      <c r="AC392" s="283"/>
      <c r="AD392" s="42"/>
    </row>
    <row r="393" spans="3:30" ht="10.5" customHeight="1">
      <c r="C393" s="1181" t="s">
        <v>4577</v>
      </c>
      <c r="D393" s="1178">
        <v>1</v>
      </c>
      <c r="E393" s="1178">
        <v>1</v>
      </c>
      <c r="F393" s="1179">
        <v>2</v>
      </c>
      <c r="G393" s="1189" t="s">
        <v>4577</v>
      </c>
      <c r="H393" s="1176">
        <v>1</v>
      </c>
      <c r="I393" s="1176">
        <v>1</v>
      </c>
      <c r="J393" s="1190">
        <v>2</v>
      </c>
      <c r="K393" s="1180"/>
      <c r="L393" s="1174">
        <v>13021012101</v>
      </c>
      <c r="M393" s="1175">
        <v>1</v>
      </c>
      <c r="N393" s="1175">
        <v>1</v>
      </c>
      <c r="O393" s="1175">
        <v>2</v>
      </c>
      <c r="P393" s="157" t="s">
        <v>4578</v>
      </c>
      <c r="Q393" s="157"/>
      <c r="R393" s="102"/>
      <c r="S393" s="153"/>
      <c r="T393" s="290" t="s">
        <v>125</v>
      </c>
      <c r="U393" s="290" t="s">
        <v>126</v>
      </c>
      <c r="AA393"/>
      <c r="AB393"/>
      <c r="AC393" s="283"/>
      <c r="AD393" s="42"/>
    </row>
    <row r="394" spans="3:30" ht="10.5" customHeight="1">
      <c r="C394" s="1181" t="s">
        <v>4579</v>
      </c>
      <c r="D394" s="1178">
        <v>0</v>
      </c>
      <c r="E394" s="1178">
        <v>1</v>
      </c>
      <c r="F394" s="1179">
        <v>1</v>
      </c>
      <c r="G394" s="1189" t="s">
        <v>4579</v>
      </c>
      <c r="H394" s="1176">
        <v>0</v>
      </c>
      <c r="I394" s="1176">
        <v>1</v>
      </c>
      <c r="J394" s="1190">
        <v>1</v>
      </c>
      <c r="K394" s="1180"/>
      <c r="L394" s="1174">
        <v>13021012102</v>
      </c>
      <c r="M394" s="1175">
        <v>0</v>
      </c>
      <c r="N394" s="1175">
        <v>1</v>
      </c>
      <c r="O394" s="1175">
        <v>1</v>
      </c>
      <c r="P394" s="157" t="s">
        <v>4580</v>
      </c>
      <c r="Q394" s="157"/>
      <c r="R394" s="102"/>
      <c r="S394" s="153"/>
      <c r="T394" s="290" t="s">
        <v>4581</v>
      </c>
      <c r="U394" s="290" t="s">
        <v>3739</v>
      </c>
      <c r="AA394"/>
      <c r="AB394"/>
      <c r="AC394" s="283"/>
      <c r="AD394" s="42"/>
    </row>
    <row r="395" spans="3:30" ht="10.5" customHeight="1">
      <c r="C395" s="1181" t="s">
        <v>4582</v>
      </c>
      <c r="D395" s="1178">
        <v>0</v>
      </c>
      <c r="E395" s="1178">
        <v>0</v>
      </c>
      <c r="F395" s="1179">
        <v>0</v>
      </c>
      <c r="G395" s="1189" t="s">
        <v>4582</v>
      </c>
      <c r="H395" s="1176">
        <v>0</v>
      </c>
      <c r="I395" s="1176">
        <v>0</v>
      </c>
      <c r="J395" s="1190">
        <v>0</v>
      </c>
      <c r="K395" s="1180"/>
      <c r="L395" s="1174">
        <v>13021012200</v>
      </c>
      <c r="M395" s="1175">
        <v>0</v>
      </c>
      <c r="N395" s="1175">
        <v>0</v>
      </c>
      <c r="O395" s="1175">
        <v>0</v>
      </c>
      <c r="P395" s="157" t="s">
        <v>4583</v>
      </c>
      <c r="Q395" s="157"/>
      <c r="R395" s="102"/>
      <c r="S395" s="153"/>
      <c r="T395" s="290" t="s">
        <v>4584</v>
      </c>
      <c r="U395" s="290" t="s">
        <v>114</v>
      </c>
      <c r="AA395"/>
      <c r="AB395"/>
      <c r="AC395" s="283"/>
      <c r="AD395" s="42"/>
    </row>
    <row r="396" spans="3:30" ht="10.5" customHeight="1">
      <c r="C396" s="1181" t="s">
        <v>4585</v>
      </c>
      <c r="D396" s="1178">
        <v>0</v>
      </c>
      <c r="E396" s="1178">
        <v>0</v>
      </c>
      <c r="F396" s="1179">
        <v>0</v>
      </c>
      <c r="G396" s="1189" t="s">
        <v>4585</v>
      </c>
      <c r="H396" s="1176">
        <v>0</v>
      </c>
      <c r="I396" s="1176">
        <v>0</v>
      </c>
      <c r="J396" s="1190">
        <v>0</v>
      </c>
      <c r="K396" s="1180"/>
      <c r="L396" s="1174">
        <v>13021012300</v>
      </c>
      <c r="M396" s="1175">
        <v>0</v>
      </c>
      <c r="N396" s="1175">
        <v>0</v>
      </c>
      <c r="O396" s="1175">
        <v>0</v>
      </c>
      <c r="P396" s="157" t="s">
        <v>4586</v>
      </c>
      <c r="Q396" s="157"/>
      <c r="R396" s="102"/>
      <c r="S396" s="153"/>
      <c r="T396" s="290" t="s">
        <v>4041</v>
      </c>
      <c r="U396" s="290" t="s">
        <v>149</v>
      </c>
      <c r="AA396"/>
      <c r="AB396"/>
      <c r="AC396" s="283"/>
      <c r="AD396" s="42"/>
    </row>
    <row r="397" spans="3:30" ht="10.5" customHeight="1">
      <c r="C397" s="1181" t="s">
        <v>4587</v>
      </c>
      <c r="D397" s="1178">
        <v>0</v>
      </c>
      <c r="E397" s="1178">
        <v>0</v>
      </c>
      <c r="F397" s="1179">
        <v>0</v>
      </c>
      <c r="G397" s="1189" t="s">
        <v>4587</v>
      </c>
      <c r="H397" s="1176">
        <v>0</v>
      </c>
      <c r="I397" s="1176">
        <v>0</v>
      </c>
      <c r="J397" s="1190">
        <v>0</v>
      </c>
      <c r="K397" s="1180"/>
      <c r="L397" s="1174">
        <v>13021012400</v>
      </c>
      <c r="M397" s="1175">
        <v>0</v>
      </c>
      <c r="N397" s="1175">
        <v>0</v>
      </c>
      <c r="O397" s="1175">
        <v>0</v>
      </c>
      <c r="P397" s="157" t="s">
        <v>4588</v>
      </c>
      <c r="Q397" s="157"/>
      <c r="R397" s="102"/>
      <c r="S397" s="153"/>
      <c r="T397" s="153" t="s">
        <v>4047</v>
      </c>
      <c r="U397" s="153" t="s">
        <v>3862</v>
      </c>
      <c r="AA397"/>
      <c r="AB397"/>
      <c r="AC397" s="42"/>
      <c r="AD397" s="42"/>
    </row>
    <row r="398" spans="3:30" ht="10.5" customHeight="1">
      <c r="C398" s="1181" t="s">
        <v>4589</v>
      </c>
      <c r="D398" s="1178">
        <v>0</v>
      </c>
      <c r="E398" s="1178">
        <v>0</v>
      </c>
      <c r="F398" s="1179">
        <v>0</v>
      </c>
      <c r="G398" s="1189" t="s">
        <v>4589</v>
      </c>
      <c r="H398" s="1176">
        <v>0</v>
      </c>
      <c r="I398" s="1176">
        <v>0</v>
      </c>
      <c r="J398" s="1190">
        <v>0</v>
      </c>
      <c r="K398" s="1180"/>
      <c r="L398" s="1174">
        <v>13021012500</v>
      </c>
      <c r="M398" s="1175">
        <v>0</v>
      </c>
      <c r="N398" s="1175">
        <v>0</v>
      </c>
      <c r="O398" s="1175">
        <v>0</v>
      </c>
      <c r="P398" s="157" t="s">
        <v>4590</v>
      </c>
      <c r="Q398" s="157"/>
      <c r="R398" s="102"/>
      <c r="S398" s="153"/>
      <c r="T398" s="290" t="s">
        <v>4052</v>
      </c>
      <c r="U398" s="290" t="s">
        <v>96</v>
      </c>
      <c r="AA398"/>
      <c r="AB398"/>
      <c r="AC398" s="283"/>
      <c r="AD398" s="42"/>
    </row>
    <row r="399" spans="3:30" ht="10.5" customHeight="1">
      <c r="C399" s="1181" t="s">
        <v>4591</v>
      </c>
      <c r="D399" s="1178">
        <v>0</v>
      </c>
      <c r="E399" s="1178">
        <v>0</v>
      </c>
      <c r="F399" s="1179">
        <v>0</v>
      </c>
      <c r="G399" s="1189" t="s">
        <v>4591</v>
      </c>
      <c r="H399" s="1176">
        <v>0</v>
      </c>
      <c r="I399" s="1176">
        <v>0</v>
      </c>
      <c r="J399" s="1190">
        <v>0</v>
      </c>
      <c r="K399" s="1180"/>
      <c r="L399" s="1174">
        <v>13021012600</v>
      </c>
      <c r="M399" s="1175">
        <v>0</v>
      </c>
      <c r="N399" s="1175">
        <v>0</v>
      </c>
      <c r="O399" s="1175">
        <v>0</v>
      </c>
      <c r="P399" s="157" t="s">
        <v>4592</v>
      </c>
      <c r="Q399" s="157"/>
      <c r="R399" s="102"/>
      <c r="S399" s="153"/>
      <c r="T399" s="290" t="s">
        <v>127</v>
      </c>
      <c r="U399" s="290" t="s">
        <v>128</v>
      </c>
      <c r="AA399"/>
      <c r="AB399"/>
      <c r="AC399" s="283"/>
      <c r="AD399" s="42"/>
    </row>
    <row r="400" spans="3:30" ht="10.5" customHeight="1">
      <c r="C400" s="1181" t="s">
        <v>4593</v>
      </c>
      <c r="D400" s="1178">
        <v>0</v>
      </c>
      <c r="E400" s="1178">
        <v>0</v>
      </c>
      <c r="F400" s="1179">
        <v>0</v>
      </c>
      <c r="G400" s="1189" t="s">
        <v>4593</v>
      </c>
      <c r="H400" s="1176">
        <v>0</v>
      </c>
      <c r="I400" s="1176">
        <v>0</v>
      </c>
      <c r="J400" s="1190">
        <v>0</v>
      </c>
      <c r="K400" s="1180"/>
      <c r="L400" s="1174">
        <v>13021012700</v>
      </c>
      <c r="M400" s="1175">
        <v>0</v>
      </c>
      <c r="N400" s="1175">
        <v>0</v>
      </c>
      <c r="O400" s="1175">
        <v>0</v>
      </c>
      <c r="P400" s="157" t="s">
        <v>4594</v>
      </c>
      <c r="Q400" s="157"/>
      <c r="R400" s="102"/>
      <c r="S400" s="153"/>
      <c r="T400" s="290" t="s">
        <v>4595</v>
      </c>
      <c r="U400" s="290" t="s">
        <v>151</v>
      </c>
      <c r="AA400"/>
      <c r="AB400"/>
      <c r="AC400" s="283"/>
      <c r="AD400" s="42"/>
    </row>
    <row r="401" spans="3:30" ht="10.5" customHeight="1">
      <c r="C401" s="1181" t="s">
        <v>4596</v>
      </c>
      <c r="D401" s="1178">
        <v>0</v>
      </c>
      <c r="E401" s="1178">
        <v>0</v>
      </c>
      <c r="F401" s="1179">
        <v>0</v>
      </c>
      <c r="G401" s="1189" t="s">
        <v>4596</v>
      </c>
      <c r="H401" s="1176">
        <v>0</v>
      </c>
      <c r="I401" s="1176">
        <v>0</v>
      </c>
      <c r="J401" s="1190">
        <v>0</v>
      </c>
      <c r="K401" s="1180"/>
      <c r="L401" s="1174">
        <v>13021012800</v>
      </c>
      <c r="M401" s="1175">
        <v>0</v>
      </c>
      <c r="N401" s="1175">
        <v>0</v>
      </c>
      <c r="O401" s="1175">
        <v>0</v>
      </c>
      <c r="P401" s="157" t="s">
        <v>4597</v>
      </c>
      <c r="Q401" s="157"/>
      <c r="R401" s="102"/>
      <c r="S401" s="153"/>
      <c r="T401" s="290" t="s">
        <v>3856</v>
      </c>
      <c r="U401" s="290" t="s">
        <v>113</v>
      </c>
      <c r="AA401"/>
      <c r="AB401"/>
      <c r="AC401" s="283"/>
      <c r="AD401" s="42"/>
    </row>
    <row r="402" spans="3:30" ht="10.5" customHeight="1">
      <c r="C402" s="1181" t="s">
        <v>4598</v>
      </c>
      <c r="D402" s="1178">
        <v>0</v>
      </c>
      <c r="E402" s="1178">
        <v>0</v>
      </c>
      <c r="F402" s="1179">
        <v>0</v>
      </c>
      <c r="G402" s="1189" t="s">
        <v>4598</v>
      </c>
      <c r="H402" s="1176">
        <v>0</v>
      </c>
      <c r="I402" s="1176">
        <v>0</v>
      </c>
      <c r="J402" s="1190">
        <v>0</v>
      </c>
      <c r="K402" s="1180"/>
      <c r="L402" s="1174">
        <v>13021012900</v>
      </c>
      <c r="M402" s="1175">
        <v>0</v>
      </c>
      <c r="N402" s="1175">
        <v>0</v>
      </c>
      <c r="O402" s="1175">
        <v>0</v>
      </c>
      <c r="P402" s="157" t="s">
        <v>4599</v>
      </c>
      <c r="Q402" s="157"/>
      <c r="R402" s="102"/>
      <c r="S402" s="153"/>
      <c r="T402" s="290" t="s">
        <v>4600</v>
      </c>
      <c r="U402" s="290" t="s">
        <v>3462</v>
      </c>
      <c r="AA402"/>
      <c r="AB402"/>
      <c r="AC402" s="283"/>
      <c r="AD402" s="42"/>
    </row>
    <row r="403" spans="3:30" ht="10.5" customHeight="1">
      <c r="C403" s="1181" t="s">
        <v>4601</v>
      </c>
      <c r="D403" s="1178">
        <v>0</v>
      </c>
      <c r="E403" s="1178">
        <v>0</v>
      </c>
      <c r="F403" s="1179">
        <v>0</v>
      </c>
      <c r="G403" s="1189" t="s">
        <v>4601</v>
      </c>
      <c r="H403" s="1176">
        <v>0</v>
      </c>
      <c r="I403" s="1176">
        <v>0</v>
      </c>
      <c r="J403" s="1190">
        <v>0</v>
      </c>
      <c r="K403" s="1180"/>
      <c r="L403" s="1174">
        <v>13021013101</v>
      </c>
      <c r="M403" s="1175">
        <v>0</v>
      </c>
      <c r="N403" s="1175">
        <v>0</v>
      </c>
      <c r="O403" s="1175">
        <v>0</v>
      </c>
      <c r="P403" s="157" t="s">
        <v>4602</v>
      </c>
      <c r="Q403" s="157"/>
      <c r="R403" s="102"/>
      <c r="S403" s="153"/>
      <c r="T403" s="290" t="s">
        <v>4057</v>
      </c>
      <c r="U403" s="290" t="s">
        <v>115</v>
      </c>
      <c r="AA403"/>
      <c r="AB403"/>
      <c r="AC403" s="283"/>
      <c r="AD403" s="42"/>
    </row>
    <row r="404" spans="3:30" ht="10.5" customHeight="1">
      <c r="C404" s="1181" t="s">
        <v>4603</v>
      </c>
      <c r="D404" s="1178">
        <v>0</v>
      </c>
      <c r="E404" s="1178">
        <v>0</v>
      </c>
      <c r="F404" s="1179">
        <v>0</v>
      </c>
      <c r="G404" s="1189" t="s">
        <v>4603</v>
      </c>
      <c r="H404" s="1176">
        <v>0</v>
      </c>
      <c r="I404" s="1176">
        <v>0</v>
      </c>
      <c r="J404" s="1190">
        <v>0</v>
      </c>
      <c r="K404" s="1180"/>
      <c r="L404" s="1174">
        <v>13021013102</v>
      </c>
      <c r="M404" s="1175">
        <v>0</v>
      </c>
      <c r="N404" s="1175">
        <v>0</v>
      </c>
      <c r="O404" s="1175">
        <v>0</v>
      </c>
      <c r="P404" s="157" t="s">
        <v>4604</v>
      </c>
      <c r="Q404" s="157"/>
      <c r="R404" s="102"/>
      <c r="S404" s="153"/>
      <c r="T404" s="290" t="s">
        <v>4605</v>
      </c>
      <c r="U404" s="290" t="s">
        <v>2052</v>
      </c>
      <c r="AA404"/>
      <c r="AB404"/>
      <c r="AC404" s="283"/>
      <c r="AD404" s="42"/>
    </row>
    <row r="405" spans="3:30" ht="10.5" customHeight="1">
      <c r="C405" s="1181" t="s">
        <v>4606</v>
      </c>
      <c r="D405" s="1178">
        <v>0</v>
      </c>
      <c r="E405" s="1178">
        <v>0</v>
      </c>
      <c r="F405" s="1179">
        <v>0</v>
      </c>
      <c r="G405" s="1189" t="s">
        <v>4606</v>
      </c>
      <c r="H405" s="1176">
        <v>0</v>
      </c>
      <c r="I405" s="1176">
        <v>0</v>
      </c>
      <c r="J405" s="1190">
        <v>0</v>
      </c>
      <c r="K405" s="1180"/>
      <c r="L405" s="1174">
        <v>13021013201</v>
      </c>
      <c r="M405" s="1175">
        <v>0</v>
      </c>
      <c r="N405" s="1175">
        <v>0</v>
      </c>
      <c r="O405" s="1175">
        <v>0</v>
      </c>
      <c r="P405" s="157" t="s">
        <v>4607</v>
      </c>
      <c r="Q405" s="157"/>
      <c r="R405" s="102"/>
      <c r="S405" s="153"/>
      <c r="T405" s="290" t="s">
        <v>2021</v>
      </c>
      <c r="U405" s="290" t="s">
        <v>164</v>
      </c>
      <c r="AA405"/>
      <c r="AB405"/>
      <c r="AC405" s="283"/>
      <c r="AD405" s="42"/>
    </row>
    <row r="406" spans="3:30" ht="10.5" customHeight="1">
      <c r="C406" s="1181" t="s">
        <v>4608</v>
      </c>
      <c r="D406" s="1178">
        <v>0</v>
      </c>
      <c r="E406" s="1178">
        <v>0</v>
      </c>
      <c r="F406" s="1179">
        <v>0</v>
      </c>
      <c r="G406" s="1189" t="s">
        <v>4608</v>
      </c>
      <c r="H406" s="1176">
        <v>0</v>
      </c>
      <c r="I406" s="1176">
        <v>0</v>
      </c>
      <c r="J406" s="1190">
        <v>0</v>
      </c>
      <c r="K406" s="1180"/>
      <c r="L406" s="1174">
        <v>13021013202</v>
      </c>
      <c r="M406" s="1175">
        <v>0</v>
      </c>
      <c r="N406" s="1175">
        <v>0</v>
      </c>
      <c r="O406" s="1175">
        <v>0</v>
      </c>
      <c r="P406" s="157" t="s">
        <v>4609</v>
      </c>
      <c r="Q406" s="157"/>
      <c r="R406" s="102"/>
      <c r="S406" s="153"/>
      <c r="T406" s="290" t="s">
        <v>4065</v>
      </c>
      <c r="U406" s="290" t="s">
        <v>4094</v>
      </c>
      <c r="AA406"/>
      <c r="AB406"/>
      <c r="AC406" s="283"/>
      <c r="AD406" s="42"/>
    </row>
    <row r="407" spans="3:30" ht="10.5" customHeight="1">
      <c r="C407" s="1181" t="s">
        <v>4610</v>
      </c>
      <c r="D407" s="1178">
        <v>0</v>
      </c>
      <c r="E407" s="1178">
        <v>0</v>
      </c>
      <c r="F407" s="1179">
        <v>0</v>
      </c>
      <c r="G407" s="1189" t="s">
        <v>4610</v>
      </c>
      <c r="H407" s="1176">
        <v>0</v>
      </c>
      <c r="I407" s="1176">
        <v>0</v>
      </c>
      <c r="J407" s="1190">
        <v>0</v>
      </c>
      <c r="K407" s="1180"/>
      <c r="L407" s="1174">
        <v>13021013302</v>
      </c>
      <c r="M407" s="1175">
        <v>0</v>
      </c>
      <c r="N407" s="1175">
        <v>0</v>
      </c>
      <c r="O407" s="1175">
        <v>0</v>
      </c>
      <c r="P407" s="157" t="s">
        <v>4611</v>
      </c>
      <c r="Q407" s="157"/>
      <c r="R407" s="102"/>
      <c r="S407" s="153"/>
      <c r="T407" s="290" t="s">
        <v>4069</v>
      </c>
      <c r="U407" s="290" t="s">
        <v>3905</v>
      </c>
      <c r="AA407"/>
      <c r="AB407"/>
      <c r="AC407" s="283"/>
      <c r="AD407" s="42"/>
    </row>
    <row r="408" spans="3:30" ht="10.5" customHeight="1">
      <c r="C408" s="1181" t="s">
        <v>4612</v>
      </c>
      <c r="D408" s="1178">
        <v>1</v>
      </c>
      <c r="E408" s="1178">
        <v>1</v>
      </c>
      <c r="F408" s="1179">
        <v>2</v>
      </c>
      <c r="G408" s="1189" t="s">
        <v>4612</v>
      </c>
      <c r="H408" s="1176">
        <v>0</v>
      </c>
      <c r="I408" s="1176">
        <v>1</v>
      </c>
      <c r="J408" s="1190">
        <v>1</v>
      </c>
      <c r="K408" s="1180"/>
      <c r="L408" s="1174">
        <v>13021013407</v>
      </c>
      <c r="M408" s="1175">
        <v>1</v>
      </c>
      <c r="N408" s="1175">
        <v>1</v>
      </c>
      <c r="O408" s="1175">
        <v>2</v>
      </c>
      <c r="P408" s="157" t="s">
        <v>4613</v>
      </c>
      <c r="Q408" s="157"/>
      <c r="R408" s="102"/>
      <c r="S408" s="153"/>
      <c r="T408" s="290" t="s">
        <v>4614</v>
      </c>
      <c r="U408" s="290" t="s">
        <v>4116</v>
      </c>
      <c r="AA408"/>
      <c r="AB408"/>
      <c r="AC408" s="283"/>
      <c r="AD408" s="42"/>
    </row>
    <row r="409" spans="3:30" ht="10.5" customHeight="1">
      <c r="C409" s="1181" t="s">
        <v>4615</v>
      </c>
      <c r="D409" s="1178">
        <v>1</v>
      </c>
      <c r="E409" s="1178">
        <v>1</v>
      </c>
      <c r="F409" s="1179">
        <v>2</v>
      </c>
      <c r="G409" s="1189" t="s">
        <v>4615</v>
      </c>
      <c r="H409" s="1176">
        <v>1</v>
      </c>
      <c r="I409" s="1176">
        <v>1</v>
      </c>
      <c r="J409" s="1190">
        <v>2</v>
      </c>
      <c r="K409" s="1180"/>
      <c r="L409" s="1174">
        <v>13021013408</v>
      </c>
      <c r="M409" s="1175">
        <v>1</v>
      </c>
      <c r="N409" s="1175">
        <v>1</v>
      </c>
      <c r="O409" s="1175">
        <v>2</v>
      </c>
      <c r="P409" s="157" t="s">
        <v>4616</v>
      </c>
      <c r="Q409" s="157"/>
      <c r="R409" s="102"/>
      <c r="S409" s="153"/>
      <c r="T409" s="290" t="s">
        <v>4617</v>
      </c>
      <c r="U409" s="290" t="s">
        <v>135</v>
      </c>
      <c r="AA409"/>
      <c r="AB409"/>
      <c r="AC409" s="283"/>
      <c r="AD409" s="42"/>
    </row>
    <row r="410" spans="3:30" ht="10.5" customHeight="1">
      <c r="C410" s="1181" t="s">
        <v>4618</v>
      </c>
      <c r="D410" s="1178">
        <v>1</v>
      </c>
      <c r="E410" s="1178">
        <v>1</v>
      </c>
      <c r="F410" s="1179">
        <v>2</v>
      </c>
      <c r="G410" s="1189" t="s">
        <v>4618</v>
      </c>
      <c r="H410" s="1176">
        <v>1</v>
      </c>
      <c r="I410" s="1176">
        <v>1</v>
      </c>
      <c r="J410" s="1190">
        <v>2</v>
      </c>
      <c r="K410" s="1180"/>
      <c r="L410" s="1174">
        <v>13021013409</v>
      </c>
      <c r="M410" s="1175">
        <v>1</v>
      </c>
      <c r="N410" s="1175">
        <v>1</v>
      </c>
      <c r="O410" s="1175">
        <v>2</v>
      </c>
      <c r="P410" s="157" t="s">
        <v>4619</v>
      </c>
      <c r="Q410" s="157"/>
      <c r="R410" s="102"/>
      <c r="S410" s="153"/>
      <c r="T410" s="290" t="s">
        <v>4620</v>
      </c>
      <c r="U410" s="290" t="s">
        <v>3640</v>
      </c>
      <c r="AA410"/>
      <c r="AB410"/>
      <c r="AC410" s="283"/>
      <c r="AD410" s="42"/>
    </row>
    <row r="411" spans="3:30" ht="10.5" customHeight="1">
      <c r="C411" s="1181" t="s">
        <v>4621</v>
      </c>
      <c r="D411" s="1178">
        <v>1</v>
      </c>
      <c r="E411" s="1178">
        <v>1</v>
      </c>
      <c r="F411" s="1179">
        <v>2</v>
      </c>
      <c r="G411" s="1189" t="s">
        <v>4621</v>
      </c>
      <c r="H411" s="1176">
        <v>1</v>
      </c>
      <c r="I411" s="1176">
        <v>1</v>
      </c>
      <c r="J411" s="1190">
        <v>2</v>
      </c>
      <c r="K411" s="1180"/>
      <c r="L411" s="1174">
        <v>13021013410</v>
      </c>
      <c r="M411" s="1175">
        <v>1</v>
      </c>
      <c r="N411" s="1175">
        <v>1</v>
      </c>
      <c r="O411" s="1175">
        <v>2</v>
      </c>
      <c r="P411" s="157" t="s">
        <v>4622</v>
      </c>
      <c r="Q411" s="157"/>
      <c r="R411" s="102"/>
      <c r="S411" s="153"/>
      <c r="T411" s="153" t="s">
        <v>4623</v>
      </c>
      <c r="U411" s="153" t="s">
        <v>96</v>
      </c>
      <c r="AA411"/>
      <c r="AB411"/>
      <c r="AC411" s="42"/>
      <c r="AD411" s="42"/>
    </row>
    <row r="412" spans="3:30" ht="10.5" customHeight="1">
      <c r="C412" s="1181" t="s">
        <v>4624</v>
      </c>
      <c r="D412" s="1178">
        <v>1</v>
      </c>
      <c r="E412" s="1178">
        <v>1</v>
      </c>
      <c r="F412" s="1179">
        <v>2</v>
      </c>
      <c r="G412" s="1189" t="s">
        <v>4624</v>
      </c>
      <c r="H412" s="1176">
        <v>1</v>
      </c>
      <c r="I412" s="1176" t="s">
        <v>4455</v>
      </c>
      <c r="J412" s="1190">
        <v>1</v>
      </c>
      <c r="K412" s="1180"/>
      <c r="L412" s="1174">
        <v>13021013411</v>
      </c>
      <c r="M412" s="1175">
        <v>1</v>
      </c>
      <c r="N412" s="1175">
        <v>1</v>
      </c>
      <c r="O412" s="1175">
        <v>2</v>
      </c>
      <c r="P412" s="157" t="s">
        <v>4625</v>
      </c>
      <c r="Q412" s="157"/>
      <c r="R412" s="102"/>
      <c r="S412" s="153"/>
      <c r="T412" s="290" t="s">
        <v>4080</v>
      </c>
      <c r="U412" s="290" t="s">
        <v>126</v>
      </c>
      <c r="AA412"/>
      <c r="AB412"/>
      <c r="AC412" s="283"/>
      <c r="AD412" s="42"/>
    </row>
    <row r="413" spans="3:30" ht="10.5" customHeight="1">
      <c r="C413" s="1181" t="s">
        <v>4626</v>
      </c>
      <c r="D413" s="1178">
        <v>0</v>
      </c>
      <c r="E413" s="1178">
        <v>0</v>
      </c>
      <c r="F413" s="1179">
        <v>0</v>
      </c>
      <c r="G413" s="1189" t="s">
        <v>4626</v>
      </c>
      <c r="H413" s="1176">
        <v>0</v>
      </c>
      <c r="I413" s="1176">
        <v>0</v>
      </c>
      <c r="J413" s="1190">
        <v>0</v>
      </c>
      <c r="K413" s="1180"/>
      <c r="L413" s="1174">
        <v>13021013502</v>
      </c>
      <c r="M413" s="1175">
        <v>0</v>
      </c>
      <c r="N413" s="1175">
        <v>0</v>
      </c>
      <c r="O413" s="1175">
        <v>0</v>
      </c>
      <c r="P413" s="157" t="s">
        <v>4627</v>
      </c>
      <c r="Q413" s="157"/>
      <c r="R413" s="102"/>
      <c r="S413" s="153"/>
      <c r="T413" s="153" t="s">
        <v>4628</v>
      </c>
      <c r="U413" s="153" t="s">
        <v>147</v>
      </c>
      <c r="AA413"/>
      <c r="AB413"/>
      <c r="AC413" s="42"/>
      <c r="AD413" s="42"/>
    </row>
    <row r="414" spans="3:30" ht="10.5" customHeight="1">
      <c r="C414" s="1181" t="s">
        <v>4629</v>
      </c>
      <c r="D414" s="1178">
        <v>0</v>
      </c>
      <c r="E414" s="1178">
        <v>0</v>
      </c>
      <c r="F414" s="1179">
        <v>0</v>
      </c>
      <c r="G414" s="1189" t="s">
        <v>4629</v>
      </c>
      <c r="H414" s="1176">
        <v>0</v>
      </c>
      <c r="I414" s="1176">
        <v>0</v>
      </c>
      <c r="J414" s="1190">
        <v>0</v>
      </c>
      <c r="K414" s="1180"/>
      <c r="L414" s="1174">
        <v>13021013503</v>
      </c>
      <c r="M414" s="1175">
        <v>0</v>
      </c>
      <c r="N414" s="1175">
        <v>0</v>
      </c>
      <c r="O414" s="1175">
        <v>0</v>
      </c>
      <c r="P414" s="157" t="s">
        <v>4630</v>
      </c>
      <c r="Q414" s="157"/>
      <c r="R414" s="102"/>
      <c r="S414" s="153"/>
      <c r="T414" s="290" t="s">
        <v>129</v>
      </c>
      <c r="U414" s="290" t="s">
        <v>130</v>
      </c>
      <c r="AA414"/>
      <c r="AB414"/>
      <c r="AC414" s="283"/>
      <c r="AD414" s="42"/>
    </row>
    <row r="415" spans="3:30" ht="10.5" customHeight="1">
      <c r="C415" s="1181" t="s">
        <v>4631</v>
      </c>
      <c r="D415" s="1178">
        <v>1</v>
      </c>
      <c r="E415" s="1178">
        <v>1</v>
      </c>
      <c r="F415" s="1179">
        <v>2</v>
      </c>
      <c r="G415" s="1189" t="s">
        <v>4631</v>
      </c>
      <c r="H415" s="1176">
        <v>0</v>
      </c>
      <c r="I415" s="1176">
        <v>0</v>
      </c>
      <c r="J415" s="1190">
        <v>0</v>
      </c>
      <c r="K415" s="1180"/>
      <c r="L415" s="1174">
        <v>13021013504</v>
      </c>
      <c r="M415" s="1175">
        <v>1</v>
      </c>
      <c r="N415" s="1175">
        <v>1</v>
      </c>
      <c r="O415" s="1175">
        <v>2</v>
      </c>
      <c r="P415" s="157" t="s">
        <v>4632</v>
      </c>
      <c r="Q415" s="157"/>
      <c r="R415" s="102"/>
      <c r="S415" s="153"/>
      <c r="T415" s="153" t="s">
        <v>4633</v>
      </c>
      <c r="U415" s="153" t="s">
        <v>4131</v>
      </c>
      <c r="AA415"/>
      <c r="AB415"/>
      <c r="AC415" s="42"/>
      <c r="AD415" s="42"/>
    </row>
    <row r="416" spans="3:30" ht="10.5" customHeight="1">
      <c r="C416" s="1181" t="s">
        <v>4634</v>
      </c>
      <c r="D416" s="1178">
        <v>0</v>
      </c>
      <c r="E416" s="1178">
        <v>1</v>
      </c>
      <c r="F416" s="1179">
        <v>1</v>
      </c>
      <c r="G416" s="1189" t="s">
        <v>4634</v>
      </c>
      <c r="H416" s="1176">
        <v>0</v>
      </c>
      <c r="I416" s="1176">
        <v>1</v>
      </c>
      <c r="J416" s="1190">
        <v>1</v>
      </c>
      <c r="K416" s="1180"/>
      <c r="L416" s="1174">
        <v>13021013603</v>
      </c>
      <c r="M416" s="1175">
        <v>0</v>
      </c>
      <c r="N416" s="1175">
        <v>1</v>
      </c>
      <c r="O416" s="1175">
        <v>1</v>
      </c>
      <c r="P416" s="157" t="s">
        <v>4635</v>
      </c>
      <c r="Q416" s="157"/>
      <c r="R416" s="102"/>
      <c r="S416" s="153"/>
      <c r="T416" s="290" t="s">
        <v>4085</v>
      </c>
      <c r="U416" s="290" t="s">
        <v>121</v>
      </c>
      <c r="AA416"/>
      <c r="AB416"/>
      <c r="AC416" s="283"/>
      <c r="AD416" s="42"/>
    </row>
    <row r="417" spans="3:30" ht="10.5" customHeight="1">
      <c r="C417" s="1181" t="s">
        <v>4636</v>
      </c>
      <c r="D417" s="1178">
        <v>1</v>
      </c>
      <c r="E417" s="1178">
        <v>1</v>
      </c>
      <c r="F417" s="1179">
        <v>2</v>
      </c>
      <c r="G417" s="1189" t="s">
        <v>4636</v>
      </c>
      <c r="H417" s="1176">
        <v>0</v>
      </c>
      <c r="I417" s="1176" t="s">
        <v>4455</v>
      </c>
      <c r="J417" s="1190">
        <v>0</v>
      </c>
      <c r="K417" s="1180"/>
      <c r="L417" s="1174">
        <v>13021013604</v>
      </c>
      <c r="M417" s="1175">
        <v>1</v>
      </c>
      <c r="N417" s="1175">
        <v>1</v>
      </c>
      <c r="O417" s="1175">
        <v>2</v>
      </c>
      <c r="P417" s="157" t="s">
        <v>4637</v>
      </c>
      <c r="Q417" s="157"/>
      <c r="R417" s="102"/>
      <c r="S417" s="153"/>
      <c r="T417" s="290" t="s">
        <v>4088</v>
      </c>
      <c r="U417" s="290" t="s">
        <v>3854</v>
      </c>
      <c r="AA417"/>
      <c r="AB417"/>
      <c r="AC417" s="283"/>
      <c r="AD417" s="42"/>
    </row>
    <row r="418" spans="3:30" ht="10.5" customHeight="1">
      <c r="C418" s="1181" t="s">
        <v>4638</v>
      </c>
      <c r="D418" s="1178">
        <v>1</v>
      </c>
      <c r="E418" s="1178">
        <v>1</v>
      </c>
      <c r="F418" s="1179">
        <v>2</v>
      </c>
      <c r="G418" s="1189" t="s">
        <v>4638</v>
      </c>
      <c r="H418" s="1176">
        <v>1</v>
      </c>
      <c r="I418" s="1176" t="s">
        <v>4455</v>
      </c>
      <c r="J418" s="1190">
        <v>1</v>
      </c>
      <c r="K418" s="1180"/>
      <c r="L418" s="1174">
        <v>13021013605</v>
      </c>
      <c r="M418" s="1175">
        <v>1</v>
      </c>
      <c r="N418" s="1175">
        <v>1</v>
      </c>
      <c r="O418" s="1175">
        <v>2</v>
      </c>
      <c r="P418" s="157" t="s">
        <v>4639</v>
      </c>
      <c r="Q418" s="157"/>
      <c r="R418" s="102"/>
      <c r="S418" s="153"/>
      <c r="T418" s="290" t="s">
        <v>4640</v>
      </c>
      <c r="U418" s="290" t="s">
        <v>3515</v>
      </c>
      <c r="AA418"/>
      <c r="AB418"/>
      <c r="AC418" s="283"/>
      <c r="AD418" s="42"/>
    </row>
    <row r="419" spans="3:30" ht="10.5" customHeight="1">
      <c r="C419" s="1181" t="s">
        <v>4641</v>
      </c>
      <c r="D419" s="1178">
        <v>1</v>
      </c>
      <c r="E419" s="1178">
        <v>1</v>
      </c>
      <c r="F419" s="1179">
        <v>2</v>
      </c>
      <c r="G419" s="1189" t="s">
        <v>4641</v>
      </c>
      <c r="H419" s="1176">
        <v>1</v>
      </c>
      <c r="I419" s="1176">
        <v>1</v>
      </c>
      <c r="J419" s="1190">
        <v>2</v>
      </c>
      <c r="K419" s="1180"/>
      <c r="L419" s="1174">
        <v>13021013606</v>
      </c>
      <c r="M419" s="1175">
        <v>1</v>
      </c>
      <c r="N419" s="1175">
        <v>1</v>
      </c>
      <c r="O419" s="1175">
        <v>2</v>
      </c>
      <c r="P419" s="157" t="s">
        <v>4642</v>
      </c>
      <c r="Q419" s="157"/>
      <c r="R419" s="102"/>
      <c r="S419" s="153"/>
      <c r="T419" s="290" t="s">
        <v>4093</v>
      </c>
      <c r="U419" s="290" t="s">
        <v>4214</v>
      </c>
      <c r="AA419"/>
      <c r="AB419"/>
      <c r="AC419" s="283"/>
      <c r="AD419" s="42"/>
    </row>
    <row r="420" spans="3:30" ht="10.5" customHeight="1">
      <c r="C420" s="1181" t="s">
        <v>4643</v>
      </c>
      <c r="D420" s="1178">
        <v>0</v>
      </c>
      <c r="E420" s="1178">
        <v>0</v>
      </c>
      <c r="F420" s="1179">
        <v>0</v>
      </c>
      <c r="G420" s="1189" t="s">
        <v>4643</v>
      </c>
      <c r="H420" s="1176">
        <v>0</v>
      </c>
      <c r="I420" s="1176">
        <v>1</v>
      </c>
      <c r="J420" s="1190">
        <v>1</v>
      </c>
      <c r="K420" s="1180"/>
      <c r="L420" s="1174">
        <v>13021013700</v>
      </c>
      <c r="M420" s="1175">
        <v>0</v>
      </c>
      <c r="N420" s="1175">
        <v>1</v>
      </c>
      <c r="O420" s="1175">
        <v>1</v>
      </c>
      <c r="P420" s="157" t="s">
        <v>4644</v>
      </c>
      <c r="Q420" s="157"/>
      <c r="R420" s="102"/>
      <c r="S420" s="153"/>
      <c r="T420" s="290" t="s">
        <v>4645</v>
      </c>
      <c r="U420" s="290" t="s">
        <v>3610</v>
      </c>
      <c r="AA420"/>
      <c r="AB420"/>
      <c r="AC420" s="283"/>
      <c r="AD420" s="42"/>
    </row>
    <row r="421" spans="3:30" ht="10.5" customHeight="1">
      <c r="C421" s="1181" t="s">
        <v>4646</v>
      </c>
      <c r="D421" s="1178">
        <v>0</v>
      </c>
      <c r="E421" s="1178">
        <v>0</v>
      </c>
      <c r="F421" s="1179">
        <v>0</v>
      </c>
      <c r="G421" s="1189" t="s">
        <v>4646</v>
      </c>
      <c r="H421" s="1176">
        <v>0</v>
      </c>
      <c r="I421" s="1176">
        <v>0</v>
      </c>
      <c r="J421" s="1190">
        <v>0</v>
      </c>
      <c r="K421" s="1180"/>
      <c r="L421" s="1174">
        <v>13021013800</v>
      </c>
      <c r="M421" s="1175">
        <v>0</v>
      </c>
      <c r="N421" s="1175">
        <v>0</v>
      </c>
      <c r="O421" s="1175">
        <v>0</v>
      </c>
      <c r="P421" s="157" t="s">
        <v>4647</v>
      </c>
      <c r="Q421" s="157"/>
      <c r="R421" s="102"/>
      <c r="S421" s="153"/>
      <c r="T421" s="290" t="s">
        <v>4648</v>
      </c>
      <c r="U421" s="290" t="s">
        <v>3583</v>
      </c>
      <c r="AA421"/>
      <c r="AB421"/>
      <c r="AC421" s="283"/>
      <c r="AD421" s="42"/>
    </row>
    <row r="422" spans="3:30" ht="10.5" customHeight="1">
      <c r="C422" s="1181" t="s">
        <v>4649</v>
      </c>
      <c r="D422" s="1178">
        <v>0</v>
      </c>
      <c r="E422" s="1178">
        <v>0</v>
      </c>
      <c r="F422" s="1179">
        <v>0</v>
      </c>
      <c r="G422" s="1189" t="s">
        <v>4649</v>
      </c>
      <c r="H422" s="1176">
        <v>0</v>
      </c>
      <c r="I422" s="1176">
        <v>0</v>
      </c>
      <c r="J422" s="1190">
        <v>0</v>
      </c>
      <c r="K422" s="1180"/>
      <c r="L422" s="1174">
        <v>13021013900</v>
      </c>
      <c r="M422" s="1175">
        <v>0</v>
      </c>
      <c r="N422" s="1175">
        <v>0</v>
      </c>
      <c r="O422" s="1175">
        <v>0</v>
      </c>
      <c r="P422" s="157" t="s">
        <v>4650</v>
      </c>
      <c r="Q422" s="157"/>
      <c r="R422" s="102"/>
      <c r="S422" s="153"/>
      <c r="T422" s="290" t="s">
        <v>4651</v>
      </c>
      <c r="U422" s="290" t="s">
        <v>3470</v>
      </c>
      <c r="AA422"/>
      <c r="AB422"/>
      <c r="AC422" s="283"/>
      <c r="AD422" s="42"/>
    </row>
    <row r="423" spans="3:30" ht="10.5" customHeight="1">
      <c r="C423" s="1181" t="s">
        <v>4652</v>
      </c>
      <c r="D423" s="1178">
        <v>1</v>
      </c>
      <c r="E423" s="1178">
        <v>0</v>
      </c>
      <c r="F423" s="1179">
        <v>1</v>
      </c>
      <c r="G423" s="1189" t="s">
        <v>4652</v>
      </c>
      <c r="H423" s="1176">
        <v>0</v>
      </c>
      <c r="I423" s="1176">
        <v>0</v>
      </c>
      <c r="J423" s="1190">
        <v>0</v>
      </c>
      <c r="K423" s="1180"/>
      <c r="L423" s="1174">
        <v>13023790100</v>
      </c>
      <c r="M423" s="1175">
        <v>1</v>
      </c>
      <c r="N423" s="1175">
        <v>0</v>
      </c>
      <c r="O423" s="1175">
        <v>1</v>
      </c>
      <c r="P423" s="157" t="s">
        <v>4653</v>
      </c>
      <c r="Q423" s="157"/>
      <c r="R423" s="102"/>
      <c r="S423" s="153"/>
      <c r="T423" s="290" t="s">
        <v>4098</v>
      </c>
      <c r="U423" s="290" t="s">
        <v>3594</v>
      </c>
      <c r="AA423"/>
      <c r="AB423"/>
      <c r="AC423" s="283"/>
      <c r="AD423" s="42"/>
    </row>
    <row r="424" spans="3:30" ht="10.5" customHeight="1">
      <c r="C424" s="1181" t="s">
        <v>4654</v>
      </c>
      <c r="D424" s="1178">
        <v>0</v>
      </c>
      <c r="E424" s="1178">
        <v>0</v>
      </c>
      <c r="F424" s="1179">
        <v>0</v>
      </c>
      <c r="G424" s="1189" t="s">
        <v>4654</v>
      </c>
      <c r="H424" s="1176">
        <v>0</v>
      </c>
      <c r="I424" s="1176">
        <v>0</v>
      </c>
      <c r="J424" s="1190">
        <v>0</v>
      </c>
      <c r="K424" s="1180"/>
      <c r="L424" s="1174">
        <v>13023790200</v>
      </c>
      <c r="M424" s="1175">
        <v>0</v>
      </c>
      <c r="N424" s="1175">
        <v>0</v>
      </c>
      <c r="O424" s="1175">
        <v>0</v>
      </c>
      <c r="P424" s="157" t="s">
        <v>4655</v>
      </c>
      <c r="Q424" s="157"/>
      <c r="R424" s="102"/>
      <c r="S424" s="153"/>
      <c r="T424" s="290" t="s">
        <v>4656</v>
      </c>
      <c r="U424" s="290" t="s">
        <v>3588</v>
      </c>
      <c r="AA424"/>
      <c r="AB424"/>
      <c r="AC424" s="283"/>
      <c r="AD424" s="42"/>
    </row>
    <row r="425" spans="3:30" ht="10.5" customHeight="1">
      <c r="C425" s="1181" t="s">
        <v>4657</v>
      </c>
      <c r="D425" s="1178">
        <v>0</v>
      </c>
      <c r="E425" s="1178">
        <v>0</v>
      </c>
      <c r="F425" s="1179">
        <v>0</v>
      </c>
      <c r="G425" s="1189" t="s">
        <v>4657</v>
      </c>
      <c r="H425" s="1176">
        <v>0</v>
      </c>
      <c r="I425" s="1176">
        <v>1</v>
      </c>
      <c r="J425" s="1190">
        <v>1</v>
      </c>
      <c r="K425" s="1180"/>
      <c r="L425" s="1174">
        <v>13023790300</v>
      </c>
      <c r="M425" s="1175">
        <v>0</v>
      </c>
      <c r="N425" s="1175">
        <v>1</v>
      </c>
      <c r="O425" s="1175">
        <v>1</v>
      </c>
      <c r="P425" s="157" t="s">
        <v>4658</v>
      </c>
      <c r="Q425" s="157"/>
      <c r="R425" s="102"/>
      <c r="S425" s="153"/>
      <c r="T425" s="290" t="s">
        <v>4659</v>
      </c>
      <c r="U425" s="290" t="s">
        <v>3927</v>
      </c>
      <c r="AA425"/>
      <c r="AB425"/>
      <c r="AC425" s="283"/>
      <c r="AD425" s="42"/>
    </row>
    <row r="426" spans="3:30" ht="10.5" customHeight="1">
      <c r="C426" s="1181" t="s">
        <v>4660</v>
      </c>
      <c r="D426" s="1178">
        <v>0</v>
      </c>
      <c r="E426" s="1178">
        <v>0</v>
      </c>
      <c r="F426" s="1179">
        <v>0</v>
      </c>
      <c r="G426" s="1189" t="s">
        <v>4660</v>
      </c>
      <c r="H426" s="1176">
        <v>0</v>
      </c>
      <c r="I426" s="1176">
        <v>0</v>
      </c>
      <c r="J426" s="1190">
        <v>0</v>
      </c>
      <c r="K426" s="1180"/>
      <c r="L426" s="1174">
        <v>13025960100</v>
      </c>
      <c r="M426" s="1175">
        <v>0</v>
      </c>
      <c r="N426" s="1175">
        <v>0</v>
      </c>
      <c r="O426" s="1175">
        <v>0</v>
      </c>
      <c r="P426" s="157" t="s">
        <v>4661</v>
      </c>
      <c r="Q426" s="157"/>
      <c r="R426" s="102"/>
      <c r="S426" s="153"/>
      <c r="T426" s="328" t="s">
        <v>4662</v>
      </c>
      <c r="U426" s="290" t="s">
        <v>2025</v>
      </c>
      <c r="AA426"/>
      <c r="AB426"/>
      <c r="AC426" s="562"/>
      <c r="AD426" s="42"/>
    </row>
    <row r="427" spans="3:30" ht="10.5" customHeight="1">
      <c r="C427" s="1181" t="s">
        <v>4663</v>
      </c>
      <c r="D427" s="1178">
        <v>0</v>
      </c>
      <c r="E427" s="1178">
        <v>0</v>
      </c>
      <c r="F427" s="1179">
        <v>0</v>
      </c>
      <c r="G427" s="1189" t="s">
        <v>4663</v>
      </c>
      <c r="H427" s="1176">
        <v>0</v>
      </c>
      <c r="I427" s="1176">
        <v>0</v>
      </c>
      <c r="J427" s="1190">
        <v>0</v>
      </c>
      <c r="K427" s="1180"/>
      <c r="L427" s="1174">
        <v>13025960200</v>
      </c>
      <c r="M427" s="1175">
        <v>0</v>
      </c>
      <c r="N427" s="1175">
        <v>0</v>
      </c>
      <c r="O427" s="1175">
        <v>0</v>
      </c>
      <c r="P427" s="157" t="s">
        <v>4664</v>
      </c>
      <c r="Q427" s="157"/>
      <c r="R427" s="102"/>
      <c r="S427" s="153"/>
      <c r="T427" s="290" t="s">
        <v>4103</v>
      </c>
      <c r="U427" s="290" t="s">
        <v>2461</v>
      </c>
      <c r="AA427"/>
      <c r="AB427"/>
      <c r="AC427" s="283"/>
      <c r="AD427" s="42"/>
    </row>
    <row r="428" spans="3:30" ht="10.5" customHeight="1">
      <c r="C428" s="1181" t="s">
        <v>4665</v>
      </c>
      <c r="D428" s="1178">
        <v>0</v>
      </c>
      <c r="E428" s="1178">
        <v>0</v>
      </c>
      <c r="F428" s="1179">
        <v>0</v>
      </c>
      <c r="G428" s="1189" t="s">
        <v>4665</v>
      </c>
      <c r="H428" s="1176">
        <v>0</v>
      </c>
      <c r="I428" s="1176">
        <v>0</v>
      </c>
      <c r="J428" s="1190">
        <v>0</v>
      </c>
      <c r="K428" s="1180"/>
      <c r="L428" s="1174">
        <v>13025960300</v>
      </c>
      <c r="M428" s="1175">
        <v>0</v>
      </c>
      <c r="N428" s="1175">
        <v>0</v>
      </c>
      <c r="O428" s="1175">
        <v>0</v>
      </c>
      <c r="P428" s="157" t="s">
        <v>4666</v>
      </c>
      <c r="Q428" s="157"/>
      <c r="R428" s="102"/>
      <c r="S428" s="153"/>
      <c r="T428" s="290" t="s">
        <v>4667</v>
      </c>
      <c r="U428" s="290" t="s">
        <v>2025</v>
      </c>
      <c r="AA428"/>
      <c r="AB428"/>
      <c r="AC428" s="283"/>
      <c r="AD428" s="42"/>
    </row>
    <row r="429" spans="3:30" ht="10.5" customHeight="1">
      <c r="C429" s="1181" t="s">
        <v>4668</v>
      </c>
      <c r="D429" s="1178">
        <v>0</v>
      </c>
      <c r="E429" s="1178">
        <v>0</v>
      </c>
      <c r="F429" s="1179">
        <v>0</v>
      </c>
      <c r="G429" s="1189" t="s">
        <v>4668</v>
      </c>
      <c r="H429" s="1176">
        <v>0</v>
      </c>
      <c r="I429" s="1176">
        <v>0</v>
      </c>
      <c r="J429" s="1190">
        <v>0</v>
      </c>
      <c r="K429" s="1180"/>
      <c r="L429" s="1174">
        <v>13027960200</v>
      </c>
      <c r="M429" s="1175">
        <v>0</v>
      </c>
      <c r="N429" s="1175">
        <v>0</v>
      </c>
      <c r="O429" s="1175">
        <v>0</v>
      </c>
      <c r="P429" s="157" t="s">
        <v>4669</v>
      </c>
      <c r="Q429" s="157"/>
      <c r="R429" s="102"/>
      <c r="S429" s="153"/>
      <c r="T429" s="290" t="s">
        <v>131</v>
      </c>
      <c r="U429" s="290" t="s">
        <v>132</v>
      </c>
      <c r="AA429"/>
      <c r="AB429"/>
      <c r="AC429" s="283"/>
      <c r="AD429" s="42"/>
    </row>
    <row r="430" spans="3:30" ht="10.5" customHeight="1">
      <c r="C430" s="1181" t="s">
        <v>4670</v>
      </c>
      <c r="D430" s="1178">
        <v>0</v>
      </c>
      <c r="E430" s="1178">
        <v>0</v>
      </c>
      <c r="F430" s="1179">
        <v>0</v>
      </c>
      <c r="G430" s="1189" t="s">
        <v>4670</v>
      </c>
      <c r="H430" s="1176">
        <v>0</v>
      </c>
      <c r="I430" s="1176">
        <v>0</v>
      </c>
      <c r="J430" s="1190">
        <v>0</v>
      </c>
      <c r="K430" s="1180"/>
      <c r="L430" s="1174">
        <v>13027960300</v>
      </c>
      <c r="M430" s="1175">
        <v>0</v>
      </c>
      <c r="N430" s="1175">
        <v>0</v>
      </c>
      <c r="O430" s="1175">
        <v>0</v>
      </c>
      <c r="P430" s="157" t="s">
        <v>4671</v>
      </c>
      <c r="Q430" s="157"/>
      <c r="R430" s="102"/>
      <c r="S430" s="153"/>
      <c r="T430" s="290" t="s">
        <v>4672</v>
      </c>
      <c r="U430" s="290" t="s">
        <v>4142</v>
      </c>
      <c r="AA430"/>
      <c r="AB430"/>
      <c r="AC430" s="283"/>
      <c r="AD430" s="42"/>
    </row>
    <row r="431" spans="3:30" ht="10.5" customHeight="1">
      <c r="C431" s="1181" t="s">
        <v>4673</v>
      </c>
      <c r="D431" s="1178">
        <v>0</v>
      </c>
      <c r="E431" s="1178">
        <v>0</v>
      </c>
      <c r="F431" s="1179">
        <v>0</v>
      </c>
      <c r="G431" s="1189" t="s">
        <v>4673</v>
      </c>
      <c r="H431" s="1176">
        <v>0</v>
      </c>
      <c r="I431" s="1176">
        <v>0</v>
      </c>
      <c r="J431" s="1190">
        <v>0</v>
      </c>
      <c r="K431" s="1180"/>
      <c r="L431" s="1174">
        <v>13027960400</v>
      </c>
      <c r="M431" s="1175">
        <v>0</v>
      </c>
      <c r="N431" s="1175">
        <v>0</v>
      </c>
      <c r="O431" s="1175">
        <v>0</v>
      </c>
      <c r="P431" s="157" t="s">
        <v>4674</v>
      </c>
      <c r="Q431" s="157"/>
      <c r="R431" s="102"/>
      <c r="S431" s="153"/>
      <c r="T431" s="153" t="s">
        <v>133</v>
      </c>
      <c r="U431" s="153" t="s">
        <v>98</v>
      </c>
      <c r="AA431"/>
      <c r="AB431"/>
      <c r="AC431" s="42"/>
      <c r="AD431" s="42"/>
    </row>
    <row r="432" spans="3:30" ht="10.5" customHeight="1">
      <c r="C432" s="1181" t="s">
        <v>4675</v>
      </c>
      <c r="D432" s="1178">
        <v>0</v>
      </c>
      <c r="E432" s="1178">
        <v>0</v>
      </c>
      <c r="F432" s="1179">
        <v>0</v>
      </c>
      <c r="G432" s="1189" t="s">
        <v>4675</v>
      </c>
      <c r="H432" s="1176">
        <v>0</v>
      </c>
      <c r="I432" s="1176">
        <v>0</v>
      </c>
      <c r="J432" s="1190">
        <v>0</v>
      </c>
      <c r="K432" s="1180"/>
      <c r="L432" s="1174">
        <v>13027960500</v>
      </c>
      <c r="M432" s="1175">
        <v>0</v>
      </c>
      <c r="N432" s="1175">
        <v>0</v>
      </c>
      <c r="O432" s="1175">
        <v>0</v>
      </c>
      <c r="P432" s="157" t="s">
        <v>4676</v>
      </c>
      <c r="Q432" s="157"/>
      <c r="R432" s="102"/>
      <c r="S432" s="153"/>
      <c r="T432" s="290" t="s">
        <v>4677</v>
      </c>
      <c r="U432" s="290" t="s">
        <v>3520</v>
      </c>
      <c r="AA432"/>
      <c r="AB432"/>
      <c r="AC432" s="283"/>
      <c r="AD432" s="42"/>
    </row>
    <row r="433" spans="3:30" ht="10.5" customHeight="1">
      <c r="C433" s="1181" t="s">
        <v>4678</v>
      </c>
      <c r="D433" s="1178">
        <v>0</v>
      </c>
      <c r="E433" s="1178">
        <v>0</v>
      </c>
      <c r="F433" s="1179">
        <v>0</v>
      </c>
      <c r="G433" s="1189" t="s">
        <v>4678</v>
      </c>
      <c r="H433" s="1176">
        <v>0</v>
      </c>
      <c r="I433" s="1176">
        <v>0</v>
      </c>
      <c r="J433" s="1190">
        <v>0</v>
      </c>
      <c r="K433" s="1180"/>
      <c r="L433" s="1174">
        <v>13027960600</v>
      </c>
      <c r="M433" s="1175">
        <v>0</v>
      </c>
      <c r="N433" s="1175">
        <v>0</v>
      </c>
      <c r="O433" s="1175">
        <v>0</v>
      </c>
      <c r="P433" s="157" t="s">
        <v>4679</v>
      </c>
      <c r="Q433" s="157"/>
      <c r="R433" s="102"/>
      <c r="S433" s="153"/>
      <c r="T433" s="290" t="s">
        <v>134</v>
      </c>
      <c r="U433" s="290" t="s">
        <v>135</v>
      </c>
      <c r="AA433"/>
      <c r="AB433"/>
      <c r="AC433" s="283"/>
      <c r="AD433" s="42"/>
    </row>
    <row r="434" spans="3:30" ht="10.5" customHeight="1">
      <c r="C434" s="1181" t="s">
        <v>4680</v>
      </c>
      <c r="D434" s="1178">
        <v>0</v>
      </c>
      <c r="E434" s="1178">
        <v>0</v>
      </c>
      <c r="F434" s="1179">
        <v>0</v>
      </c>
      <c r="G434" s="1189" t="s">
        <v>4680</v>
      </c>
      <c r="H434" s="1176">
        <v>0</v>
      </c>
      <c r="I434" s="1176">
        <v>0</v>
      </c>
      <c r="J434" s="1190">
        <v>0</v>
      </c>
      <c r="K434" s="1180"/>
      <c r="L434" s="1174">
        <v>13029920101</v>
      </c>
      <c r="M434" s="1175">
        <v>0</v>
      </c>
      <c r="N434" s="1175">
        <v>0</v>
      </c>
      <c r="O434" s="1175">
        <v>0</v>
      </c>
      <c r="P434" s="157" t="s">
        <v>4681</v>
      </c>
      <c r="Q434" s="157"/>
      <c r="R434" s="102"/>
      <c r="S434" s="153"/>
      <c r="T434" s="290" t="s">
        <v>4682</v>
      </c>
      <c r="U434" s="290" t="s">
        <v>3520</v>
      </c>
      <c r="AA434"/>
      <c r="AB434"/>
      <c r="AC434" s="283"/>
      <c r="AD434" s="42"/>
    </row>
    <row r="435" spans="3:30" ht="10.5" customHeight="1">
      <c r="C435" s="1181" t="s">
        <v>4683</v>
      </c>
      <c r="D435" s="1178">
        <v>0</v>
      </c>
      <c r="E435" s="1178">
        <v>0</v>
      </c>
      <c r="F435" s="1179">
        <v>0</v>
      </c>
      <c r="G435" s="1189" t="s">
        <v>4683</v>
      </c>
      <c r="H435" s="1176">
        <v>0</v>
      </c>
      <c r="I435" s="1176">
        <v>0</v>
      </c>
      <c r="J435" s="1190">
        <v>0</v>
      </c>
      <c r="K435" s="1180"/>
      <c r="L435" s="1174">
        <v>13029920102</v>
      </c>
      <c r="M435" s="1175">
        <v>0</v>
      </c>
      <c r="N435" s="1175">
        <v>0</v>
      </c>
      <c r="O435" s="1175">
        <v>0</v>
      </c>
      <c r="P435" s="157" t="s">
        <v>4684</v>
      </c>
      <c r="Q435" s="157"/>
      <c r="R435" s="102"/>
      <c r="S435" s="153"/>
      <c r="T435" s="290" t="s">
        <v>3588</v>
      </c>
      <c r="U435" s="290" t="s">
        <v>3545</v>
      </c>
      <c r="AA435"/>
      <c r="AB435"/>
      <c r="AC435" s="283"/>
      <c r="AD435" s="42"/>
    </row>
    <row r="436" spans="3:30" ht="10.5" customHeight="1">
      <c r="C436" s="1181" t="s">
        <v>4685</v>
      </c>
      <c r="D436" s="1178">
        <v>1</v>
      </c>
      <c r="E436" s="1178">
        <v>1</v>
      </c>
      <c r="F436" s="1179">
        <v>2</v>
      </c>
      <c r="G436" s="1189" t="s">
        <v>4685</v>
      </c>
      <c r="H436" s="1176">
        <v>1</v>
      </c>
      <c r="I436" s="1176" t="s">
        <v>4455</v>
      </c>
      <c r="J436" s="1190">
        <v>1</v>
      </c>
      <c r="K436" s="1180"/>
      <c r="L436" s="1174">
        <v>13029920301</v>
      </c>
      <c r="M436" s="1175">
        <v>1</v>
      </c>
      <c r="N436" s="1175">
        <v>1</v>
      </c>
      <c r="O436" s="1175">
        <v>2</v>
      </c>
      <c r="P436" s="157" t="s">
        <v>4686</v>
      </c>
      <c r="Q436" s="157"/>
      <c r="R436" s="102"/>
      <c r="S436" s="153"/>
      <c r="T436" s="290" t="s">
        <v>4687</v>
      </c>
      <c r="U436" s="290" t="s">
        <v>4184</v>
      </c>
      <c r="AA436"/>
      <c r="AB436"/>
      <c r="AC436" s="283"/>
      <c r="AD436" s="42"/>
    </row>
    <row r="437" spans="3:30" ht="10.5" customHeight="1">
      <c r="C437" s="1181" t="s">
        <v>4688</v>
      </c>
      <c r="D437" s="1178">
        <v>1</v>
      </c>
      <c r="E437" s="1178">
        <v>1</v>
      </c>
      <c r="F437" s="1179">
        <v>2</v>
      </c>
      <c r="G437" s="1189" t="s">
        <v>4688</v>
      </c>
      <c r="H437" s="1176">
        <v>0</v>
      </c>
      <c r="I437" s="1176">
        <v>0</v>
      </c>
      <c r="J437" s="1190">
        <v>0</v>
      </c>
      <c r="K437" s="1180"/>
      <c r="L437" s="1174">
        <v>13029920303</v>
      </c>
      <c r="M437" s="1175">
        <v>1</v>
      </c>
      <c r="N437" s="1175">
        <v>1</v>
      </c>
      <c r="O437" s="1175">
        <v>2</v>
      </c>
      <c r="P437" s="157" t="s">
        <v>4689</v>
      </c>
      <c r="Q437" s="157"/>
      <c r="R437" s="102"/>
      <c r="S437" s="153"/>
      <c r="T437" s="290" t="s">
        <v>4690</v>
      </c>
      <c r="U437" s="290" t="s">
        <v>3727</v>
      </c>
      <c r="AA437"/>
      <c r="AB437"/>
      <c r="AC437" s="283"/>
      <c r="AD437" s="42"/>
    </row>
    <row r="438" spans="3:30" ht="10.5" customHeight="1">
      <c r="C438" s="1181" t="s">
        <v>4691</v>
      </c>
      <c r="D438" s="1178">
        <v>1</v>
      </c>
      <c r="E438" s="1178">
        <v>1</v>
      </c>
      <c r="F438" s="1179">
        <v>2</v>
      </c>
      <c r="G438" s="1189" t="s">
        <v>4691</v>
      </c>
      <c r="H438" s="1176">
        <v>1</v>
      </c>
      <c r="I438" s="1176">
        <v>1</v>
      </c>
      <c r="J438" s="1190">
        <v>2</v>
      </c>
      <c r="K438" s="1180"/>
      <c r="L438" s="1174">
        <v>13029920305</v>
      </c>
      <c r="M438" s="1175">
        <v>1</v>
      </c>
      <c r="N438" s="1175">
        <v>1</v>
      </c>
      <c r="O438" s="1175">
        <v>2</v>
      </c>
      <c r="P438" s="157" t="s">
        <v>4692</v>
      </c>
      <c r="Q438" s="157"/>
      <c r="R438" s="102"/>
      <c r="S438" s="153"/>
      <c r="T438" s="290" t="s">
        <v>3900</v>
      </c>
      <c r="U438" s="290" t="s">
        <v>4076</v>
      </c>
      <c r="AA438"/>
      <c r="AB438"/>
      <c r="AC438" s="283"/>
      <c r="AD438" s="42"/>
    </row>
    <row r="439" spans="3:30" ht="10.5" customHeight="1">
      <c r="C439" s="1181" t="s">
        <v>4693</v>
      </c>
      <c r="D439" s="1178">
        <v>1</v>
      </c>
      <c r="E439" s="1178">
        <v>1</v>
      </c>
      <c r="F439" s="1179">
        <v>2</v>
      </c>
      <c r="G439" s="1189" t="s">
        <v>4693</v>
      </c>
      <c r="H439" s="1176">
        <v>1</v>
      </c>
      <c r="I439" s="1176">
        <v>1</v>
      </c>
      <c r="J439" s="1190">
        <v>2</v>
      </c>
      <c r="K439" s="1180"/>
      <c r="L439" s="1174">
        <v>13029920306</v>
      </c>
      <c r="M439" s="1175">
        <v>1</v>
      </c>
      <c r="N439" s="1175">
        <v>1</v>
      </c>
      <c r="O439" s="1175">
        <v>2</v>
      </c>
      <c r="P439" s="157" t="s">
        <v>4694</v>
      </c>
      <c r="Q439" s="157"/>
      <c r="R439" s="102"/>
      <c r="S439" s="153"/>
      <c r="T439" s="290" t="s">
        <v>3658</v>
      </c>
      <c r="U439" s="290" t="s">
        <v>3588</v>
      </c>
      <c r="AA439"/>
      <c r="AB439"/>
      <c r="AC439" s="283"/>
      <c r="AD439" s="42"/>
    </row>
    <row r="440" spans="3:30" ht="10.5" customHeight="1">
      <c r="C440" s="1181" t="s">
        <v>4695</v>
      </c>
      <c r="D440" s="1178" t="s">
        <v>4455</v>
      </c>
      <c r="E440" s="1178" t="s">
        <v>4455</v>
      </c>
      <c r="F440" s="1179">
        <v>0</v>
      </c>
      <c r="G440" s="1189" t="s">
        <v>4695</v>
      </c>
      <c r="H440" s="1176" t="s">
        <v>4455</v>
      </c>
      <c r="I440" s="1176" t="s">
        <v>4455</v>
      </c>
      <c r="J440" s="1190">
        <v>0</v>
      </c>
      <c r="K440" s="1180"/>
      <c r="L440" s="1174">
        <v>13029980000</v>
      </c>
      <c r="M440" s="1175">
        <v>0</v>
      </c>
      <c r="N440" s="1175">
        <v>0</v>
      </c>
      <c r="O440" s="1175">
        <v>0</v>
      </c>
      <c r="P440" s="157" t="s">
        <v>4696</v>
      </c>
      <c r="Q440" s="157"/>
      <c r="R440" s="102"/>
      <c r="S440" s="153"/>
      <c r="T440" s="153" t="s">
        <v>4697</v>
      </c>
      <c r="U440" s="153" t="s">
        <v>4222</v>
      </c>
      <c r="AA440"/>
      <c r="AB440"/>
      <c r="AC440" s="42"/>
      <c r="AD440" s="42"/>
    </row>
    <row r="441" spans="3:30" ht="10.5" customHeight="1">
      <c r="C441" s="1181" t="s">
        <v>4698</v>
      </c>
      <c r="D441" s="1178">
        <v>0</v>
      </c>
      <c r="E441" s="1178">
        <v>0</v>
      </c>
      <c r="F441" s="1179">
        <v>0</v>
      </c>
      <c r="G441" s="1189" t="s">
        <v>4698</v>
      </c>
      <c r="H441" s="1176">
        <v>0</v>
      </c>
      <c r="I441" s="1176">
        <v>0</v>
      </c>
      <c r="J441" s="1190">
        <v>0</v>
      </c>
      <c r="K441" s="1180"/>
      <c r="L441" s="1174">
        <v>13031110100</v>
      </c>
      <c r="M441" s="1175">
        <v>0</v>
      </c>
      <c r="N441" s="1175">
        <v>0</v>
      </c>
      <c r="O441" s="1175">
        <v>0</v>
      </c>
      <c r="P441" s="157" t="s">
        <v>4699</v>
      </c>
      <c r="Q441" s="157"/>
      <c r="R441" s="102"/>
      <c r="S441" s="153"/>
      <c r="T441" s="153" t="s">
        <v>4700</v>
      </c>
      <c r="U441" s="153" t="s">
        <v>3545</v>
      </c>
      <c r="AA441"/>
      <c r="AB441"/>
      <c r="AC441" s="42"/>
      <c r="AD441" s="42"/>
    </row>
    <row r="442" spans="3:30" ht="10.5" customHeight="1">
      <c r="C442" s="1181" t="s">
        <v>4701</v>
      </c>
      <c r="D442" s="1178">
        <v>0</v>
      </c>
      <c r="E442" s="1178">
        <v>0</v>
      </c>
      <c r="F442" s="1179">
        <v>0</v>
      </c>
      <c r="G442" s="1189" t="s">
        <v>4701</v>
      </c>
      <c r="H442" s="1176">
        <v>1</v>
      </c>
      <c r="I442" s="1176">
        <v>0</v>
      </c>
      <c r="J442" s="1190">
        <v>1</v>
      </c>
      <c r="K442" s="1180"/>
      <c r="L442" s="1174">
        <v>13031110200</v>
      </c>
      <c r="M442" s="1175">
        <v>1</v>
      </c>
      <c r="N442" s="1175">
        <v>0</v>
      </c>
      <c r="O442" s="1175">
        <v>1</v>
      </c>
      <c r="P442" s="157" t="s">
        <v>4702</v>
      </c>
      <c r="Q442" s="157"/>
      <c r="R442" s="102"/>
      <c r="S442" s="153"/>
      <c r="T442" s="290" t="s">
        <v>4703</v>
      </c>
      <c r="U442" s="290" t="s">
        <v>3743</v>
      </c>
      <c r="AA442"/>
      <c r="AB442"/>
      <c r="AC442" s="283"/>
      <c r="AD442" s="42"/>
    </row>
    <row r="443" spans="3:30" ht="10.5" customHeight="1">
      <c r="C443" s="1181" t="s">
        <v>4704</v>
      </c>
      <c r="D443" s="1178">
        <v>1</v>
      </c>
      <c r="E443" s="1178">
        <v>1</v>
      </c>
      <c r="F443" s="1179">
        <v>2</v>
      </c>
      <c r="G443" s="1189" t="s">
        <v>4704</v>
      </c>
      <c r="H443" s="1176">
        <v>1</v>
      </c>
      <c r="I443" s="1176">
        <v>1</v>
      </c>
      <c r="J443" s="1190">
        <v>2</v>
      </c>
      <c r="K443" s="1180"/>
      <c r="L443" s="1174">
        <v>13031110300</v>
      </c>
      <c r="M443" s="1175">
        <v>1</v>
      </c>
      <c r="N443" s="1175">
        <v>1</v>
      </c>
      <c r="O443" s="1175">
        <v>2</v>
      </c>
      <c r="P443" s="157" t="s">
        <v>4705</v>
      </c>
      <c r="Q443" s="157"/>
      <c r="R443" s="102"/>
      <c r="S443" s="153"/>
      <c r="T443" s="290" t="s">
        <v>4120</v>
      </c>
      <c r="U443" s="290" t="s">
        <v>4256</v>
      </c>
      <c r="AA443"/>
      <c r="AB443"/>
      <c r="AC443" s="283"/>
      <c r="AD443" s="42"/>
    </row>
    <row r="444" spans="3:30" ht="10.5" customHeight="1">
      <c r="C444" s="1181" t="s">
        <v>4706</v>
      </c>
      <c r="D444" s="1178">
        <v>0</v>
      </c>
      <c r="E444" s="1178">
        <v>0</v>
      </c>
      <c r="F444" s="1179">
        <v>0</v>
      </c>
      <c r="G444" s="1189" t="s">
        <v>4706</v>
      </c>
      <c r="H444" s="1176">
        <v>0</v>
      </c>
      <c r="I444" s="1176">
        <v>0</v>
      </c>
      <c r="J444" s="1190">
        <v>0</v>
      </c>
      <c r="K444" s="1180"/>
      <c r="L444" s="1174">
        <v>13031110401</v>
      </c>
      <c r="M444" s="1175">
        <v>0</v>
      </c>
      <c r="N444" s="1175">
        <v>0</v>
      </c>
      <c r="O444" s="1175">
        <v>0</v>
      </c>
      <c r="P444" s="157" t="s">
        <v>4707</v>
      </c>
      <c r="Q444" s="157"/>
      <c r="R444" s="102"/>
      <c r="S444" s="153"/>
      <c r="T444" s="290" t="s">
        <v>4125</v>
      </c>
      <c r="U444" s="290" t="s">
        <v>151</v>
      </c>
      <c r="AA444"/>
      <c r="AB444"/>
      <c r="AC444" s="283"/>
      <c r="AD444" s="42"/>
    </row>
    <row r="445" spans="3:30" ht="10.5" customHeight="1">
      <c r="C445" s="1181" t="s">
        <v>4708</v>
      </c>
      <c r="D445" s="1178">
        <v>0</v>
      </c>
      <c r="E445" s="1178">
        <v>1</v>
      </c>
      <c r="F445" s="1179">
        <v>1</v>
      </c>
      <c r="G445" s="1189" t="s">
        <v>4708</v>
      </c>
      <c r="H445" s="1176">
        <v>0</v>
      </c>
      <c r="I445" s="1176" t="s">
        <v>4455</v>
      </c>
      <c r="J445" s="1190">
        <v>0</v>
      </c>
      <c r="K445" s="1180"/>
      <c r="L445" s="1174">
        <v>13031110403</v>
      </c>
      <c r="M445" s="1175">
        <v>0</v>
      </c>
      <c r="N445" s="1175">
        <v>1</v>
      </c>
      <c r="O445" s="1175">
        <v>1</v>
      </c>
      <c r="P445" s="157" t="s">
        <v>4709</v>
      </c>
      <c r="Q445" s="157"/>
      <c r="R445" s="102"/>
      <c r="S445" s="153"/>
      <c r="T445" s="290" t="s">
        <v>4130</v>
      </c>
      <c r="U445" s="290" t="s">
        <v>98</v>
      </c>
      <c r="AA445"/>
      <c r="AB445"/>
      <c r="AC445" s="283"/>
      <c r="AD445" s="42"/>
    </row>
    <row r="446" spans="3:30" ht="10.5" customHeight="1">
      <c r="C446" s="1181" t="s">
        <v>4710</v>
      </c>
      <c r="D446" s="1178">
        <v>0</v>
      </c>
      <c r="E446" s="1178">
        <v>1</v>
      </c>
      <c r="F446" s="1179">
        <v>1</v>
      </c>
      <c r="G446" s="1189" t="s">
        <v>4710</v>
      </c>
      <c r="H446" s="1176">
        <v>0</v>
      </c>
      <c r="I446" s="1176" t="s">
        <v>4455</v>
      </c>
      <c r="J446" s="1190">
        <v>0</v>
      </c>
      <c r="K446" s="1180"/>
      <c r="L446" s="1174">
        <v>13031110404</v>
      </c>
      <c r="M446" s="1175">
        <v>0</v>
      </c>
      <c r="N446" s="1175">
        <v>1</v>
      </c>
      <c r="O446" s="1175">
        <v>1</v>
      </c>
      <c r="P446" s="157" t="s">
        <v>4711</v>
      </c>
      <c r="Q446" s="157"/>
      <c r="R446" s="102"/>
      <c r="S446" s="153"/>
      <c r="T446" s="290" t="s">
        <v>4712</v>
      </c>
      <c r="U446" s="290" t="s">
        <v>4165</v>
      </c>
      <c r="AA446"/>
      <c r="AB446"/>
      <c r="AC446" s="283"/>
      <c r="AD446" s="42"/>
    </row>
    <row r="447" spans="3:30" ht="10.5" customHeight="1">
      <c r="C447" s="1181" t="s">
        <v>4713</v>
      </c>
      <c r="D447" s="1178">
        <v>0</v>
      </c>
      <c r="E447" s="1178">
        <v>0</v>
      </c>
      <c r="F447" s="1179">
        <v>0</v>
      </c>
      <c r="G447" s="1189" t="s">
        <v>4713</v>
      </c>
      <c r="H447" s="1176">
        <v>0</v>
      </c>
      <c r="I447" s="1176" t="s">
        <v>4455</v>
      </c>
      <c r="J447" s="1190">
        <v>0</v>
      </c>
      <c r="K447" s="1180"/>
      <c r="L447" s="1174">
        <v>13031110500</v>
      </c>
      <c r="M447" s="1175">
        <v>0</v>
      </c>
      <c r="N447" s="1175">
        <v>0</v>
      </c>
      <c r="O447" s="1175">
        <v>0</v>
      </c>
      <c r="P447" s="157" t="s">
        <v>4714</v>
      </c>
      <c r="Q447" s="157"/>
      <c r="R447" s="102"/>
      <c r="S447" s="153"/>
      <c r="T447" s="290" t="s">
        <v>4715</v>
      </c>
      <c r="U447" s="290" t="s">
        <v>118</v>
      </c>
      <c r="AA447"/>
      <c r="AB447"/>
      <c r="AC447" s="283"/>
      <c r="AD447" s="42"/>
    </row>
    <row r="448" spans="3:30" ht="10.5" customHeight="1">
      <c r="C448" s="1181" t="s">
        <v>4716</v>
      </c>
      <c r="D448" s="1178">
        <v>1</v>
      </c>
      <c r="E448" s="1178">
        <v>0</v>
      </c>
      <c r="F448" s="1179">
        <v>1</v>
      </c>
      <c r="G448" s="1189" t="s">
        <v>4716</v>
      </c>
      <c r="H448" s="1176">
        <v>0</v>
      </c>
      <c r="I448" s="1176">
        <v>1</v>
      </c>
      <c r="J448" s="1190">
        <v>1</v>
      </c>
      <c r="K448" s="1180"/>
      <c r="L448" s="1174">
        <v>13031110601</v>
      </c>
      <c r="M448" s="1175">
        <v>1</v>
      </c>
      <c r="N448" s="1175">
        <v>1</v>
      </c>
      <c r="O448" s="1175">
        <v>1</v>
      </c>
      <c r="P448" s="157" t="s">
        <v>4717</v>
      </c>
      <c r="Q448" s="157"/>
      <c r="R448" s="102"/>
      <c r="S448" s="153"/>
      <c r="T448" s="290" t="s">
        <v>4718</v>
      </c>
      <c r="U448" s="290" t="s">
        <v>3538</v>
      </c>
      <c r="AA448"/>
      <c r="AB448"/>
      <c r="AC448" s="283"/>
      <c r="AD448" s="42"/>
    </row>
    <row r="449" spans="3:30" ht="10.5" customHeight="1">
      <c r="C449" s="1181" t="s">
        <v>4719</v>
      </c>
      <c r="D449" s="1178">
        <v>0</v>
      </c>
      <c r="E449" s="1178">
        <v>0</v>
      </c>
      <c r="F449" s="1179">
        <v>0</v>
      </c>
      <c r="G449" s="1189" t="s">
        <v>4719</v>
      </c>
      <c r="H449" s="1176">
        <v>0</v>
      </c>
      <c r="I449" s="1176">
        <v>0</v>
      </c>
      <c r="J449" s="1190">
        <v>0</v>
      </c>
      <c r="K449" s="1180"/>
      <c r="L449" s="1174">
        <v>13031110602</v>
      </c>
      <c r="M449" s="1175">
        <v>0</v>
      </c>
      <c r="N449" s="1175">
        <v>0</v>
      </c>
      <c r="O449" s="1175">
        <v>0</v>
      </c>
      <c r="P449" s="157" t="s">
        <v>4720</v>
      </c>
      <c r="Q449" s="157"/>
      <c r="R449" s="102"/>
      <c r="S449" s="153"/>
      <c r="T449" s="290" t="s">
        <v>136</v>
      </c>
      <c r="U449" s="290" t="s">
        <v>137</v>
      </c>
      <c r="AA449"/>
      <c r="AB449"/>
      <c r="AC449" s="283"/>
      <c r="AD449" s="42"/>
    </row>
    <row r="450" spans="3:30" ht="10.5" customHeight="1">
      <c r="C450" s="1181" t="s">
        <v>4721</v>
      </c>
      <c r="D450" s="1178">
        <v>1</v>
      </c>
      <c r="E450" s="1178">
        <v>1</v>
      </c>
      <c r="F450" s="1179">
        <v>2</v>
      </c>
      <c r="G450" s="1189" t="s">
        <v>4721</v>
      </c>
      <c r="H450" s="1176">
        <v>1</v>
      </c>
      <c r="I450" s="1176">
        <v>1</v>
      </c>
      <c r="J450" s="1190">
        <v>2</v>
      </c>
      <c r="K450" s="1180"/>
      <c r="L450" s="1174">
        <v>13031110700</v>
      </c>
      <c r="M450" s="1175">
        <v>1</v>
      </c>
      <c r="N450" s="1175">
        <v>1</v>
      </c>
      <c r="O450" s="1175">
        <v>2</v>
      </c>
      <c r="P450" s="157" t="s">
        <v>4722</v>
      </c>
      <c r="Q450" s="157"/>
      <c r="R450" s="102"/>
      <c r="S450" s="153"/>
      <c r="T450" s="290" t="s">
        <v>4137</v>
      </c>
      <c r="U450" s="290" t="s">
        <v>137</v>
      </c>
      <c r="AA450"/>
      <c r="AB450"/>
      <c r="AC450" s="283"/>
      <c r="AD450" s="42"/>
    </row>
    <row r="451" spans="3:30" ht="10.5" customHeight="1">
      <c r="C451" s="1181" t="s">
        <v>4723</v>
      </c>
      <c r="D451" s="1178">
        <v>0</v>
      </c>
      <c r="E451" s="1178">
        <v>0</v>
      </c>
      <c r="F451" s="1179">
        <v>0</v>
      </c>
      <c r="G451" s="1189" t="s">
        <v>4723</v>
      </c>
      <c r="H451" s="1176">
        <v>0</v>
      </c>
      <c r="I451" s="1176">
        <v>0</v>
      </c>
      <c r="J451" s="1190">
        <v>0</v>
      </c>
      <c r="K451" s="1180"/>
      <c r="L451" s="1174">
        <v>13031110800</v>
      </c>
      <c r="M451" s="1175">
        <v>0</v>
      </c>
      <c r="N451" s="1175">
        <v>0</v>
      </c>
      <c r="O451" s="1175">
        <v>0</v>
      </c>
      <c r="P451" s="157" t="s">
        <v>4724</v>
      </c>
      <c r="Q451" s="157"/>
      <c r="R451" s="102"/>
      <c r="S451" s="153"/>
      <c r="T451" s="153" t="s">
        <v>4725</v>
      </c>
      <c r="U451" s="153" t="s">
        <v>3459</v>
      </c>
      <c r="AA451"/>
      <c r="AB451"/>
      <c r="AC451" s="42"/>
      <c r="AD451" s="42"/>
    </row>
    <row r="452" spans="3:30" ht="10.5" customHeight="1">
      <c r="C452" s="1181" t="s">
        <v>4726</v>
      </c>
      <c r="D452" s="1178">
        <v>0</v>
      </c>
      <c r="E452" s="1178">
        <v>0</v>
      </c>
      <c r="F452" s="1179">
        <v>0</v>
      </c>
      <c r="G452" s="1189" t="s">
        <v>4726</v>
      </c>
      <c r="H452" s="1176">
        <v>0</v>
      </c>
      <c r="I452" s="1176">
        <v>0</v>
      </c>
      <c r="J452" s="1190">
        <v>0</v>
      </c>
      <c r="K452" s="1180"/>
      <c r="L452" s="1174">
        <v>13031110900</v>
      </c>
      <c r="M452" s="1175">
        <v>0</v>
      </c>
      <c r="N452" s="1175">
        <v>0</v>
      </c>
      <c r="O452" s="1175">
        <v>0</v>
      </c>
      <c r="P452" s="157" t="s">
        <v>4727</v>
      </c>
      <c r="Q452" s="157"/>
      <c r="R452" s="102"/>
      <c r="S452" s="153"/>
      <c r="T452" s="290" t="s">
        <v>4728</v>
      </c>
      <c r="U452" s="290" t="s">
        <v>3476</v>
      </c>
      <c r="AA452"/>
      <c r="AB452"/>
      <c r="AC452" s="283"/>
      <c r="AD452" s="42"/>
    </row>
    <row r="453" spans="3:30" ht="10.5" customHeight="1">
      <c r="C453" s="1181" t="s">
        <v>4729</v>
      </c>
      <c r="D453" s="1178">
        <v>0</v>
      </c>
      <c r="E453" s="1178">
        <v>0</v>
      </c>
      <c r="F453" s="1179">
        <v>0</v>
      </c>
      <c r="G453" s="1189" t="s">
        <v>4729</v>
      </c>
      <c r="H453" s="1176">
        <v>0</v>
      </c>
      <c r="I453" s="1176">
        <v>0</v>
      </c>
      <c r="J453" s="1190">
        <v>0</v>
      </c>
      <c r="K453" s="1180"/>
      <c r="L453" s="1174">
        <v>13033950100</v>
      </c>
      <c r="M453" s="1175">
        <v>0</v>
      </c>
      <c r="N453" s="1175">
        <v>0</v>
      </c>
      <c r="O453" s="1175">
        <v>0</v>
      </c>
      <c r="P453" s="157" t="s">
        <v>4730</v>
      </c>
      <c r="Q453" s="157"/>
      <c r="R453" s="102"/>
      <c r="S453" s="153"/>
      <c r="T453" s="290" t="s">
        <v>4731</v>
      </c>
      <c r="U453" s="290" t="s">
        <v>3671</v>
      </c>
      <c r="AA453"/>
      <c r="AB453"/>
      <c r="AC453" s="283"/>
      <c r="AD453" s="42"/>
    </row>
    <row r="454" spans="3:30" ht="10.5" customHeight="1">
      <c r="C454" s="1181" t="s">
        <v>4732</v>
      </c>
      <c r="D454" s="1178">
        <v>0</v>
      </c>
      <c r="E454" s="1178">
        <v>0</v>
      </c>
      <c r="F454" s="1179">
        <v>0</v>
      </c>
      <c r="G454" s="1189" t="s">
        <v>4732</v>
      </c>
      <c r="H454" s="1176">
        <v>0</v>
      </c>
      <c r="I454" s="1176" t="s">
        <v>4455</v>
      </c>
      <c r="J454" s="1190">
        <v>0</v>
      </c>
      <c r="K454" s="1180"/>
      <c r="L454" s="1174">
        <v>13033950200</v>
      </c>
      <c r="M454" s="1175">
        <v>0</v>
      </c>
      <c r="N454" s="1175">
        <v>0</v>
      </c>
      <c r="O454" s="1175">
        <v>0</v>
      </c>
      <c r="P454" s="157" t="s">
        <v>4733</v>
      </c>
      <c r="Q454" s="157"/>
      <c r="R454" s="102"/>
      <c r="S454" s="153"/>
      <c r="T454" s="290" t="s">
        <v>4734</v>
      </c>
      <c r="U454" s="290" t="s">
        <v>101</v>
      </c>
      <c r="AA454"/>
      <c r="AB454"/>
      <c r="AC454" s="283"/>
      <c r="AD454" s="42"/>
    </row>
    <row r="455" spans="3:30" ht="10.5" customHeight="1">
      <c r="C455" s="1181" t="s">
        <v>4735</v>
      </c>
      <c r="D455" s="1178">
        <v>0</v>
      </c>
      <c r="E455" s="1178">
        <v>0</v>
      </c>
      <c r="F455" s="1179">
        <v>0</v>
      </c>
      <c r="G455" s="1189" t="s">
        <v>4735</v>
      </c>
      <c r="H455" s="1176">
        <v>0</v>
      </c>
      <c r="I455" s="1176">
        <v>0</v>
      </c>
      <c r="J455" s="1190">
        <v>0</v>
      </c>
      <c r="K455" s="1180"/>
      <c r="L455" s="1174">
        <v>13033950400</v>
      </c>
      <c r="M455" s="1175">
        <v>0</v>
      </c>
      <c r="N455" s="1175">
        <v>0</v>
      </c>
      <c r="O455" s="1175">
        <v>0</v>
      </c>
      <c r="P455" s="157" t="s">
        <v>4736</v>
      </c>
      <c r="Q455" s="157"/>
      <c r="R455" s="102"/>
      <c r="S455" s="153"/>
      <c r="T455" s="290" t="s">
        <v>4737</v>
      </c>
      <c r="U455" s="290" t="s">
        <v>4214</v>
      </c>
      <c r="AA455"/>
      <c r="AB455"/>
      <c r="AC455" s="283"/>
      <c r="AD455" s="42"/>
    </row>
    <row r="456" spans="3:30" ht="10.5" customHeight="1">
      <c r="C456" s="1181" t="s">
        <v>4738</v>
      </c>
      <c r="D456" s="1178">
        <v>0</v>
      </c>
      <c r="E456" s="1178">
        <v>0</v>
      </c>
      <c r="F456" s="1179">
        <v>0</v>
      </c>
      <c r="G456" s="1189" t="s">
        <v>4738</v>
      </c>
      <c r="H456" s="1176">
        <v>0</v>
      </c>
      <c r="I456" s="1176">
        <v>0</v>
      </c>
      <c r="J456" s="1190">
        <v>0</v>
      </c>
      <c r="K456" s="1180"/>
      <c r="L456" s="1174">
        <v>13033950500</v>
      </c>
      <c r="M456" s="1175">
        <v>0</v>
      </c>
      <c r="N456" s="1175">
        <v>0</v>
      </c>
      <c r="O456" s="1175">
        <v>0</v>
      </c>
      <c r="P456" s="157" t="s">
        <v>4739</v>
      </c>
      <c r="Q456" s="157"/>
      <c r="R456" s="102"/>
      <c r="S456" s="153"/>
      <c r="T456" s="290" t="s">
        <v>4740</v>
      </c>
      <c r="U456" s="290" t="s">
        <v>98</v>
      </c>
      <c r="AA456"/>
      <c r="AB456"/>
      <c r="AC456" s="283"/>
      <c r="AD456" s="42"/>
    </row>
    <row r="457" spans="3:30" ht="10.5" customHeight="1">
      <c r="C457" s="1181" t="s">
        <v>4741</v>
      </c>
      <c r="D457" s="1178">
        <v>0</v>
      </c>
      <c r="E457" s="1178">
        <v>0</v>
      </c>
      <c r="F457" s="1179">
        <v>0</v>
      </c>
      <c r="G457" s="1189" t="s">
        <v>4741</v>
      </c>
      <c r="H457" s="1176">
        <v>0</v>
      </c>
      <c r="I457" s="1176">
        <v>0</v>
      </c>
      <c r="J457" s="1190">
        <v>0</v>
      </c>
      <c r="K457" s="1180"/>
      <c r="L457" s="1174">
        <v>13033950700</v>
      </c>
      <c r="M457" s="1175">
        <v>0</v>
      </c>
      <c r="N457" s="1175">
        <v>0</v>
      </c>
      <c r="O457" s="1175">
        <v>0</v>
      </c>
      <c r="P457" s="157" t="s">
        <v>4742</v>
      </c>
      <c r="Q457" s="157"/>
      <c r="R457" s="102"/>
      <c r="S457" s="153"/>
      <c r="T457" s="290" t="s">
        <v>4150</v>
      </c>
      <c r="U457" s="290" t="s">
        <v>149</v>
      </c>
      <c r="AA457"/>
      <c r="AB457"/>
      <c r="AC457" s="283"/>
      <c r="AD457" s="42"/>
    </row>
    <row r="458" spans="3:30" ht="10.5" customHeight="1">
      <c r="C458" s="1181" t="s">
        <v>4743</v>
      </c>
      <c r="D458" s="1178">
        <v>0</v>
      </c>
      <c r="E458" s="1178">
        <v>0</v>
      </c>
      <c r="F458" s="1179">
        <v>0</v>
      </c>
      <c r="G458" s="1189" t="s">
        <v>4743</v>
      </c>
      <c r="H458" s="1176">
        <v>0</v>
      </c>
      <c r="I458" s="1176">
        <v>0</v>
      </c>
      <c r="J458" s="1190">
        <v>0</v>
      </c>
      <c r="K458" s="1180"/>
      <c r="L458" s="1174">
        <v>13033950900</v>
      </c>
      <c r="M458" s="1175">
        <v>0</v>
      </c>
      <c r="N458" s="1175">
        <v>0</v>
      </c>
      <c r="O458" s="1175">
        <v>0</v>
      </c>
      <c r="P458" s="157" t="s">
        <v>4744</v>
      </c>
      <c r="Q458" s="157"/>
      <c r="R458" s="102"/>
      <c r="S458" s="153"/>
      <c r="T458" s="290" t="s">
        <v>4155</v>
      </c>
      <c r="U458" s="290" t="s">
        <v>3940</v>
      </c>
      <c r="AA458"/>
      <c r="AB458"/>
      <c r="AC458" s="283"/>
      <c r="AD458" s="42"/>
    </row>
    <row r="459" spans="3:30" ht="10.5" customHeight="1">
      <c r="C459" s="1181" t="s">
        <v>4745</v>
      </c>
      <c r="D459" s="1178">
        <v>0</v>
      </c>
      <c r="E459" s="1178">
        <v>1</v>
      </c>
      <c r="F459" s="1179">
        <v>1</v>
      </c>
      <c r="G459" s="1189" t="s">
        <v>4745</v>
      </c>
      <c r="H459" s="1176">
        <v>0</v>
      </c>
      <c r="I459" s="1176">
        <v>0</v>
      </c>
      <c r="J459" s="1190">
        <v>0</v>
      </c>
      <c r="K459" s="1180"/>
      <c r="L459" s="1174">
        <v>13035150100</v>
      </c>
      <c r="M459" s="1175">
        <v>0</v>
      </c>
      <c r="N459" s="1175">
        <v>1</v>
      </c>
      <c r="O459" s="1175">
        <v>1</v>
      </c>
      <c r="P459" s="157" t="s">
        <v>4746</v>
      </c>
      <c r="Q459" s="157"/>
      <c r="R459" s="102"/>
      <c r="S459" s="153"/>
      <c r="T459" s="290" t="s">
        <v>138</v>
      </c>
      <c r="U459" s="290" t="s">
        <v>132</v>
      </c>
      <c r="AA459"/>
      <c r="AB459"/>
      <c r="AC459" s="283"/>
      <c r="AD459" s="42"/>
    </row>
    <row r="460" spans="3:30" ht="10.5" customHeight="1">
      <c r="C460" s="1181" t="s">
        <v>4747</v>
      </c>
      <c r="D460" s="1178">
        <v>0</v>
      </c>
      <c r="E460" s="1178">
        <v>0</v>
      </c>
      <c r="F460" s="1179">
        <v>0</v>
      </c>
      <c r="G460" s="1189" t="s">
        <v>4747</v>
      </c>
      <c r="H460" s="1176">
        <v>0</v>
      </c>
      <c r="I460" s="1176">
        <v>0</v>
      </c>
      <c r="J460" s="1190">
        <v>0</v>
      </c>
      <c r="K460" s="1180"/>
      <c r="L460" s="1174">
        <v>13035150200</v>
      </c>
      <c r="M460" s="1175">
        <v>0</v>
      </c>
      <c r="N460" s="1175">
        <v>0</v>
      </c>
      <c r="O460" s="1175">
        <v>0</v>
      </c>
      <c r="P460" s="157" t="s">
        <v>4748</v>
      </c>
      <c r="Q460" s="157"/>
      <c r="R460" s="102"/>
      <c r="S460" s="153"/>
      <c r="T460" s="290" t="s">
        <v>139</v>
      </c>
      <c r="U460" s="290" t="s">
        <v>140</v>
      </c>
      <c r="AA460"/>
      <c r="AB460"/>
      <c r="AC460" s="283"/>
      <c r="AD460" s="42"/>
    </row>
    <row r="461" spans="3:30" ht="10.5" customHeight="1">
      <c r="C461" s="1181" t="s">
        <v>4749</v>
      </c>
      <c r="D461" s="1178">
        <v>0</v>
      </c>
      <c r="E461" s="1178">
        <v>1</v>
      </c>
      <c r="F461" s="1179">
        <v>1</v>
      </c>
      <c r="G461" s="1189" t="s">
        <v>4749</v>
      </c>
      <c r="H461" s="1176">
        <v>0</v>
      </c>
      <c r="I461" s="1176">
        <v>1</v>
      </c>
      <c r="J461" s="1190">
        <v>1</v>
      </c>
      <c r="K461" s="1180"/>
      <c r="L461" s="1174">
        <v>13035150300</v>
      </c>
      <c r="M461" s="1175">
        <v>0</v>
      </c>
      <c r="N461" s="1175">
        <v>1</v>
      </c>
      <c r="O461" s="1175">
        <v>1</v>
      </c>
      <c r="P461" s="157" t="s">
        <v>4750</v>
      </c>
      <c r="Q461" s="157"/>
      <c r="R461" s="102"/>
      <c r="S461" s="153"/>
      <c r="T461" s="290" t="s">
        <v>4160</v>
      </c>
      <c r="U461" s="290" t="s">
        <v>3785</v>
      </c>
      <c r="AA461"/>
      <c r="AB461"/>
      <c r="AC461" s="283"/>
      <c r="AD461" s="42"/>
    </row>
    <row r="462" spans="3:30" ht="10.5" customHeight="1">
      <c r="C462" s="1181" t="s">
        <v>4751</v>
      </c>
      <c r="D462" s="1178">
        <v>0</v>
      </c>
      <c r="E462" s="1178">
        <v>0</v>
      </c>
      <c r="F462" s="1179">
        <v>0</v>
      </c>
      <c r="G462" s="1189" t="s">
        <v>4751</v>
      </c>
      <c r="H462" s="1176">
        <v>0</v>
      </c>
      <c r="I462" s="1176">
        <v>1</v>
      </c>
      <c r="J462" s="1190">
        <v>1</v>
      </c>
      <c r="K462" s="1180"/>
      <c r="L462" s="1174">
        <v>13037950100</v>
      </c>
      <c r="M462" s="1175">
        <v>0</v>
      </c>
      <c r="N462" s="1175">
        <v>1</v>
      </c>
      <c r="O462" s="1175">
        <v>1</v>
      </c>
      <c r="P462" s="157" t="s">
        <v>4752</v>
      </c>
      <c r="Q462" s="157"/>
      <c r="R462" s="102"/>
      <c r="S462" s="153"/>
      <c r="T462" s="290" t="s">
        <v>4164</v>
      </c>
      <c r="U462" s="290" t="s">
        <v>3725</v>
      </c>
      <c r="AA462"/>
      <c r="AB462"/>
      <c r="AC462" s="283"/>
      <c r="AD462" s="42"/>
    </row>
    <row r="463" spans="3:30" ht="10.5" customHeight="1">
      <c r="C463" s="1181" t="s">
        <v>4753</v>
      </c>
      <c r="D463" s="1178">
        <v>0</v>
      </c>
      <c r="E463" s="1178">
        <v>0</v>
      </c>
      <c r="F463" s="1179">
        <v>0</v>
      </c>
      <c r="G463" s="1189" t="s">
        <v>4753</v>
      </c>
      <c r="H463" s="1176">
        <v>0</v>
      </c>
      <c r="I463" s="1176">
        <v>0</v>
      </c>
      <c r="J463" s="1190">
        <v>0</v>
      </c>
      <c r="K463" s="1180"/>
      <c r="L463" s="1174">
        <v>13037950200</v>
      </c>
      <c r="M463" s="1175">
        <v>0</v>
      </c>
      <c r="N463" s="1175">
        <v>0</v>
      </c>
      <c r="O463" s="1175">
        <v>0</v>
      </c>
      <c r="P463" s="157" t="s">
        <v>4754</v>
      </c>
      <c r="Q463" s="157"/>
      <c r="R463" s="102"/>
      <c r="S463" s="153"/>
      <c r="T463" s="290" t="s">
        <v>4755</v>
      </c>
      <c r="U463" s="290" t="s">
        <v>3553</v>
      </c>
      <c r="AA463"/>
      <c r="AB463"/>
      <c r="AC463" s="283"/>
      <c r="AD463" s="42"/>
    </row>
    <row r="464" spans="3:30" ht="10.5" customHeight="1">
      <c r="C464" s="1181" t="s">
        <v>4756</v>
      </c>
      <c r="D464" s="1178">
        <v>0</v>
      </c>
      <c r="E464" s="1178">
        <v>0</v>
      </c>
      <c r="F464" s="1179">
        <v>0</v>
      </c>
      <c r="G464" s="1189" t="s">
        <v>4756</v>
      </c>
      <c r="H464" s="1176">
        <v>0</v>
      </c>
      <c r="I464" s="1176">
        <v>1</v>
      </c>
      <c r="J464" s="1190">
        <v>1</v>
      </c>
      <c r="K464" s="1180"/>
      <c r="L464" s="1174">
        <v>13039010100</v>
      </c>
      <c r="M464" s="1175">
        <v>0</v>
      </c>
      <c r="N464" s="1175">
        <v>1</v>
      </c>
      <c r="O464" s="1175">
        <v>1</v>
      </c>
      <c r="P464" s="157" t="s">
        <v>4757</v>
      </c>
      <c r="Q464" s="157"/>
      <c r="R464" s="102"/>
      <c r="S464" s="153"/>
      <c r="T464" s="290" t="s">
        <v>4170</v>
      </c>
      <c r="U464" s="290" t="s">
        <v>3952</v>
      </c>
      <c r="AA464"/>
      <c r="AB464"/>
      <c r="AC464" s="283"/>
      <c r="AD464" s="42"/>
    </row>
    <row r="465" spans="3:30" ht="10.5" customHeight="1">
      <c r="C465" s="1181" t="s">
        <v>4758</v>
      </c>
      <c r="D465" s="1178">
        <v>0</v>
      </c>
      <c r="E465" s="1178">
        <v>1</v>
      </c>
      <c r="F465" s="1179">
        <v>1</v>
      </c>
      <c r="G465" s="1189" t="s">
        <v>4758</v>
      </c>
      <c r="H465" s="1176">
        <v>0</v>
      </c>
      <c r="I465" s="1176">
        <v>0</v>
      </c>
      <c r="J465" s="1190">
        <v>0</v>
      </c>
      <c r="K465" s="1180"/>
      <c r="L465" s="1174">
        <v>13039010200</v>
      </c>
      <c r="M465" s="1175">
        <v>0</v>
      </c>
      <c r="N465" s="1175">
        <v>1</v>
      </c>
      <c r="O465" s="1175">
        <v>1</v>
      </c>
      <c r="P465" s="157" t="s">
        <v>4759</v>
      </c>
      <c r="Q465" s="157"/>
      <c r="R465" s="102"/>
      <c r="S465" s="153"/>
      <c r="T465" s="290" t="s">
        <v>4760</v>
      </c>
      <c r="U465" s="290" t="s">
        <v>3467</v>
      </c>
      <c r="AA465"/>
      <c r="AB465"/>
      <c r="AC465" s="283"/>
      <c r="AD465" s="42"/>
    </row>
    <row r="466" spans="3:30" ht="10.5" customHeight="1">
      <c r="C466" s="1181" t="s">
        <v>4761</v>
      </c>
      <c r="D466" s="1178">
        <v>0</v>
      </c>
      <c r="E466" s="1178">
        <v>0</v>
      </c>
      <c r="F466" s="1179">
        <v>0</v>
      </c>
      <c r="G466" s="1189" t="s">
        <v>4761</v>
      </c>
      <c r="H466" s="1176">
        <v>0</v>
      </c>
      <c r="I466" s="1176">
        <v>0</v>
      </c>
      <c r="J466" s="1190">
        <v>0</v>
      </c>
      <c r="K466" s="1180"/>
      <c r="L466" s="1174">
        <v>13039010301</v>
      </c>
      <c r="M466" s="1175">
        <v>0</v>
      </c>
      <c r="N466" s="1175">
        <v>0</v>
      </c>
      <c r="O466" s="1175">
        <v>0</v>
      </c>
      <c r="P466" s="157" t="s">
        <v>4762</v>
      </c>
      <c r="Q466" s="157"/>
      <c r="R466" s="102"/>
      <c r="S466" s="153"/>
      <c r="T466" s="290" t="s">
        <v>4763</v>
      </c>
      <c r="U466" s="290" t="s">
        <v>3557</v>
      </c>
      <c r="AA466"/>
      <c r="AB466"/>
      <c r="AC466" s="283"/>
      <c r="AD466" s="42"/>
    </row>
    <row r="467" spans="3:30" ht="10.5" customHeight="1">
      <c r="C467" s="1181" t="s">
        <v>4764</v>
      </c>
      <c r="D467" s="1178">
        <v>0</v>
      </c>
      <c r="E467" s="1178">
        <v>0</v>
      </c>
      <c r="F467" s="1179">
        <v>0</v>
      </c>
      <c r="G467" s="1189" t="s">
        <v>4764</v>
      </c>
      <c r="H467" s="1176">
        <v>0</v>
      </c>
      <c r="I467" s="1176">
        <v>0</v>
      </c>
      <c r="J467" s="1190">
        <v>0</v>
      </c>
      <c r="K467" s="1180"/>
      <c r="L467" s="1174">
        <v>13039010302</v>
      </c>
      <c r="M467" s="1175">
        <v>0</v>
      </c>
      <c r="N467" s="1175">
        <v>0</v>
      </c>
      <c r="O467" s="1175">
        <v>0</v>
      </c>
      <c r="P467" s="157" t="s">
        <v>4765</v>
      </c>
      <c r="Q467" s="157"/>
      <c r="R467" s="102"/>
      <c r="S467" s="153"/>
      <c r="T467" s="290" t="s">
        <v>4175</v>
      </c>
      <c r="U467" s="290" t="s">
        <v>3607</v>
      </c>
      <c r="AA467"/>
      <c r="AB467"/>
      <c r="AC467" s="283"/>
      <c r="AD467" s="42"/>
    </row>
    <row r="468" spans="3:30" ht="10.5" customHeight="1">
      <c r="C468" s="1181" t="s">
        <v>4766</v>
      </c>
      <c r="D468" s="1178">
        <v>1</v>
      </c>
      <c r="E468" s="1178">
        <v>1</v>
      </c>
      <c r="F468" s="1179">
        <v>2</v>
      </c>
      <c r="G468" s="1189" t="s">
        <v>4766</v>
      </c>
      <c r="H468" s="1176">
        <v>1</v>
      </c>
      <c r="I468" s="1176">
        <v>0</v>
      </c>
      <c r="J468" s="1190">
        <v>1</v>
      </c>
      <c r="K468" s="1180"/>
      <c r="L468" s="1174">
        <v>13039010401</v>
      </c>
      <c r="M468" s="1175">
        <v>1</v>
      </c>
      <c r="N468" s="1175">
        <v>1</v>
      </c>
      <c r="O468" s="1175">
        <v>2</v>
      </c>
      <c r="P468" s="157" t="s">
        <v>4767</v>
      </c>
      <c r="Q468" s="157"/>
      <c r="R468" s="102"/>
      <c r="S468" s="153"/>
      <c r="T468" s="290" t="s">
        <v>4768</v>
      </c>
      <c r="U468" s="290" t="s">
        <v>3725</v>
      </c>
      <c r="AA468"/>
      <c r="AB468"/>
      <c r="AC468" s="283"/>
      <c r="AD468" s="42"/>
    </row>
    <row r="469" spans="3:30" ht="10.5" customHeight="1">
      <c r="C469" s="1181" t="s">
        <v>4769</v>
      </c>
      <c r="D469" s="1178">
        <v>1</v>
      </c>
      <c r="E469" s="1178">
        <v>1</v>
      </c>
      <c r="F469" s="1179">
        <v>2</v>
      </c>
      <c r="G469" s="1189" t="s">
        <v>4769</v>
      </c>
      <c r="H469" s="1176">
        <v>1</v>
      </c>
      <c r="I469" s="1176">
        <v>1</v>
      </c>
      <c r="J469" s="1190">
        <v>2</v>
      </c>
      <c r="K469" s="1180"/>
      <c r="L469" s="1174">
        <v>13039010402</v>
      </c>
      <c r="M469" s="1175">
        <v>1</v>
      </c>
      <c r="N469" s="1175">
        <v>1</v>
      </c>
      <c r="O469" s="1175">
        <v>2</v>
      </c>
      <c r="P469" s="157" t="s">
        <v>4770</v>
      </c>
      <c r="Q469" s="157"/>
      <c r="R469" s="102"/>
      <c r="S469" s="153"/>
      <c r="T469" s="153" t="s">
        <v>4771</v>
      </c>
      <c r="U469" s="153" t="s">
        <v>3710</v>
      </c>
      <c r="AA469"/>
      <c r="AB469"/>
      <c r="AC469" s="42"/>
      <c r="AD469" s="42"/>
    </row>
    <row r="470" spans="3:30" ht="10.5" customHeight="1">
      <c r="C470" s="1181" t="s">
        <v>4772</v>
      </c>
      <c r="D470" s="1178">
        <v>1</v>
      </c>
      <c r="E470" s="1178">
        <v>1</v>
      </c>
      <c r="F470" s="1179">
        <v>2</v>
      </c>
      <c r="G470" s="1189" t="s">
        <v>4772</v>
      </c>
      <c r="H470" s="1176">
        <v>1</v>
      </c>
      <c r="I470" s="1176">
        <v>1</v>
      </c>
      <c r="J470" s="1190">
        <v>2</v>
      </c>
      <c r="K470" s="1180"/>
      <c r="L470" s="1174">
        <v>13039010403</v>
      </c>
      <c r="M470" s="1175">
        <v>1</v>
      </c>
      <c r="N470" s="1175">
        <v>1</v>
      </c>
      <c r="O470" s="1175">
        <v>2</v>
      </c>
      <c r="P470" s="157" t="s">
        <v>4773</v>
      </c>
      <c r="Q470" s="157"/>
      <c r="R470" s="102"/>
      <c r="S470" s="153"/>
      <c r="T470" s="290" t="s">
        <v>141</v>
      </c>
      <c r="U470" s="290" t="s">
        <v>128</v>
      </c>
      <c r="AA470"/>
      <c r="AB470"/>
      <c r="AC470" s="283"/>
      <c r="AD470" s="42"/>
    </row>
    <row r="471" spans="3:30" ht="10.5" customHeight="1">
      <c r="C471" s="1181" t="s">
        <v>4774</v>
      </c>
      <c r="D471" s="1178">
        <v>0</v>
      </c>
      <c r="E471" s="1178">
        <v>1</v>
      </c>
      <c r="F471" s="1179">
        <v>1</v>
      </c>
      <c r="G471" s="1189" t="s">
        <v>4774</v>
      </c>
      <c r="H471" s="1176">
        <v>0</v>
      </c>
      <c r="I471" s="1176" t="s">
        <v>4455</v>
      </c>
      <c r="J471" s="1190">
        <v>0</v>
      </c>
      <c r="K471" s="1180"/>
      <c r="L471" s="1174">
        <v>13039010500</v>
      </c>
      <c r="M471" s="1175">
        <v>0</v>
      </c>
      <c r="N471" s="1175">
        <v>1</v>
      </c>
      <c r="O471" s="1175">
        <v>1</v>
      </c>
      <c r="P471" s="157" t="s">
        <v>4775</v>
      </c>
      <c r="Q471" s="157"/>
      <c r="R471" s="102"/>
      <c r="S471" s="153"/>
      <c r="T471" s="290" t="s">
        <v>4776</v>
      </c>
      <c r="U471" s="290" t="s">
        <v>3964</v>
      </c>
      <c r="AA471"/>
      <c r="AB471"/>
      <c r="AC471" s="283"/>
      <c r="AD471" s="42"/>
    </row>
    <row r="472" spans="3:30" ht="10.5" customHeight="1">
      <c r="C472" s="1181" t="s">
        <v>4777</v>
      </c>
      <c r="D472" s="1178">
        <v>0</v>
      </c>
      <c r="E472" s="1178">
        <v>0</v>
      </c>
      <c r="F472" s="1179">
        <v>0</v>
      </c>
      <c r="G472" s="1189" t="s">
        <v>4777</v>
      </c>
      <c r="H472" s="1176">
        <v>0</v>
      </c>
      <c r="I472" s="1176">
        <v>0</v>
      </c>
      <c r="J472" s="1190">
        <v>0</v>
      </c>
      <c r="K472" s="1180"/>
      <c r="L472" s="1174">
        <v>13039010601</v>
      </c>
      <c r="M472" s="1175">
        <v>0</v>
      </c>
      <c r="N472" s="1175">
        <v>0</v>
      </c>
      <c r="O472" s="1175">
        <v>0</v>
      </c>
      <c r="P472" s="157" t="s">
        <v>4778</v>
      </c>
      <c r="Q472" s="157"/>
      <c r="R472" s="102"/>
      <c r="S472" s="153"/>
      <c r="T472" s="290" t="s">
        <v>4779</v>
      </c>
      <c r="U472" s="290" t="s">
        <v>101</v>
      </c>
      <c r="AA472"/>
      <c r="AB472"/>
      <c r="AC472" s="283"/>
      <c r="AD472" s="42"/>
    </row>
    <row r="473" spans="3:30" ht="10.5" customHeight="1">
      <c r="C473" s="1181" t="s">
        <v>4780</v>
      </c>
      <c r="D473" s="1178">
        <v>0</v>
      </c>
      <c r="E473" s="1178">
        <v>0</v>
      </c>
      <c r="F473" s="1179">
        <v>0</v>
      </c>
      <c r="G473" s="1189" t="s">
        <v>4780</v>
      </c>
      <c r="H473" s="1176">
        <v>0</v>
      </c>
      <c r="I473" s="1176" t="s">
        <v>4455</v>
      </c>
      <c r="J473" s="1190">
        <v>0</v>
      </c>
      <c r="K473" s="1180"/>
      <c r="L473" s="1174">
        <v>13039010602</v>
      </c>
      <c r="M473" s="1175">
        <v>0</v>
      </c>
      <c r="N473" s="1175">
        <v>0</v>
      </c>
      <c r="O473" s="1175">
        <v>0</v>
      </c>
      <c r="P473" s="157" t="s">
        <v>4781</v>
      </c>
      <c r="Q473" s="157"/>
      <c r="R473" s="102"/>
      <c r="S473" s="153"/>
      <c r="T473" s="290" t="s">
        <v>142</v>
      </c>
      <c r="U473" s="290" t="s">
        <v>143</v>
      </c>
      <c r="AA473"/>
      <c r="AB473"/>
      <c r="AC473" s="283"/>
      <c r="AD473" s="42"/>
    </row>
    <row r="474" spans="3:30" ht="10.5" customHeight="1">
      <c r="C474" s="1181" t="s">
        <v>4782</v>
      </c>
      <c r="D474" s="1178" t="s">
        <v>4455</v>
      </c>
      <c r="E474" s="1178" t="s">
        <v>4455</v>
      </c>
      <c r="F474" s="1179">
        <v>0</v>
      </c>
      <c r="G474" s="1189" t="s">
        <v>4782</v>
      </c>
      <c r="H474" s="1176" t="s">
        <v>4455</v>
      </c>
      <c r="I474" s="1176" t="s">
        <v>4455</v>
      </c>
      <c r="J474" s="1190">
        <v>0</v>
      </c>
      <c r="K474" s="1180"/>
      <c r="L474" s="1174">
        <v>13039990000</v>
      </c>
      <c r="M474" s="1175">
        <v>0</v>
      </c>
      <c r="N474" s="1175">
        <v>0</v>
      </c>
      <c r="O474" s="1175">
        <v>0</v>
      </c>
      <c r="P474" s="157" t="s">
        <v>4783</v>
      </c>
      <c r="Q474" s="157"/>
      <c r="R474" s="102"/>
      <c r="S474" s="153"/>
      <c r="T474" s="290" t="s">
        <v>2024</v>
      </c>
      <c r="U474" s="290" t="s">
        <v>93</v>
      </c>
      <c r="AA474"/>
      <c r="AB474"/>
      <c r="AC474" s="283"/>
      <c r="AD474" s="42"/>
    </row>
    <row r="475" spans="3:30" ht="10.5" customHeight="1">
      <c r="C475" s="1181" t="s">
        <v>4784</v>
      </c>
      <c r="D475" s="1178">
        <v>0</v>
      </c>
      <c r="E475" s="1178">
        <v>0</v>
      </c>
      <c r="F475" s="1179">
        <v>0</v>
      </c>
      <c r="G475" s="1189" t="s">
        <v>4784</v>
      </c>
      <c r="H475" s="1176">
        <v>0</v>
      </c>
      <c r="I475" s="1176">
        <v>0</v>
      </c>
      <c r="J475" s="1190">
        <v>0</v>
      </c>
      <c r="K475" s="1180"/>
      <c r="L475" s="1174">
        <v>13043950100</v>
      </c>
      <c r="M475" s="1175">
        <v>0</v>
      </c>
      <c r="N475" s="1175">
        <v>0</v>
      </c>
      <c r="O475" s="1175">
        <v>0</v>
      </c>
      <c r="P475" s="157" t="s">
        <v>4785</v>
      </c>
      <c r="Q475" s="157"/>
      <c r="R475" s="102"/>
      <c r="S475" s="153"/>
      <c r="T475" s="290" t="s">
        <v>4183</v>
      </c>
      <c r="U475" s="290" t="s">
        <v>96</v>
      </c>
      <c r="AA475"/>
      <c r="AB475"/>
      <c r="AC475" s="283"/>
      <c r="AD475" s="42"/>
    </row>
    <row r="476" spans="3:30" ht="10.5" customHeight="1">
      <c r="C476" s="1181" t="s">
        <v>4786</v>
      </c>
      <c r="D476" s="1178">
        <v>0</v>
      </c>
      <c r="E476" s="1178">
        <v>0</v>
      </c>
      <c r="F476" s="1179">
        <v>0</v>
      </c>
      <c r="G476" s="1189" t="s">
        <v>4786</v>
      </c>
      <c r="H476" s="1176">
        <v>0</v>
      </c>
      <c r="I476" s="1176">
        <v>0</v>
      </c>
      <c r="J476" s="1190">
        <v>0</v>
      </c>
      <c r="K476" s="1180"/>
      <c r="L476" s="1174">
        <v>13043950200</v>
      </c>
      <c r="M476" s="1175">
        <v>0</v>
      </c>
      <c r="N476" s="1175">
        <v>0</v>
      </c>
      <c r="O476" s="1175">
        <v>0</v>
      </c>
      <c r="P476" s="157" t="s">
        <v>4787</v>
      </c>
      <c r="Q476" s="157"/>
      <c r="R476" s="102"/>
      <c r="S476" s="153"/>
      <c r="T476" s="290" t="s">
        <v>4788</v>
      </c>
      <c r="U476" s="290" t="s">
        <v>3743</v>
      </c>
      <c r="AA476"/>
      <c r="AB476"/>
      <c r="AC476" s="283"/>
      <c r="AD476" s="42"/>
    </row>
    <row r="477" spans="3:30" ht="10.5" customHeight="1">
      <c r="C477" s="1181" t="s">
        <v>4789</v>
      </c>
      <c r="D477" s="1178">
        <v>0</v>
      </c>
      <c r="E477" s="1178">
        <v>0</v>
      </c>
      <c r="F477" s="1179">
        <v>0</v>
      </c>
      <c r="G477" s="1189" t="s">
        <v>4789</v>
      </c>
      <c r="H477" s="1176">
        <v>0</v>
      </c>
      <c r="I477" s="1176">
        <v>0</v>
      </c>
      <c r="J477" s="1190">
        <v>0</v>
      </c>
      <c r="K477" s="1180"/>
      <c r="L477" s="1174">
        <v>13043950300</v>
      </c>
      <c r="M477" s="1175">
        <v>0</v>
      </c>
      <c r="N477" s="1175">
        <v>0</v>
      </c>
      <c r="O477" s="1175">
        <v>0</v>
      </c>
      <c r="P477" s="157" t="s">
        <v>4790</v>
      </c>
      <c r="Q477" s="157"/>
      <c r="R477" s="102"/>
      <c r="S477" s="153"/>
      <c r="T477" s="290" t="s">
        <v>4791</v>
      </c>
      <c r="U477" s="290" t="s">
        <v>4012</v>
      </c>
      <c r="AA477"/>
      <c r="AB477"/>
      <c r="AC477" s="283"/>
      <c r="AD477" s="42"/>
    </row>
    <row r="478" spans="3:30" ht="10.5" customHeight="1">
      <c r="C478" s="1181" t="s">
        <v>4792</v>
      </c>
      <c r="D478" s="1178">
        <v>0</v>
      </c>
      <c r="E478" s="1178">
        <v>1</v>
      </c>
      <c r="F478" s="1179">
        <v>1</v>
      </c>
      <c r="G478" s="1189" t="s">
        <v>4792</v>
      </c>
      <c r="H478" s="1176">
        <v>0</v>
      </c>
      <c r="I478" s="1176">
        <v>0</v>
      </c>
      <c r="J478" s="1190">
        <v>0</v>
      </c>
      <c r="K478" s="1180"/>
      <c r="L478" s="1174">
        <v>13045910101</v>
      </c>
      <c r="M478" s="1175">
        <v>0</v>
      </c>
      <c r="N478" s="1175">
        <v>1</v>
      </c>
      <c r="O478" s="1175">
        <v>1</v>
      </c>
      <c r="P478" s="157" t="s">
        <v>4793</v>
      </c>
      <c r="Q478" s="157"/>
      <c r="R478" s="102"/>
      <c r="S478" s="153"/>
      <c r="T478" s="153" t="s">
        <v>4794</v>
      </c>
      <c r="U478" s="153" t="s">
        <v>101</v>
      </c>
      <c r="AA478"/>
      <c r="AB478"/>
      <c r="AC478" s="42"/>
      <c r="AD478" s="42"/>
    </row>
    <row r="479" spans="3:30" ht="10.5" customHeight="1">
      <c r="C479" s="1181" t="s">
        <v>4795</v>
      </c>
      <c r="D479" s="1178">
        <v>1</v>
      </c>
      <c r="E479" s="1178">
        <v>1</v>
      </c>
      <c r="F479" s="1179">
        <v>2</v>
      </c>
      <c r="G479" s="1189" t="s">
        <v>4795</v>
      </c>
      <c r="H479" s="1176">
        <v>1</v>
      </c>
      <c r="I479" s="1176">
        <v>0</v>
      </c>
      <c r="J479" s="1190">
        <v>1</v>
      </c>
      <c r="K479" s="1180"/>
      <c r="L479" s="1174">
        <v>13045910103</v>
      </c>
      <c r="M479" s="1175">
        <v>1</v>
      </c>
      <c r="N479" s="1175">
        <v>1</v>
      </c>
      <c r="O479" s="1175">
        <v>2</v>
      </c>
      <c r="P479" s="157" t="s">
        <v>4796</v>
      </c>
      <c r="Q479" s="157"/>
      <c r="R479" s="102"/>
      <c r="S479" s="153"/>
      <c r="T479" s="290" t="s">
        <v>4188</v>
      </c>
      <c r="U479" s="290" t="s">
        <v>3658</v>
      </c>
      <c r="AA479"/>
      <c r="AB479"/>
      <c r="AC479" s="283"/>
      <c r="AD479" s="42"/>
    </row>
    <row r="480" spans="3:30" ht="10.5" customHeight="1">
      <c r="C480" s="1181" t="s">
        <v>4797</v>
      </c>
      <c r="D480" s="1178">
        <v>0</v>
      </c>
      <c r="E480" s="1178">
        <v>1</v>
      </c>
      <c r="F480" s="1179">
        <v>1</v>
      </c>
      <c r="G480" s="1189" t="s">
        <v>4797</v>
      </c>
      <c r="H480" s="1176">
        <v>0</v>
      </c>
      <c r="I480" s="1176">
        <v>0</v>
      </c>
      <c r="J480" s="1190">
        <v>0</v>
      </c>
      <c r="K480" s="1180"/>
      <c r="L480" s="1174">
        <v>13045910104</v>
      </c>
      <c r="M480" s="1175">
        <v>0</v>
      </c>
      <c r="N480" s="1175">
        <v>1</v>
      </c>
      <c r="O480" s="1175">
        <v>1</v>
      </c>
      <c r="P480" s="157" t="s">
        <v>4798</v>
      </c>
      <c r="Q480" s="157"/>
      <c r="R480" s="102"/>
      <c r="S480" s="153"/>
      <c r="T480" s="290" t="s">
        <v>4799</v>
      </c>
      <c r="U480" s="290" t="s">
        <v>98</v>
      </c>
      <c r="AA480"/>
      <c r="AB480"/>
      <c r="AC480" s="283"/>
      <c r="AD480" s="42"/>
    </row>
    <row r="481" spans="3:30" ht="10.5" customHeight="1">
      <c r="C481" s="1181" t="s">
        <v>4800</v>
      </c>
      <c r="D481" s="1178">
        <v>0</v>
      </c>
      <c r="E481" s="1178">
        <v>0</v>
      </c>
      <c r="F481" s="1179">
        <v>0</v>
      </c>
      <c r="G481" s="1189" t="s">
        <v>4800</v>
      </c>
      <c r="H481" s="1176">
        <v>0</v>
      </c>
      <c r="I481" s="1176">
        <v>0</v>
      </c>
      <c r="J481" s="1190">
        <v>0</v>
      </c>
      <c r="K481" s="1180"/>
      <c r="L481" s="1174">
        <v>13045910200</v>
      </c>
      <c r="M481" s="1175">
        <v>0</v>
      </c>
      <c r="N481" s="1175">
        <v>0</v>
      </c>
      <c r="O481" s="1175">
        <v>0</v>
      </c>
      <c r="P481" s="157" t="s">
        <v>4801</v>
      </c>
      <c r="Q481" s="157"/>
      <c r="R481" s="102"/>
      <c r="S481" s="153"/>
      <c r="T481" s="290" t="s">
        <v>4192</v>
      </c>
      <c r="U481" s="290" t="s">
        <v>3971</v>
      </c>
      <c r="AA481"/>
      <c r="AB481"/>
      <c r="AC481" s="283"/>
      <c r="AD481" s="42"/>
    </row>
    <row r="482" spans="3:30" ht="10.5" customHeight="1">
      <c r="C482" s="1181" t="s">
        <v>4802</v>
      </c>
      <c r="D482" s="1178">
        <v>0</v>
      </c>
      <c r="E482" s="1178">
        <v>1</v>
      </c>
      <c r="F482" s="1179">
        <v>1</v>
      </c>
      <c r="G482" s="1189" t="s">
        <v>4802</v>
      </c>
      <c r="H482" s="1176">
        <v>0</v>
      </c>
      <c r="I482" s="1176">
        <v>0</v>
      </c>
      <c r="J482" s="1190">
        <v>0</v>
      </c>
      <c r="K482" s="1180"/>
      <c r="L482" s="1174">
        <v>13045910300</v>
      </c>
      <c r="M482" s="1175">
        <v>0</v>
      </c>
      <c r="N482" s="1175">
        <v>1</v>
      </c>
      <c r="O482" s="1175">
        <v>1</v>
      </c>
      <c r="P482" s="157" t="s">
        <v>4803</v>
      </c>
      <c r="Q482" s="157"/>
      <c r="R482" s="102"/>
      <c r="S482" s="153"/>
      <c r="T482" s="290" t="s">
        <v>4196</v>
      </c>
      <c r="U482" s="290" t="s">
        <v>3842</v>
      </c>
      <c r="AA482"/>
      <c r="AB482"/>
      <c r="AC482" s="283"/>
      <c r="AD482" s="42"/>
    </row>
    <row r="483" spans="3:30" ht="10.5" customHeight="1">
      <c r="C483" s="1181" t="s">
        <v>4804</v>
      </c>
      <c r="D483" s="1178">
        <v>0</v>
      </c>
      <c r="E483" s="1178">
        <v>0</v>
      </c>
      <c r="F483" s="1179">
        <v>0</v>
      </c>
      <c r="G483" s="1189" t="s">
        <v>4804</v>
      </c>
      <c r="H483" s="1176">
        <v>0</v>
      </c>
      <c r="I483" s="1176" t="s">
        <v>4455</v>
      </c>
      <c r="J483" s="1190">
        <v>0</v>
      </c>
      <c r="K483" s="1180"/>
      <c r="L483" s="1174">
        <v>13045910400</v>
      </c>
      <c r="M483" s="1175">
        <v>0</v>
      </c>
      <c r="N483" s="1175">
        <v>0</v>
      </c>
      <c r="O483" s="1175">
        <v>0</v>
      </c>
      <c r="P483" s="157" t="s">
        <v>4805</v>
      </c>
      <c r="Q483" s="157"/>
      <c r="R483" s="102"/>
      <c r="S483" s="153"/>
      <c r="T483" s="290" t="s">
        <v>4201</v>
      </c>
      <c r="U483" s="290" t="s">
        <v>4184</v>
      </c>
      <c r="AA483"/>
      <c r="AB483"/>
      <c r="AC483" s="283"/>
      <c r="AD483" s="42"/>
    </row>
    <row r="484" spans="3:30" ht="10.5" customHeight="1">
      <c r="C484" s="1181" t="s">
        <v>4806</v>
      </c>
      <c r="D484" s="1178">
        <v>0</v>
      </c>
      <c r="E484" s="1178">
        <v>1</v>
      </c>
      <c r="F484" s="1179">
        <v>1</v>
      </c>
      <c r="G484" s="1189" t="s">
        <v>4806</v>
      </c>
      <c r="H484" s="1176">
        <v>0</v>
      </c>
      <c r="I484" s="1176">
        <v>0</v>
      </c>
      <c r="J484" s="1190">
        <v>0</v>
      </c>
      <c r="K484" s="1180"/>
      <c r="L484" s="1174">
        <v>13045910501</v>
      </c>
      <c r="M484" s="1175">
        <v>0</v>
      </c>
      <c r="N484" s="1175">
        <v>1</v>
      </c>
      <c r="O484" s="1175">
        <v>1</v>
      </c>
      <c r="P484" s="157" t="s">
        <v>4807</v>
      </c>
      <c r="Q484" s="157"/>
      <c r="R484" s="102"/>
      <c r="S484" s="153"/>
      <c r="T484" s="290" t="s">
        <v>3980</v>
      </c>
      <c r="U484" s="290" t="s">
        <v>4156</v>
      </c>
      <c r="AA484"/>
      <c r="AB484"/>
      <c r="AC484" s="283"/>
      <c r="AD484" s="42"/>
    </row>
    <row r="485" spans="3:30" ht="10.5" customHeight="1">
      <c r="C485" s="1181" t="s">
        <v>4808</v>
      </c>
      <c r="D485" s="1178">
        <v>0</v>
      </c>
      <c r="E485" s="1178">
        <v>0</v>
      </c>
      <c r="F485" s="1179">
        <v>0</v>
      </c>
      <c r="G485" s="1189" t="s">
        <v>4808</v>
      </c>
      <c r="H485" s="1176">
        <v>0</v>
      </c>
      <c r="I485" s="1176">
        <v>0</v>
      </c>
      <c r="J485" s="1190">
        <v>0</v>
      </c>
      <c r="K485" s="1180"/>
      <c r="L485" s="1174">
        <v>13045910502</v>
      </c>
      <c r="M485" s="1175">
        <v>0</v>
      </c>
      <c r="N485" s="1175">
        <v>0</v>
      </c>
      <c r="O485" s="1175">
        <v>0</v>
      </c>
      <c r="P485" s="157" t="s">
        <v>4809</v>
      </c>
      <c r="Q485" s="157"/>
      <c r="R485" s="102"/>
      <c r="S485" s="153"/>
      <c r="T485" s="290" t="s">
        <v>4810</v>
      </c>
      <c r="U485" s="290" t="s">
        <v>4012</v>
      </c>
      <c r="AA485"/>
      <c r="AB485"/>
      <c r="AC485" s="283"/>
      <c r="AD485" s="42"/>
    </row>
    <row r="486" spans="3:30" ht="10.5" customHeight="1">
      <c r="C486" s="1181" t="s">
        <v>4811</v>
      </c>
      <c r="D486" s="1178">
        <v>0</v>
      </c>
      <c r="E486" s="1178">
        <v>0</v>
      </c>
      <c r="F486" s="1179">
        <v>0</v>
      </c>
      <c r="G486" s="1189" t="s">
        <v>4811</v>
      </c>
      <c r="H486" s="1176">
        <v>1</v>
      </c>
      <c r="I486" s="1176">
        <v>0</v>
      </c>
      <c r="J486" s="1190">
        <v>1</v>
      </c>
      <c r="K486" s="1180"/>
      <c r="L486" s="1174">
        <v>13045910600</v>
      </c>
      <c r="M486" s="1175">
        <v>1</v>
      </c>
      <c r="N486" s="1175">
        <v>0</v>
      </c>
      <c r="O486" s="1175">
        <v>1</v>
      </c>
      <c r="P486" s="157" t="s">
        <v>4812</v>
      </c>
      <c r="Q486" s="157"/>
      <c r="R486" s="102"/>
      <c r="S486" s="153"/>
      <c r="T486" s="290" t="s">
        <v>4813</v>
      </c>
      <c r="U486" s="290" t="s">
        <v>3602</v>
      </c>
      <c r="AA486"/>
      <c r="AB486"/>
      <c r="AC486" s="283"/>
      <c r="AD486" s="42"/>
    </row>
    <row r="487" spans="3:30" ht="10.5" customHeight="1">
      <c r="C487" s="1181" t="s">
        <v>4814</v>
      </c>
      <c r="D487" s="1178">
        <v>0</v>
      </c>
      <c r="E487" s="1178">
        <v>1</v>
      </c>
      <c r="F487" s="1179">
        <v>1</v>
      </c>
      <c r="G487" s="1189" t="s">
        <v>4814</v>
      </c>
      <c r="H487" s="1176">
        <v>0</v>
      </c>
      <c r="I487" s="1176">
        <v>0</v>
      </c>
      <c r="J487" s="1190">
        <v>0</v>
      </c>
      <c r="K487" s="1180"/>
      <c r="L487" s="1174">
        <v>13045910701</v>
      </c>
      <c r="M487" s="1175">
        <v>0</v>
      </c>
      <c r="N487" s="1175">
        <v>1</v>
      </c>
      <c r="O487" s="1175">
        <v>1</v>
      </c>
      <c r="P487" s="157" t="s">
        <v>4815</v>
      </c>
      <c r="Q487" s="157"/>
      <c r="R487" s="102"/>
      <c r="S487" s="153"/>
      <c r="T487" s="290" t="s">
        <v>4206</v>
      </c>
      <c r="U487" s="290" t="s">
        <v>4202</v>
      </c>
      <c r="AA487"/>
      <c r="AB487"/>
      <c r="AC487" s="283"/>
      <c r="AD487" s="42"/>
    </row>
    <row r="488" spans="3:30" ht="10.5" customHeight="1">
      <c r="C488" s="1181" t="s">
        <v>4816</v>
      </c>
      <c r="D488" s="1178">
        <v>1</v>
      </c>
      <c r="E488" s="1178">
        <v>1</v>
      </c>
      <c r="F488" s="1179">
        <v>2</v>
      </c>
      <c r="G488" s="1189" t="s">
        <v>4816</v>
      </c>
      <c r="H488" s="1176">
        <v>0</v>
      </c>
      <c r="I488" s="1176">
        <v>1</v>
      </c>
      <c r="J488" s="1190">
        <v>1</v>
      </c>
      <c r="K488" s="1180"/>
      <c r="L488" s="1174">
        <v>13045910702</v>
      </c>
      <c r="M488" s="1175">
        <v>1</v>
      </c>
      <c r="N488" s="1175">
        <v>1</v>
      </c>
      <c r="O488" s="1175">
        <v>2</v>
      </c>
      <c r="P488" s="157" t="s">
        <v>4817</v>
      </c>
      <c r="Q488" s="157"/>
      <c r="R488" s="102"/>
      <c r="S488" s="153"/>
      <c r="T488" s="290" t="s">
        <v>144</v>
      </c>
      <c r="U488" s="290" t="s">
        <v>118</v>
      </c>
      <c r="AA488"/>
      <c r="AB488"/>
      <c r="AC488" s="283"/>
      <c r="AD488" s="42"/>
    </row>
    <row r="489" spans="3:30" ht="10.5" customHeight="1">
      <c r="C489" s="1181" t="s">
        <v>4818</v>
      </c>
      <c r="D489" s="1178">
        <v>0</v>
      </c>
      <c r="E489" s="1178">
        <v>1</v>
      </c>
      <c r="F489" s="1179">
        <v>1</v>
      </c>
      <c r="G489" s="1189" t="s">
        <v>4818</v>
      </c>
      <c r="H489" s="1176">
        <v>0</v>
      </c>
      <c r="I489" s="1176">
        <v>0</v>
      </c>
      <c r="J489" s="1190">
        <v>0</v>
      </c>
      <c r="K489" s="1180"/>
      <c r="L489" s="1174">
        <v>13045910703</v>
      </c>
      <c r="M489" s="1175">
        <v>0</v>
      </c>
      <c r="N489" s="1175">
        <v>1</v>
      </c>
      <c r="O489" s="1175">
        <v>1</v>
      </c>
      <c r="P489" s="157" t="s">
        <v>4819</v>
      </c>
      <c r="Q489" s="157"/>
      <c r="R489" s="102"/>
      <c r="S489" s="153"/>
      <c r="T489" s="290" t="s">
        <v>2461</v>
      </c>
      <c r="U489" s="290" t="s">
        <v>3500</v>
      </c>
      <c r="AA489"/>
      <c r="AB489"/>
      <c r="AC489" s="283"/>
      <c r="AD489" s="42"/>
    </row>
    <row r="490" spans="3:30" ht="10.5" customHeight="1">
      <c r="C490" s="1181" t="s">
        <v>4820</v>
      </c>
      <c r="D490" s="1178">
        <v>0</v>
      </c>
      <c r="E490" s="1178">
        <v>1</v>
      </c>
      <c r="F490" s="1179">
        <v>1</v>
      </c>
      <c r="G490" s="1189" t="s">
        <v>4820</v>
      </c>
      <c r="H490" s="1176">
        <v>0</v>
      </c>
      <c r="I490" s="1176">
        <v>0</v>
      </c>
      <c r="J490" s="1190">
        <v>0</v>
      </c>
      <c r="K490" s="1180"/>
      <c r="L490" s="1174">
        <v>13045910800</v>
      </c>
      <c r="M490" s="1175">
        <v>0</v>
      </c>
      <c r="N490" s="1175">
        <v>1</v>
      </c>
      <c r="O490" s="1175">
        <v>1</v>
      </c>
      <c r="P490" s="157" t="s">
        <v>4821</v>
      </c>
      <c r="Q490" s="157"/>
      <c r="R490" s="102"/>
      <c r="S490" s="153"/>
      <c r="T490" s="290" t="s">
        <v>2025</v>
      </c>
      <c r="U490" s="290" t="s">
        <v>3824</v>
      </c>
      <c r="AA490"/>
      <c r="AB490"/>
      <c r="AC490" s="283"/>
      <c r="AD490" s="42"/>
    </row>
    <row r="491" spans="3:30" ht="10.5" customHeight="1">
      <c r="C491" s="1181" t="s">
        <v>4822</v>
      </c>
      <c r="D491" s="1178">
        <v>0</v>
      </c>
      <c r="E491" s="1178">
        <v>1</v>
      </c>
      <c r="F491" s="1179">
        <v>1</v>
      </c>
      <c r="G491" s="1189" t="s">
        <v>4822</v>
      </c>
      <c r="H491" s="1176">
        <v>0</v>
      </c>
      <c r="I491" s="1176">
        <v>1</v>
      </c>
      <c r="J491" s="1190">
        <v>1</v>
      </c>
      <c r="K491" s="1180"/>
      <c r="L491" s="1174">
        <v>13045910900</v>
      </c>
      <c r="M491" s="1175">
        <v>0</v>
      </c>
      <c r="N491" s="1175">
        <v>1</v>
      </c>
      <c r="O491" s="1175">
        <v>1</v>
      </c>
      <c r="P491" s="157" t="s">
        <v>4823</v>
      </c>
      <c r="Q491" s="157"/>
      <c r="R491" s="102"/>
      <c r="S491" s="153"/>
      <c r="T491" s="290" t="s">
        <v>4824</v>
      </c>
      <c r="U491" s="290" t="s">
        <v>4124</v>
      </c>
      <c r="AA491"/>
      <c r="AB491"/>
      <c r="AC491" s="283"/>
      <c r="AD491" s="42"/>
    </row>
    <row r="492" spans="3:30" ht="10.5" customHeight="1">
      <c r="C492" s="1181" t="s">
        <v>4825</v>
      </c>
      <c r="D492" s="1178">
        <v>1</v>
      </c>
      <c r="E492" s="1178">
        <v>1</v>
      </c>
      <c r="F492" s="1179">
        <v>2</v>
      </c>
      <c r="G492" s="1189" t="s">
        <v>4825</v>
      </c>
      <c r="H492" s="1176">
        <v>1</v>
      </c>
      <c r="I492" s="1176">
        <v>1</v>
      </c>
      <c r="J492" s="1190">
        <v>2</v>
      </c>
      <c r="K492" s="1180"/>
      <c r="L492" s="1174">
        <v>13045911000</v>
      </c>
      <c r="M492" s="1175">
        <v>1</v>
      </c>
      <c r="N492" s="1175">
        <v>1</v>
      </c>
      <c r="O492" s="1175">
        <v>2</v>
      </c>
      <c r="P492" s="157" t="s">
        <v>4826</v>
      </c>
      <c r="Q492" s="157"/>
      <c r="R492" s="102"/>
      <c r="S492" s="153"/>
      <c r="T492" s="290" t="s">
        <v>4221</v>
      </c>
      <c r="U492" s="290" t="s">
        <v>4012</v>
      </c>
      <c r="AA492"/>
      <c r="AB492"/>
      <c r="AC492" s="283"/>
      <c r="AD492" s="42"/>
    </row>
    <row r="493" spans="3:30" ht="10.5" customHeight="1">
      <c r="C493" s="1181" t="s">
        <v>4827</v>
      </c>
      <c r="D493" s="1178">
        <v>1</v>
      </c>
      <c r="E493" s="1178">
        <v>1</v>
      </c>
      <c r="F493" s="1179">
        <v>2</v>
      </c>
      <c r="G493" s="1189" t="s">
        <v>4827</v>
      </c>
      <c r="H493" s="1176">
        <v>0</v>
      </c>
      <c r="I493" s="1176">
        <v>1</v>
      </c>
      <c r="J493" s="1190">
        <v>1</v>
      </c>
      <c r="K493" s="1180"/>
      <c r="L493" s="1174">
        <v>13045911100</v>
      </c>
      <c r="M493" s="1175">
        <v>1</v>
      </c>
      <c r="N493" s="1175">
        <v>1</v>
      </c>
      <c r="O493" s="1175">
        <v>2</v>
      </c>
      <c r="P493" s="157" t="s">
        <v>4828</v>
      </c>
      <c r="Q493" s="157"/>
      <c r="R493" s="102"/>
      <c r="S493" s="153"/>
      <c r="T493" s="290" t="s">
        <v>4829</v>
      </c>
      <c r="U493" s="290" t="s">
        <v>4054</v>
      </c>
      <c r="AA493"/>
      <c r="AB493"/>
      <c r="AC493" s="283"/>
      <c r="AD493" s="42"/>
    </row>
    <row r="494" spans="3:30" ht="10.5" customHeight="1">
      <c r="C494" s="1181" t="s">
        <v>4830</v>
      </c>
      <c r="D494" s="1178">
        <v>0</v>
      </c>
      <c r="E494" s="1178">
        <v>0</v>
      </c>
      <c r="F494" s="1179">
        <v>0</v>
      </c>
      <c r="G494" s="1189" t="s">
        <v>4830</v>
      </c>
      <c r="H494" s="1176">
        <v>0</v>
      </c>
      <c r="I494" s="1176">
        <v>0</v>
      </c>
      <c r="J494" s="1190">
        <v>0</v>
      </c>
      <c r="K494" s="1180"/>
      <c r="L494" s="1174">
        <v>13045911200</v>
      </c>
      <c r="M494" s="1175">
        <v>0</v>
      </c>
      <c r="N494" s="1175">
        <v>0</v>
      </c>
      <c r="O494" s="1175">
        <v>0</v>
      </c>
      <c r="P494" s="157" t="s">
        <v>4831</v>
      </c>
      <c r="Q494" s="157"/>
      <c r="R494" s="102"/>
      <c r="S494" s="153"/>
      <c r="T494" s="290" t="s">
        <v>4226</v>
      </c>
      <c r="U494" s="290" t="s">
        <v>118</v>
      </c>
      <c r="AA494"/>
      <c r="AB494"/>
      <c r="AC494" s="283"/>
      <c r="AD494" s="42"/>
    </row>
    <row r="495" spans="3:30" ht="10.5" customHeight="1">
      <c r="C495" s="1181" t="s">
        <v>4832</v>
      </c>
      <c r="D495" s="1178">
        <v>0</v>
      </c>
      <c r="E495" s="1178">
        <v>0</v>
      </c>
      <c r="F495" s="1179">
        <v>0</v>
      </c>
      <c r="G495" s="1189" t="s">
        <v>4832</v>
      </c>
      <c r="H495" s="1176">
        <v>0</v>
      </c>
      <c r="I495" s="1176">
        <v>0</v>
      </c>
      <c r="J495" s="1190">
        <v>0</v>
      </c>
      <c r="K495" s="1180"/>
      <c r="L495" s="1174">
        <v>13047030100</v>
      </c>
      <c r="M495" s="1175">
        <v>0</v>
      </c>
      <c r="N495" s="1175">
        <v>0</v>
      </c>
      <c r="O495" s="1175">
        <v>0</v>
      </c>
      <c r="P495" s="157" t="s">
        <v>4833</v>
      </c>
      <c r="Q495" s="157"/>
      <c r="R495" s="102"/>
      <c r="S495" s="153"/>
      <c r="T495" s="328" t="s">
        <v>4231</v>
      </c>
      <c r="U495" s="290" t="s">
        <v>2461</v>
      </c>
      <c r="AA495"/>
      <c r="AB495"/>
      <c r="AC495" s="562"/>
      <c r="AD495" s="42"/>
    </row>
    <row r="496" spans="3:30" ht="10.5" customHeight="1">
      <c r="C496" s="1181" t="s">
        <v>4834</v>
      </c>
      <c r="D496" s="1178">
        <v>1</v>
      </c>
      <c r="E496" s="1178">
        <v>0</v>
      </c>
      <c r="F496" s="1179">
        <v>1</v>
      </c>
      <c r="G496" s="1189" t="s">
        <v>4834</v>
      </c>
      <c r="H496" s="1176">
        <v>0</v>
      </c>
      <c r="I496" s="1176">
        <v>0</v>
      </c>
      <c r="J496" s="1190">
        <v>0</v>
      </c>
      <c r="K496" s="1180"/>
      <c r="L496" s="1174">
        <v>13047030201</v>
      </c>
      <c r="M496" s="1175">
        <v>1</v>
      </c>
      <c r="N496" s="1175">
        <v>0</v>
      </c>
      <c r="O496" s="1175">
        <v>1</v>
      </c>
      <c r="P496" s="157" t="s">
        <v>4835</v>
      </c>
      <c r="Q496" s="157"/>
      <c r="R496" s="102"/>
      <c r="S496" s="153"/>
      <c r="T496" s="328" t="s">
        <v>4836</v>
      </c>
      <c r="U496" s="290" t="s">
        <v>3652</v>
      </c>
      <c r="AA496"/>
      <c r="AB496"/>
      <c r="AC496" s="562"/>
      <c r="AD496" s="42"/>
    </row>
    <row r="497" spans="3:30" ht="10.5" customHeight="1">
      <c r="C497" s="1181" t="s">
        <v>4837</v>
      </c>
      <c r="D497" s="1178">
        <v>1</v>
      </c>
      <c r="E497" s="1178">
        <v>1</v>
      </c>
      <c r="F497" s="1179">
        <v>2</v>
      </c>
      <c r="G497" s="1189" t="s">
        <v>4837</v>
      </c>
      <c r="H497" s="1176">
        <v>1</v>
      </c>
      <c r="I497" s="1176">
        <v>1</v>
      </c>
      <c r="J497" s="1190">
        <v>2</v>
      </c>
      <c r="K497" s="1180"/>
      <c r="L497" s="1174">
        <v>13047030202</v>
      </c>
      <c r="M497" s="1175">
        <v>1</v>
      </c>
      <c r="N497" s="1175">
        <v>1</v>
      </c>
      <c r="O497" s="1175">
        <v>2</v>
      </c>
      <c r="P497" s="157" t="s">
        <v>4838</v>
      </c>
      <c r="Q497" s="157"/>
      <c r="R497" s="102"/>
      <c r="S497" s="153"/>
      <c r="T497" s="290" t="s">
        <v>145</v>
      </c>
      <c r="U497" s="290" t="s">
        <v>115</v>
      </c>
      <c r="AA497"/>
      <c r="AB497"/>
      <c r="AC497" s="283"/>
      <c r="AD497" s="42"/>
    </row>
    <row r="498" spans="3:30" ht="10.5" customHeight="1">
      <c r="C498" s="1181" t="s">
        <v>4839</v>
      </c>
      <c r="D498" s="1178">
        <v>1</v>
      </c>
      <c r="E498" s="1178">
        <v>1</v>
      </c>
      <c r="F498" s="1179">
        <v>2</v>
      </c>
      <c r="G498" s="1189" t="s">
        <v>4839</v>
      </c>
      <c r="H498" s="1176">
        <v>1</v>
      </c>
      <c r="I498" s="1176">
        <v>1</v>
      </c>
      <c r="J498" s="1190">
        <v>2</v>
      </c>
      <c r="K498" s="1180"/>
      <c r="L498" s="1174">
        <v>13047030301</v>
      </c>
      <c r="M498" s="1175">
        <v>1</v>
      </c>
      <c r="N498" s="1175">
        <v>1</v>
      </c>
      <c r="O498" s="1175">
        <v>2</v>
      </c>
      <c r="P498" s="157" t="s">
        <v>4840</v>
      </c>
      <c r="Q498" s="157"/>
      <c r="R498" s="102"/>
      <c r="S498" s="153"/>
      <c r="T498" s="290" t="s">
        <v>4841</v>
      </c>
      <c r="U498" s="290" t="s">
        <v>3658</v>
      </c>
      <c r="AA498"/>
      <c r="AB498"/>
      <c r="AC498" s="283"/>
      <c r="AD498" s="42"/>
    </row>
    <row r="499" spans="3:30" ht="10.5" customHeight="1">
      <c r="C499" s="1181" t="s">
        <v>4842</v>
      </c>
      <c r="D499" s="1178">
        <v>1</v>
      </c>
      <c r="E499" s="1178">
        <v>1</v>
      </c>
      <c r="F499" s="1179">
        <v>2</v>
      </c>
      <c r="G499" s="1189" t="s">
        <v>4842</v>
      </c>
      <c r="H499" s="1176">
        <v>1</v>
      </c>
      <c r="I499" s="1176">
        <v>0</v>
      </c>
      <c r="J499" s="1190">
        <v>1</v>
      </c>
      <c r="K499" s="1180"/>
      <c r="L499" s="1174">
        <v>13047030303</v>
      </c>
      <c r="M499" s="1175">
        <v>1</v>
      </c>
      <c r="N499" s="1175">
        <v>1</v>
      </c>
      <c r="O499" s="1175">
        <v>2</v>
      </c>
      <c r="P499" s="157" t="s">
        <v>4843</v>
      </c>
      <c r="Q499" s="157"/>
      <c r="R499" s="102"/>
      <c r="S499" s="153"/>
      <c r="T499" s="290" t="s">
        <v>4844</v>
      </c>
      <c r="U499" s="290" t="s">
        <v>3607</v>
      </c>
      <c r="AA499"/>
      <c r="AB499"/>
      <c r="AC499" s="283"/>
      <c r="AD499" s="42"/>
    </row>
    <row r="500" spans="3:30" ht="10.5" customHeight="1">
      <c r="C500" s="1181" t="s">
        <v>4845</v>
      </c>
      <c r="D500" s="1178">
        <v>1</v>
      </c>
      <c r="E500" s="1178">
        <v>1</v>
      </c>
      <c r="F500" s="1179">
        <v>2</v>
      </c>
      <c r="G500" s="1189" t="s">
        <v>4845</v>
      </c>
      <c r="H500" s="1176">
        <v>1</v>
      </c>
      <c r="I500" s="1176">
        <v>1</v>
      </c>
      <c r="J500" s="1190">
        <v>2</v>
      </c>
      <c r="K500" s="1180"/>
      <c r="L500" s="1174">
        <v>13047030304</v>
      </c>
      <c r="M500" s="1175">
        <v>1</v>
      </c>
      <c r="N500" s="1175">
        <v>1</v>
      </c>
      <c r="O500" s="1175">
        <v>2</v>
      </c>
      <c r="P500" s="157" t="s">
        <v>4846</v>
      </c>
      <c r="Q500" s="157"/>
      <c r="R500" s="102"/>
      <c r="S500" s="153"/>
      <c r="T500" s="290" t="s">
        <v>4238</v>
      </c>
      <c r="U500" s="290" t="s">
        <v>3470</v>
      </c>
      <c r="AA500"/>
      <c r="AB500"/>
      <c r="AC500" s="283"/>
      <c r="AD500" s="42"/>
    </row>
    <row r="501" spans="3:30" ht="10.5" customHeight="1">
      <c r="C501" s="1181" t="s">
        <v>4847</v>
      </c>
      <c r="D501" s="1178">
        <v>1</v>
      </c>
      <c r="E501" s="1178">
        <v>1</v>
      </c>
      <c r="F501" s="1179">
        <v>2</v>
      </c>
      <c r="G501" s="1189" t="s">
        <v>4847</v>
      </c>
      <c r="H501" s="1176">
        <v>1</v>
      </c>
      <c r="I501" s="1176">
        <v>1</v>
      </c>
      <c r="J501" s="1190">
        <v>2</v>
      </c>
      <c r="K501" s="1180"/>
      <c r="L501" s="1174">
        <v>13047030401</v>
      </c>
      <c r="M501" s="1175">
        <v>1</v>
      </c>
      <c r="N501" s="1175">
        <v>1</v>
      </c>
      <c r="O501" s="1175">
        <v>2</v>
      </c>
      <c r="P501" s="157" t="s">
        <v>4848</v>
      </c>
      <c r="Q501" s="157"/>
      <c r="R501" s="102"/>
      <c r="S501" s="153"/>
      <c r="T501" s="153" t="s">
        <v>4849</v>
      </c>
      <c r="U501" s="153" t="s">
        <v>3765</v>
      </c>
      <c r="AA501"/>
      <c r="AB501"/>
      <c r="AC501" s="42"/>
      <c r="AD501" s="42"/>
    </row>
    <row r="502" spans="3:30" ht="10.5" customHeight="1">
      <c r="C502" s="1181" t="s">
        <v>4850</v>
      </c>
      <c r="D502" s="1178">
        <v>0</v>
      </c>
      <c r="E502" s="1178">
        <v>0</v>
      </c>
      <c r="F502" s="1179">
        <v>0</v>
      </c>
      <c r="G502" s="1189" t="s">
        <v>4850</v>
      </c>
      <c r="H502" s="1176">
        <v>1</v>
      </c>
      <c r="I502" s="1176">
        <v>0</v>
      </c>
      <c r="J502" s="1190">
        <v>0</v>
      </c>
      <c r="K502" s="1180"/>
      <c r="L502" s="1174">
        <v>13047030402</v>
      </c>
      <c r="M502" s="1175">
        <v>1</v>
      </c>
      <c r="N502" s="1175">
        <v>0</v>
      </c>
      <c r="O502" s="1175">
        <v>0</v>
      </c>
      <c r="P502" s="157" t="s">
        <v>4851</v>
      </c>
      <c r="Q502" s="157"/>
      <c r="R502" s="102"/>
      <c r="S502" s="153"/>
      <c r="T502" s="290" t="s">
        <v>4852</v>
      </c>
      <c r="U502" s="290" t="s">
        <v>96</v>
      </c>
      <c r="AA502"/>
      <c r="AB502"/>
      <c r="AC502" s="283"/>
      <c r="AD502" s="42"/>
    </row>
    <row r="503" spans="3:30" ht="10.5" customHeight="1">
      <c r="C503" s="1181" t="s">
        <v>4853</v>
      </c>
      <c r="D503" s="1178">
        <v>1</v>
      </c>
      <c r="E503" s="1178">
        <v>0</v>
      </c>
      <c r="F503" s="1179">
        <v>1</v>
      </c>
      <c r="G503" s="1189" t="s">
        <v>4853</v>
      </c>
      <c r="H503" s="1176">
        <v>0</v>
      </c>
      <c r="I503" s="1176">
        <v>0</v>
      </c>
      <c r="J503" s="1190">
        <v>0</v>
      </c>
      <c r="K503" s="1180"/>
      <c r="L503" s="1174">
        <v>13047030500</v>
      </c>
      <c r="M503" s="1175">
        <v>1</v>
      </c>
      <c r="N503" s="1175">
        <v>0</v>
      </c>
      <c r="O503" s="1175">
        <v>1</v>
      </c>
      <c r="P503" s="157" t="s">
        <v>4854</v>
      </c>
      <c r="Q503" s="157"/>
      <c r="R503" s="102"/>
      <c r="S503" s="153"/>
      <c r="T503" s="290" t="s">
        <v>4855</v>
      </c>
      <c r="U503" s="290" t="s">
        <v>3520</v>
      </c>
      <c r="AA503"/>
      <c r="AB503"/>
      <c r="AC503" s="283"/>
      <c r="AD503" s="42"/>
    </row>
    <row r="504" spans="3:30" ht="10.5" customHeight="1">
      <c r="C504" s="1181" t="s">
        <v>4856</v>
      </c>
      <c r="D504" s="1178">
        <v>0</v>
      </c>
      <c r="E504" s="1178">
        <v>0</v>
      </c>
      <c r="F504" s="1179">
        <v>0</v>
      </c>
      <c r="G504" s="1189" t="s">
        <v>4856</v>
      </c>
      <c r="H504" s="1176">
        <v>1</v>
      </c>
      <c r="I504" s="1176">
        <v>0</v>
      </c>
      <c r="J504" s="1190">
        <v>1</v>
      </c>
      <c r="K504" s="1180"/>
      <c r="L504" s="1174">
        <v>13047030600</v>
      </c>
      <c r="M504" s="1175">
        <v>1</v>
      </c>
      <c r="N504" s="1175">
        <v>0</v>
      </c>
      <c r="O504" s="1175">
        <v>1</v>
      </c>
      <c r="P504" s="157" t="s">
        <v>4857</v>
      </c>
      <c r="Q504" s="157"/>
      <c r="R504" s="102"/>
      <c r="S504" s="153"/>
      <c r="T504" s="153" t="s">
        <v>2026</v>
      </c>
      <c r="U504" s="153" t="s">
        <v>4184</v>
      </c>
      <c r="AA504"/>
      <c r="AB504"/>
      <c r="AC504" s="42"/>
      <c r="AD504" s="42"/>
    </row>
    <row r="505" spans="3:30" ht="10.5" customHeight="1">
      <c r="C505" s="1181" t="s">
        <v>4858</v>
      </c>
      <c r="D505" s="1178">
        <v>0</v>
      </c>
      <c r="E505" s="1178">
        <v>0</v>
      </c>
      <c r="F505" s="1179">
        <v>0</v>
      </c>
      <c r="G505" s="1189" t="s">
        <v>4858</v>
      </c>
      <c r="H505" s="1176">
        <v>0</v>
      </c>
      <c r="I505" s="1176">
        <v>0</v>
      </c>
      <c r="J505" s="1190">
        <v>0</v>
      </c>
      <c r="K505" s="1180"/>
      <c r="L505" s="1174">
        <v>13047030700</v>
      </c>
      <c r="M505" s="1175">
        <v>0</v>
      </c>
      <c r="N505" s="1175">
        <v>0</v>
      </c>
      <c r="O505" s="1175">
        <v>0</v>
      </c>
      <c r="P505" s="157" t="s">
        <v>4859</v>
      </c>
      <c r="Q505" s="157"/>
      <c r="R505" s="102"/>
      <c r="S505" s="153"/>
      <c r="T505" s="290" t="s">
        <v>4860</v>
      </c>
      <c r="U505" s="290" t="s">
        <v>130</v>
      </c>
      <c r="AA505"/>
      <c r="AB505"/>
      <c r="AC505" s="283"/>
      <c r="AD505" s="42"/>
    </row>
    <row r="506" spans="3:30" ht="10.5" customHeight="1">
      <c r="C506" s="1181" t="s">
        <v>4861</v>
      </c>
      <c r="D506" s="1178">
        <v>0</v>
      </c>
      <c r="E506" s="1178">
        <v>0</v>
      </c>
      <c r="F506" s="1179">
        <v>0</v>
      </c>
      <c r="G506" s="1189" t="s">
        <v>4861</v>
      </c>
      <c r="H506" s="1176">
        <v>0</v>
      </c>
      <c r="I506" s="1176">
        <v>0</v>
      </c>
      <c r="J506" s="1190">
        <v>0</v>
      </c>
      <c r="K506" s="1180"/>
      <c r="L506" s="1174">
        <v>13049010100</v>
      </c>
      <c r="M506" s="1175">
        <v>0</v>
      </c>
      <c r="N506" s="1175">
        <v>0</v>
      </c>
      <c r="O506" s="1175">
        <v>0</v>
      </c>
      <c r="P506" s="157" t="s">
        <v>4862</v>
      </c>
      <c r="Q506" s="157"/>
      <c r="R506" s="102"/>
      <c r="S506" s="153"/>
      <c r="T506" s="290" t="s">
        <v>4863</v>
      </c>
      <c r="U506" s="290" t="s">
        <v>3700</v>
      </c>
      <c r="AA506"/>
      <c r="AB506"/>
      <c r="AC506" s="283"/>
      <c r="AD506" s="42"/>
    </row>
    <row r="507" spans="3:30" ht="10.5" customHeight="1">
      <c r="C507" s="1181" t="s">
        <v>4864</v>
      </c>
      <c r="D507" s="1178">
        <v>0</v>
      </c>
      <c r="E507" s="1178">
        <v>0</v>
      </c>
      <c r="F507" s="1179">
        <v>0</v>
      </c>
      <c r="G507" s="1189" t="s">
        <v>4864</v>
      </c>
      <c r="H507" s="1176">
        <v>0</v>
      </c>
      <c r="I507" s="1176">
        <v>0</v>
      </c>
      <c r="J507" s="1190">
        <v>0</v>
      </c>
      <c r="K507" s="1180"/>
      <c r="L507" s="1174">
        <v>13049010200</v>
      </c>
      <c r="M507" s="1175">
        <v>0</v>
      </c>
      <c r="N507" s="1175">
        <v>0</v>
      </c>
      <c r="O507" s="1175">
        <v>0</v>
      </c>
      <c r="P507" s="157" t="s">
        <v>4865</v>
      </c>
      <c r="Q507" s="157"/>
      <c r="R507" s="102"/>
      <c r="S507" s="153"/>
      <c r="T507" s="290" t="s">
        <v>4866</v>
      </c>
      <c r="U507" s="290" t="s">
        <v>4124</v>
      </c>
      <c r="AA507"/>
      <c r="AB507"/>
      <c r="AC507" s="283"/>
      <c r="AD507" s="42"/>
    </row>
    <row r="508" spans="3:30" ht="10.5" customHeight="1">
      <c r="C508" s="1181" t="s">
        <v>4867</v>
      </c>
      <c r="D508" s="1178">
        <v>0</v>
      </c>
      <c r="E508" s="1178">
        <v>0</v>
      </c>
      <c r="F508" s="1179">
        <v>0</v>
      </c>
      <c r="G508" s="1189" t="s">
        <v>4867</v>
      </c>
      <c r="H508" s="1176">
        <v>0</v>
      </c>
      <c r="I508" s="1176" t="s">
        <v>4455</v>
      </c>
      <c r="J508" s="1190">
        <v>0</v>
      </c>
      <c r="K508" s="1180"/>
      <c r="L508" s="1174">
        <v>13051000100</v>
      </c>
      <c r="M508" s="1175">
        <v>0</v>
      </c>
      <c r="N508" s="1175">
        <v>0</v>
      </c>
      <c r="O508" s="1175">
        <v>0</v>
      </c>
      <c r="P508" s="157" t="s">
        <v>4868</v>
      </c>
      <c r="Q508" s="157"/>
      <c r="R508" s="102"/>
      <c r="S508" s="153"/>
      <c r="T508" s="290" t="s">
        <v>4869</v>
      </c>
      <c r="U508" s="290" t="s">
        <v>3602</v>
      </c>
      <c r="AA508"/>
      <c r="AB508"/>
      <c r="AC508" s="283"/>
      <c r="AD508" s="42"/>
    </row>
    <row r="509" spans="3:30" ht="10.5" customHeight="1">
      <c r="C509" s="1181" t="s">
        <v>4870</v>
      </c>
      <c r="D509" s="1178">
        <v>1</v>
      </c>
      <c r="E509" s="1178">
        <v>1</v>
      </c>
      <c r="F509" s="1179">
        <v>2</v>
      </c>
      <c r="G509" s="1189" t="s">
        <v>4870</v>
      </c>
      <c r="H509" s="1176">
        <v>1</v>
      </c>
      <c r="I509" s="1176">
        <v>1</v>
      </c>
      <c r="J509" s="1190">
        <v>2</v>
      </c>
      <c r="K509" s="1180"/>
      <c r="L509" s="1174">
        <v>13051000300</v>
      </c>
      <c r="M509" s="1175">
        <v>1</v>
      </c>
      <c r="N509" s="1175">
        <v>1</v>
      </c>
      <c r="O509" s="1175">
        <v>2</v>
      </c>
      <c r="P509" s="157" t="s">
        <v>4871</v>
      </c>
      <c r="Q509" s="157"/>
      <c r="R509" s="102"/>
      <c r="S509" s="153"/>
      <c r="T509" s="290" t="s">
        <v>4250</v>
      </c>
      <c r="U509" s="290" t="s">
        <v>3564</v>
      </c>
      <c r="AA509"/>
      <c r="AB509"/>
      <c r="AC509" s="283"/>
      <c r="AD509" s="42"/>
    </row>
    <row r="510" spans="3:30" ht="10.5" customHeight="1">
      <c r="C510" s="1181" t="s">
        <v>4872</v>
      </c>
      <c r="D510" s="1178">
        <v>0</v>
      </c>
      <c r="E510" s="1178">
        <v>0</v>
      </c>
      <c r="F510" s="1179">
        <v>0</v>
      </c>
      <c r="G510" s="1189" t="s">
        <v>4872</v>
      </c>
      <c r="H510" s="1176">
        <v>0</v>
      </c>
      <c r="I510" s="1176">
        <v>0</v>
      </c>
      <c r="J510" s="1190">
        <v>0</v>
      </c>
      <c r="K510" s="1180"/>
      <c r="L510" s="1174">
        <v>13051000601</v>
      </c>
      <c r="M510" s="1175">
        <v>0</v>
      </c>
      <c r="N510" s="1175">
        <v>0</v>
      </c>
      <c r="O510" s="1175">
        <v>0</v>
      </c>
      <c r="P510" s="157" t="s">
        <v>4873</v>
      </c>
      <c r="Q510" s="157"/>
      <c r="R510" s="102"/>
      <c r="S510" s="153"/>
      <c r="T510" s="290" t="s">
        <v>4255</v>
      </c>
      <c r="U510" s="290" t="s">
        <v>3538</v>
      </c>
      <c r="AA510"/>
      <c r="AB510"/>
      <c r="AC510" s="283"/>
      <c r="AD510" s="42"/>
    </row>
    <row r="511" spans="3:30" ht="10.5" customHeight="1">
      <c r="C511" s="1181" t="s">
        <v>4874</v>
      </c>
      <c r="D511" s="1178">
        <v>0</v>
      </c>
      <c r="E511" s="1178">
        <v>0</v>
      </c>
      <c r="F511" s="1179">
        <v>0</v>
      </c>
      <c r="G511" s="1189" t="s">
        <v>4874</v>
      </c>
      <c r="H511" s="1176">
        <v>0</v>
      </c>
      <c r="I511" s="1176">
        <v>1</v>
      </c>
      <c r="J511" s="1190">
        <v>1</v>
      </c>
      <c r="K511" s="1180"/>
      <c r="L511" s="1174">
        <v>13051000900</v>
      </c>
      <c r="M511" s="1175">
        <v>0</v>
      </c>
      <c r="N511" s="1175">
        <v>1</v>
      </c>
      <c r="O511" s="1175">
        <v>1</v>
      </c>
      <c r="P511" s="157" t="s">
        <v>4875</v>
      </c>
      <c r="Q511" s="157"/>
      <c r="R511" s="102"/>
      <c r="S511" s="153"/>
      <c r="T511" s="290" t="s">
        <v>4876</v>
      </c>
      <c r="U511" s="290" t="s">
        <v>121</v>
      </c>
      <c r="AA511"/>
      <c r="AB511"/>
      <c r="AC511" s="283"/>
      <c r="AD511" s="42"/>
    </row>
    <row r="512" spans="3:30" ht="10.5" customHeight="1">
      <c r="C512" s="1181" t="s">
        <v>4877</v>
      </c>
      <c r="D512" s="1178">
        <v>0</v>
      </c>
      <c r="E512" s="1178">
        <v>0</v>
      </c>
      <c r="F512" s="1179">
        <v>0</v>
      </c>
      <c r="G512" s="1189" t="s">
        <v>4877</v>
      </c>
      <c r="H512" s="1176">
        <v>0</v>
      </c>
      <c r="I512" s="1176">
        <v>0</v>
      </c>
      <c r="J512" s="1190">
        <v>0</v>
      </c>
      <c r="K512" s="1180"/>
      <c r="L512" s="1174">
        <v>13051001100</v>
      </c>
      <c r="M512" s="1175">
        <v>0</v>
      </c>
      <c r="N512" s="1175">
        <v>0</v>
      </c>
      <c r="O512" s="1175">
        <v>0</v>
      </c>
      <c r="P512" s="157" t="s">
        <v>4878</v>
      </c>
      <c r="Q512" s="157"/>
      <c r="R512" s="102"/>
      <c r="S512" s="153"/>
      <c r="T512" s="290" t="s">
        <v>4879</v>
      </c>
      <c r="U512" s="290" t="s">
        <v>4184</v>
      </c>
      <c r="AA512"/>
      <c r="AB512"/>
      <c r="AC512" s="283"/>
      <c r="AD512" s="42"/>
    </row>
    <row r="513" spans="3:30" ht="10.5" customHeight="1">
      <c r="C513" s="1181" t="s">
        <v>4880</v>
      </c>
      <c r="D513" s="1178">
        <v>0</v>
      </c>
      <c r="E513" s="1178">
        <v>0</v>
      </c>
      <c r="F513" s="1179">
        <v>0</v>
      </c>
      <c r="G513" s="1189" t="s">
        <v>4880</v>
      </c>
      <c r="H513" s="1176">
        <v>0</v>
      </c>
      <c r="I513" s="1176">
        <v>0</v>
      </c>
      <c r="J513" s="1190">
        <v>0</v>
      </c>
      <c r="K513" s="1180"/>
      <c r="L513" s="1174">
        <v>13051001200</v>
      </c>
      <c r="M513" s="1175">
        <v>0</v>
      </c>
      <c r="N513" s="1175">
        <v>0</v>
      </c>
      <c r="O513" s="1175">
        <v>0</v>
      </c>
      <c r="P513" s="157" t="s">
        <v>4881</v>
      </c>
      <c r="Q513" s="157"/>
      <c r="R513" s="102"/>
      <c r="S513" s="153"/>
      <c r="T513" s="290" t="s">
        <v>4260</v>
      </c>
      <c r="U513" s="290" t="s">
        <v>3462</v>
      </c>
      <c r="AA513"/>
      <c r="AB513"/>
      <c r="AC513" s="283"/>
      <c r="AD513" s="42"/>
    </row>
    <row r="514" spans="3:30" ht="10.5" customHeight="1">
      <c r="C514" s="1181" t="s">
        <v>4882</v>
      </c>
      <c r="D514" s="1178">
        <v>0</v>
      </c>
      <c r="E514" s="1178">
        <v>0</v>
      </c>
      <c r="F514" s="1179">
        <v>0</v>
      </c>
      <c r="G514" s="1189" t="s">
        <v>4882</v>
      </c>
      <c r="H514" s="1176">
        <v>0</v>
      </c>
      <c r="I514" s="1176" t="s">
        <v>4455</v>
      </c>
      <c r="J514" s="1190">
        <v>0</v>
      </c>
      <c r="K514" s="1180"/>
      <c r="L514" s="1174">
        <v>13051001500</v>
      </c>
      <c r="M514" s="1175">
        <v>0</v>
      </c>
      <c r="N514" s="1175">
        <v>0</v>
      </c>
      <c r="O514" s="1175">
        <v>0</v>
      </c>
      <c r="P514" s="157" t="s">
        <v>4883</v>
      </c>
      <c r="Q514" s="157"/>
      <c r="R514" s="102"/>
      <c r="S514" s="153"/>
      <c r="T514" s="290" t="s">
        <v>2027</v>
      </c>
      <c r="U514" s="290" t="s">
        <v>3918</v>
      </c>
      <c r="AA514"/>
      <c r="AB514"/>
      <c r="AC514" s="283"/>
      <c r="AD514" s="42"/>
    </row>
    <row r="515" spans="3:30" ht="10.5" customHeight="1">
      <c r="C515" s="1181" t="s">
        <v>4884</v>
      </c>
      <c r="D515" s="1178">
        <v>0</v>
      </c>
      <c r="E515" s="1178">
        <v>0</v>
      </c>
      <c r="F515" s="1179">
        <v>0</v>
      </c>
      <c r="G515" s="1189" t="s">
        <v>4884</v>
      </c>
      <c r="H515" s="1176">
        <v>0</v>
      </c>
      <c r="I515" s="1176">
        <v>0</v>
      </c>
      <c r="J515" s="1190">
        <v>0</v>
      </c>
      <c r="K515" s="1180"/>
      <c r="L515" s="1174">
        <v>13051002000</v>
      </c>
      <c r="M515" s="1175">
        <v>0</v>
      </c>
      <c r="N515" s="1175">
        <v>0</v>
      </c>
      <c r="O515" s="1175">
        <v>0</v>
      </c>
      <c r="P515" s="157" t="s">
        <v>4885</v>
      </c>
      <c r="Q515" s="157"/>
      <c r="R515" s="102"/>
      <c r="S515" s="153"/>
      <c r="T515" s="290" t="s">
        <v>4886</v>
      </c>
      <c r="U515" s="290" t="s">
        <v>3506</v>
      </c>
      <c r="AA515"/>
      <c r="AB515"/>
      <c r="AC515" s="283"/>
      <c r="AD515" s="42"/>
    </row>
    <row r="516" spans="3:30" ht="10.5" customHeight="1">
      <c r="C516" s="1181" t="s">
        <v>4887</v>
      </c>
      <c r="D516" s="1178">
        <v>0</v>
      </c>
      <c r="E516" s="1178">
        <v>0</v>
      </c>
      <c r="F516" s="1179">
        <v>0</v>
      </c>
      <c r="G516" s="1189" t="s">
        <v>4887</v>
      </c>
      <c r="H516" s="1176">
        <v>0</v>
      </c>
      <c r="I516" s="1176">
        <v>0</v>
      </c>
      <c r="J516" s="1190">
        <v>0</v>
      </c>
      <c r="K516" s="1180"/>
      <c r="L516" s="1174">
        <v>13051002100</v>
      </c>
      <c r="M516" s="1175">
        <v>0</v>
      </c>
      <c r="N516" s="1175">
        <v>0</v>
      </c>
      <c r="O516" s="1175">
        <v>0</v>
      </c>
      <c r="P516" s="157" t="s">
        <v>4888</v>
      </c>
      <c r="Q516" s="157"/>
      <c r="R516" s="102"/>
      <c r="S516" s="153"/>
      <c r="T516" s="153" t="s">
        <v>4889</v>
      </c>
      <c r="U516" s="153" t="s">
        <v>151</v>
      </c>
      <c r="AA516"/>
      <c r="AB516"/>
      <c r="AC516" s="42"/>
      <c r="AD516" s="42"/>
    </row>
    <row r="517" spans="3:30" ht="10.5" customHeight="1">
      <c r="C517" s="1181" t="s">
        <v>4890</v>
      </c>
      <c r="D517" s="1178">
        <v>0</v>
      </c>
      <c r="E517" s="1178">
        <v>0</v>
      </c>
      <c r="F517" s="1179">
        <v>0</v>
      </c>
      <c r="G517" s="1189" t="s">
        <v>4890</v>
      </c>
      <c r="H517" s="1176">
        <v>0</v>
      </c>
      <c r="I517" s="1176">
        <v>0</v>
      </c>
      <c r="J517" s="1190">
        <v>0</v>
      </c>
      <c r="K517" s="1180"/>
      <c r="L517" s="1174">
        <v>13051002200</v>
      </c>
      <c r="M517" s="1175">
        <v>0</v>
      </c>
      <c r="N517" s="1175">
        <v>0</v>
      </c>
      <c r="O517" s="1175">
        <v>0</v>
      </c>
      <c r="P517" s="157" t="s">
        <v>4891</v>
      </c>
      <c r="Q517" s="157"/>
      <c r="R517" s="102"/>
      <c r="S517" s="153"/>
      <c r="T517" s="290" t="s">
        <v>4892</v>
      </c>
      <c r="U517" s="290" t="s">
        <v>3765</v>
      </c>
      <c r="AA517"/>
      <c r="AB517"/>
      <c r="AC517" s="283"/>
      <c r="AD517" s="42"/>
    </row>
    <row r="518" spans="3:30" ht="10.5" customHeight="1">
      <c r="C518" s="1181" t="s">
        <v>4893</v>
      </c>
      <c r="D518" s="1178">
        <v>0</v>
      </c>
      <c r="E518" s="1178">
        <v>0</v>
      </c>
      <c r="F518" s="1179">
        <v>0</v>
      </c>
      <c r="G518" s="1189" t="s">
        <v>4893</v>
      </c>
      <c r="H518" s="1176">
        <v>0</v>
      </c>
      <c r="I518" s="1176">
        <v>0</v>
      </c>
      <c r="J518" s="1190">
        <v>0</v>
      </c>
      <c r="K518" s="1180"/>
      <c r="L518" s="1174">
        <v>13051002300</v>
      </c>
      <c r="M518" s="1175">
        <v>0</v>
      </c>
      <c r="N518" s="1175">
        <v>0</v>
      </c>
      <c r="O518" s="1175">
        <v>0</v>
      </c>
      <c r="P518" s="157" t="s">
        <v>4894</v>
      </c>
      <c r="Q518" s="157"/>
      <c r="R518" s="102"/>
      <c r="S518" s="153"/>
      <c r="T518" s="290" t="s">
        <v>3668</v>
      </c>
      <c r="U518" s="290" t="s">
        <v>3802</v>
      </c>
      <c r="AA518"/>
      <c r="AB518"/>
      <c r="AC518" s="283"/>
      <c r="AD518" s="42"/>
    </row>
    <row r="519" spans="3:30" ht="10.5" customHeight="1">
      <c r="C519" s="1181" t="s">
        <v>4895</v>
      </c>
      <c r="D519" s="1178">
        <v>0</v>
      </c>
      <c r="E519" s="1178">
        <v>0</v>
      </c>
      <c r="F519" s="1179">
        <v>0</v>
      </c>
      <c r="G519" s="1189" t="s">
        <v>4895</v>
      </c>
      <c r="H519" s="1176">
        <v>0</v>
      </c>
      <c r="I519" s="1176" t="s">
        <v>4455</v>
      </c>
      <c r="J519" s="1190">
        <v>0</v>
      </c>
      <c r="K519" s="1180"/>
      <c r="L519" s="1174">
        <v>13051002600</v>
      </c>
      <c r="M519" s="1175">
        <v>0</v>
      </c>
      <c r="N519" s="1175">
        <v>0</v>
      </c>
      <c r="O519" s="1175">
        <v>0</v>
      </c>
      <c r="P519" s="157" t="s">
        <v>4896</v>
      </c>
      <c r="Q519" s="157"/>
      <c r="R519" s="102"/>
      <c r="S519" s="153"/>
      <c r="T519" s="290" t="s">
        <v>4897</v>
      </c>
      <c r="U519" s="290" t="s">
        <v>130</v>
      </c>
      <c r="AA519"/>
      <c r="AB519"/>
      <c r="AC519" s="283"/>
      <c r="AD519" s="42"/>
    </row>
    <row r="520" spans="3:30" ht="10.5" customHeight="1">
      <c r="C520" s="1181" t="s">
        <v>4898</v>
      </c>
      <c r="D520" s="1178">
        <v>0</v>
      </c>
      <c r="E520" s="1178">
        <v>0</v>
      </c>
      <c r="F520" s="1179">
        <v>0</v>
      </c>
      <c r="G520" s="1189" t="s">
        <v>4898</v>
      </c>
      <c r="H520" s="1176">
        <v>0</v>
      </c>
      <c r="I520" s="1176">
        <v>0</v>
      </c>
      <c r="J520" s="1190">
        <v>0</v>
      </c>
      <c r="K520" s="1180"/>
      <c r="L520" s="1174">
        <v>13051002700</v>
      </c>
      <c r="M520" s="1175">
        <v>0</v>
      </c>
      <c r="N520" s="1175">
        <v>0</v>
      </c>
      <c r="O520" s="1175">
        <v>0</v>
      </c>
      <c r="P520" s="157" t="s">
        <v>4899</v>
      </c>
      <c r="Q520" s="157"/>
      <c r="R520" s="102"/>
      <c r="S520" s="153"/>
      <c r="T520" s="290" t="s">
        <v>4026</v>
      </c>
      <c r="U520" s="290" t="s">
        <v>3743</v>
      </c>
      <c r="AA520"/>
      <c r="AB520"/>
      <c r="AC520" s="283"/>
      <c r="AD520" s="42"/>
    </row>
    <row r="521" spans="3:30" ht="10.5" customHeight="1">
      <c r="C521" s="1181" t="s">
        <v>4900</v>
      </c>
      <c r="D521" s="1178">
        <v>0</v>
      </c>
      <c r="E521" s="1178">
        <v>0</v>
      </c>
      <c r="F521" s="1179">
        <v>0</v>
      </c>
      <c r="G521" s="1189" t="s">
        <v>4900</v>
      </c>
      <c r="H521" s="1176">
        <v>0</v>
      </c>
      <c r="I521" s="1176">
        <v>0</v>
      </c>
      <c r="J521" s="1190">
        <v>0</v>
      </c>
      <c r="K521" s="1180"/>
      <c r="L521" s="1174">
        <v>13051002800</v>
      </c>
      <c r="M521" s="1175">
        <v>0</v>
      </c>
      <c r="N521" s="1175">
        <v>0</v>
      </c>
      <c r="O521" s="1175">
        <v>0</v>
      </c>
      <c r="P521" s="157" t="s">
        <v>4901</v>
      </c>
      <c r="Q521" s="157"/>
      <c r="R521" s="102"/>
      <c r="S521" s="153"/>
      <c r="T521" s="290" t="s">
        <v>4902</v>
      </c>
      <c r="U521" s="290" t="s">
        <v>2461</v>
      </c>
      <c r="AA521"/>
      <c r="AB521"/>
      <c r="AC521" s="283"/>
      <c r="AD521" s="42"/>
    </row>
    <row r="522" spans="3:30" ht="10.5" customHeight="1">
      <c r="C522" s="1181" t="s">
        <v>4903</v>
      </c>
      <c r="D522" s="1178">
        <v>1</v>
      </c>
      <c r="E522" s="1178">
        <v>1</v>
      </c>
      <c r="F522" s="1179">
        <v>2</v>
      </c>
      <c r="G522" s="1189" t="s">
        <v>4903</v>
      </c>
      <c r="H522" s="1176">
        <v>1</v>
      </c>
      <c r="I522" s="1176">
        <v>1</v>
      </c>
      <c r="J522" s="1190">
        <v>2</v>
      </c>
      <c r="K522" s="1180"/>
      <c r="L522" s="1174">
        <v>13051002900</v>
      </c>
      <c r="M522" s="1175">
        <v>1</v>
      </c>
      <c r="N522" s="1175">
        <v>1</v>
      </c>
      <c r="O522" s="1175">
        <v>2</v>
      </c>
      <c r="P522" s="157" t="s">
        <v>4904</v>
      </c>
      <c r="Q522" s="157"/>
      <c r="R522" s="102"/>
      <c r="S522" s="153"/>
      <c r="T522" s="290" t="s">
        <v>147</v>
      </c>
      <c r="U522" s="290" t="s">
        <v>135</v>
      </c>
      <c r="AA522"/>
      <c r="AB522"/>
      <c r="AC522" s="283"/>
      <c r="AD522" s="42"/>
    </row>
    <row r="523" spans="3:30" ht="10.5" customHeight="1">
      <c r="C523" s="1181" t="s">
        <v>4905</v>
      </c>
      <c r="D523" s="1178">
        <v>1</v>
      </c>
      <c r="E523" s="1178">
        <v>1</v>
      </c>
      <c r="F523" s="1179">
        <v>2</v>
      </c>
      <c r="G523" s="1189" t="s">
        <v>4905</v>
      </c>
      <c r="H523" s="1176">
        <v>1</v>
      </c>
      <c r="I523" s="1176">
        <v>0</v>
      </c>
      <c r="J523" s="1190">
        <v>1</v>
      </c>
      <c r="K523" s="1180"/>
      <c r="L523" s="1174">
        <v>13051003000</v>
      </c>
      <c r="M523" s="1175">
        <v>1</v>
      </c>
      <c r="N523" s="1175">
        <v>1</v>
      </c>
      <c r="O523" s="1175">
        <v>2</v>
      </c>
      <c r="P523" s="157" t="s">
        <v>4906</v>
      </c>
      <c r="Q523" s="157"/>
      <c r="R523" s="102"/>
      <c r="S523" s="153"/>
      <c r="T523" s="290" t="s">
        <v>4907</v>
      </c>
      <c r="U523" s="290" t="s">
        <v>3900</v>
      </c>
      <c r="AA523"/>
      <c r="AB523"/>
      <c r="AC523" s="283"/>
      <c r="AD523" s="42"/>
    </row>
    <row r="524" spans="3:30" ht="10.5" customHeight="1">
      <c r="C524" s="1181" t="s">
        <v>4908</v>
      </c>
      <c r="D524" s="1178">
        <v>0</v>
      </c>
      <c r="E524" s="1178">
        <v>0</v>
      </c>
      <c r="F524" s="1179">
        <v>0</v>
      </c>
      <c r="G524" s="1189" t="s">
        <v>4908</v>
      </c>
      <c r="H524" s="1176">
        <v>0</v>
      </c>
      <c r="I524" s="1176">
        <v>0</v>
      </c>
      <c r="J524" s="1190">
        <v>0</v>
      </c>
      <c r="K524" s="1180"/>
      <c r="L524" s="1174">
        <v>13051003301</v>
      </c>
      <c r="M524" s="1175">
        <v>0</v>
      </c>
      <c r="N524" s="1175">
        <v>0</v>
      </c>
      <c r="O524" s="1175">
        <v>0</v>
      </c>
      <c r="P524" s="157" t="s">
        <v>4909</v>
      </c>
      <c r="Q524" s="157"/>
      <c r="R524" s="102"/>
      <c r="S524" s="153"/>
      <c r="T524" s="290" t="s">
        <v>4910</v>
      </c>
      <c r="U524" s="290" t="s">
        <v>3944</v>
      </c>
      <c r="AA524"/>
      <c r="AB524"/>
      <c r="AC524" s="283"/>
      <c r="AD524" s="42"/>
    </row>
    <row r="525" spans="3:30" ht="10.5" customHeight="1">
      <c r="C525" s="1181" t="s">
        <v>4911</v>
      </c>
      <c r="D525" s="1178">
        <v>0</v>
      </c>
      <c r="E525" s="1178">
        <v>0</v>
      </c>
      <c r="F525" s="1179">
        <v>0</v>
      </c>
      <c r="G525" s="1189" t="s">
        <v>4911</v>
      </c>
      <c r="H525" s="1176">
        <v>0</v>
      </c>
      <c r="I525" s="1176">
        <v>0</v>
      </c>
      <c r="J525" s="1190">
        <v>0</v>
      </c>
      <c r="K525" s="1180"/>
      <c r="L525" s="1174">
        <v>13051003302</v>
      </c>
      <c r="M525" s="1175">
        <v>0</v>
      </c>
      <c r="N525" s="1175">
        <v>0</v>
      </c>
      <c r="O525" s="1175">
        <v>0</v>
      </c>
      <c r="P525" s="157" t="s">
        <v>4912</v>
      </c>
      <c r="Q525" s="157"/>
      <c r="R525" s="102"/>
      <c r="S525" s="153"/>
      <c r="T525" s="290" t="s">
        <v>148</v>
      </c>
      <c r="U525" s="290" t="s">
        <v>149</v>
      </c>
      <c r="AA525"/>
      <c r="AB525"/>
      <c r="AC525" s="283"/>
      <c r="AD525" s="42"/>
    </row>
    <row r="526" spans="3:30" ht="10.5" customHeight="1">
      <c r="C526" s="1181" t="s">
        <v>4913</v>
      </c>
      <c r="D526" s="1178">
        <v>1</v>
      </c>
      <c r="E526" s="1178">
        <v>0</v>
      </c>
      <c r="F526" s="1179">
        <v>1</v>
      </c>
      <c r="G526" s="1189" t="s">
        <v>4913</v>
      </c>
      <c r="H526" s="1176">
        <v>0</v>
      </c>
      <c r="I526" s="1176">
        <v>0</v>
      </c>
      <c r="J526" s="1190">
        <v>0</v>
      </c>
      <c r="K526" s="1180"/>
      <c r="L526" s="1174">
        <v>13051003400</v>
      </c>
      <c r="M526" s="1175">
        <v>1</v>
      </c>
      <c r="N526" s="1175">
        <v>0</v>
      </c>
      <c r="O526" s="1175">
        <v>1</v>
      </c>
      <c r="P526" s="157" t="s">
        <v>4914</v>
      </c>
      <c r="Q526" s="157"/>
      <c r="R526" s="102"/>
      <c r="S526" s="153"/>
      <c r="T526" s="290" t="s">
        <v>4915</v>
      </c>
      <c r="U526" s="290" t="s">
        <v>113</v>
      </c>
      <c r="AA526"/>
      <c r="AB526"/>
      <c r="AC526" s="283"/>
      <c r="AD526" s="42"/>
    </row>
    <row r="527" spans="3:30" ht="10.5" customHeight="1">
      <c r="C527" s="1181" t="s">
        <v>4916</v>
      </c>
      <c r="D527" s="1178">
        <v>0</v>
      </c>
      <c r="E527" s="1178">
        <v>0</v>
      </c>
      <c r="F527" s="1179">
        <v>0</v>
      </c>
      <c r="G527" s="1189" t="s">
        <v>4916</v>
      </c>
      <c r="H527" s="1176">
        <v>0</v>
      </c>
      <c r="I527" s="1176">
        <v>0</v>
      </c>
      <c r="J527" s="1190">
        <v>0</v>
      </c>
      <c r="K527" s="1180"/>
      <c r="L527" s="1174">
        <v>13051003501</v>
      </c>
      <c r="M527" s="1175">
        <v>0</v>
      </c>
      <c r="N527" s="1175">
        <v>0</v>
      </c>
      <c r="O527" s="1175">
        <v>0</v>
      </c>
      <c r="P527" s="157" t="s">
        <v>4917</v>
      </c>
      <c r="Q527" s="157"/>
      <c r="R527" s="102"/>
      <c r="S527" s="153"/>
      <c r="T527" s="290" t="s">
        <v>3824</v>
      </c>
      <c r="U527" s="290" t="s">
        <v>3553</v>
      </c>
      <c r="AA527"/>
      <c r="AB527"/>
      <c r="AC527" s="283"/>
      <c r="AD527" s="42"/>
    </row>
    <row r="528" spans="3:30" ht="10.5" customHeight="1">
      <c r="C528" s="1181" t="s">
        <v>4918</v>
      </c>
      <c r="D528" s="1178">
        <v>0</v>
      </c>
      <c r="E528" s="1178">
        <v>0</v>
      </c>
      <c r="F528" s="1179">
        <v>0</v>
      </c>
      <c r="G528" s="1189" t="s">
        <v>4918</v>
      </c>
      <c r="H528" s="1176">
        <v>0</v>
      </c>
      <c r="I528" s="1176">
        <v>0</v>
      </c>
      <c r="J528" s="1190">
        <v>0</v>
      </c>
      <c r="K528" s="1180"/>
      <c r="L528" s="1174">
        <v>13051003502</v>
      </c>
      <c r="M528" s="1175">
        <v>0</v>
      </c>
      <c r="N528" s="1175">
        <v>0</v>
      </c>
      <c r="O528" s="1175">
        <v>0</v>
      </c>
      <c r="P528" s="157" t="s">
        <v>4919</v>
      </c>
      <c r="Q528" s="157"/>
      <c r="R528" s="102"/>
      <c r="S528" s="153"/>
      <c r="T528" s="290" t="s">
        <v>4920</v>
      </c>
      <c r="U528" s="290" t="s">
        <v>3765</v>
      </c>
      <c r="AA528"/>
      <c r="AB528"/>
      <c r="AC528" s="283"/>
      <c r="AD528" s="42"/>
    </row>
    <row r="529" spans="3:30" ht="10.5" customHeight="1">
      <c r="C529" s="1181" t="s">
        <v>4921</v>
      </c>
      <c r="D529" s="1178">
        <v>0</v>
      </c>
      <c r="E529" s="1178">
        <v>0</v>
      </c>
      <c r="F529" s="1179">
        <v>0</v>
      </c>
      <c r="G529" s="1189" t="s">
        <v>4921</v>
      </c>
      <c r="H529" s="1176">
        <v>0</v>
      </c>
      <c r="I529" s="1176" t="s">
        <v>4455</v>
      </c>
      <c r="J529" s="1190">
        <v>0</v>
      </c>
      <c r="K529" s="1180"/>
      <c r="L529" s="1174">
        <v>13051003601</v>
      </c>
      <c r="M529" s="1175">
        <v>0</v>
      </c>
      <c r="N529" s="1175">
        <v>0</v>
      </c>
      <c r="O529" s="1175">
        <v>0</v>
      </c>
      <c r="P529" s="157" t="s">
        <v>4922</v>
      </c>
      <c r="Q529" s="157"/>
      <c r="R529" s="102"/>
      <c r="S529" s="153"/>
      <c r="T529" s="153" t="s">
        <v>4923</v>
      </c>
      <c r="U529" s="153" t="s">
        <v>98</v>
      </c>
      <c r="AA529"/>
      <c r="AB529"/>
      <c r="AC529" s="42"/>
      <c r="AD529" s="42"/>
    </row>
    <row r="530" spans="3:30" ht="10.5" customHeight="1">
      <c r="C530" s="1181" t="s">
        <v>4924</v>
      </c>
      <c r="D530" s="1178">
        <v>0</v>
      </c>
      <c r="E530" s="1178">
        <v>0</v>
      </c>
      <c r="F530" s="1179">
        <v>0</v>
      </c>
      <c r="G530" s="1189" t="s">
        <v>4924</v>
      </c>
      <c r="H530" s="1176">
        <v>0</v>
      </c>
      <c r="I530" s="1176">
        <v>0</v>
      </c>
      <c r="J530" s="1190">
        <v>0</v>
      </c>
      <c r="K530" s="1180"/>
      <c r="L530" s="1174">
        <v>13051003602</v>
      </c>
      <c r="M530" s="1175">
        <v>0</v>
      </c>
      <c r="N530" s="1175">
        <v>0</v>
      </c>
      <c r="O530" s="1175">
        <v>0</v>
      </c>
      <c r="P530" s="157" t="s">
        <v>4925</v>
      </c>
      <c r="Q530" s="157"/>
      <c r="R530" s="102"/>
      <c r="S530" s="153"/>
      <c r="T530" s="153" t="s">
        <v>4926</v>
      </c>
      <c r="U530" s="153" t="s">
        <v>3522</v>
      </c>
      <c r="AA530"/>
      <c r="AB530"/>
      <c r="AC530" s="42"/>
      <c r="AD530" s="42"/>
    </row>
    <row r="531" spans="3:30" ht="10.5" customHeight="1">
      <c r="C531" s="1181" t="s">
        <v>4927</v>
      </c>
      <c r="D531" s="1178">
        <v>0</v>
      </c>
      <c r="E531" s="1178">
        <v>0</v>
      </c>
      <c r="F531" s="1179">
        <v>0</v>
      </c>
      <c r="G531" s="1189" t="s">
        <v>4927</v>
      </c>
      <c r="H531" s="1176">
        <v>0</v>
      </c>
      <c r="I531" s="1176">
        <v>0</v>
      </c>
      <c r="J531" s="1190">
        <v>0</v>
      </c>
      <c r="K531" s="1180"/>
      <c r="L531" s="1174">
        <v>13051003700</v>
      </c>
      <c r="M531" s="1175">
        <v>0</v>
      </c>
      <c r="N531" s="1175">
        <v>0</v>
      </c>
      <c r="O531" s="1175">
        <v>0</v>
      </c>
      <c r="P531" s="157" t="s">
        <v>4928</v>
      </c>
      <c r="Q531" s="157"/>
      <c r="R531" s="102"/>
      <c r="S531" s="153"/>
      <c r="T531" s="153" t="s">
        <v>4273</v>
      </c>
      <c r="U531" s="153" t="s">
        <v>3647</v>
      </c>
      <c r="AA531"/>
      <c r="AB531"/>
      <c r="AC531" s="42"/>
      <c r="AD531" s="42"/>
    </row>
    <row r="532" spans="3:30" ht="10.5" customHeight="1">
      <c r="C532" s="1181" t="s">
        <v>4929</v>
      </c>
      <c r="D532" s="1178">
        <v>0</v>
      </c>
      <c r="E532" s="1178">
        <v>0</v>
      </c>
      <c r="F532" s="1179">
        <v>0</v>
      </c>
      <c r="G532" s="1189" t="s">
        <v>4929</v>
      </c>
      <c r="H532" s="1176">
        <v>0</v>
      </c>
      <c r="I532" s="1176">
        <v>0</v>
      </c>
      <c r="J532" s="1190">
        <v>0</v>
      </c>
      <c r="K532" s="1180"/>
      <c r="L532" s="1174">
        <v>13051003800</v>
      </c>
      <c r="M532" s="1175">
        <v>0</v>
      </c>
      <c r="N532" s="1175">
        <v>0</v>
      </c>
      <c r="O532" s="1175">
        <v>0</v>
      </c>
      <c r="P532" s="157" t="s">
        <v>4930</v>
      </c>
      <c r="Q532" s="157"/>
      <c r="R532" s="102"/>
      <c r="S532" s="153"/>
      <c r="T532" s="290" t="s">
        <v>4931</v>
      </c>
      <c r="U532" s="290" t="s">
        <v>161</v>
      </c>
      <c r="AA532"/>
      <c r="AB532"/>
      <c r="AC532" s="283"/>
      <c r="AD532" s="42"/>
    </row>
    <row r="533" spans="3:30" ht="10.5" customHeight="1">
      <c r="C533" s="1181" t="s">
        <v>4932</v>
      </c>
      <c r="D533" s="1178">
        <v>0</v>
      </c>
      <c r="E533" s="1178">
        <v>0</v>
      </c>
      <c r="F533" s="1179">
        <v>0</v>
      </c>
      <c r="G533" s="1189" t="s">
        <v>4932</v>
      </c>
      <c r="H533" s="1176">
        <v>0</v>
      </c>
      <c r="I533" s="1176" t="s">
        <v>4455</v>
      </c>
      <c r="J533" s="1190">
        <v>0</v>
      </c>
      <c r="K533" s="1180"/>
      <c r="L533" s="1174">
        <v>13051003900</v>
      </c>
      <c r="M533" s="1175">
        <v>0</v>
      </c>
      <c r="N533" s="1175">
        <v>0</v>
      </c>
      <c r="O533" s="1175">
        <v>0</v>
      </c>
      <c r="P533" s="157" t="s">
        <v>4933</v>
      </c>
      <c r="Q533" s="157"/>
      <c r="R533" s="102"/>
      <c r="S533" s="153"/>
      <c r="T533" s="290" t="s">
        <v>4934</v>
      </c>
      <c r="U533" s="290" t="s">
        <v>147</v>
      </c>
      <c r="AA533"/>
      <c r="AB533"/>
      <c r="AC533" s="283"/>
      <c r="AD533" s="42"/>
    </row>
    <row r="534" spans="3:30" ht="10.5" customHeight="1">
      <c r="C534" s="1181" t="s">
        <v>4935</v>
      </c>
      <c r="D534" s="1178">
        <v>0</v>
      </c>
      <c r="E534" s="1178">
        <v>0</v>
      </c>
      <c r="F534" s="1179">
        <v>0</v>
      </c>
      <c r="G534" s="1189" t="s">
        <v>4935</v>
      </c>
      <c r="H534" s="1176">
        <v>1</v>
      </c>
      <c r="I534" s="1176">
        <v>1</v>
      </c>
      <c r="J534" s="1190">
        <v>2</v>
      </c>
      <c r="K534" s="1180"/>
      <c r="L534" s="1174">
        <v>13051004001</v>
      </c>
      <c r="M534" s="1175">
        <v>1</v>
      </c>
      <c r="N534" s="1175">
        <v>1</v>
      </c>
      <c r="O534" s="1175">
        <v>2</v>
      </c>
      <c r="P534" s="157" t="s">
        <v>4936</v>
      </c>
      <c r="Q534" s="157"/>
      <c r="R534" s="102"/>
      <c r="S534" s="153"/>
      <c r="T534" s="290" t="s">
        <v>4937</v>
      </c>
      <c r="U534" s="290" t="s">
        <v>3570</v>
      </c>
      <c r="AA534"/>
      <c r="AB534"/>
      <c r="AC534" s="283"/>
      <c r="AD534" s="42"/>
    </row>
    <row r="535" spans="3:30" ht="10.5" customHeight="1">
      <c r="C535" s="1181" t="s">
        <v>4938</v>
      </c>
      <c r="D535" s="1178">
        <v>0</v>
      </c>
      <c r="E535" s="1178">
        <v>0</v>
      </c>
      <c r="F535" s="1179">
        <v>0</v>
      </c>
      <c r="G535" s="1189" t="s">
        <v>4938</v>
      </c>
      <c r="H535" s="1176">
        <v>0</v>
      </c>
      <c r="I535" s="1176">
        <v>0</v>
      </c>
      <c r="J535" s="1190">
        <v>0</v>
      </c>
      <c r="K535" s="1180"/>
      <c r="L535" s="1174">
        <v>13051004002</v>
      </c>
      <c r="M535" s="1175">
        <v>0</v>
      </c>
      <c r="N535" s="1175">
        <v>0</v>
      </c>
      <c r="O535" s="1175">
        <v>0</v>
      </c>
      <c r="P535" s="157" t="s">
        <v>4939</v>
      </c>
      <c r="Q535" s="157"/>
      <c r="R535" s="102"/>
      <c r="S535" s="153"/>
      <c r="T535" s="290" t="s">
        <v>4940</v>
      </c>
      <c r="U535" s="290" t="s">
        <v>4107</v>
      </c>
      <c r="AA535"/>
      <c r="AB535"/>
      <c r="AC535" s="283"/>
      <c r="AD535" s="42"/>
    </row>
    <row r="536" spans="3:30" ht="10.5" customHeight="1">
      <c r="C536" s="1181" t="s">
        <v>4941</v>
      </c>
      <c r="D536" s="1178">
        <v>1</v>
      </c>
      <c r="E536" s="1178">
        <v>0</v>
      </c>
      <c r="F536" s="1179">
        <v>1</v>
      </c>
      <c r="G536" s="1189" t="s">
        <v>4941</v>
      </c>
      <c r="H536" s="1176">
        <v>1</v>
      </c>
      <c r="I536" s="1176">
        <v>0</v>
      </c>
      <c r="J536" s="1190">
        <v>1</v>
      </c>
      <c r="K536" s="1180"/>
      <c r="L536" s="1174">
        <v>13051004100</v>
      </c>
      <c r="M536" s="1175">
        <v>1</v>
      </c>
      <c r="N536" s="1175">
        <v>0</v>
      </c>
      <c r="O536" s="1175">
        <v>1</v>
      </c>
      <c r="P536" s="157" t="s">
        <v>4942</v>
      </c>
      <c r="Q536" s="157"/>
      <c r="R536" s="102"/>
      <c r="S536" s="153"/>
      <c r="T536" s="290" t="s">
        <v>150</v>
      </c>
      <c r="U536" s="290" t="s">
        <v>151</v>
      </c>
      <c r="AA536"/>
      <c r="AB536"/>
      <c r="AC536" s="283"/>
      <c r="AD536" s="42"/>
    </row>
    <row r="537" spans="3:30" ht="10.5" customHeight="1">
      <c r="C537" s="1181" t="s">
        <v>4943</v>
      </c>
      <c r="D537" s="1178">
        <v>0</v>
      </c>
      <c r="E537" s="1178">
        <v>0</v>
      </c>
      <c r="F537" s="1179">
        <v>0</v>
      </c>
      <c r="G537" s="1189" t="s">
        <v>4943</v>
      </c>
      <c r="H537" s="1176">
        <v>0</v>
      </c>
      <c r="I537" s="1176">
        <v>0</v>
      </c>
      <c r="J537" s="1190">
        <v>0</v>
      </c>
      <c r="K537" s="1180"/>
      <c r="L537" s="1174">
        <v>13051004207</v>
      </c>
      <c r="M537" s="1175">
        <v>0</v>
      </c>
      <c r="N537" s="1175">
        <v>0</v>
      </c>
      <c r="O537" s="1175">
        <v>0</v>
      </c>
      <c r="P537" s="157" t="s">
        <v>4944</v>
      </c>
      <c r="Q537" s="157"/>
      <c r="R537" s="102"/>
      <c r="S537" s="153"/>
      <c r="T537" s="290" t="s">
        <v>4945</v>
      </c>
      <c r="U537" s="290" t="s">
        <v>3515</v>
      </c>
      <c r="AA537"/>
      <c r="AB537"/>
      <c r="AC537" s="283"/>
      <c r="AD537" s="42"/>
    </row>
    <row r="538" spans="3:30" ht="10.5" customHeight="1">
      <c r="C538" s="1181" t="s">
        <v>4946</v>
      </c>
      <c r="D538" s="1178">
        <v>0</v>
      </c>
      <c r="E538" s="1178">
        <v>0</v>
      </c>
      <c r="F538" s="1179">
        <v>0</v>
      </c>
      <c r="G538" s="1189" t="s">
        <v>4946</v>
      </c>
      <c r="H538" s="1176">
        <v>0</v>
      </c>
      <c r="I538" s="1176">
        <v>0</v>
      </c>
      <c r="J538" s="1190">
        <v>0</v>
      </c>
      <c r="K538" s="1180"/>
      <c r="L538" s="1174">
        <v>13051004208</v>
      </c>
      <c r="M538" s="1175">
        <v>0</v>
      </c>
      <c r="N538" s="1175">
        <v>0</v>
      </c>
      <c r="O538" s="1175">
        <v>0</v>
      </c>
      <c r="P538" s="157" t="s">
        <v>4947</v>
      </c>
      <c r="Q538" s="157"/>
      <c r="R538" s="102"/>
      <c r="S538" s="153"/>
      <c r="T538" s="290" t="s">
        <v>4282</v>
      </c>
      <c r="U538" s="290" t="s">
        <v>3492</v>
      </c>
      <c r="AA538"/>
      <c r="AB538"/>
      <c r="AC538" s="283"/>
      <c r="AD538" s="42"/>
    </row>
    <row r="539" spans="3:30" ht="10.5" customHeight="1">
      <c r="C539" s="1181" t="s">
        <v>4948</v>
      </c>
      <c r="D539" s="1178">
        <v>0</v>
      </c>
      <c r="E539" s="1178">
        <v>0</v>
      </c>
      <c r="F539" s="1179">
        <v>0</v>
      </c>
      <c r="G539" s="1189" t="s">
        <v>4948</v>
      </c>
      <c r="H539" s="1176">
        <v>0</v>
      </c>
      <c r="I539" s="1176">
        <v>0</v>
      </c>
      <c r="J539" s="1190">
        <v>0</v>
      </c>
      <c r="K539" s="1180"/>
      <c r="L539" s="1174">
        <v>13051004209</v>
      </c>
      <c r="M539" s="1175">
        <v>0</v>
      </c>
      <c r="N539" s="1175">
        <v>0</v>
      </c>
      <c r="O539" s="1175">
        <v>0</v>
      </c>
      <c r="P539" s="157" t="s">
        <v>4949</v>
      </c>
      <c r="Q539" s="157"/>
      <c r="R539" s="102"/>
      <c r="S539" s="153"/>
      <c r="T539" s="290" t="s">
        <v>4950</v>
      </c>
      <c r="U539" s="290" t="s">
        <v>149</v>
      </c>
      <c r="AA539"/>
      <c r="AB539"/>
      <c r="AC539" s="283"/>
      <c r="AD539" s="42"/>
    </row>
    <row r="540" spans="3:30" ht="10.5" customHeight="1">
      <c r="C540" s="1181" t="s">
        <v>4951</v>
      </c>
      <c r="D540" s="1178">
        <v>0</v>
      </c>
      <c r="E540" s="1178">
        <v>0</v>
      </c>
      <c r="F540" s="1179">
        <v>0</v>
      </c>
      <c r="G540" s="1189" t="s">
        <v>4951</v>
      </c>
      <c r="H540" s="1176">
        <v>0</v>
      </c>
      <c r="I540" s="1176">
        <v>0</v>
      </c>
      <c r="J540" s="1190">
        <v>0</v>
      </c>
      <c r="K540" s="1180"/>
      <c r="L540" s="1174">
        <v>13051004210</v>
      </c>
      <c r="M540" s="1175">
        <v>0</v>
      </c>
      <c r="N540" s="1175">
        <v>0</v>
      </c>
      <c r="O540" s="1175">
        <v>0</v>
      </c>
      <c r="P540" s="157" t="s">
        <v>4952</v>
      </c>
      <c r="Q540" s="157"/>
      <c r="R540" s="102"/>
      <c r="S540" s="153"/>
      <c r="T540" s="290" t="s">
        <v>4953</v>
      </c>
      <c r="U540" s="290" t="s">
        <v>4076</v>
      </c>
      <c r="AA540"/>
      <c r="AB540"/>
      <c r="AC540" s="283"/>
      <c r="AD540" s="42"/>
    </row>
    <row r="541" spans="3:30" ht="10.5" customHeight="1">
      <c r="C541" s="1181" t="s">
        <v>4954</v>
      </c>
      <c r="D541" s="1178">
        <v>0</v>
      </c>
      <c r="E541" s="1178">
        <v>0</v>
      </c>
      <c r="F541" s="1179">
        <v>0</v>
      </c>
      <c r="G541" s="1189" t="s">
        <v>4954</v>
      </c>
      <c r="H541" s="1176">
        <v>0</v>
      </c>
      <c r="I541" s="1176">
        <v>0</v>
      </c>
      <c r="J541" s="1190">
        <v>0</v>
      </c>
      <c r="K541" s="1180"/>
      <c r="L541" s="1174">
        <v>13051004211</v>
      </c>
      <c r="M541" s="1175">
        <v>0</v>
      </c>
      <c r="N541" s="1175">
        <v>0</v>
      </c>
      <c r="O541" s="1175">
        <v>0</v>
      </c>
      <c r="P541" s="157" t="s">
        <v>4955</v>
      </c>
      <c r="Q541" s="157"/>
      <c r="R541" s="102"/>
      <c r="S541" s="153"/>
      <c r="T541" s="290" t="s">
        <v>4956</v>
      </c>
      <c r="U541" s="290" t="s">
        <v>4054</v>
      </c>
      <c r="AA541"/>
      <c r="AB541"/>
      <c r="AC541" s="283"/>
      <c r="AD541" s="42"/>
    </row>
    <row r="542" spans="3:30" ht="10.5" customHeight="1">
      <c r="C542" s="1181" t="s">
        <v>4957</v>
      </c>
      <c r="D542" s="1178">
        <v>0</v>
      </c>
      <c r="E542" s="1178">
        <v>1</v>
      </c>
      <c r="F542" s="1179">
        <v>1</v>
      </c>
      <c r="G542" s="1189" t="s">
        <v>4957</v>
      </c>
      <c r="H542" s="1176">
        <v>0</v>
      </c>
      <c r="I542" s="1176">
        <v>1</v>
      </c>
      <c r="J542" s="1190">
        <v>1</v>
      </c>
      <c r="K542" s="1180"/>
      <c r="L542" s="1174">
        <v>13051004212</v>
      </c>
      <c r="M542" s="1175">
        <v>0</v>
      </c>
      <c r="N542" s="1175">
        <v>1</v>
      </c>
      <c r="O542" s="1175">
        <v>1</v>
      </c>
      <c r="P542" s="157" t="s">
        <v>4958</v>
      </c>
      <c r="Q542" s="157"/>
      <c r="R542" s="102"/>
      <c r="S542" s="153"/>
      <c r="T542" s="290" t="s">
        <v>4959</v>
      </c>
      <c r="U542" s="290" t="s">
        <v>4131</v>
      </c>
      <c r="AA542"/>
      <c r="AB542"/>
      <c r="AC542" s="283"/>
      <c r="AD542" s="42"/>
    </row>
    <row r="543" spans="3:30" ht="10.5" customHeight="1">
      <c r="C543" s="1181" t="s">
        <v>4960</v>
      </c>
      <c r="D543" s="1178">
        <v>0</v>
      </c>
      <c r="E543" s="1178">
        <v>1</v>
      </c>
      <c r="F543" s="1179">
        <v>1</v>
      </c>
      <c r="G543" s="1189" t="s">
        <v>4960</v>
      </c>
      <c r="H543" s="1176">
        <v>0</v>
      </c>
      <c r="I543" s="1176" t="s">
        <v>4455</v>
      </c>
      <c r="J543" s="1190">
        <v>0</v>
      </c>
      <c r="K543" s="1180"/>
      <c r="L543" s="1174">
        <v>13051004300</v>
      </c>
      <c r="M543" s="1175">
        <v>0</v>
      </c>
      <c r="N543" s="1175">
        <v>1</v>
      </c>
      <c r="O543" s="1175">
        <v>1</v>
      </c>
      <c r="P543" s="157" t="s">
        <v>4961</v>
      </c>
      <c r="Q543" s="157"/>
      <c r="R543" s="102"/>
      <c r="S543" s="153"/>
      <c r="T543" s="290" t="s">
        <v>2028</v>
      </c>
      <c r="U543" s="290" t="s">
        <v>113</v>
      </c>
      <c r="AA543"/>
      <c r="AB543"/>
      <c r="AC543" s="283"/>
      <c r="AD543" s="42"/>
    </row>
    <row r="544" spans="3:30" ht="10.5" customHeight="1">
      <c r="C544" s="1181" t="s">
        <v>4962</v>
      </c>
      <c r="D544" s="1178">
        <v>0</v>
      </c>
      <c r="E544" s="1178">
        <v>0</v>
      </c>
      <c r="F544" s="1179">
        <v>0</v>
      </c>
      <c r="G544" s="1189" t="s">
        <v>4962</v>
      </c>
      <c r="H544" s="1176">
        <v>0</v>
      </c>
      <c r="I544" s="1176">
        <v>0</v>
      </c>
      <c r="J544" s="1190">
        <v>0</v>
      </c>
      <c r="K544" s="1180"/>
      <c r="L544" s="1174">
        <v>13051004400</v>
      </c>
      <c r="M544" s="1175">
        <v>0</v>
      </c>
      <c r="N544" s="1175">
        <v>0</v>
      </c>
      <c r="O544" s="1175">
        <v>0</v>
      </c>
      <c r="P544" s="157" t="s">
        <v>4963</v>
      </c>
      <c r="Q544" s="157"/>
      <c r="R544" s="102"/>
      <c r="S544" s="153"/>
      <c r="T544" s="290" t="s">
        <v>4054</v>
      </c>
      <c r="U544" s="290" t="s">
        <v>3453</v>
      </c>
      <c r="AA544"/>
      <c r="AB544"/>
      <c r="AC544" s="283"/>
      <c r="AD544" s="42"/>
    </row>
    <row r="545" spans="3:30" ht="10.5" customHeight="1">
      <c r="C545" s="1181" t="s">
        <v>4964</v>
      </c>
      <c r="D545" s="1178">
        <v>0</v>
      </c>
      <c r="E545" s="1178">
        <v>0</v>
      </c>
      <c r="F545" s="1179">
        <v>0</v>
      </c>
      <c r="G545" s="1189" t="s">
        <v>4964</v>
      </c>
      <c r="H545" s="1176">
        <v>0</v>
      </c>
      <c r="I545" s="1176">
        <v>0</v>
      </c>
      <c r="J545" s="1190">
        <v>0</v>
      </c>
      <c r="K545" s="1180"/>
      <c r="L545" s="1174">
        <v>13051004500</v>
      </c>
      <c r="M545" s="1175">
        <v>0</v>
      </c>
      <c r="N545" s="1175">
        <v>0</v>
      </c>
      <c r="O545" s="1175">
        <v>0</v>
      </c>
      <c r="P545" s="157" t="s">
        <v>4965</v>
      </c>
      <c r="Q545" s="157"/>
      <c r="R545" s="102"/>
      <c r="S545" s="153"/>
      <c r="T545" s="290" t="s">
        <v>4966</v>
      </c>
      <c r="U545" s="290" t="s">
        <v>3550</v>
      </c>
      <c r="AA545"/>
      <c r="AB545"/>
      <c r="AC545" s="283"/>
      <c r="AD545" s="42"/>
    </row>
    <row r="546" spans="3:30" ht="10.5" customHeight="1">
      <c r="C546" s="1181" t="s">
        <v>4967</v>
      </c>
      <c r="D546" s="1178">
        <v>0</v>
      </c>
      <c r="E546" s="1178">
        <v>0</v>
      </c>
      <c r="F546" s="1179">
        <v>0</v>
      </c>
      <c r="G546" s="1189" t="s">
        <v>4967</v>
      </c>
      <c r="H546" s="1176" t="s">
        <v>4455</v>
      </c>
      <c r="I546" s="1176">
        <v>0</v>
      </c>
      <c r="J546" s="1190">
        <v>0</v>
      </c>
      <c r="K546" s="1180"/>
      <c r="L546" s="1174">
        <v>13051010101</v>
      </c>
      <c r="M546" s="1175">
        <v>0</v>
      </c>
      <c r="N546" s="1175">
        <v>0</v>
      </c>
      <c r="O546" s="1175">
        <v>0</v>
      </c>
      <c r="P546" s="157" t="s">
        <v>4968</v>
      </c>
      <c r="Q546" s="157"/>
      <c r="R546" s="102"/>
      <c r="S546" s="153"/>
      <c r="T546" s="290" t="s">
        <v>4969</v>
      </c>
      <c r="U546" s="290" t="s">
        <v>3588</v>
      </c>
      <c r="AA546"/>
      <c r="AB546"/>
      <c r="AC546" s="283"/>
      <c r="AD546" s="42"/>
    </row>
    <row r="547" spans="3:30" ht="10.5" customHeight="1">
      <c r="C547" s="1181" t="s">
        <v>4970</v>
      </c>
      <c r="D547" s="1178">
        <v>0</v>
      </c>
      <c r="E547" s="1178">
        <v>0</v>
      </c>
      <c r="F547" s="1179">
        <v>0</v>
      </c>
      <c r="G547" s="1189" t="s">
        <v>4970</v>
      </c>
      <c r="H547" s="1176">
        <v>0</v>
      </c>
      <c r="I547" s="1176">
        <v>0</v>
      </c>
      <c r="J547" s="1190">
        <v>0</v>
      </c>
      <c r="K547" s="1180"/>
      <c r="L547" s="1174">
        <v>13051010102</v>
      </c>
      <c r="M547" s="1175">
        <v>0</v>
      </c>
      <c r="N547" s="1175">
        <v>0</v>
      </c>
      <c r="O547" s="1175">
        <v>0</v>
      </c>
      <c r="P547" s="157" t="s">
        <v>4971</v>
      </c>
      <c r="Q547" s="157"/>
      <c r="R547" s="102"/>
      <c r="S547" s="153"/>
      <c r="T547" s="290" t="s">
        <v>2030</v>
      </c>
      <c r="U547" s="290" t="s">
        <v>3725</v>
      </c>
      <c r="AA547"/>
      <c r="AB547"/>
      <c r="AC547" s="283"/>
      <c r="AD547" s="42"/>
    </row>
    <row r="548" spans="3:30" ht="10.5" customHeight="1">
      <c r="C548" s="1181" t="s">
        <v>4972</v>
      </c>
      <c r="D548" s="1178">
        <v>0</v>
      </c>
      <c r="E548" s="1178">
        <v>0</v>
      </c>
      <c r="F548" s="1179">
        <v>0</v>
      </c>
      <c r="G548" s="1189" t="s">
        <v>4972</v>
      </c>
      <c r="H548" s="1176">
        <v>1</v>
      </c>
      <c r="I548" s="1176">
        <v>0</v>
      </c>
      <c r="J548" s="1190">
        <v>1</v>
      </c>
      <c r="K548" s="1180"/>
      <c r="L548" s="1174">
        <v>13051010200</v>
      </c>
      <c r="M548" s="1175">
        <v>1</v>
      </c>
      <c r="N548" s="1175">
        <v>0</v>
      </c>
      <c r="O548" s="1175">
        <v>1</v>
      </c>
      <c r="P548" s="157" t="s">
        <v>4973</v>
      </c>
      <c r="Q548" s="157"/>
      <c r="R548" s="102"/>
      <c r="S548" s="153"/>
      <c r="T548" s="290" t="s">
        <v>4974</v>
      </c>
      <c r="U548" s="290" t="s">
        <v>3647</v>
      </c>
      <c r="AA548"/>
      <c r="AB548"/>
      <c r="AC548" s="283"/>
      <c r="AD548" s="42"/>
    </row>
    <row r="549" spans="3:30" ht="10.5" customHeight="1">
      <c r="C549" s="1181" t="s">
        <v>4975</v>
      </c>
      <c r="D549" s="1178">
        <v>0</v>
      </c>
      <c r="E549" s="1178">
        <v>0</v>
      </c>
      <c r="F549" s="1179">
        <v>0</v>
      </c>
      <c r="G549" s="1189" t="s">
        <v>4975</v>
      </c>
      <c r="H549" s="1176">
        <v>0</v>
      </c>
      <c r="I549" s="1176" t="s">
        <v>4455</v>
      </c>
      <c r="J549" s="1190">
        <v>0</v>
      </c>
      <c r="K549" s="1180"/>
      <c r="L549" s="1174">
        <v>13051010501</v>
      </c>
      <c r="M549" s="1175">
        <v>0</v>
      </c>
      <c r="N549" s="1175">
        <v>0</v>
      </c>
      <c r="O549" s="1175">
        <v>0</v>
      </c>
      <c r="P549" s="157" t="s">
        <v>4976</v>
      </c>
      <c r="Q549" s="157"/>
      <c r="R549" s="102"/>
      <c r="S549" s="153"/>
      <c r="T549" s="153" t="s">
        <v>4977</v>
      </c>
      <c r="U549" s="153" t="s">
        <v>3758</v>
      </c>
      <c r="AA549"/>
      <c r="AB549"/>
      <c r="AC549" s="42"/>
      <c r="AD549" s="42"/>
    </row>
    <row r="550" spans="3:30" ht="10.5" customHeight="1">
      <c r="C550" s="1181" t="s">
        <v>4978</v>
      </c>
      <c r="D550" s="1178">
        <v>0</v>
      </c>
      <c r="E550" s="1178">
        <v>0</v>
      </c>
      <c r="F550" s="1179">
        <v>0</v>
      </c>
      <c r="G550" s="1189" t="s">
        <v>4978</v>
      </c>
      <c r="H550" s="1176">
        <v>0</v>
      </c>
      <c r="I550" s="1176">
        <v>0</v>
      </c>
      <c r="J550" s="1190">
        <v>0</v>
      </c>
      <c r="K550" s="1180"/>
      <c r="L550" s="1174">
        <v>13051010502</v>
      </c>
      <c r="M550" s="1175">
        <v>0</v>
      </c>
      <c r="N550" s="1175">
        <v>0</v>
      </c>
      <c r="O550" s="1175">
        <v>0</v>
      </c>
      <c r="P550" s="157" t="s">
        <v>4979</v>
      </c>
      <c r="Q550" s="157"/>
      <c r="R550" s="102"/>
      <c r="S550" s="153"/>
      <c r="T550" s="290" t="s">
        <v>4980</v>
      </c>
      <c r="U550" s="290" t="s">
        <v>3969</v>
      </c>
      <c r="AA550"/>
      <c r="AB550"/>
      <c r="AC550" s="283"/>
      <c r="AD550" s="42"/>
    </row>
    <row r="551" spans="3:30" ht="10.5" customHeight="1">
      <c r="C551" s="1181" t="s">
        <v>4981</v>
      </c>
      <c r="D551" s="1178">
        <v>0</v>
      </c>
      <c r="E551" s="1178">
        <v>0</v>
      </c>
      <c r="F551" s="1179">
        <v>0</v>
      </c>
      <c r="G551" s="1189" t="s">
        <v>4981</v>
      </c>
      <c r="H551" s="1176">
        <v>0</v>
      </c>
      <c r="I551" s="1176">
        <v>0</v>
      </c>
      <c r="J551" s="1190">
        <v>0</v>
      </c>
      <c r="K551" s="1180"/>
      <c r="L551" s="1174">
        <v>13051010601</v>
      </c>
      <c r="M551" s="1175">
        <v>0</v>
      </c>
      <c r="N551" s="1175">
        <v>0</v>
      </c>
      <c r="O551" s="1175">
        <v>0</v>
      </c>
      <c r="P551" s="157" t="s">
        <v>4982</v>
      </c>
      <c r="Q551" s="157"/>
      <c r="R551" s="102"/>
      <c r="S551" s="153"/>
      <c r="T551" s="290" t="s">
        <v>4983</v>
      </c>
      <c r="U551" s="290" t="s">
        <v>3753</v>
      </c>
      <c r="AA551"/>
      <c r="AB551"/>
      <c r="AC551" s="283"/>
      <c r="AD551" s="42"/>
    </row>
    <row r="552" spans="3:30" ht="10.5" customHeight="1">
      <c r="C552" s="1181" t="s">
        <v>4984</v>
      </c>
      <c r="D552" s="1178">
        <v>1</v>
      </c>
      <c r="E552" s="1178">
        <v>0</v>
      </c>
      <c r="F552" s="1179">
        <v>1</v>
      </c>
      <c r="G552" s="1189" t="s">
        <v>4984</v>
      </c>
      <c r="H552" s="1176">
        <v>1</v>
      </c>
      <c r="I552" s="1176">
        <v>0</v>
      </c>
      <c r="J552" s="1190">
        <v>1</v>
      </c>
      <c r="K552" s="1180"/>
      <c r="L552" s="1174">
        <v>13051010603</v>
      </c>
      <c r="M552" s="1175">
        <v>1</v>
      </c>
      <c r="N552" s="1175">
        <v>0</v>
      </c>
      <c r="O552" s="1175">
        <v>1</v>
      </c>
      <c r="P552" s="157" t="s">
        <v>4985</v>
      </c>
      <c r="Q552" s="157"/>
      <c r="R552" s="102"/>
      <c r="S552" s="153"/>
      <c r="T552" s="290" t="s">
        <v>4986</v>
      </c>
      <c r="U552" s="290" t="s">
        <v>3753</v>
      </c>
      <c r="AA552"/>
      <c r="AB552"/>
      <c r="AC552" s="283"/>
      <c r="AD552" s="42"/>
    </row>
    <row r="553" spans="3:30" ht="10.5" customHeight="1">
      <c r="C553" s="1181" t="s">
        <v>4987</v>
      </c>
      <c r="D553" s="1178" t="s">
        <v>4455</v>
      </c>
      <c r="E553" s="1178" t="s">
        <v>4455</v>
      </c>
      <c r="F553" s="1179">
        <v>0</v>
      </c>
      <c r="G553" s="1189" t="s">
        <v>4987</v>
      </c>
      <c r="H553" s="1176" t="s">
        <v>4455</v>
      </c>
      <c r="I553" s="1176" t="s">
        <v>4455</v>
      </c>
      <c r="J553" s="1190">
        <v>0</v>
      </c>
      <c r="K553" s="1180"/>
      <c r="L553" s="1174">
        <v>13051010605</v>
      </c>
      <c r="M553" s="1175">
        <v>0</v>
      </c>
      <c r="N553" s="1175">
        <v>0</v>
      </c>
      <c r="O553" s="1175">
        <v>0</v>
      </c>
      <c r="P553" s="157" t="s">
        <v>4988</v>
      </c>
      <c r="Q553" s="157"/>
      <c r="R553" s="102"/>
      <c r="S553" s="153"/>
      <c r="T553" s="290" t="s">
        <v>4989</v>
      </c>
      <c r="U553" s="290" t="s">
        <v>3842</v>
      </c>
      <c r="AA553"/>
      <c r="AB553"/>
      <c r="AC553" s="283"/>
      <c r="AD553" s="42"/>
    </row>
    <row r="554" spans="3:30" ht="10.5" customHeight="1">
      <c r="C554" s="1181" t="s">
        <v>4990</v>
      </c>
      <c r="D554" s="1178">
        <v>1</v>
      </c>
      <c r="E554" s="1178">
        <v>1</v>
      </c>
      <c r="F554" s="1179">
        <v>2</v>
      </c>
      <c r="G554" s="1189" t="s">
        <v>4990</v>
      </c>
      <c r="H554" s="1176">
        <v>1</v>
      </c>
      <c r="I554" s="1176">
        <v>1</v>
      </c>
      <c r="J554" s="1190">
        <v>2</v>
      </c>
      <c r="K554" s="1180"/>
      <c r="L554" s="1174">
        <v>13051010700</v>
      </c>
      <c r="M554" s="1175">
        <v>1</v>
      </c>
      <c r="N554" s="1175">
        <v>1</v>
      </c>
      <c r="O554" s="1175">
        <v>2</v>
      </c>
      <c r="P554" s="157" t="s">
        <v>4991</v>
      </c>
      <c r="Q554" s="157"/>
      <c r="R554" s="102"/>
      <c r="S554" s="153"/>
      <c r="T554" s="290" t="s">
        <v>4992</v>
      </c>
      <c r="U554" s="290" t="s">
        <v>3700</v>
      </c>
      <c r="AA554"/>
      <c r="AB554"/>
      <c r="AC554" s="283"/>
      <c r="AD554" s="42"/>
    </row>
    <row r="555" spans="3:30" ht="10.5" customHeight="1">
      <c r="C555" s="1181" t="s">
        <v>4993</v>
      </c>
      <c r="D555" s="1178">
        <v>1</v>
      </c>
      <c r="E555" s="1178">
        <v>0</v>
      </c>
      <c r="F555" s="1179">
        <v>1</v>
      </c>
      <c r="G555" s="1189" t="s">
        <v>4993</v>
      </c>
      <c r="H555" s="1176">
        <v>1</v>
      </c>
      <c r="I555" s="1176">
        <v>0</v>
      </c>
      <c r="J555" s="1190">
        <v>1</v>
      </c>
      <c r="K555" s="1180"/>
      <c r="L555" s="1174">
        <v>13051010801</v>
      </c>
      <c r="M555" s="1175">
        <v>1</v>
      </c>
      <c r="N555" s="1175">
        <v>0</v>
      </c>
      <c r="O555" s="1175">
        <v>1</v>
      </c>
      <c r="P555" s="157" t="s">
        <v>4994</v>
      </c>
      <c r="Q555" s="157"/>
      <c r="R555" s="102"/>
      <c r="S555" s="153"/>
      <c r="T555" s="290" t="s">
        <v>2031</v>
      </c>
      <c r="U555" s="290" t="s">
        <v>3890</v>
      </c>
      <c r="AA555"/>
      <c r="AB555"/>
      <c r="AC555" s="283"/>
      <c r="AD555" s="42"/>
    </row>
    <row r="556" spans="3:30" ht="10.5" customHeight="1">
      <c r="C556" s="1181" t="s">
        <v>4995</v>
      </c>
      <c r="D556" s="1178">
        <v>1</v>
      </c>
      <c r="E556" s="1178">
        <v>1</v>
      </c>
      <c r="F556" s="1179">
        <v>2</v>
      </c>
      <c r="G556" s="1189" t="s">
        <v>4995</v>
      </c>
      <c r="H556" s="1176">
        <v>1</v>
      </c>
      <c r="I556" s="1176">
        <v>1</v>
      </c>
      <c r="J556" s="1190">
        <v>2</v>
      </c>
      <c r="K556" s="1180"/>
      <c r="L556" s="1174">
        <v>13051010802</v>
      </c>
      <c r="M556" s="1175">
        <v>1</v>
      </c>
      <c r="N556" s="1175">
        <v>1</v>
      </c>
      <c r="O556" s="1175">
        <v>2</v>
      </c>
      <c r="P556" s="157" t="s">
        <v>4996</v>
      </c>
      <c r="Q556" s="157"/>
      <c r="R556" s="102"/>
      <c r="S556" s="153"/>
      <c r="T556" s="290" t="s">
        <v>3758</v>
      </c>
      <c r="U556" s="290" t="s">
        <v>2052</v>
      </c>
      <c r="AA556"/>
      <c r="AB556"/>
      <c r="AC556" s="283"/>
      <c r="AD556" s="42"/>
    </row>
    <row r="557" spans="3:30" ht="10.5" customHeight="1">
      <c r="C557" s="1181" t="s">
        <v>4997</v>
      </c>
      <c r="D557" s="1178">
        <v>1</v>
      </c>
      <c r="E557" s="1178">
        <v>1</v>
      </c>
      <c r="F557" s="1179">
        <v>2</v>
      </c>
      <c r="G557" s="1189" t="s">
        <v>4997</v>
      </c>
      <c r="H557" s="1176">
        <v>0</v>
      </c>
      <c r="I557" s="1176">
        <v>1</v>
      </c>
      <c r="J557" s="1190">
        <v>1</v>
      </c>
      <c r="K557" s="1180"/>
      <c r="L557" s="1174">
        <v>13051010803</v>
      </c>
      <c r="M557" s="1175">
        <v>1</v>
      </c>
      <c r="N557" s="1175">
        <v>1</v>
      </c>
      <c r="O557" s="1175">
        <v>2</v>
      </c>
      <c r="P557" s="157" t="s">
        <v>4998</v>
      </c>
      <c r="Q557" s="157"/>
      <c r="R557" s="102"/>
      <c r="S557" s="153"/>
      <c r="T557" s="290" t="s">
        <v>4999</v>
      </c>
      <c r="U557" s="290" t="s">
        <v>4256</v>
      </c>
      <c r="AA557"/>
      <c r="AB557"/>
      <c r="AC557" s="283"/>
      <c r="AD557" s="42"/>
    </row>
    <row r="558" spans="3:30" ht="10.5" customHeight="1">
      <c r="C558" s="1181" t="s">
        <v>5000</v>
      </c>
      <c r="D558" s="1178">
        <v>1</v>
      </c>
      <c r="E558" s="1178">
        <v>1</v>
      </c>
      <c r="F558" s="1179">
        <v>2</v>
      </c>
      <c r="G558" s="1189" t="s">
        <v>5000</v>
      </c>
      <c r="H558" s="1176">
        <v>0</v>
      </c>
      <c r="I558" s="1176" t="s">
        <v>4455</v>
      </c>
      <c r="J558" s="1190">
        <v>0</v>
      </c>
      <c r="K558" s="1180"/>
      <c r="L558" s="1174">
        <v>13051010806</v>
      </c>
      <c r="M558" s="1175">
        <v>1</v>
      </c>
      <c r="N558" s="1175">
        <v>1</v>
      </c>
      <c r="O558" s="1175">
        <v>2</v>
      </c>
      <c r="P558" s="157" t="s">
        <v>5001</v>
      </c>
      <c r="Q558" s="157"/>
      <c r="R558" s="102"/>
      <c r="S558" s="153"/>
      <c r="T558" s="290" t="s">
        <v>5002</v>
      </c>
      <c r="U558" s="290" t="s">
        <v>3763</v>
      </c>
      <c r="AA558"/>
      <c r="AB558"/>
      <c r="AC558" s="283"/>
      <c r="AD558" s="42"/>
    </row>
    <row r="559" spans="3:30" ht="10.5" customHeight="1">
      <c r="C559" s="1181" t="s">
        <v>5003</v>
      </c>
      <c r="D559" s="1178">
        <v>1</v>
      </c>
      <c r="E559" s="1178">
        <v>1</v>
      </c>
      <c r="F559" s="1179">
        <v>2</v>
      </c>
      <c r="G559" s="1189" t="s">
        <v>5003</v>
      </c>
      <c r="H559" s="1176">
        <v>1</v>
      </c>
      <c r="I559" s="1176">
        <v>1</v>
      </c>
      <c r="J559" s="1190">
        <v>2</v>
      </c>
      <c r="K559" s="1180"/>
      <c r="L559" s="1174">
        <v>13051010807</v>
      </c>
      <c r="M559" s="1175">
        <v>1</v>
      </c>
      <c r="N559" s="1175">
        <v>1</v>
      </c>
      <c r="O559" s="1175">
        <v>2</v>
      </c>
      <c r="P559" s="157" t="s">
        <v>5004</v>
      </c>
      <c r="Q559" s="157"/>
      <c r="R559" s="102"/>
      <c r="S559" s="153"/>
      <c r="T559" s="290" t="s">
        <v>3607</v>
      </c>
      <c r="U559" s="290" t="s">
        <v>2461</v>
      </c>
      <c r="AA559"/>
      <c r="AB559"/>
      <c r="AC559" s="283"/>
      <c r="AD559" s="42"/>
    </row>
    <row r="560" spans="3:30" ht="10.5" customHeight="1">
      <c r="C560" s="1181" t="s">
        <v>5005</v>
      </c>
      <c r="D560" s="1178">
        <v>1</v>
      </c>
      <c r="E560" s="1178">
        <v>0</v>
      </c>
      <c r="F560" s="1179">
        <v>1</v>
      </c>
      <c r="G560" s="1189" t="s">
        <v>5005</v>
      </c>
      <c r="H560" s="1176">
        <v>1</v>
      </c>
      <c r="I560" s="1176">
        <v>0</v>
      </c>
      <c r="J560" s="1190">
        <v>1</v>
      </c>
      <c r="K560" s="1180"/>
      <c r="L560" s="1174">
        <v>13051010808</v>
      </c>
      <c r="M560" s="1175">
        <v>1</v>
      </c>
      <c r="N560" s="1175">
        <v>0</v>
      </c>
      <c r="O560" s="1175">
        <v>1</v>
      </c>
      <c r="P560" s="157" t="s">
        <v>5006</v>
      </c>
      <c r="Q560" s="157"/>
      <c r="R560" s="102"/>
      <c r="S560" s="153"/>
      <c r="T560" s="153" t="s">
        <v>5007</v>
      </c>
      <c r="U560" s="153" t="s">
        <v>4131</v>
      </c>
      <c r="AA560"/>
      <c r="AB560"/>
      <c r="AC560" s="42"/>
      <c r="AD560" s="42"/>
    </row>
    <row r="561" spans="3:30" ht="10.5" customHeight="1">
      <c r="C561" s="1181" t="s">
        <v>5008</v>
      </c>
      <c r="D561" s="1178">
        <v>1</v>
      </c>
      <c r="E561" s="1178">
        <v>1</v>
      </c>
      <c r="F561" s="1179">
        <v>2</v>
      </c>
      <c r="G561" s="1189" t="s">
        <v>5008</v>
      </c>
      <c r="H561" s="1176">
        <v>1</v>
      </c>
      <c r="I561" s="1176">
        <v>1</v>
      </c>
      <c r="J561" s="1190">
        <v>2</v>
      </c>
      <c r="K561" s="1180"/>
      <c r="L561" s="1174">
        <v>13051010809</v>
      </c>
      <c r="M561" s="1175">
        <v>1</v>
      </c>
      <c r="N561" s="1175">
        <v>1</v>
      </c>
      <c r="O561" s="1175">
        <v>2</v>
      </c>
      <c r="P561" s="157" t="s">
        <v>5009</v>
      </c>
      <c r="Q561" s="157"/>
      <c r="R561" s="102"/>
      <c r="S561" s="153"/>
      <c r="T561" s="290" t="s">
        <v>5010</v>
      </c>
      <c r="U561" s="290" t="s">
        <v>4156</v>
      </c>
      <c r="AA561"/>
      <c r="AB561"/>
      <c r="AC561" s="283"/>
      <c r="AD561" s="42"/>
    </row>
    <row r="562" spans="3:30" ht="10.5" customHeight="1">
      <c r="C562" s="1181" t="s">
        <v>5011</v>
      </c>
      <c r="D562" s="1178">
        <v>0</v>
      </c>
      <c r="E562" s="1178">
        <v>0</v>
      </c>
      <c r="F562" s="1179">
        <v>0</v>
      </c>
      <c r="G562" s="1189" t="s">
        <v>5011</v>
      </c>
      <c r="H562" s="1176">
        <v>0</v>
      </c>
      <c r="I562" s="1176">
        <v>0</v>
      </c>
      <c r="J562" s="1190">
        <v>0</v>
      </c>
      <c r="K562" s="1180"/>
      <c r="L562" s="1174">
        <v>13051010901</v>
      </c>
      <c r="M562" s="1175">
        <v>0</v>
      </c>
      <c r="N562" s="1175">
        <v>0</v>
      </c>
      <c r="O562" s="1175">
        <v>0</v>
      </c>
      <c r="P562" s="157" t="s">
        <v>5012</v>
      </c>
      <c r="Q562" s="157"/>
      <c r="R562" s="102"/>
      <c r="S562" s="153"/>
      <c r="T562" s="290" t="s">
        <v>4295</v>
      </c>
      <c r="U562" s="290" t="s">
        <v>157</v>
      </c>
      <c r="AA562"/>
      <c r="AB562"/>
      <c r="AC562" s="283"/>
      <c r="AD562" s="42"/>
    </row>
    <row r="563" spans="3:30" ht="10.5" customHeight="1">
      <c r="C563" s="1181" t="s">
        <v>5013</v>
      </c>
      <c r="D563" s="1178">
        <v>1</v>
      </c>
      <c r="E563" s="1178">
        <v>1</v>
      </c>
      <c r="F563" s="1179">
        <v>2</v>
      </c>
      <c r="G563" s="1189" t="s">
        <v>5013</v>
      </c>
      <c r="H563" s="1176">
        <v>1</v>
      </c>
      <c r="I563" s="1176">
        <v>0</v>
      </c>
      <c r="J563" s="1190">
        <v>1</v>
      </c>
      <c r="K563" s="1180"/>
      <c r="L563" s="1174">
        <v>13051011003</v>
      </c>
      <c r="M563" s="1175">
        <v>1</v>
      </c>
      <c r="N563" s="1175">
        <v>1</v>
      </c>
      <c r="O563" s="1175">
        <v>2</v>
      </c>
      <c r="P563" s="157" t="s">
        <v>5014</v>
      </c>
      <c r="Q563" s="157"/>
      <c r="R563" s="102"/>
      <c r="S563" s="153"/>
      <c r="T563" s="290" t="s">
        <v>5015</v>
      </c>
      <c r="U563" s="290" t="s">
        <v>111</v>
      </c>
      <c r="AA563"/>
      <c r="AB563"/>
      <c r="AC563" s="283"/>
      <c r="AD563" s="42"/>
    </row>
    <row r="564" spans="3:30" ht="10.5" customHeight="1">
      <c r="C564" s="1181" t="s">
        <v>5016</v>
      </c>
      <c r="D564" s="1178">
        <v>1</v>
      </c>
      <c r="E564" s="1178">
        <v>1</v>
      </c>
      <c r="F564" s="1179">
        <v>2</v>
      </c>
      <c r="G564" s="1189" t="s">
        <v>5016</v>
      </c>
      <c r="H564" s="1176">
        <v>1</v>
      </c>
      <c r="I564" s="1176">
        <v>1</v>
      </c>
      <c r="J564" s="1190">
        <v>2</v>
      </c>
      <c r="K564" s="1180"/>
      <c r="L564" s="1174">
        <v>13051011004</v>
      </c>
      <c r="M564" s="1175">
        <v>1</v>
      </c>
      <c r="N564" s="1175">
        <v>1</v>
      </c>
      <c r="O564" s="1175">
        <v>2</v>
      </c>
      <c r="P564" s="157" t="s">
        <v>5017</v>
      </c>
      <c r="Q564" s="157"/>
      <c r="R564" s="102"/>
      <c r="S564" s="153"/>
      <c r="T564" s="290" t="s">
        <v>5018</v>
      </c>
      <c r="U564" s="290" t="s">
        <v>4054</v>
      </c>
      <c r="AA564"/>
      <c r="AB564"/>
      <c r="AC564" s="283"/>
      <c r="AD564" s="42"/>
    </row>
    <row r="565" spans="3:30" ht="10.5" customHeight="1">
      <c r="C565" s="1181" t="s">
        <v>5019</v>
      </c>
      <c r="D565" s="1178">
        <v>1</v>
      </c>
      <c r="E565" s="1178">
        <v>1</v>
      </c>
      <c r="F565" s="1179">
        <v>2</v>
      </c>
      <c r="G565" s="1189" t="s">
        <v>5019</v>
      </c>
      <c r="H565" s="1176">
        <v>0</v>
      </c>
      <c r="I565" s="1176">
        <v>1</v>
      </c>
      <c r="J565" s="1190">
        <v>1</v>
      </c>
      <c r="K565" s="1180"/>
      <c r="L565" s="1174">
        <v>13051011005</v>
      </c>
      <c r="M565" s="1175">
        <v>1</v>
      </c>
      <c r="N565" s="1175">
        <v>1</v>
      </c>
      <c r="O565" s="1175">
        <v>2</v>
      </c>
      <c r="P565" s="157" t="s">
        <v>5020</v>
      </c>
      <c r="Q565" s="157"/>
      <c r="R565" s="102"/>
      <c r="S565" s="153"/>
      <c r="T565" s="290" t="s">
        <v>4297</v>
      </c>
      <c r="U565" s="290" t="s">
        <v>151</v>
      </c>
      <c r="AA565"/>
      <c r="AB565"/>
      <c r="AC565" s="283"/>
      <c r="AD565" s="42"/>
    </row>
    <row r="566" spans="3:30" ht="10.5" customHeight="1">
      <c r="C566" s="1181" t="s">
        <v>5021</v>
      </c>
      <c r="D566" s="1178">
        <v>1</v>
      </c>
      <c r="E566" s="1178">
        <v>1</v>
      </c>
      <c r="F566" s="1179">
        <v>2</v>
      </c>
      <c r="G566" s="1189" t="s">
        <v>5021</v>
      </c>
      <c r="H566" s="1176">
        <v>1</v>
      </c>
      <c r="I566" s="1176">
        <v>1</v>
      </c>
      <c r="J566" s="1190">
        <v>2</v>
      </c>
      <c r="K566" s="1180"/>
      <c r="L566" s="1174">
        <v>13051011006</v>
      </c>
      <c r="M566" s="1175">
        <v>1</v>
      </c>
      <c r="N566" s="1175">
        <v>1</v>
      </c>
      <c r="O566" s="1175">
        <v>2</v>
      </c>
      <c r="P566" s="157" t="s">
        <v>5022</v>
      </c>
      <c r="Q566" s="157"/>
      <c r="R566" s="102"/>
      <c r="S566" s="153"/>
      <c r="T566" s="290" t="s">
        <v>155</v>
      </c>
      <c r="U566" s="290" t="s">
        <v>93</v>
      </c>
      <c r="AA566"/>
      <c r="AB566"/>
      <c r="AC566" s="283"/>
      <c r="AD566" s="42"/>
    </row>
    <row r="567" spans="3:30" ht="10.5" customHeight="1">
      <c r="C567" s="1181" t="s">
        <v>5023</v>
      </c>
      <c r="D567" s="1178">
        <v>1</v>
      </c>
      <c r="E567" s="1178">
        <v>1</v>
      </c>
      <c r="F567" s="1179">
        <v>2</v>
      </c>
      <c r="G567" s="1189" t="s">
        <v>5023</v>
      </c>
      <c r="H567" s="1176">
        <v>1</v>
      </c>
      <c r="I567" s="1176">
        <v>0</v>
      </c>
      <c r="J567" s="1190">
        <v>1</v>
      </c>
      <c r="K567" s="1180"/>
      <c r="L567" s="1174">
        <v>13051011103</v>
      </c>
      <c r="M567" s="1175">
        <v>1</v>
      </c>
      <c r="N567" s="1175">
        <v>1</v>
      </c>
      <c r="O567" s="1175">
        <v>2</v>
      </c>
      <c r="P567" s="157" t="s">
        <v>5024</v>
      </c>
      <c r="Q567" s="157"/>
      <c r="R567" s="102"/>
      <c r="S567" s="153"/>
      <c r="T567" s="290" t="s">
        <v>5025</v>
      </c>
      <c r="U567" s="290" t="s">
        <v>3871</v>
      </c>
      <c r="AA567"/>
      <c r="AB567"/>
      <c r="AC567" s="283"/>
      <c r="AD567" s="42"/>
    </row>
    <row r="568" spans="3:30" ht="10.5" customHeight="1">
      <c r="C568" s="1181" t="s">
        <v>5026</v>
      </c>
      <c r="D568" s="1178">
        <v>1</v>
      </c>
      <c r="E568" s="1178">
        <v>1</v>
      </c>
      <c r="F568" s="1179">
        <v>2</v>
      </c>
      <c r="G568" s="1189" t="s">
        <v>5026</v>
      </c>
      <c r="H568" s="1176">
        <v>1</v>
      </c>
      <c r="I568" s="1176">
        <v>1</v>
      </c>
      <c r="J568" s="1190">
        <v>2</v>
      </c>
      <c r="K568" s="1180"/>
      <c r="L568" s="1174">
        <v>13051011104</v>
      </c>
      <c r="M568" s="1175">
        <v>1</v>
      </c>
      <c r="N568" s="1175">
        <v>1</v>
      </c>
      <c r="O568" s="1175">
        <v>2</v>
      </c>
      <c r="P568" s="157" t="s">
        <v>5027</v>
      </c>
      <c r="Q568" s="157"/>
      <c r="R568" s="102"/>
      <c r="S568" s="153"/>
      <c r="T568" s="290" t="s">
        <v>5028</v>
      </c>
      <c r="U568" s="290" t="s">
        <v>3763</v>
      </c>
      <c r="AA568"/>
      <c r="AB568"/>
      <c r="AC568" s="283"/>
      <c r="AD568" s="42"/>
    </row>
    <row r="569" spans="3:30" ht="10.5" customHeight="1">
      <c r="C569" s="1181" t="s">
        <v>5029</v>
      </c>
      <c r="D569" s="1178">
        <v>1</v>
      </c>
      <c r="E569" s="1178">
        <v>1</v>
      </c>
      <c r="F569" s="1179">
        <v>2</v>
      </c>
      <c r="G569" s="1189" t="s">
        <v>5029</v>
      </c>
      <c r="H569" s="1176">
        <v>1</v>
      </c>
      <c r="I569" s="1176">
        <v>1</v>
      </c>
      <c r="J569" s="1190">
        <v>2</v>
      </c>
      <c r="K569" s="1180"/>
      <c r="L569" s="1174">
        <v>13051011106</v>
      </c>
      <c r="M569" s="1175">
        <v>1</v>
      </c>
      <c r="N569" s="1175">
        <v>1</v>
      </c>
      <c r="O569" s="1175">
        <v>2</v>
      </c>
      <c r="P569" s="157" t="s">
        <v>5030</v>
      </c>
      <c r="Q569" s="157"/>
      <c r="R569" s="102"/>
      <c r="S569" s="153"/>
      <c r="T569" s="290" t="s">
        <v>5031</v>
      </c>
      <c r="U569" s="290" t="s">
        <v>3700</v>
      </c>
      <c r="AA569"/>
      <c r="AB569"/>
      <c r="AC569" s="283"/>
      <c r="AD569" s="42"/>
    </row>
    <row r="570" spans="3:30" ht="10.5" customHeight="1">
      <c r="C570" s="1181" t="s">
        <v>5032</v>
      </c>
      <c r="D570" s="1178">
        <v>1</v>
      </c>
      <c r="E570" s="1178">
        <v>1</v>
      </c>
      <c r="F570" s="1179">
        <v>2</v>
      </c>
      <c r="G570" s="1189" t="s">
        <v>5032</v>
      </c>
      <c r="H570" s="1176">
        <v>1</v>
      </c>
      <c r="I570" s="1176">
        <v>0</v>
      </c>
      <c r="J570" s="1190">
        <v>1</v>
      </c>
      <c r="K570" s="1180"/>
      <c r="L570" s="1174">
        <v>13051011107</v>
      </c>
      <c r="M570" s="1175">
        <v>1</v>
      </c>
      <c r="N570" s="1175">
        <v>1</v>
      </c>
      <c r="O570" s="1175">
        <v>2</v>
      </c>
      <c r="P570" s="157" t="s">
        <v>5033</v>
      </c>
      <c r="Q570" s="157"/>
      <c r="R570" s="102"/>
      <c r="S570" s="153"/>
      <c r="T570" s="290" t="s">
        <v>5034</v>
      </c>
      <c r="U570" s="290" t="s">
        <v>3500</v>
      </c>
      <c r="AA570"/>
      <c r="AB570"/>
      <c r="AC570" s="283"/>
      <c r="AD570" s="42"/>
    </row>
    <row r="571" spans="3:30" ht="10.5" customHeight="1">
      <c r="C571" s="1181" t="s">
        <v>5035</v>
      </c>
      <c r="D571" s="1178">
        <v>1</v>
      </c>
      <c r="E571" s="1178">
        <v>1</v>
      </c>
      <c r="F571" s="1179">
        <v>2</v>
      </c>
      <c r="G571" s="1189" t="s">
        <v>5035</v>
      </c>
      <c r="H571" s="1176">
        <v>1</v>
      </c>
      <c r="I571" s="1176">
        <v>1</v>
      </c>
      <c r="J571" s="1190">
        <v>2</v>
      </c>
      <c r="K571" s="1180"/>
      <c r="L571" s="1174">
        <v>13051011108</v>
      </c>
      <c r="M571" s="1175">
        <v>1</v>
      </c>
      <c r="N571" s="1175">
        <v>1</v>
      </c>
      <c r="O571" s="1175">
        <v>2</v>
      </c>
      <c r="P571" s="157" t="s">
        <v>5036</v>
      </c>
      <c r="Q571" s="157"/>
      <c r="R571" s="102"/>
      <c r="S571" s="153"/>
      <c r="T571" s="290" t="s">
        <v>4301</v>
      </c>
      <c r="U571" s="290" t="s">
        <v>3770</v>
      </c>
      <c r="AA571"/>
      <c r="AB571"/>
      <c r="AC571" s="283"/>
      <c r="AD571" s="42"/>
    </row>
    <row r="572" spans="3:30" ht="10.5" customHeight="1">
      <c r="C572" s="1181" t="s">
        <v>5037</v>
      </c>
      <c r="D572" s="1178">
        <v>1</v>
      </c>
      <c r="E572" s="1178">
        <v>1</v>
      </c>
      <c r="F572" s="1179">
        <v>2</v>
      </c>
      <c r="G572" s="1189" t="s">
        <v>5037</v>
      </c>
      <c r="H572" s="1176">
        <v>1</v>
      </c>
      <c r="I572" s="1176">
        <v>1</v>
      </c>
      <c r="J572" s="1190">
        <v>2</v>
      </c>
      <c r="K572" s="1180"/>
      <c r="L572" s="1174">
        <v>13051011109</v>
      </c>
      <c r="M572" s="1175">
        <v>1</v>
      </c>
      <c r="N572" s="1175">
        <v>1</v>
      </c>
      <c r="O572" s="1175">
        <v>2</v>
      </c>
      <c r="P572" s="157" t="s">
        <v>5038</v>
      </c>
      <c r="Q572" s="157"/>
      <c r="R572" s="102"/>
      <c r="S572" s="153"/>
      <c r="T572" s="290" t="s">
        <v>5039</v>
      </c>
      <c r="U572" s="290" t="s">
        <v>3725</v>
      </c>
      <c r="AA572"/>
      <c r="AB572"/>
      <c r="AC572" s="283"/>
      <c r="AD572" s="42"/>
    </row>
    <row r="573" spans="3:30" ht="10.5" customHeight="1">
      <c r="C573" s="1181" t="s">
        <v>5040</v>
      </c>
      <c r="D573" s="1178">
        <v>0</v>
      </c>
      <c r="E573" s="1178">
        <v>1</v>
      </c>
      <c r="F573" s="1179">
        <v>1</v>
      </c>
      <c r="G573" s="1189" t="s">
        <v>5040</v>
      </c>
      <c r="H573" s="1176">
        <v>0</v>
      </c>
      <c r="I573" s="1176">
        <v>1</v>
      </c>
      <c r="J573" s="1190">
        <v>1</v>
      </c>
      <c r="K573" s="1180"/>
      <c r="L573" s="1174">
        <v>13051011200</v>
      </c>
      <c r="M573" s="1175">
        <v>0</v>
      </c>
      <c r="N573" s="1175">
        <v>1</v>
      </c>
      <c r="O573" s="1175">
        <v>1</v>
      </c>
      <c r="P573" s="157" t="s">
        <v>5041</v>
      </c>
      <c r="Q573" s="157"/>
      <c r="R573" s="102"/>
      <c r="S573" s="153"/>
      <c r="T573" s="290" t="s">
        <v>4308</v>
      </c>
      <c r="U573" s="290" t="s">
        <v>3440</v>
      </c>
      <c r="AA573"/>
      <c r="AB573"/>
      <c r="AC573" s="283"/>
      <c r="AD573" s="42"/>
    </row>
    <row r="574" spans="3:30" ht="10.5" customHeight="1">
      <c r="C574" s="1181" t="s">
        <v>5042</v>
      </c>
      <c r="D574" s="1178">
        <v>0</v>
      </c>
      <c r="E574" s="1178">
        <v>0</v>
      </c>
      <c r="F574" s="1179">
        <v>0</v>
      </c>
      <c r="G574" s="1189" t="s">
        <v>5042</v>
      </c>
      <c r="H574" s="1176">
        <v>0</v>
      </c>
      <c r="I574" s="1176">
        <v>0</v>
      </c>
      <c r="J574" s="1190">
        <v>0</v>
      </c>
      <c r="K574" s="1180"/>
      <c r="L574" s="1174">
        <v>13051011300</v>
      </c>
      <c r="M574" s="1175">
        <v>0</v>
      </c>
      <c r="N574" s="1175">
        <v>0</v>
      </c>
      <c r="O574" s="1175">
        <v>0</v>
      </c>
      <c r="P574" s="157" t="s">
        <v>5043</v>
      </c>
      <c r="Q574" s="157"/>
      <c r="R574" s="102"/>
      <c r="S574" s="153"/>
      <c r="T574" s="290" t="s">
        <v>4310</v>
      </c>
      <c r="U574" s="290" t="s">
        <v>3668</v>
      </c>
      <c r="AA574"/>
      <c r="AB574"/>
      <c r="AC574" s="283"/>
      <c r="AD574" s="42"/>
    </row>
    <row r="575" spans="3:30" ht="10.5" customHeight="1">
      <c r="C575" s="1181" t="s">
        <v>5044</v>
      </c>
      <c r="D575" s="1178">
        <v>0</v>
      </c>
      <c r="E575" s="1178">
        <v>0</v>
      </c>
      <c r="F575" s="1179">
        <v>0</v>
      </c>
      <c r="G575" s="1189" t="s">
        <v>5044</v>
      </c>
      <c r="H575" s="1176">
        <v>0</v>
      </c>
      <c r="I575" s="1176" t="s">
        <v>4455</v>
      </c>
      <c r="J575" s="1190">
        <v>0</v>
      </c>
      <c r="K575" s="1180"/>
      <c r="L575" s="1174">
        <v>13051011400</v>
      </c>
      <c r="M575" s="1175">
        <v>0</v>
      </c>
      <c r="N575" s="1175">
        <v>0</v>
      </c>
      <c r="O575" s="1175">
        <v>0</v>
      </c>
      <c r="P575" s="157" t="s">
        <v>5045</v>
      </c>
      <c r="Q575" s="157"/>
      <c r="R575" s="102"/>
      <c r="S575" s="153"/>
      <c r="T575" s="290" t="s">
        <v>2032</v>
      </c>
      <c r="U575" s="290" t="s">
        <v>3527</v>
      </c>
      <c r="AA575"/>
      <c r="AB575"/>
      <c r="AC575" s="283"/>
      <c r="AD575" s="42"/>
    </row>
    <row r="576" spans="3:30" ht="10.5" customHeight="1">
      <c r="C576" s="1181" t="s">
        <v>5046</v>
      </c>
      <c r="D576" s="1178">
        <v>1</v>
      </c>
      <c r="E576" s="1178">
        <v>1</v>
      </c>
      <c r="F576" s="1179">
        <v>2</v>
      </c>
      <c r="G576" s="1189" t="s">
        <v>5046</v>
      </c>
      <c r="H576" s="1176">
        <v>1</v>
      </c>
      <c r="I576" s="1176">
        <v>1</v>
      </c>
      <c r="J576" s="1190">
        <v>1</v>
      </c>
      <c r="K576" s="1180"/>
      <c r="L576" s="1174">
        <v>13051011500</v>
      </c>
      <c r="M576" s="1175">
        <v>1</v>
      </c>
      <c r="N576" s="1175">
        <v>1</v>
      </c>
      <c r="O576" s="1175">
        <v>2</v>
      </c>
      <c r="P576" s="157" t="s">
        <v>5047</v>
      </c>
      <c r="Q576" s="157"/>
      <c r="R576" s="102"/>
      <c r="S576" s="153"/>
      <c r="T576" s="153" t="s">
        <v>5048</v>
      </c>
      <c r="U576" s="153" t="s">
        <v>3588</v>
      </c>
      <c r="AA576"/>
      <c r="AB576"/>
      <c r="AC576" s="42"/>
      <c r="AD576" s="42"/>
    </row>
    <row r="577" spans="3:30" ht="10.5" customHeight="1">
      <c r="C577" s="1181" t="s">
        <v>5049</v>
      </c>
      <c r="D577" s="1178">
        <v>0</v>
      </c>
      <c r="E577" s="1178">
        <v>0</v>
      </c>
      <c r="F577" s="1179">
        <v>0</v>
      </c>
      <c r="G577" s="1189" t="s">
        <v>5049</v>
      </c>
      <c r="H577" s="1176">
        <v>0</v>
      </c>
      <c r="I577" s="1176">
        <v>0</v>
      </c>
      <c r="J577" s="1190">
        <v>0</v>
      </c>
      <c r="K577" s="1180"/>
      <c r="L577" s="1174">
        <v>13051011600</v>
      </c>
      <c r="M577" s="1175">
        <v>0</v>
      </c>
      <c r="N577" s="1175">
        <v>0</v>
      </c>
      <c r="O577" s="1175">
        <v>0</v>
      </c>
      <c r="P577" s="157" t="s">
        <v>5050</v>
      </c>
      <c r="Q577" s="157"/>
      <c r="R577" s="102"/>
      <c r="S577" s="153"/>
      <c r="T577" s="290" t="s">
        <v>5051</v>
      </c>
      <c r="U577" s="290" t="s">
        <v>3918</v>
      </c>
      <c r="AA577"/>
      <c r="AB577"/>
      <c r="AC577" s="283"/>
      <c r="AD577" s="42"/>
    </row>
    <row r="578" spans="3:30" ht="10.5" customHeight="1">
      <c r="C578" s="1181" t="s">
        <v>5052</v>
      </c>
      <c r="D578" s="1178" t="s">
        <v>4455</v>
      </c>
      <c r="E578" s="1178" t="s">
        <v>4455</v>
      </c>
      <c r="F578" s="1179">
        <v>0</v>
      </c>
      <c r="G578" s="1189" t="s">
        <v>5052</v>
      </c>
      <c r="H578" s="1176" t="s">
        <v>4455</v>
      </c>
      <c r="I578" s="1176" t="s">
        <v>4455</v>
      </c>
      <c r="J578" s="1190">
        <v>0</v>
      </c>
      <c r="K578" s="1180"/>
      <c r="L578" s="1174">
        <v>13051980000</v>
      </c>
      <c r="M578" s="1175">
        <v>0</v>
      </c>
      <c r="N578" s="1175">
        <v>0</v>
      </c>
      <c r="O578" s="1175">
        <v>0</v>
      </c>
      <c r="P578" s="157" t="s">
        <v>5053</v>
      </c>
      <c r="Q578" s="157"/>
      <c r="R578" s="102"/>
      <c r="S578" s="153"/>
      <c r="T578" s="290" t="s">
        <v>2033</v>
      </c>
      <c r="U578" s="290" t="s">
        <v>166</v>
      </c>
      <c r="AA578"/>
      <c r="AB578"/>
      <c r="AC578" s="283"/>
      <c r="AD578" s="42"/>
    </row>
    <row r="579" spans="3:30" ht="10.5" customHeight="1">
      <c r="C579" s="1181" t="s">
        <v>5054</v>
      </c>
      <c r="D579" s="1178" t="s">
        <v>4455</v>
      </c>
      <c r="E579" s="1178" t="s">
        <v>4455</v>
      </c>
      <c r="F579" s="1179">
        <v>0</v>
      </c>
      <c r="G579" s="1189" t="s">
        <v>5054</v>
      </c>
      <c r="H579" s="1176" t="s">
        <v>4455</v>
      </c>
      <c r="I579" s="1176" t="s">
        <v>4455</v>
      </c>
      <c r="J579" s="1190">
        <v>0</v>
      </c>
      <c r="K579" s="1180"/>
      <c r="L579" s="1174">
        <v>13051990000</v>
      </c>
      <c r="M579" s="1175">
        <v>0</v>
      </c>
      <c r="N579" s="1175">
        <v>0</v>
      </c>
      <c r="O579" s="1175">
        <v>0</v>
      </c>
      <c r="P579" s="157" t="s">
        <v>5055</v>
      </c>
      <c r="Q579" s="157"/>
      <c r="R579" s="102"/>
      <c r="S579" s="153"/>
      <c r="T579" s="153" t="s">
        <v>156</v>
      </c>
      <c r="U579" s="153" t="s">
        <v>157</v>
      </c>
      <c r="AA579"/>
      <c r="AB579"/>
      <c r="AC579" s="42"/>
      <c r="AD579" s="42"/>
    </row>
    <row r="580" spans="3:30" ht="10.5" customHeight="1">
      <c r="C580" s="1181" t="s">
        <v>5056</v>
      </c>
      <c r="D580" s="1178">
        <v>0</v>
      </c>
      <c r="E580" s="1178">
        <v>0</v>
      </c>
      <c r="F580" s="1179">
        <v>0</v>
      </c>
      <c r="G580" s="1189" t="s">
        <v>5056</v>
      </c>
      <c r="H580" s="1176">
        <v>0</v>
      </c>
      <c r="I580" s="1176">
        <v>0</v>
      </c>
      <c r="J580" s="1190">
        <v>0</v>
      </c>
      <c r="K580" s="1180"/>
      <c r="L580" s="1174">
        <v>13053020100</v>
      </c>
      <c r="M580" s="1175">
        <v>0</v>
      </c>
      <c r="N580" s="1175">
        <v>0</v>
      </c>
      <c r="O580" s="1175">
        <v>0</v>
      </c>
      <c r="P580" s="157" t="s">
        <v>5057</v>
      </c>
      <c r="Q580" s="157"/>
      <c r="R580" s="102"/>
      <c r="S580" s="153"/>
      <c r="T580" s="290" t="s">
        <v>5058</v>
      </c>
      <c r="U580" s="290" t="s">
        <v>93</v>
      </c>
      <c r="AA580"/>
      <c r="AB580"/>
      <c r="AC580" s="283"/>
      <c r="AD580" s="42"/>
    </row>
    <row r="581" spans="3:30" ht="10.5" customHeight="1">
      <c r="C581" s="1181" t="s">
        <v>5059</v>
      </c>
      <c r="D581" s="1178">
        <v>0</v>
      </c>
      <c r="E581" s="1178">
        <v>1</v>
      </c>
      <c r="F581" s="1179">
        <v>1</v>
      </c>
      <c r="G581" s="1189" t="s">
        <v>5059</v>
      </c>
      <c r="H581" s="1176">
        <v>0</v>
      </c>
      <c r="I581" s="1176" t="s">
        <v>4455</v>
      </c>
      <c r="J581" s="1190">
        <v>0</v>
      </c>
      <c r="K581" s="1180"/>
      <c r="L581" s="1174">
        <v>13053020201</v>
      </c>
      <c r="M581" s="1175">
        <v>0</v>
      </c>
      <c r="N581" s="1175">
        <v>1</v>
      </c>
      <c r="O581" s="1175">
        <v>1</v>
      </c>
      <c r="P581" s="157" t="s">
        <v>5060</v>
      </c>
      <c r="Q581" s="157"/>
      <c r="R581" s="102"/>
      <c r="S581" s="153"/>
      <c r="T581" s="290" t="s">
        <v>4316</v>
      </c>
      <c r="U581" s="290" t="s">
        <v>3862</v>
      </c>
      <c r="AA581"/>
      <c r="AB581"/>
      <c r="AC581" s="283"/>
      <c r="AD581" s="42"/>
    </row>
    <row r="582" spans="3:30" ht="10.5" customHeight="1">
      <c r="C582" s="1181" t="s">
        <v>5061</v>
      </c>
      <c r="D582" s="1178">
        <v>0</v>
      </c>
      <c r="E582" s="1178">
        <v>1</v>
      </c>
      <c r="F582" s="1179">
        <v>1</v>
      </c>
      <c r="G582" s="1189" t="s">
        <v>5061</v>
      </c>
      <c r="H582" s="1176">
        <v>0</v>
      </c>
      <c r="I582" s="1176" t="s">
        <v>4455</v>
      </c>
      <c r="J582" s="1190">
        <v>0</v>
      </c>
      <c r="K582" s="1180"/>
      <c r="L582" s="1174">
        <v>13053020203</v>
      </c>
      <c r="M582" s="1175">
        <v>0</v>
      </c>
      <c r="N582" s="1175">
        <v>1</v>
      </c>
      <c r="O582" s="1175">
        <v>1</v>
      </c>
      <c r="P582" s="157" t="s">
        <v>5062</v>
      </c>
      <c r="Q582" s="157"/>
      <c r="R582" s="102"/>
      <c r="S582" s="153"/>
      <c r="T582" s="290" t="s">
        <v>5063</v>
      </c>
      <c r="U582" s="290" t="s">
        <v>3710</v>
      </c>
      <c r="AA582"/>
      <c r="AB582"/>
      <c r="AC582" s="283"/>
      <c r="AD582" s="42"/>
    </row>
    <row r="583" spans="3:30" ht="10.5" customHeight="1">
      <c r="C583" s="1181" t="s">
        <v>5064</v>
      </c>
      <c r="D583" s="1178">
        <v>0</v>
      </c>
      <c r="E583" s="1178">
        <v>1</v>
      </c>
      <c r="F583" s="1179">
        <v>1</v>
      </c>
      <c r="G583" s="1189" t="s">
        <v>5064</v>
      </c>
      <c r="H583" s="1176">
        <v>0</v>
      </c>
      <c r="I583" s="1176" t="s">
        <v>4455</v>
      </c>
      <c r="J583" s="1190">
        <v>0</v>
      </c>
      <c r="K583" s="1180"/>
      <c r="L583" s="1174">
        <v>13053020205</v>
      </c>
      <c r="M583" s="1175">
        <v>0</v>
      </c>
      <c r="N583" s="1175">
        <v>1</v>
      </c>
      <c r="O583" s="1175">
        <v>1</v>
      </c>
      <c r="P583" s="157" t="s">
        <v>5065</v>
      </c>
      <c r="Q583" s="157"/>
      <c r="R583" s="102"/>
      <c r="S583" s="153"/>
      <c r="T583" s="153" t="s">
        <v>5066</v>
      </c>
      <c r="U583" s="153" t="s">
        <v>3445</v>
      </c>
      <c r="AA583"/>
      <c r="AB583"/>
      <c r="AC583" s="42"/>
      <c r="AD583" s="42"/>
    </row>
    <row r="584" spans="3:30" ht="10.5" customHeight="1">
      <c r="C584" s="1181" t="s">
        <v>5067</v>
      </c>
      <c r="D584" s="1178" t="s">
        <v>4455</v>
      </c>
      <c r="E584" s="1178" t="s">
        <v>4455</v>
      </c>
      <c r="F584" s="1179">
        <v>0</v>
      </c>
      <c r="G584" s="1189" t="s">
        <v>5067</v>
      </c>
      <c r="H584" s="1176" t="s">
        <v>4455</v>
      </c>
      <c r="I584" s="1176" t="s">
        <v>4455</v>
      </c>
      <c r="J584" s="1190">
        <v>0</v>
      </c>
      <c r="K584" s="1180"/>
      <c r="L584" s="1174">
        <v>13053020206</v>
      </c>
      <c r="M584" s="1175">
        <v>0</v>
      </c>
      <c r="N584" s="1175">
        <v>0</v>
      </c>
      <c r="O584" s="1175">
        <v>0</v>
      </c>
      <c r="P584" s="157" t="s">
        <v>5068</v>
      </c>
      <c r="Q584" s="157"/>
      <c r="R584" s="102"/>
      <c r="S584" s="153"/>
      <c r="T584" s="153" t="s">
        <v>5069</v>
      </c>
      <c r="U584" s="153" t="s">
        <v>3445</v>
      </c>
      <c r="AA584"/>
      <c r="AB584"/>
      <c r="AC584" s="42"/>
      <c r="AD584" s="42"/>
    </row>
    <row r="585" spans="3:30" ht="10.5" customHeight="1">
      <c r="C585" s="1181" t="s">
        <v>5070</v>
      </c>
      <c r="D585" s="1178">
        <v>0</v>
      </c>
      <c r="E585" s="1178">
        <v>0</v>
      </c>
      <c r="F585" s="1179">
        <v>0</v>
      </c>
      <c r="G585" s="1189" t="s">
        <v>5070</v>
      </c>
      <c r="H585" s="1176">
        <v>0</v>
      </c>
      <c r="I585" s="1176">
        <v>0</v>
      </c>
      <c r="J585" s="1190">
        <v>0</v>
      </c>
      <c r="K585" s="1180"/>
      <c r="L585" s="1174">
        <v>13055010100</v>
      </c>
      <c r="M585" s="1175">
        <v>0</v>
      </c>
      <c r="N585" s="1175">
        <v>0</v>
      </c>
      <c r="O585" s="1175">
        <v>0</v>
      </c>
      <c r="P585" s="157" t="s">
        <v>5071</v>
      </c>
      <c r="Q585" s="157"/>
      <c r="R585" s="102"/>
      <c r="S585" s="153"/>
      <c r="T585" s="290" t="s">
        <v>5072</v>
      </c>
      <c r="U585" s="290" t="s">
        <v>3557</v>
      </c>
      <c r="AA585"/>
      <c r="AB585"/>
      <c r="AC585" s="283"/>
      <c r="AD585" s="42"/>
    </row>
    <row r="586" spans="3:30" ht="10.5" customHeight="1">
      <c r="C586" s="1181" t="s">
        <v>5073</v>
      </c>
      <c r="D586" s="1178">
        <v>0</v>
      </c>
      <c r="E586" s="1178">
        <v>0</v>
      </c>
      <c r="F586" s="1179">
        <v>0</v>
      </c>
      <c r="G586" s="1189" t="s">
        <v>5073</v>
      </c>
      <c r="H586" s="1176">
        <v>0</v>
      </c>
      <c r="I586" s="1176">
        <v>0</v>
      </c>
      <c r="J586" s="1190">
        <v>0</v>
      </c>
      <c r="K586" s="1180"/>
      <c r="L586" s="1174">
        <v>13055010200</v>
      </c>
      <c r="M586" s="1175">
        <v>0</v>
      </c>
      <c r="N586" s="1175">
        <v>0</v>
      </c>
      <c r="O586" s="1175">
        <v>0</v>
      </c>
      <c r="P586" s="157" t="s">
        <v>5074</v>
      </c>
      <c r="Q586" s="157"/>
      <c r="R586" s="102"/>
      <c r="S586" s="153"/>
      <c r="T586" s="290" t="s">
        <v>5075</v>
      </c>
      <c r="U586" s="290" t="s">
        <v>3813</v>
      </c>
      <c r="AA586"/>
      <c r="AB586"/>
      <c r="AC586" s="283"/>
      <c r="AD586" s="42"/>
    </row>
    <row r="587" spans="3:30" ht="10.5" customHeight="1">
      <c r="C587" s="1181" t="s">
        <v>5076</v>
      </c>
      <c r="D587" s="1178">
        <v>0</v>
      </c>
      <c r="E587" s="1178">
        <v>0</v>
      </c>
      <c r="F587" s="1179">
        <v>0</v>
      </c>
      <c r="G587" s="1189" t="s">
        <v>5076</v>
      </c>
      <c r="H587" s="1176">
        <v>0</v>
      </c>
      <c r="I587" s="1176" t="s">
        <v>4455</v>
      </c>
      <c r="J587" s="1190">
        <v>0</v>
      </c>
      <c r="K587" s="1180"/>
      <c r="L587" s="1174">
        <v>13055010300</v>
      </c>
      <c r="M587" s="1175">
        <v>0</v>
      </c>
      <c r="N587" s="1175">
        <v>0</v>
      </c>
      <c r="O587" s="1175">
        <v>0</v>
      </c>
      <c r="P587" s="157" t="s">
        <v>5077</v>
      </c>
      <c r="Q587" s="157"/>
      <c r="R587" s="102"/>
      <c r="S587" s="153"/>
      <c r="T587" s="290" t="s">
        <v>4319</v>
      </c>
      <c r="U587" s="290" t="s">
        <v>135</v>
      </c>
      <c r="AA587"/>
      <c r="AB587"/>
      <c r="AC587" s="283"/>
      <c r="AD587" s="42"/>
    </row>
    <row r="588" spans="3:30" ht="10.5" customHeight="1">
      <c r="C588" s="1181" t="s">
        <v>5078</v>
      </c>
      <c r="D588" s="1178">
        <v>0</v>
      </c>
      <c r="E588" s="1178">
        <v>0</v>
      </c>
      <c r="F588" s="1179">
        <v>0</v>
      </c>
      <c r="G588" s="1189" t="s">
        <v>5078</v>
      </c>
      <c r="H588" s="1176">
        <v>0</v>
      </c>
      <c r="I588" s="1176">
        <v>0</v>
      </c>
      <c r="J588" s="1190">
        <v>0</v>
      </c>
      <c r="K588" s="1180"/>
      <c r="L588" s="1174">
        <v>13055010400</v>
      </c>
      <c r="M588" s="1175">
        <v>0</v>
      </c>
      <c r="N588" s="1175">
        <v>0</v>
      </c>
      <c r="O588" s="1175">
        <v>0</v>
      </c>
      <c r="P588" s="157" t="s">
        <v>5079</v>
      </c>
      <c r="Q588" s="157"/>
      <c r="R588" s="102"/>
      <c r="S588" s="153"/>
      <c r="T588" s="290" t="s">
        <v>5080</v>
      </c>
      <c r="U588" s="290" t="s">
        <v>135</v>
      </c>
      <c r="AA588"/>
      <c r="AB588"/>
      <c r="AC588" s="283"/>
      <c r="AD588" s="42"/>
    </row>
    <row r="589" spans="3:30" ht="10.5" customHeight="1">
      <c r="C589" s="1181" t="s">
        <v>5081</v>
      </c>
      <c r="D589" s="1178">
        <v>0</v>
      </c>
      <c r="E589" s="1178">
        <v>0</v>
      </c>
      <c r="F589" s="1179">
        <v>0</v>
      </c>
      <c r="G589" s="1189" t="s">
        <v>5081</v>
      </c>
      <c r="H589" s="1176">
        <v>0</v>
      </c>
      <c r="I589" s="1176">
        <v>0</v>
      </c>
      <c r="J589" s="1190">
        <v>0</v>
      </c>
      <c r="K589" s="1180"/>
      <c r="L589" s="1174">
        <v>13055010500</v>
      </c>
      <c r="M589" s="1175">
        <v>0</v>
      </c>
      <c r="N589" s="1175">
        <v>0</v>
      </c>
      <c r="O589" s="1175">
        <v>0</v>
      </c>
      <c r="P589" s="157" t="s">
        <v>5082</v>
      </c>
      <c r="Q589" s="157"/>
      <c r="R589" s="102"/>
      <c r="S589" s="153"/>
      <c r="T589" s="290" t="s">
        <v>5083</v>
      </c>
      <c r="U589" s="290" t="s">
        <v>104</v>
      </c>
      <c r="AA589"/>
      <c r="AB589"/>
      <c r="AC589" s="283"/>
      <c r="AD589" s="42"/>
    </row>
    <row r="590" spans="3:30" ht="10.5" customHeight="1">
      <c r="C590" s="1181" t="s">
        <v>5084</v>
      </c>
      <c r="D590" s="1178">
        <v>0</v>
      </c>
      <c r="E590" s="1178">
        <v>0</v>
      </c>
      <c r="F590" s="1179">
        <v>0</v>
      </c>
      <c r="G590" s="1189" t="s">
        <v>5084</v>
      </c>
      <c r="H590" s="1176">
        <v>0</v>
      </c>
      <c r="I590" s="1176">
        <v>0</v>
      </c>
      <c r="J590" s="1190">
        <v>0</v>
      </c>
      <c r="K590" s="1180"/>
      <c r="L590" s="1174">
        <v>13055010600</v>
      </c>
      <c r="M590" s="1175">
        <v>0</v>
      </c>
      <c r="N590" s="1175">
        <v>0</v>
      </c>
      <c r="O590" s="1175">
        <v>0</v>
      </c>
      <c r="P590" s="157" t="s">
        <v>5085</v>
      </c>
      <c r="Q590" s="157"/>
      <c r="R590" s="102"/>
      <c r="S590" s="153"/>
      <c r="T590" s="290" t="s">
        <v>2034</v>
      </c>
      <c r="U590" s="290" t="s">
        <v>4054</v>
      </c>
      <c r="AA590"/>
      <c r="AB590"/>
      <c r="AC590" s="283"/>
      <c r="AD590" s="42"/>
    </row>
    <row r="591" spans="3:30" ht="10.5" customHeight="1">
      <c r="C591" s="1181" t="s">
        <v>5086</v>
      </c>
      <c r="D591" s="1178">
        <v>1</v>
      </c>
      <c r="E591" s="1178">
        <v>1</v>
      </c>
      <c r="F591" s="1179">
        <v>2</v>
      </c>
      <c r="G591" s="1189" t="s">
        <v>5086</v>
      </c>
      <c r="H591" s="1176">
        <v>1</v>
      </c>
      <c r="I591" s="1176">
        <v>1</v>
      </c>
      <c r="J591" s="1190">
        <v>2</v>
      </c>
      <c r="K591" s="1180"/>
      <c r="L591" s="1174">
        <v>13057090100</v>
      </c>
      <c r="M591" s="1175">
        <v>1</v>
      </c>
      <c r="N591" s="1175">
        <v>1</v>
      </c>
      <c r="O591" s="1175">
        <v>2</v>
      </c>
      <c r="P591" s="157" t="s">
        <v>5087</v>
      </c>
      <c r="Q591" s="157"/>
      <c r="R591" s="102"/>
      <c r="S591" s="153"/>
      <c r="T591" s="290" t="s">
        <v>5088</v>
      </c>
      <c r="U591" s="290" t="s">
        <v>4292</v>
      </c>
      <c r="AA591"/>
      <c r="AB591"/>
      <c r="AC591" s="283"/>
      <c r="AD591" s="42"/>
    </row>
    <row r="592" spans="3:30" ht="10.5" customHeight="1">
      <c r="C592" s="1181" t="s">
        <v>5089</v>
      </c>
      <c r="D592" s="1178">
        <v>1</v>
      </c>
      <c r="E592" s="1178">
        <v>1</v>
      </c>
      <c r="F592" s="1179">
        <v>2</v>
      </c>
      <c r="G592" s="1189" t="s">
        <v>5089</v>
      </c>
      <c r="H592" s="1176">
        <v>1</v>
      </c>
      <c r="I592" s="1176">
        <v>1</v>
      </c>
      <c r="J592" s="1190">
        <v>2</v>
      </c>
      <c r="K592" s="1180"/>
      <c r="L592" s="1174">
        <v>13057090200</v>
      </c>
      <c r="M592" s="1175">
        <v>1</v>
      </c>
      <c r="N592" s="1175">
        <v>1</v>
      </c>
      <c r="O592" s="1175">
        <v>2</v>
      </c>
      <c r="P592" s="157" t="s">
        <v>5090</v>
      </c>
      <c r="Q592" s="157"/>
      <c r="R592" s="102"/>
      <c r="S592" s="153"/>
      <c r="T592" s="290" t="s">
        <v>4323</v>
      </c>
      <c r="U592" s="290" t="s">
        <v>118</v>
      </c>
      <c r="AA592"/>
      <c r="AB592"/>
      <c r="AC592" s="283"/>
      <c r="AD592" s="42"/>
    </row>
    <row r="593" spans="3:30" ht="10.5" customHeight="1">
      <c r="C593" s="1181" t="s">
        <v>5091</v>
      </c>
      <c r="D593" s="1178">
        <v>1</v>
      </c>
      <c r="E593" s="1178">
        <v>1</v>
      </c>
      <c r="F593" s="1179">
        <v>2</v>
      </c>
      <c r="G593" s="1189" t="s">
        <v>5091</v>
      </c>
      <c r="H593" s="1176">
        <v>1</v>
      </c>
      <c r="I593" s="1176">
        <v>1</v>
      </c>
      <c r="J593" s="1190">
        <v>2</v>
      </c>
      <c r="K593" s="1180"/>
      <c r="L593" s="1174">
        <v>13057090300</v>
      </c>
      <c r="M593" s="1175">
        <v>1</v>
      </c>
      <c r="N593" s="1175">
        <v>1</v>
      </c>
      <c r="O593" s="1175">
        <v>2</v>
      </c>
      <c r="P593" s="157" t="s">
        <v>5092</v>
      </c>
      <c r="Q593" s="157"/>
      <c r="R593" s="102"/>
      <c r="S593" s="153"/>
      <c r="T593" s="290" t="s">
        <v>4327</v>
      </c>
      <c r="U593" s="290" t="s">
        <v>4261</v>
      </c>
      <c r="AA593"/>
      <c r="AB593"/>
      <c r="AC593" s="283"/>
      <c r="AD593" s="42"/>
    </row>
    <row r="594" spans="3:30" ht="10.5" customHeight="1">
      <c r="C594" s="1181" t="s">
        <v>5093</v>
      </c>
      <c r="D594" s="1178">
        <v>0</v>
      </c>
      <c r="E594" s="1178">
        <v>0</v>
      </c>
      <c r="F594" s="1179">
        <v>0</v>
      </c>
      <c r="G594" s="1189" t="s">
        <v>5093</v>
      </c>
      <c r="H594" s="1176">
        <v>0</v>
      </c>
      <c r="I594" s="1176">
        <v>0</v>
      </c>
      <c r="J594" s="1190">
        <v>0</v>
      </c>
      <c r="K594" s="1180"/>
      <c r="L594" s="1174">
        <v>13057090400</v>
      </c>
      <c r="M594" s="1175">
        <v>0</v>
      </c>
      <c r="N594" s="1175">
        <v>0</v>
      </c>
      <c r="O594" s="1175">
        <v>0</v>
      </c>
      <c r="P594" s="157" t="s">
        <v>5094</v>
      </c>
      <c r="Q594" s="157"/>
      <c r="R594" s="102"/>
      <c r="S594" s="153"/>
      <c r="T594" s="290" t="s">
        <v>4094</v>
      </c>
      <c r="U594" s="290" t="s">
        <v>3564</v>
      </c>
      <c r="AA594"/>
      <c r="AB594"/>
      <c r="AC594" s="283"/>
      <c r="AD594" s="42"/>
    </row>
    <row r="595" spans="3:30" ht="10.5" customHeight="1">
      <c r="C595" s="1181" t="s">
        <v>5095</v>
      </c>
      <c r="D595" s="1178">
        <v>1</v>
      </c>
      <c r="E595" s="1178">
        <v>1</v>
      </c>
      <c r="F595" s="1179">
        <v>2</v>
      </c>
      <c r="G595" s="1189" t="s">
        <v>5095</v>
      </c>
      <c r="H595" s="1176">
        <v>1</v>
      </c>
      <c r="I595" s="1176">
        <v>1</v>
      </c>
      <c r="J595" s="1190">
        <v>2</v>
      </c>
      <c r="K595" s="1180"/>
      <c r="L595" s="1174">
        <v>13057090501</v>
      </c>
      <c r="M595" s="1175">
        <v>1</v>
      </c>
      <c r="N595" s="1175">
        <v>1</v>
      </c>
      <c r="O595" s="1175">
        <v>2</v>
      </c>
      <c r="P595" s="157" t="s">
        <v>5096</v>
      </c>
      <c r="Q595" s="157"/>
      <c r="R595" s="102"/>
      <c r="S595" s="153"/>
      <c r="T595" s="290" t="s">
        <v>158</v>
      </c>
      <c r="U595" s="290" t="s">
        <v>159</v>
      </c>
      <c r="AA595"/>
      <c r="AB595"/>
      <c r="AC595" s="283"/>
      <c r="AD595" s="42"/>
    </row>
    <row r="596" spans="3:30" ht="10.5" customHeight="1">
      <c r="C596" s="1181" t="s">
        <v>5097</v>
      </c>
      <c r="D596" s="1178">
        <v>1</v>
      </c>
      <c r="E596" s="1178">
        <v>1</v>
      </c>
      <c r="F596" s="1179">
        <v>2</v>
      </c>
      <c r="G596" s="1189" t="s">
        <v>5097</v>
      </c>
      <c r="H596" s="1176">
        <v>1</v>
      </c>
      <c r="I596" s="1176">
        <v>1</v>
      </c>
      <c r="J596" s="1190">
        <v>2</v>
      </c>
      <c r="K596" s="1180"/>
      <c r="L596" s="1174">
        <v>13057090502</v>
      </c>
      <c r="M596" s="1175">
        <v>1</v>
      </c>
      <c r="N596" s="1175">
        <v>1</v>
      </c>
      <c r="O596" s="1175">
        <v>2</v>
      </c>
      <c r="P596" s="157" t="s">
        <v>5098</v>
      </c>
      <c r="Q596" s="157"/>
      <c r="R596" s="102"/>
      <c r="S596" s="153"/>
      <c r="T596" s="290" t="s">
        <v>123</v>
      </c>
      <c r="U596" s="290" t="s">
        <v>3522</v>
      </c>
      <c r="AA596"/>
      <c r="AB596"/>
      <c r="AC596" s="283"/>
      <c r="AD596" s="42"/>
    </row>
    <row r="597" spans="3:30" ht="10.5" customHeight="1">
      <c r="C597" s="1181" t="s">
        <v>5099</v>
      </c>
      <c r="D597" s="1178">
        <v>0</v>
      </c>
      <c r="E597" s="1178">
        <v>0</v>
      </c>
      <c r="F597" s="1179">
        <v>0</v>
      </c>
      <c r="G597" s="1189" t="s">
        <v>5099</v>
      </c>
      <c r="H597" s="1176">
        <v>0</v>
      </c>
      <c r="I597" s="1176">
        <v>0</v>
      </c>
      <c r="J597" s="1190">
        <v>0</v>
      </c>
      <c r="K597" s="1180"/>
      <c r="L597" s="1174">
        <v>13057090601</v>
      </c>
      <c r="M597" s="1175">
        <v>0</v>
      </c>
      <c r="N597" s="1175">
        <v>0</v>
      </c>
      <c r="O597" s="1175">
        <v>0</v>
      </c>
      <c r="P597" s="157" t="s">
        <v>5100</v>
      </c>
      <c r="Q597" s="157"/>
      <c r="R597" s="102"/>
      <c r="S597" s="153"/>
      <c r="T597" s="290" t="s">
        <v>5101</v>
      </c>
      <c r="U597" s="290" t="s">
        <v>3813</v>
      </c>
      <c r="AA597"/>
      <c r="AB597"/>
      <c r="AC597" s="283"/>
      <c r="AD597" s="42"/>
    </row>
    <row r="598" spans="3:30" ht="10.5" customHeight="1">
      <c r="C598" s="1181" t="s">
        <v>5102</v>
      </c>
      <c r="D598" s="1178">
        <v>1</v>
      </c>
      <c r="E598" s="1178">
        <v>1</v>
      </c>
      <c r="F598" s="1179">
        <v>2</v>
      </c>
      <c r="G598" s="1189" t="s">
        <v>5102</v>
      </c>
      <c r="H598" s="1176">
        <v>1</v>
      </c>
      <c r="I598" s="1176">
        <v>0</v>
      </c>
      <c r="J598" s="1190">
        <v>1</v>
      </c>
      <c r="K598" s="1180"/>
      <c r="L598" s="1174">
        <v>13057090602</v>
      </c>
      <c r="M598" s="1175">
        <v>1</v>
      </c>
      <c r="N598" s="1175">
        <v>1</v>
      </c>
      <c r="O598" s="1175">
        <v>2</v>
      </c>
      <c r="P598" s="157" t="s">
        <v>5103</v>
      </c>
      <c r="Q598" s="157"/>
      <c r="R598" s="102"/>
      <c r="S598" s="153"/>
      <c r="T598" s="290" t="s">
        <v>160</v>
      </c>
      <c r="U598" s="290" t="s">
        <v>161</v>
      </c>
      <c r="AA598"/>
      <c r="AB598"/>
      <c r="AC598" s="283"/>
      <c r="AD598" s="42"/>
    </row>
    <row r="599" spans="3:30" ht="10.5" customHeight="1">
      <c r="C599" s="1181" t="s">
        <v>5104</v>
      </c>
      <c r="D599" s="1178">
        <v>1</v>
      </c>
      <c r="E599" s="1178">
        <v>1</v>
      </c>
      <c r="F599" s="1179">
        <v>2</v>
      </c>
      <c r="G599" s="1189" t="s">
        <v>5104</v>
      </c>
      <c r="H599" s="1176">
        <v>1</v>
      </c>
      <c r="I599" s="1176">
        <v>1</v>
      </c>
      <c r="J599" s="1190">
        <v>2</v>
      </c>
      <c r="K599" s="1180"/>
      <c r="L599" s="1174">
        <v>13057090701</v>
      </c>
      <c r="M599" s="1175">
        <v>1</v>
      </c>
      <c r="N599" s="1175">
        <v>1</v>
      </c>
      <c r="O599" s="1175">
        <v>2</v>
      </c>
      <c r="P599" s="157" t="s">
        <v>5105</v>
      </c>
      <c r="Q599" s="157"/>
      <c r="R599" s="102"/>
      <c r="S599" s="153"/>
      <c r="T599" s="290" t="s">
        <v>5106</v>
      </c>
      <c r="U599" s="290" t="s">
        <v>3492</v>
      </c>
      <c r="AA599"/>
      <c r="AB599"/>
      <c r="AC599" s="283"/>
      <c r="AD599" s="42"/>
    </row>
    <row r="600" spans="3:30" ht="10.5" customHeight="1">
      <c r="C600" s="1181" t="s">
        <v>5107</v>
      </c>
      <c r="D600" s="1178">
        <v>1</v>
      </c>
      <c r="E600" s="1178">
        <v>1</v>
      </c>
      <c r="F600" s="1179">
        <v>2</v>
      </c>
      <c r="G600" s="1189" t="s">
        <v>5107</v>
      </c>
      <c r="H600" s="1176">
        <v>1</v>
      </c>
      <c r="I600" s="1176">
        <v>0</v>
      </c>
      <c r="J600" s="1190">
        <v>1</v>
      </c>
      <c r="K600" s="1180"/>
      <c r="L600" s="1174">
        <v>13057090702</v>
      </c>
      <c r="M600" s="1175">
        <v>1</v>
      </c>
      <c r="N600" s="1175">
        <v>1</v>
      </c>
      <c r="O600" s="1175">
        <v>2</v>
      </c>
      <c r="P600" s="157" t="s">
        <v>5108</v>
      </c>
      <c r="Q600" s="157"/>
      <c r="R600" s="102"/>
      <c r="S600" s="153"/>
      <c r="T600" s="290" t="s">
        <v>5109</v>
      </c>
      <c r="U600" s="290" t="s">
        <v>4283</v>
      </c>
      <c r="AA600"/>
      <c r="AB600"/>
      <c r="AC600" s="283"/>
      <c r="AD600" s="42"/>
    </row>
    <row r="601" spans="3:30" ht="10.5" customHeight="1">
      <c r="C601" s="1181" t="s">
        <v>5110</v>
      </c>
      <c r="D601" s="1178">
        <v>1</v>
      </c>
      <c r="E601" s="1178">
        <v>1</v>
      </c>
      <c r="F601" s="1179">
        <v>2</v>
      </c>
      <c r="G601" s="1189" t="s">
        <v>5110</v>
      </c>
      <c r="H601" s="1176">
        <v>1</v>
      </c>
      <c r="I601" s="1176">
        <v>1</v>
      </c>
      <c r="J601" s="1190">
        <v>2</v>
      </c>
      <c r="K601" s="1180"/>
      <c r="L601" s="1174">
        <v>13057090802</v>
      </c>
      <c r="M601" s="1175">
        <v>1</v>
      </c>
      <c r="N601" s="1175">
        <v>1</v>
      </c>
      <c r="O601" s="1175">
        <v>2</v>
      </c>
      <c r="P601" s="157" t="s">
        <v>5111</v>
      </c>
      <c r="Q601" s="157"/>
      <c r="R601" s="102"/>
      <c r="S601" s="153"/>
      <c r="T601" s="290" t="s">
        <v>5112</v>
      </c>
      <c r="U601" s="290" t="s">
        <v>3613</v>
      </c>
      <c r="AA601"/>
      <c r="AB601"/>
      <c r="AC601" s="283"/>
      <c r="AD601" s="42"/>
    </row>
    <row r="602" spans="3:30" ht="10.5" customHeight="1">
      <c r="C602" s="1181" t="s">
        <v>5113</v>
      </c>
      <c r="D602" s="1178">
        <v>1</v>
      </c>
      <c r="E602" s="1178">
        <v>1</v>
      </c>
      <c r="F602" s="1179">
        <v>2</v>
      </c>
      <c r="G602" s="1189" t="s">
        <v>5113</v>
      </c>
      <c r="H602" s="1176">
        <v>1</v>
      </c>
      <c r="I602" s="1176">
        <v>1</v>
      </c>
      <c r="J602" s="1190">
        <v>2</v>
      </c>
      <c r="K602" s="1180"/>
      <c r="L602" s="1174">
        <v>13057090803</v>
      </c>
      <c r="M602" s="1175">
        <v>1</v>
      </c>
      <c r="N602" s="1175">
        <v>1</v>
      </c>
      <c r="O602" s="1175">
        <v>2</v>
      </c>
      <c r="P602" s="157" t="s">
        <v>5114</v>
      </c>
      <c r="Q602" s="157"/>
      <c r="R602" s="102"/>
      <c r="S602" s="153"/>
      <c r="T602" s="153" t="s">
        <v>162</v>
      </c>
      <c r="U602" s="153" t="s">
        <v>93</v>
      </c>
      <c r="AA602"/>
      <c r="AB602"/>
      <c r="AC602" s="42"/>
      <c r="AD602" s="42"/>
    </row>
    <row r="603" spans="3:30" ht="10.5" customHeight="1">
      <c r="C603" s="1181" t="s">
        <v>5115</v>
      </c>
      <c r="D603" s="1178">
        <v>1</v>
      </c>
      <c r="E603" s="1178">
        <v>1</v>
      </c>
      <c r="F603" s="1179">
        <v>2</v>
      </c>
      <c r="G603" s="1189" t="s">
        <v>5115</v>
      </c>
      <c r="H603" s="1176">
        <v>1</v>
      </c>
      <c r="I603" s="1176">
        <v>1</v>
      </c>
      <c r="J603" s="1190">
        <v>2</v>
      </c>
      <c r="K603" s="1180"/>
      <c r="L603" s="1174">
        <v>13057090804</v>
      </c>
      <c r="M603" s="1175">
        <v>1</v>
      </c>
      <c r="N603" s="1175">
        <v>1</v>
      </c>
      <c r="O603" s="1175">
        <v>2</v>
      </c>
      <c r="P603" s="157" t="s">
        <v>5116</v>
      </c>
      <c r="Q603" s="157"/>
      <c r="R603" s="102"/>
      <c r="S603" s="153"/>
      <c r="T603" s="290" t="s">
        <v>163</v>
      </c>
      <c r="U603" s="290" t="s">
        <v>164</v>
      </c>
      <c r="AA603"/>
      <c r="AB603"/>
      <c r="AC603" s="283"/>
      <c r="AD603" s="42"/>
    </row>
    <row r="604" spans="3:30" ht="10.5" customHeight="1">
      <c r="C604" s="1181" t="s">
        <v>5117</v>
      </c>
      <c r="D604" s="1178">
        <v>1</v>
      </c>
      <c r="E604" s="1178">
        <v>1</v>
      </c>
      <c r="F604" s="1179">
        <v>2</v>
      </c>
      <c r="G604" s="1189" t="s">
        <v>5117</v>
      </c>
      <c r="H604" s="1176">
        <v>1</v>
      </c>
      <c r="I604" s="1176">
        <v>1</v>
      </c>
      <c r="J604" s="1190">
        <v>2</v>
      </c>
      <c r="K604" s="1180"/>
      <c r="L604" s="1174">
        <v>13057090901</v>
      </c>
      <c r="M604" s="1175">
        <v>1</v>
      </c>
      <c r="N604" s="1175">
        <v>1</v>
      </c>
      <c r="O604" s="1175">
        <v>2</v>
      </c>
      <c r="P604" s="157" t="s">
        <v>5118</v>
      </c>
      <c r="Q604" s="157"/>
      <c r="R604" s="102"/>
      <c r="S604" s="153"/>
      <c r="T604" s="290" t="s">
        <v>5119</v>
      </c>
      <c r="U604" s="290" t="s">
        <v>104</v>
      </c>
      <c r="AA604"/>
      <c r="AB604"/>
      <c r="AC604" s="283"/>
      <c r="AD604" s="42"/>
    </row>
    <row r="605" spans="3:30" ht="10.5" customHeight="1">
      <c r="C605" s="1181" t="s">
        <v>5120</v>
      </c>
      <c r="D605" s="1178">
        <v>1</v>
      </c>
      <c r="E605" s="1178">
        <v>1</v>
      </c>
      <c r="F605" s="1179">
        <v>2</v>
      </c>
      <c r="G605" s="1189" t="s">
        <v>5120</v>
      </c>
      <c r="H605" s="1176">
        <v>1</v>
      </c>
      <c r="I605" s="1176">
        <v>1</v>
      </c>
      <c r="J605" s="1190">
        <v>2</v>
      </c>
      <c r="K605" s="1180"/>
      <c r="L605" s="1174">
        <v>13057090902</v>
      </c>
      <c r="M605" s="1175">
        <v>1</v>
      </c>
      <c r="N605" s="1175">
        <v>1</v>
      </c>
      <c r="O605" s="1175">
        <v>2</v>
      </c>
      <c r="P605" s="157" t="s">
        <v>5121</v>
      </c>
      <c r="Q605" s="157"/>
      <c r="R605" s="102"/>
      <c r="S605" s="153"/>
      <c r="T605" s="290" t="s">
        <v>4337</v>
      </c>
      <c r="U605" s="290" t="s">
        <v>4124</v>
      </c>
      <c r="AA605"/>
      <c r="AB605"/>
      <c r="AC605" s="283"/>
      <c r="AD605" s="42"/>
    </row>
    <row r="606" spans="3:30" ht="10.5" customHeight="1">
      <c r="C606" s="1181" t="s">
        <v>5122</v>
      </c>
      <c r="D606" s="1178">
        <v>1</v>
      </c>
      <c r="E606" s="1178">
        <v>1</v>
      </c>
      <c r="F606" s="1179">
        <v>2</v>
      </c>
      <c r="G606" s="1189" t="s">
        <v>5122</v>
      </c>
      <c r="H606" s="1176">
        <v>1</v>
      </c>
      <c r="I606" s="1176">
        <v>0</v>
      </c>
      <c r="J606" s="1190">
        <v>1</v>
      </c>
      <c r="K606" s="1180"/>
      <c r="L606" s="1174">
        <v>13057090904</v>
      </c>
      <c r="M606" s="1175">
        <v>1</v>
      </c>
      <c r="N606" s="1175">
        <v>1</v>
      </c>
      <c r="O606" s="1175">
        <v>2</v>
      </c>
      <c r="P606" s="157" t="s">
        <v>5123</v>
      </c>
      <c r="Q606" s="157"/>
      <c r="R606" s="102"/>
      <c r="S606" s="153"/>
      <c r="T606" s="290" t="s">
        <v>5124</v>
      </c>
      <c r="U606" s="290" t="s">
        <v>149</v>
      </c>
      <c r="AA606"/>
      <c r="AB606"/>
      <c r="AC606" s="283"/>
      <c r="AD606" s="42"/>
    </row>
    <row r="607" spans="3:30" ht="10.5" customHeight="1">
      <c r="C607" s="1181" t="s">
        <v>5125</v>
      </c>
      <c r="D607" s="1178">
        <v>1</v>
      </c>
      <c r="E607" s="1178">
        <v>1</v>
      </c>
      <c r="F607" s="1179">
        <v>2</v>
      </c>
      <c r="G607" s="1189" t="s">
        <v>5125</v>
      </c>
      <c r="H607" s="1176">
        <v>1</v>
      </c>
      <c r="I607" s="1176">
        <v>1</v>
      </c>
      <c r="J607" s="1190">
        <v>2</v>
      </c>
      <c r="K607" s="1180"/>
      <c r="L607" s="1174">
        <v>13057090905</v>
      </c>
      <c r="M607" s="1175">
        <v>1</v>
      </c>
      <c r="N607" s="1175">
        <v>1</v>
      </c>
      <c r="O607" s="1175">
        <v>2</v>
      </c>
      <c r="P607" s="157" t="s">
        <v>5126</v>
      </c>
      <c r="Q607" s="157"/>
      <c r="R607" s="102"/>
      <c r="S607" s="153"/>
      <c r="T607" s="290" t="s">
        <v>5127</v>
      </c>
      <c r="U607" s="290" t="s">
        <v>3944</v>
      </c>
      <c r="AA607"/>
      <c r="AB607"/>
      <c r="AC607" s="283"/>
      <c r="AD607" s="42"/>
    </row>
    <row r="608" spans="3:30" ht="10.5" customHeight="1">
      <c r="C608" s="1181" t="s">
        <v>5128</v>
      </c>
      <c r="D608" s="1178">
        <v>0</v>
      </c>
      <c r="E608" s="1178">
        <v>1</v>
      </c>
      <c r="F608" s="1179">
        <v>1</v>
      </c>
      <c r="G608" s="1189" t="s">
        <v>5128</v>
      </c>
      <c r="H608" s="1176">
        <v>1</v>
      </c>
      <c r="I608" s="1176">
        <v>1</v>
      </c>
      <c r="J608" s="1190">
        <v>2</v>
      </c>
      <c r="K608" s="1180"/>
      <c r="L608" s="1174">
        <v>13057091001</v>
      </c>
      <c r="M608" s="1175">
        <v>1</v>
      </c>
      <c r="N608" s="1175">
        <v>1</v>
      </c>
      <c r="O608" s="1175">
        <v>2</v>
      </c>
      <c r="P608" s="157" t="s">
        <v>5129</v>
      </c>
      <c r="Q608" s="157"/>
      <c r="R608" s="102"/>
      <c r="S608" s="153"/>
      <c r="T608" s="290" t="s">
        <v>5130</v>
      </c>
      <c r="U608" s="290" t="s">
        <v>3813</v>
      </c>
      <c r="AA608"/>
      <c r="AB608"/>
      <c r="AC608" s="283"/>
      <c r="AD608" s="42"/>
    </row>
    <row r="609" spans="3:30" ht="10.5" customHeight="1">
      <c r="C609" s="1181" t="s">
        <v>5131</v>
      </c>
      <c r="D609" s="1178">
        <v>0</v>
      </c>
      <c r="E609" s="1178">
        <v>0</v>
      </c>
      <c r="F609" s="1179">
        <v>0</v>
      </c>
      <c r="G609" s="1189" t="s">
        <v>5131</v>
      </c>
      <c r="H609" s="1176">
        <v>1</v>
      </c>
      <c r="I609" s="1176">
        <v>0</v>
      </c>
      <c r="J609" s="1190">
        <v>1</v>
      </c>
      <c r="K609" s="1180"/>
      <c r="L609" s="1174">
        <v>13057091003</v>
      </c>
      <c r="M609" s="1175">
        <v>1</v>
      </c>
      <c r="N609" s="1175">
        <v>0</v>
      </c>
      <c r="O609" s="1175">
        <v>1</v>
      </c>
      <c r="P609" s="157" t="s">
        <v>5132</v>
      </c>
      <c r="Q609" s="157"/>
      <c r="R609" s="102"/>
      <c r="S609" s="153"/>
      <c r="T609" s="290" t="s">
        <v>5133</v>
      </c>
      <c r="U609" s="290" t="s">
        <v>3725</v>
      </c>
      <c r="AA609"/>
      <c r="AB609"/>
      <c r="AC609" s="283"/>
      <c r="AD609" s="42"/>
    </row>
    <row r="610" spans="3:30" ht="10.5" customHeight="1">
      <c r="C610" s="1181" t="s">
        <v>5134</v>
      </c>
      <c r="D610" s="1178">
        <v>1</v>
      </c>
      <c r="E610" s="1178">
        <v>1</v>
      </c>
      <c r="F610" s="1179">
        <v>2</v>
      </c>
      <c r="G610" s="1189" t="s">
        <v>5134</v>
      </c>
      <c r="H610" s="1176">
        <v>1</v>
      </c>
      <c r="I610" s="1176">
        <v>1</v>
      </c>
      <c r="J610" s="1190">
        <v>2</v>
      </c>
      <c r="K610" s="1180"/>
      <c r="L610" s="1174">
        <v>13057091005</v>
      </c>
      <c r="M610" s="1175">
        <v>1</v>
      </c>
      <c r="N610" s="1175">
        <v>1</v>
      </c>
      <c r="O610" s="1175">
        <v>2</v>
      </c>
      <c r="P610" s="157" t="s">
        <v>5135</v>
      </c>
      <c r="Q610" s="157"/>
      <c r="R610" s="102"/>
      <c r="S610" s="153"/>
      <c r="T610" s="290" t="s">
        <v>5136</v>
      </c>
      <c r="U610" s="290" t="s">
        <v>3927</v>
      </c>
      <c r="AA610"/>
      <c r="AB610"/>
      <c r="AC610" s="283"/>
      <c r="AD610" s="42"/>
    </row>
    <row r="611" spans="3:30" ht="10.5" customHeight="1">
      <c r="C611" s="1181" t="s">
        <v>5137</v>
      </c>
      <c r="D611" s="1178">
        <v>1</v>
      </c>
      <c r="E611" s="1178">
        <v>1</v>
      </c>
      <c r="F611" s="1179">
        <v>2</v>
      </c>
      <c r="G611" s="1189" t="s">
        <v>5137</v>
      </c>
      <c r="H611" s="1176">
        <v>1</v>
      </c>
      <c r="I611" s="1176">
        <v>1</v>
      </c>
      <c r="J611" s="1190">
        <v>2</v>
      </c>
      <c r="K611" s="1180"/>
      <c r="L611" s="1174">
        <v>13057091006</v>
      </c>
      <c r="M611" s="1175">
        <v>1</v>
      </c>
      <c r="N611" s="1175">
        <v>1</v>
      </c>
      <c r="O611" s="1175">
        <v>2</v>
      </c>
      <c r="P611" s="157" t="s">
        <v>5138</v>
      </c>
      <c r="Q611" s="157"/>
      <c r="R611" s="102"/>
      <c r="S611" s="153"/>
      <c r="T611" s="290" t="s">
        <v>5139</v>
      </c>
      <c r="U611" s="290" t="s">
        <v>3703</v>
      </c>
      <c r="AA611"/>
      <c r="AB611"/>
      <c r="AC611" s="283"/>
      <c r="AD611" s="42"/>
    </row>
    <row r="612" spans="3:30" ht="10.5" customHeight="1">
      <c r="C612" s="1181" t="s">
        <v>5140</v>
      </c>
      <c r="D612" s="1178">
        <v>1</v>
      </c>
      <c r="E612" s="1178">
        <v>1</v>
      </c>
      <c r="F612" s="1179">
        <v>2</v>
      </c>
      <c r="G612" s="1189" t="s">
        <v>5140</v>
      </c>
      <c r="H612" s="1176">
        <v>1</v>
      </c>
      <c r="I612" s="1176">
        <v>1</v>
      </c>
      <c r="J612" s="1190">
        <v>2</v>
      </c>
      <c r="K612" s="1180"/>
      <c r="L612" s="1174">
        <v>13057091007</v>
      </c>
      <c r="M612" s="1175">
        <v>1</v>
      </c>
      <c r="N612" s="1175">
        <v>1</v>
      </c>
      <c r="O612" s="1175">
        <v>2</v>
      </c>
      <c r="P612" s="157" t="s">
        <v>5141</v>
      </c>
      <c r="Q612" s="157"/>
      <c r="R612" s="102"/>
      <c r="S612" s="153"/>
      <c r="T612" s="153" t="s">
        <v>5142</v>
      </c>
      <c r="U612" s="153" t="s">
        <v>121</v>
      </c>
      <c r="AA612"/>
      <c r="AB612"/>
      <c r="AC612" s="42"/>
      <c r="AD612" s="42"/>
    </row>
    <row r="613" spans="3:30" ht="10.5" customHeight="1">
      <c r="C613" s="1181" t="s">
        <v>5143</v>
      </c>
      <c r="D613" s="1178">
        <v>1</v>
      </c>
      <c r="E613" s="1178">
        <v>1</v>
      </c>
      <c r="F613" s="1179">
        <v>2</v>
      </c>
      <c r="G613" s="1189" t="s">
        <v>5143</v>
      </c>
      <c r="H613" s="1176">
        <v>1</v>
      </c>
      <c r="I613" s="1176" t="s">
        <v>4455</v>
      </c>
      <c r="J613" s="1190">
        <v>1</v>
      </c>
      <c r="K613" s="1180"/>
      <c r="L613" s="1174">
        <v>13057091008</v>
      </c>
      <c r="M613" s="1175">
        <v>1</v>
      </c>
      <c r="N613" s="1175">
        <v>1</v>
      </c>
      <c r="O613" s="1175">
        <v>2</v>
      </c>
      <c r="P613" s="157" t="s">
        <v>5144</v>
      </c>
      <c r="Q613" s="157"/>
      <c r="R613" s="102"/>
      <c r="S613" s="153"/>
      <c r="T613" s="290" t="s">
        <v>4340</v>
      </c>
      <c r="U613" s="290" t="s">
        <v>4156</v>
      </c>
      <c r="AA613"/>
      <c r="AB613"/>
      <c r="AC613" s="283"/>
      <c r="AD613" s="42"/>
    </row>
    <row r="614" spans="3:30" ht="10.5" customHeight="1">
      <c r="C614" s="1181" t="s">
        <v>5145</v>
      </c>
      <c r="D614" s="1178">
        <v>1</v>
      </c>
      <c r="E614" s="1178">
        <v>1</v>
      </c>
      <c r="F614" s="1179">
        <v>2</v>
      </c>
      <c r="G614" s="1189" t="s">
        <v>5145</v>
      </c>
      <c r="H614" s="1176">
        <v>1</v>
      </c>
      <c r="I614" s="1176" t="s">
        <v>4455</v>
      </c>
      <c r="J614" s="1190">
        <v>1</v>
      </c>
      <c r="K614" s="1180"/>
      <c r="L614" s="1174">
        <v>13057091101</v>
      </c>
      <c r="M614" s="1175">
        <v>1</v>
      </c>
      <c r="N614" s="1175">
        <v>1</v>
      </c>
      <c r="O614" s="1175">
        <v>2</v>
      </c>
      <c r="P614" s="157" t="s">
        <v>5146</v>
      </c>
      <c r="Q614" s="157"/>
      <c r="R614" s="102"/>
      <c r="S614" s="153"/>
      <c r="T614" s="290" t="s">
        <v>4344</v>
      </c>
      <c r="U614" s="290" t="s">
        <v>3527</v>
      </c>
      <c r="AA614"/>
      <c r="AB614"/>
      <c r="AC614" s="283"/>
      <c r="AD614" s="42"/>
    </row>
    <row r="615" spans="3:30" ht="10.5" customHeight="1">
      <c r="C615" s="1181" t="s">
        <v>5147</v>
      </c>
      <c r="D615" s="1178">
        <v>1</v>
      </c>
      <c r="E615" s="1178">
        <v>0</v>
      </c>
      <c r="F615" s="1179">
        <v>1</v>
      </c>
      <c r="G615" s="1189" t="s">
        <v>5147</v>
      </c>
      <c r="H615" s="1176">
        <v>1</v>
      </c>
      <c r="I615" s="1176">
        <v>0</v>
      </c>
      <c r="J615" s="1190">
        <v>1</v>
      </c>
      <c r="K615" s="1180"/>
      <c r="L615" s="1174">
        <v>13057091102</v>
      </c>
      <c r="M615" s="1175">
        <v>1</v>
      </c>
      <c r="N615" s="1175">
        <v>0</v>
      </c>
      <c r="O615" s="1175">
        <v>1</v>
      </c>
      <c r="P615" s="157" t="s">
        <v>5148</v>
      </c>
      <c r="Q615" s="157"/>
      <c r="R615" s="102"/>
      <c r="S615" s="153"/>
      <c r="T615" s="153" t="s">
        <v>5149</v>
      </c>
      <c r="U615" s="153" t="s">
        <v>2052</v>
      </c>
      <c r="AA615"/>
      <c r="AB615"/>
      <c r="AC615" s="42"/>
      <c r="AD615" s="42"/>
    </row>
    <row r="616" spans="3:30" ht="10.5" customHeight="1">
      <c r="C616" s="1181" t="s">
        <v>5150</v>
      </c>
      <c r="D616" s="1178">
        <v>1</v>
      </c>
      <c r="E616" s="1178">
        <v>1</v>
      </c>
      <c r="F616" s="1179">
        <v>2</v>
      </c>
      <c r="G616" s="1189" t="s">
        <v>5150</v>
      </c>
      <c r="H616" s="1176">
        <v>1</v>
      </c>
      <c r="I616" s="1176">
        <v>1</v>
      </c>
      <c r="J616" s="1190">
        <v>2</v>
      </c>
      <c r="K616" s="1180"/>
      <c r="L616" s="1174">
        <v>13057091103</v>
      </c>
      <c r="M616" s="1175">
        <v>1</v>
      </c>
      <c r="N616" s="1175">
        <v>1</v>
      </c>
      <c r="O616" s="1175">
        <v>2</v>
      </c>
      <c r="P616" s="157" t="s">
        <v>5151</v>
      </c>
      <c r="Q616" s="157"/>
      <c r="R616" s="102"/>
      <c r="S616" s="153"/>
      <c r="T616" s="290" t="s">
        <v>4348</v>
      </c>
      <c r="U616" s="290" t="s">
        <v>3739</v>
      </c>
      <c r="AA616"/>
      <c r="AB616"/>
      <c r="AC616" s="283"/>
      <c r="AD616" s="42"/>
    </row>
    <row r="617" spans="3:30" ht="10.5" customHeight="1">
      <c r="C617" s="1181" t="s">
        <v>5152</v>
      </c>
      <c r="D617" s="1178">
        <v>0</v>
      </c>
      <c r="E617" s="1178">
        <v>1</v>
      </c>
      <c r="F617" s="1179">
        <v>1</v>
      </c>
      <c r="G617" s="1189" t="s">
        <v>5152</v>
      </c>
      <c r="H617" s="1176">
        <v>0</v>
      </c>
      <c r="I617" s="1176" t="s">
        <v>4455</v>
      </c>
      <c r="J617" s="1190">
        <v>0</v>
      </c>
      <c r="K617" s="1180"/>
      <c r="L617" s="1174">
        <v>13059000100</v>
      </c>
      <c r="M617" s="1175">
        <v>0</v>
      </c>
      <c r="N617" s="1175">
        <v>1</v>
      </c>
      <c r="O617" s="1175">
        <v>1</v>
      </c>
      <c r="P617" s="157" t="s">
        <v>5153</v>
      </c>
      <c r="Q617" s="157"/>
      <c r="R617" s="102"/>
      <c r="S617" s="153"/>
      <c r="T617" s="290" t="s">
        <v>4351</v>
      </c>
      <c r="U617" s="290" t="s">
        <v>132</v>
      </c>
      <c r="AA617"/>
      <c r="AB617"/>
      <c r="AC617" s="283"/>
      <c r="AD617" s="42"/>
    </row>
    <row r="618" spans="3:30" ht="10.5" customHeight="1">
      <c r="C618" s="1181" t="s">
        <v>5154</v>
      </c>
      <c r="D618" s="1178">
        <v>0</v>
      </c>
      <c r="E618" s="1178">
        <v>0</v>
      </c>
      <c r="F618" s="1179">
        <v>0</v>
      </c>
      <c r="G618" s="1189" t="s">
        <v>5154</v>
      </c>
      <c r="H618" s="1176">
        <v>0</v>
      </c>
      <c r="I618" s="1176" t="s">
        <v>4455</v>
      </c>
      <c r="J618" s="1190">
        <v>0</v>
      </c>
      <c r="K618" s="1180"/>
      <c r="L618" s="1174">
        <v>13059000401</v>
      </c>
      <c r="M618" s="1175">
        <v>0</v>
      </c>
      <c r="N618" s="1175">
        <v>0</v>
      </c>
      <c r="O618" s="1175">
        <v>0</v>
      </c>
      <c r="P618" s="157" t="s">
        <v>5155</v>
      </c>
      <c r="Q618" s="157"/>
      <c r="R618" s="102"/>
      <c r="S618" s="153"/>
      <c r="T618" s="290" t="s">
        <v>4354</v>
      </c>
      <c r="U618" s="290" t="s">
        <v>98</v>
      </c>
      <c r="AA618"/>
      <c r="AB618"/>
      <c r="AC618" s="283"/>
      <c r="AD618" s="42"/>
    </row>
    <row r="619" spans="3:30" ht="10.5" customHeight="1">
      <c r="C619" s="1181" t="s">
        <v>5156</v>
      </c>
      <c r="D619" s="1178">
        <v>0</v>
      </c>
      <c r="E619" s="1178">
        <v>1</v>
      </c>
      <c r="F619" s="1179">
        <v>1</v>
      </c>
      <c r="G619" s="1189" t="s">
        <v>5156</v>
      </c>
      <c r="H619" s="1176">
        <v>0</v>
      </c>
      <c r="I619" s="1176" t="s">
        <v>4455</v>
      </c>
      <c r="J619" s="1190">
        <v>0</v>
      </c>
      <c r="K619" s="1180"/>
      <c r="L619" s="1174">
        <v>13059000402</v>
      </c>
      <c r="M619" s="1175">
        <v>0</v>
      </c>
      <c r="N619" s="1175">
        <v>1</v>
      </c>
      <c r="O619" s="1175">
        <v>1</v>
      </c>
      <c r="P619" s="157" t="s">
        <v>5157</v>
      </c>
      <c r="Q619" s="157"/>
      <c r="R619" s="102"/>
      <c r="S619" s="153"/>
      <c r="T619" s="290" t="s">
        <v>5158</v>
      </c>
      <c r="U619" s="290" t="s">
        <v>3647</v>
      </c>
      <c r="AA619"/>
      <c r="AB619"/>
      <c r="AC619" s="283"/>
      <c r="AD619" s="42"/>
    </row>
    <row r="620" spans="3:30" ht="10.5" customHeight="1">
      <c r="C620" s="1181" t="s">
        <v>5159</v>
      </c>
      <c r="D620" s="1178">
        <v>0</v>
      </c>
      <c r="E620" s="1178">
        <v>0</v>
      </c>
      <c r="F620" s="1179">
        <v>0</v>
      </c>
      <c r="G620" s="1189" t="s">
        <v>5159</v>
      </c>
      <c r="H620" s="1176">
        <v>0</v>
      </c>
      <c r="I620" s="1176">
        <v>1</v>
      </c>
      <c r="J620" s="1190">
        <v>1</v>
      </c>
      <c r="K620" s="1180"/>
      <c r="L620" s="1174">
        <v>13059000600</v>
      </c>
      <c r="M620" s="1175">
        <v>0</v>
      </c>
      <c r="N620" s="1175">
        <v>1</v>
      </c>
      <c r="O620" s="1175">
        <v>1</v>
      </c>
      <c r="P620" s="157" t="s">
        <v>5160</v>
      </c>
      <c r="Q620" s="157"/>
      <c r="R620" s="102"/>
      <c r="S620" s="153"/>
      <c r="T620" s="290" t="s">
        <v>4357</v>
      </c>
      <c r="U620" s="290" t="s">
        <v>3671</v>
      </c>
      <c r="AA620"/>
      <c r="AB620"/>
      <c r="AC620" s="283"/>
      <c r="AD620" s="42"/>
    </row>
    <row r="621" spans="3:30" ht="10.5" customHeight="1">
      <c r="C621" s="1181" t="s">
        <v>5161</v>
      </c>
      <c r="D621" s="1178">
        <v>0</v>
      </c>
      <c r="E621" s="1178">
        <v>0</v>
      </c>
      <c r="F621" s="1179">
        <v>0</v>
      </c>
      <c r="G621" s="1189" t="s">
        <v>5161</v>
      </c>
      <c r="H621" s="1176">
        <v>0</v>
      </c>
      <c r="I621" s="1176">
        <v>0</v>
      </c>
      <c r="J621" s="1190">
        <v>0</v>
      </c>
      <c r="K621" s="1180"/>
      <c r="L621" s="1174">
        <v>13059000900</v>
      </c>
      <c r="M621" s="1175">
        <v>0</v>
      </c>
      <c r="N621" s="1175">
        <v>0</v>
      </c>
      <c r="O621" s="1175">
        <v>0</v>
      </c>
      <c r="P621" s="157" t="s">
        <v>5162</v>
      </c>
      <c r="Q621" s="157"/>
      <c r="R621" s="102"/>
      <c r="S621" s="153"/>
      <c r="T621" s="290" t="s">
        <v>165</v>
      </c>
      <c r="U621" s="290" t="s">
        <v>166</v>
      </c>
      <c r="AA621"/>
      <c r="AB621"/>
      <c r="AC621" s="283"/>
      <c r="AD621" s="42"/>
    </row>
    <row r="622" spans="3:30" ht="10.5" customHeight="1">
      <c r="C622" s="1181" t="s">
        <v>5163</v>
      </c>
      <c r="D622" s="1178">
        <v>1</v>
      </c>
      <c r="E622" s="1178">
        <v>0</v>
      </c>
      <c r="F622" s="1179">
        <v>1</v>
      </c>
      <c r="G622" s="1189" t="s">
        <v>5163</v>
      </c>
      <c r="H622" s="1176">
        <v>1</v>
      </c>
      <c r="I622" s="1176">
        <v>1</v>
      </c>
      <c r="J622" s="1190">
        <v>2</v>
      </c>
      <c r="K622" s="1180"/>
      <c r="L622" s="1174">
        <v>13059001200</v>
      </c>
      <c r="M622" s="1175">
        <v>1</v>
      </c>
      <c r="N622" s="1175">
        <v>1</v>
      </c>
      <c r="O622" s="1175">
        <v>2</v>
      </c>
      <c r="P622" s="157" t="s">
        <v>5164</v>
      </c>
      <c r="Q622" s="157"/>
      <c r="R622" s="102"/>
      <c r="S622" s="153"/>
      <c r="T622" s="290" t="s">
        <v>5165</v>
      </c>
      <c r="U622" s="290" t="s">
        <v>3445</v>
      </c>
      <c r="AA622"/>
      <c r="AB622"/>
      <c r="AC622" s="283"/>
      <c r="AD622" s="42"/>
    </row>
    <row r="623" spans="3:30" ht="10.5" customHeight="1">
      <c r="C623" s="1181" t="s">
        <v>5166</v>
      </c>
      <c r="D623" s="1178">
        <v>1</v>
      </c>
      <c r="E623" s="1178">
        <v>1</v>
      </c>
      <c r="F623" s="1179">
        <v>2</v>
      </c>
      <c r="G623" s="1189" t="s">
        <v>5166</v>
      </c>
      <c r="H623" s="1176">
        <v>1</v>
      </c>
      <c r="I623" s="1176">
        <v>1</v>
      </c>
      <c r="J623" s="1190">
        <v>2</v>
      </c>
      <c r="K623" s="1180"/>
      <c r="L623" s="1174">
        <v>13059001700</v>
      </c>
      <c r="M623" s="1175">
        <v>1</v>
      </c>
      <c r="N623" s="1175">
        <v>1</v>
      </c>
      <c r="O623" s="1175">
        <v>2</v>
      </c>
      <c r="P623" s="157" t="s">
        <v>5167</v>
      </c>
      <c r="Q623" s="157"/>
      <c r="R623" s="102"/>
      <c r="S623" s="153"/>
      <c r="T623" s="153" t="s">
        <v>5168</v>
      </c>
      <c r="U623" s="153" t="s">
        <v>3447</v>
      </c>
      <c r="AA623"/>
      <c r="AB623"/>
      <c r="AC623" s="42"/>
      <c r="AD623" s="42"/>
    </row>
    <row r="624" spans="3:30" ht="10.5" customHeight="1">
      <c r="C624" s="1181" t="s">
        <v>5169</v>
      </c>
      <c r="D624" s="1178">
        <v>0</v>
      </c>
      <c r="E624" s="1178">
        <v>1</v>
      </c>
      <c r="F624" s="1179">
        <v>1</v>
      </c>
      <c r="G624" s="1189" t="s">
        <v>5169</v>
      </c>
      <c r="H624" s="1176">
        <v>0</v>
      </c>
      <c r="I624" s="1176">
        <v>0</v>
      </c>
      <c r="J624" s="1190">
        <v>0</v>
      </c>
      <c r="K624" s="1180"/>
      <c r="L624" s="1174">
        <v>13059001800</v>
      </c>
      <c r="M624" s="1175">
        <v>0</v>
      </c>
      <c r="N624" s="1175">
        <v>1</v>
      </c>
      <c r="O624" s="1175">
        <v>1</v>
      </c>
      <c r="P624" s="157" t="s">
        <v>5170</v>
      </c>
      <c r="Q624" s="157"/>
      <c r="R624" s="102"/>
      <c r="S624" s="153"/>
      <c r="T624" s="290" t="s">
        <v>2035</v>
      </c>
      <c r="U624" s="290" t="s">
        <v>3580</v>
      </c>
      <c r="AA624"/>
      <c r="AB624"/>
      <c r="AC624" s="283"/>
      <c r="AD624" s="42"/>
    </row>
    <row r="625" spans="3:30" ht="10.5" customHeight="1">
      <c r="C625" s="1181" t="s">
        <v>5171</v>
      </c>
      <c r="D625" s="1178">
        <v>0</v>
      </c>
      <c r="E625" s="1178">
        <v>0</v>
      </c>
      <c r="F625" s="1179">
        <v>0</v>
      </c>
      <c r="G625" s="1189" t="s">
        <v>5171</v>
      </c>
      <c r="H625" s="1176">
        <v>0</v>
      </c>
      <c r="I625" s="1176">
        <v>0</v>
      </c>
      <c r="J625" s="1190">
        <v>0</v>
      </c>
      <c r="K625" s="1180"/>
      <c r="L625" s="1174">
        <v>13059001900</v>
      </c>
      <c r="M625" s="1175">
        <v>0</v>
      </c>
      <c r="N625" s="1175">
        <v>0</v>
      </c>
      <c r="O625" s="1175">
        <v>0</v>
      </c>
      <c r="P625" s="157" t="s">
        <v>5172</v>
      </c>
      <c r="Q625" s="157"/>
      <c r="R625" s="102"/>
      <c r="S625" s="153"/>
      <c r="T625" s="290" t="s">
        <v>5173</v>
      </c>
      <c r="U625" s="290" t="s">
        <v>4131</v>
      </c>
      <c r="AA625"/>
      <c r="AB625"/>
      <c r="AC625" s="283"/>
      <c r="AD625" s="42"/>
    </row>
    <row r="626" spans="3:30" ht="10.5" customHeight="1">
      <c r="C626" s="1181" t="s">
        <v>5174</v>
      </c>
      <c r="D626" s="1178">
        <v>1</v>
      </c>
      <c r="E626" s="1178">
        <v>1</v>
      </c>
      <c r="F626" s="1179">
        <v>2</v>
      </c>
      <c r="G626" s="1189" t="s">
        <v>5174</v>
      </c>
      <c r="H626" s="1176">
        <v>1</v>
      </c>
      <c r="I626" s="1176">
        <v>1</v>
      </c>
      <c r="J626" s="1190">
        <v>2</v>
      </c>
      <c r="K626" s="1180"/>
      <c r="L626" s="1174">
        <v>13059002000</v>
      </c>
      <c r="M626" s="1175">
        <v>1</v>
      </c>
      <c r="N626" s="1175">
        <v>1</v>
      </c>
      <c r="O626" s="1175">
        <v>2</v>
      </c>
      <c r="P626" s="157" t="s">
        <v>5175</v>
      </c>
      <c r="Q626" s="157"/>
      <c r="R626" s="102"/>
      <c r="S626" s="153"/>
      <c r="T626" s="290" t="s">
        <v>2037</v>
      </c>
      <c r="U626" s="290" t="s">
        <v>173</v>
      </c>
      <c r="AA626"/>
      <c r="AB626"/>
      <c r="AC626" s="283"/>
      <c r="AD626" s="42"/>
    </row>
    <row r="627" spans="3:30" ht="10.5" customHeight="1">
      <c r="C627" s="1181" t="s">
        <v>5176</v>
      </c>
      <c r="D627" s="1178">
        <v>0</v>
      </c>
      <c r="E627" s="1178">
        <v>1</v>
      </c>
      <c r="F627" s="1179">
        <v>1</v>
      </c>
      <c r="G627" s="1189" t="s">
        <v>5176</v>
      </c>
      <c r="H627" s="1176">
        <v>0</v>
      </c>
      <c r="I627" s="1176" t="s">
        <v>4455</v>
      </c>
      <c r="J627" s="1190">
        <v>0</v>
      </c>
      <c r="K627" s="1180"/>
      <c r="L627" s="1174">
        <v>13059002100</v>
      </c>
      <c r="M627" s="1175">
        <v>0</v>
      </c>
      <c r="N627" s="1175">
        <v>1</v>
      </c>
      <c r="O627" s="1175">
        <v>1</v>
      </c>
      <c r="P627" s="157" t="s">
        <v>5177</v>
      </c>
      <c r="Q627" s="157"/>
      <c r="R627" s="102"/>
      <c r="S627" s="153"/>
      <c r="T627" s="290" t="s">
        <v>5178</v>
      </c>
      <c r="U627" s="290" t="s">
        <v>3570</v>
      </c>
      <c r="AA627"/>
      <c r="AB627"/>
      <c r="AC627" s="283"/>
      <c r="AD627" s="42"/>
    </row>
    <row r="628" spans="3:30" ht="10.5" customHeight="1">
      <c r="C628" s="1181" t="s">
        <v>5179</v>
      </c>
      <c r="D628" s="1178">
        <v>1</v>
      </c>
      <c r="E628" s="1178">
        <v>1</v>
      </c>
      <c r="F628" s="1179">
        <v>2</v>
      </c>
      <c r="G628" s="1189" t="s">
        <v>5179</v>
      </c>
      <c r="H628" s="1176">
        <v>1</v>
      </c>
      <c r="I628" s="1176" t="s">
        <v>4455</v>
      </c>
      <c r="J628" s="1190">
        <v>1</v>
      </c>
      <c r="K628" s="1180"/>
      <c r="L628" s="1174">
        <v>13059002200</v>
      </c>
      <c r="M628" s="1175">
        <v>1</v>
      </c>
      <c r="N628" s="1175">
        <v>1</v>
      </c>
      <c r="O628" s="1175">
        <v>2</v>
      </c>
      <c r="P628" s="157" t="s">
        <v>5180</v>
      </c>
      <c r="Q628" s="157"/>
      <c r="R628" s="102"/>
      <c r="S628" s="153"/>
      <c r="T628" s="153" t="s">
        <v>4366</v>
      </c>
      <c r="U628" s="153" t="s">
        <v>101</v>
      </c>
      <c r="AA628"/>
      <c r="AB628"/>
      <c r="AC628" s="42"/>
      <c r="AD628" s="42"/>
    </row>
    <row r="629" spans="3:30" ht="10.5" customHeight="1">
      <c r="C629" s="1181" t="s">
        <v>5181</v>
      </c>
      <c r="D629" s="1178">
        <v>0</v>
      </c>
      <c r="E629" s="1178">
        <v>0</v>
      </c>
      <c r="F629" s="1179">
        <v>0</v>
      </c>
      <c r="G629" s="1189" t="s">
        <v>5181</v>
      </c>
      <c r="H629" s="1176">
        <v>0</v>
      </c>
      <c r="I629" s="1176">
        <v>0</v>
      </c>
      <c r="J629" s="1190">
        <v>0</v>
      </c>
      <c r="K629" s="1180"/>
      <c r="L629" s="1174">
        <v>13059030100</v>
      </c>
      <c r="M629" s="1175">
        <v>0</v>
      </c>
      <c r="N629" s="1175">
        <v>0</v>
      </c>
      <c r="O629" s="1175">
        <v>0</v>
      </c>
      <c r="P629" s="157" t="s">
        <v>5182</v>
      </c>
      <c r="Q629" s="157"/>
      <c r="R629" s="102"/>
      <c r="S629" s="153"/>
      <c r="T629" s="290" t="s">
        <v>4369</v>
      </c>
      <c r="U629" s="290" t="s">
        <v>151</v>
      </c>
      <c r="AA629"/>
      <c r="AB629"/>
      <c r="AC629" s="283"/>
      <c r="AD629" s="42"/>
    </row>
    <row r="630" spans="3:30" ht="10.5" customHeight="1">
      <c r="C630" s="1181" t="s">
        <v>5183</v>
      </c>
      <c r="D630" s="1178">
        <v>0</v>
      </c>
      <c r="E630" s="1178">
        <v>0</v>
      </c>
      <c r="F630" s="1179">
        <v>0</v>
      </c>
      <c r="G630" s="1189" t="s">
        <v>5183</v>
      </c>
      <c r="H630" s="1176">
        <v>0</v>
      </c>
      <c r="I630" s="1176">
        <v>0</v>
      </c>
      <c r="J630" s="1190">
        <v>0</v>
      </c>
      <c r="K630" s="1180"/>
      <c r="L630" s="1174">
        <v>13059030200</v>
      </c>
      <c r="M630" s="1175">
        <v>0</v>
      </c>
      <c r="N630" s="1175">
        <v>0</v>
      </c>
      <c r="O630" s="1175">
        <v>0</v>
      </c>
      <c r="P630" s="157" t="s">
        <v>5184</v>
      </c>
      <c r="Q630" s="157"/>
      <c r="R630" s="102"/>
      <c r="S630" s="153"/>
      <c r="T630" s="290" t="s">
        <v>4373</v>
      </c>
      <c r="U630" s="290" t="s">
        <v>3785</v>
      </c>
      <c r="AA630"/>
      <c r="AB630"/>
      <c r="AC630" s="283"/>
      <c r="AD630" s="42"/>
    </row>
    <row r="631" spans="3:30" ht="10.5" customHeight="1">
      <c r="C631" s="1181" t="s">
        <v>5185</v>
      </c>
      <c r="D631" s="1178">
        <v>0</v>
      </c>
      <c r="E631" s="1178">
        <v>0</v>
      </c>
      <c r="F631" s="1179">
        <v>0</v>
      </c>
      <c r="G631" s="1189" t="s">
        <v>5185</v>
      </c>
      <c r="H631" s="1176">
        <v>0</v>
      </c>
      <c r="I631" s="1176">
        <v>0</v>
      </c>
      <c r="J631" s="1190">
        <v>0</v>
      </c>
      <c r="K631" s="1180"/>
      <c r="L631" s="1174">
        <v>13059130300</v>
      </c>
      <c r="M631" s="1175">
        <v>0</v>
      </c>
      <c r="N631" s="1175">
        <v>0</v>
      </c>
      <c r="O631" s="1175">
        <v>0</v>
      </c>
      <c r="P631" s="157" t="s">
        <v>5186</v>
      </c>
      <c r="Q631" s="157"/>
      <c r="R631" s="102"/>
      <c r="S631" s="153"/>
      <c r="T631" s="290" t="s">
        <v>167</v>
      </c>
      <c r="U631" s="290" t="s">
        <v>168</v>
      </c>
      <c r="AA631"/>
      <c r="AB631"/>
      <c r="AC631" s="283"/>
      <c r="AD631" s="42"/>
    </row>
    <row r="632" spans="3:30" ht="10.5" customHeight="1">
      <c r="C632" s="1181" t="s">
        <v>5187</v>
      </c>
      <c r="D632" s="1178">
        <v>1</v>
      </c>
      <c r="E632" s="1178">
        <v>0</v>
      </c>
      <c r="F632" s="1179">
        <v>1</v>
      </c>
      <c r="G632" s="1189" t="s">
        <v>5187</v>
      </c>
      <c r="H632" s="1176">
        <v>1</v>
      </c>
      <c r="I632" s="1176">
        <v>1</v>
      </c>
      <c r="J632" s="1190">
        <v>2</v>
      </c>
      <c r="K632" s="1180"/>
      <c r="L632" s="1174">
        <v>13059130400</v>
      </c>
      <c r="M632" s="1175">
        <v>1</v>
      </c>
      <c r="N632" s="1175">
        <v>1</v>
      </c>
      <c r="O632" s="1175">
        <v>2</v>
      </c>
      <c r="P632" s="157" t="s">
        <v>5188</v>
      </c>
      <c r="Q632" s="157"/>
      <c r="R632" s="102"/>
      <c r="S632" s="153"/>
      <c r="T632" s="290" t="s">
        <v>5189</v>
      </c>
      <c r="U632" s="290" t="s">
        <v>3824</v>
      </c>
      <c r="AA632"/>
      <c r="AB632"/>
      <c r="AC632" s="283"/>
      <c r="AD632" s="42"/>
    </row>
    <row r="633" spans="3:30" ht="10.5" customHeight="1">
      <c r="C633" s="1181" t="s">
        <v>5190</v>
      </c>
      <c r="D633" s="1178">
        <v>0</v>
      </c>
      <c r="E633" s="1178">
        <v>0</v>
      </c>
      <c r="F633" s="1179">
        <v>0</v>
      </c>
      <c r="G633" s="1189" t="s">
        <v>5190</v>
      </c>
      <c r="H633" s="1176">
        <v>1</v>
      </c>
      <c r="I633" s="1176">
        <v>0</v>
      </c>
      <c r="J633" s="1190">
        <v>1</v>
      </c>
      <c r="K633" s="1180"/>
      <c r="L633" s="1174">
        <v>13059130500</v>
      </c>
      <c r="M633" s="1175">
        <v>1</v>
      </c>
      <c r="N633" s="1175">
        <v>0</v>
      </c>
      <c r="O633" s="1175">
        <v>1</v>
      </c>
      <c r="P633" s="157" t="s">
        <v>5191</v>
      </c>
      <c r="Q633" s="157"/>
      <c r="R633" s="102"/>
      <c r="S633" s="153"/>
      <c r="T633" s="290" t="s">
        <v>5192</v>
      </c>
      <c r="U633" s="290" t="s">
        <v>3668</v>
      </c>
      <c r="AA633"/>
      <c r="AB633"/>
      <c r="AC633" s="283"/>
      <c r="AD633" s="42"/>
    </row>
    <row r="634" spans="3:30" ht="10.5" customHeight="1">
      <c r="C634" s="1181" t="s">
        <v>5193</v>
      </c>
      <c r="D634" s="1178">
        <v>0</v>
      </c>
      <c r="E634" s="1178">
        <v>0</v>
      </c>
      <c r="F634" s="1179">
        <v>0</v>
      </c>
      <c r="G634" s="1189" t="s">
        <v>5193</v>
      </c>
      <c r="H634" s="1176">
        <v>0</v>
      </c>
      <c r="I634" s="1176">
        <v>0</v>
      </c>
      <c r="J634" s="1190">
        <v>0</v>
      </c>
      <c r="K634" s="1180"/>
      <c r="L634" s="1174">
        <v>13059130600</v>
      </c>
      <c r="M634" s="1175">
        <v>0</v>
      </c>
      <c r="N634" s="1175">
        <v>0</v>
      </c>
      <c r="O634" s="1175">
        <v>0</v>
      </c>
      <c r="P634" s="157" t="s">
        <v>5194</v>
      </c>
      <c r="Q634" s="157"/>
      <c r="R634" s="102"/>
      <c r="S634" s="153"/>
      <c r="T634" s="153" t="s">
        <v>170</v>
      </c>
      <c r="U634" s="153" t="s">
        <v>132</v>
      </c>
      <c r="AA634"/>
      <c r="AB634"/>
      <c r="AC634" s="42"/>
      <c r="AD634" s="42"/>
    </row>
    <row r="635" spans="3:30" ht="10.5" customHeight="1">
      <c r="C635" s="1181" t="s">
        <v>5195</v>
      </c>
      <c r="D635" s="1178">
        <v>1</v>
      </c>
      <c r="E635" s="1178">
        <v>1</v>
      </c>
      <c r="F635" s="1179">
        <v>2</v>
      </c>
      <c r="G635" s="1189" t="s">
        <v>5195</v>
      </c>
      <c r="H635" s="1176">
        <v>1</v>
      </c>
      <c r="I635" s="1176">
        <v>1</v>
      </c>
      <c r="J635" s="1190">
        <v>2</v>
      </c>
      <c r="K635" s="1180"/>
      <c r="L635" s="1174">
        <v>13059130700</v>
      </c>
      <c r="M635" s="1175">
        <v>1</v>
      </c>
      <c r="N635" s="1175">
        <v>1</v>
      </c>
      <c r="O635" s="1175">
        <v>2</v>
      </c>
      <c r="P635" s="157" t="s">
        <v>5196</v>
      </c>
      <c r="Q635" s="157"/>
      <c r="R635" s="102"/>
      <c r="S635" s="153"/>
      <c r="T635" s="290" t="s">
        <v>4377</v>
      </c>
      <c r="U635" s="290" t="s">
        <v>2052</v>
      </c>
      <c r="AA635"/>
      <c r="AB635"/>
      <c r="AC635" s="283"/>
      <c r="AD635" s="42"/>
    </row>
    <row r="636" spans="3:30" ht="10.5" customHeight="1">
      <c r="C636" s="1181" t="s">
        <v>5197</v>
      </c>
      <c r="D636" s="1178">
        <v>0</v>
      </c>
      <c r="E636" s="1178">
        <v>0</v>
      </c>
      <c r="F636" s="1179">
        <v>0</v>
      </c>
      <c r="G636" s="1189" t="s">
        <v>5197</v>
      </c>
      <c r="H636" s="1176">
        <v>0</v>
      </c>
      <c r="I636" s="1176">
        <v>0</v>
      </c>
      <c r="J636" s="1190">
        <v>0</v>
      </c>
      <c r="K636" s="1180"/>
      <c r="L636" s="1174">
        <v>13059140300</v>
      </c>
      <c r="M636" s="1175">
        <v>0</v>
      </c>
      <c r="N636" s="1175">
        <v>0</v>
      </c>
      <c r="O636" s="1175">
        <v>0</v>
      </c>
      <c r="P636" s="157" t="s">
        <v>5198</v>
      </c>
      <c r="Q636" s="157"/>
      <c r="R636" s="102"/>
      <c r="S636" s="153"/>
      <c r="T636" s="290" t="s">
        <v>4381</v>
      </c>
      <c r="U636" s="290" t="s">
        <v>151</v>
      </c>
      <c r="AA636"/>
      <c r="AB636"/>
      <c r="AC636" s="283"/>
      <c r="AD636" s="42"/>
    </row>
    <row r="637" spans="3:30" ht="10.5" customHeight="1">
      <c r="C637" s="1181" t="s">
        <v>5199</v>
      </c>
      <c r="D637" s="1178">
        <v>0</v>
      </c>
      <c r="E637" s="1178">
        <v>0</v>
      </c>
      <c r="F637" s="1179">
        <v>0</v>
      </c>
      <c r="G637" s="1189" t="s">
        <v>5199</v>
      </c>
      <c r="H637" s="1176">
        <v>0</v>
      </c>
      <c r="I637" s="1176">
        <v>0</v>
      </c>
      <c r="J637" s="1190">
        <v>0</v>
      </c>
      <c r="K637" s="1180"/>
      <c r="L637" s="1174">
        <v>13059140400</v>
      </c>
      <c r="M637" s="1175">
        <v>0</v>
      </c>
      <c r="N637" s="1175">
        <v>0</v>
      </c>
      <c r="O637" s="1175">
        <v>0</v>
      </c>
      <c r="P637" s="157" t="s">
        <v>5200</v>
      </c>
      <c r="Q637" s="157"/>
      <c r="R637" s="102"/>
      <c r="S637" s="153"/>
      <c r="T637" s="290" t="s">
        <v>5201</v>
      </c>
      <c r="U637" s="290" t="s">
        <v>4202</v>
      </c>
      <c r="AA637"/>
      <c r="AB637"/>
      <c r="AC637" s="283"/>
      <c r="AD637" s="42"/>
    </row>
    <row r="638" spans="3:30" ht="10.5" customHeight="1">
      <c r="C638" s="1181" t="s">
        <v>5202</v>
      </c>
      <c r="D638" s="1178">
        <v>0</v>
      </c>
      <c r="E638" s="1178">
        <v>0</v>
      </c>
      <c r="F638" s="1179">
        <v>0</v>
      </c>
      <c r="G638" s="1189" t="s">
        <v>5202</v>
      </c>
      <c r="H638" s="1176">
        <v>0</v>
      </c>
      <c r="I638" s="1176">
        <v>0</v>
      </c>
      <c r="J638" s="1190">
        <v>0</v>
      </c>
      <c r="K638" s="1180"/>
      <c r="L638" s="1174">
        <v>13059140500</v>
      </c>
      <c r="M638" s="1175">
        <v>0</v>
      </c>
      <c r="N638" s="1175">
        <v>0</v>
      </c>
      <c r="O638" s="1175">
        <v>0</v>
      </c>
      <c r="P638" s="157" t="s">
        <v>5203</v>
      </c>
      <c r="Q638" s="157"/>
      <c r="R638" s="102"/>
      <c r="S638" s="153"/>
      <c r="T638" s="290" t="s">
        <v>4384</v>
      </c>
      <c r="U638" s="290" t="s">
        <v>3538</v>
      </c>
      <c r="AA638"/>
      <c r="AB638"/>
      <c r="AC638" s="283"/>
      <c r="AD638" s="42"/>
    </row>
    <row r="639" spans="3:30" ht="10.5" customHeight="1">
      <c r="C639" s="1181" t="s">
        <v>5204</v>
      </c>
      <c r="D639" s="1178">
        <v>0</v>
      </c>
      <c r="E639" s="1178">
        <v>0</v>
      </c>
      <c r="F639" s="1179">
        <v>0</v>
      </c>
      <c r="G639" s="1189" t="s">
        <v>5204</v>
      </c>
      <c r="H639" s="1176">
        <v>0</v>
      </c>
      <c r="I639" s="1176">
        <v>0</v>
      </c>
      <c r="J639" s="1190">
        <v>0</v>
      </c>
      <c r="K639" s="1180"/>
      <c r="L639" s="1174">
        <v>13059140600</v>
      </c>
      <c r="M639" s="1175">
        <v>0</v>
      </c>
      <c r="N639" s="1175">
        <v>0</v>
      </c>
      <c r="O639" s="1175">
        <v>0</v>
      </c>
      <c r="P639" s="157" t="s">
        <v>5205</v>
      </c>
      <c r="Q639" s="157"/>
      <c r="R639" s="102"/>
      <c r="S639" s="153"/>
      <c r="T639" s="290" t="s">
        <v>5206</v>
      </c>
      <c r="U639" s="290" t="s">
        <v>3871</v>
      </c>
      <c r="AA639"/>
      <c r="AB639"/>
      <c r="AC639" s="283"/>
      <c r="AD639" s="42"/>
    </row>
    <row r="640" spans="3:30" ht="10.5" customHeight="1">
      <c r="C640" s="1181" t="s">
        <v>5207</v>
      </c>
      <c r="D640" s="1178">
        <v>1</v>
      </c>
      <c r="E640" s="1178">
        <v>0</v>
      </c>
      <c r="F640" s="1179">
        <v>1</v>
      </c>
      <c r="G640" s="1189" t="s">
        <v>5207</v>
      </c>
      <c r="H640" s="1176">
        <v>1</v>
      </c>
      <c r="I640" s="1176">
        <v>1</v>
      </c>
      <c r="J640" s="1190">
        <v>2</v>
      </c>
      <c r="K640" s="1180"/>
      <c r="L640" s="1174">
        <v>13059150300</v>
      </c>
      <c r="M640" s="1175">
        <v>1</v>
      </c>
      <c r="N640" s="1175">
        <v>1</v>
      </c>
      <c r="O640" s="1175">
        <v>2</v>
      </c>
      <c r="P640" s="157" t="s">
        <v>5208</v>
      </c>
      <c r="Q640" s="157"/>
      <c r="R640" s="102"/>
      <c r="S640" s="153"/>
      <c r="T640" s="290" t="s">
        <v>5209</v>
      </c>
      <c r="U640" s="290" t="s">
        <v>3905</v>
      </c>
      <c r="AA640"/>
      <c r="AB640"/>
      <c r="AC640" s="283"/>
      <c r="AD640" s="42"/>
    </row>
    <row r="641" spans="3:30" ht="10.5" customHeight="1">
      <c r="C641" s="1181" t="s">
        <v>5210</v>
      </c>
      <c r="D641" s="1178">
        <v>0</v>
      </c>
      <c r="E641" s="1178">
        <v>1</v>
      </c>
      <c r="F641" s="1179">
        <v>1</v>
      </c>
      <c r="G641" s="1189" t="s">
        <v>5210</v>
      </c>
      <c r="H641" s="1176">
        <v>0</v>
      </c>
      <c r="I641" s="1176" t="s">
        <v>4455</v>
      </c>
      <c r="J641" s="1190">
        <v>0</v>
      </c>
      <c r="K641" s="1180"/>
      <c r="L641" s="1174">
        <v>13059150400</v>
      </c>
      <c r="M641" s="1175">
        <v>0</v>
      </c>
      <c r="N641" s="1175">
        <v>1</v>
      </c>
      <c r="O641" s="1175">
        <v>1</v>
      </c>
      <c r="P641" s="157" t="s">
        <v>5211</v>
      </c>
      <c r="Q641" s="157"/>
      <c r="R641" s="102"/>
      <c r="S641" s="153"/>
      <c r="T641" s="290" t="s">
        <v>5212</v>
      </c>
      <c r="U641" s="290" t="s">
        <v>4116</v>
      </c>
      <c r="AA641"/>
      <c r="AB641"/>
      <c r="AC641" s="283"/>
      <c r="AD641" s="42"/>
    </row>
    <row r="642" spans="3:30" ht="10.5" customHeight="1">
      <c r="C642" s="1181" t="s">
        <v>5213</v>
      </c>
      <c r="D642" s="1178">
        <v>0</v>
      </c>
      <c r="E642" s="1178">
        <v>1</v>
      </c>
      <c r="F642" s="1179">
        <v>1</v>
      </c>
      <c r="G642" s="1189" t="s">
        <v>5213</v>
      </c>
      <c r="H642" s="1176">
        <v>0</v>
      </c>
      <c r="I642" s="1176">
        <v>1</v>
      </c>
      <c r="J642" s="1190">
        <v>1</v>
      </c>
      <c r="K642" s="1180"/>
      <c r="L642" s="1174">
        <v>13059150500</v>
      </c>
      <c r="M642" s="1175">
        <v>0</v>
      </c>
      <c r="N642" s="1175">
        <v>1</v>
      </c>
      <c r="O642" s="1175">
        <v>1</v>
      </c>
      <c r="P642" s="157" t="s">
        <v>5214</v>
      </c>
      <c r="Q642" s="157"/>
      <c r="R642" s="102"/>
      <c r="S642" s="153"/>
      <c r="T642" s="290" t="s">
        <v>2462</v>
      </c>
      <c r="U642" s="290" t="s">
        <v>135</v>
      </c>
      <c r="AA642"/>
      <c r="AB642"/>
      <c r="AC642" s="283"/>
      <c r="AD642" s="42"/>
    </row>
    <row r="643" spans="3:30" ht="10.5" customHeight="1">
      <c r="C643" s="1181" t="s">
        <v>5215</v>
      </c>
      <c r="D643" s="1178">
        <v>0</v>
      </c>
      <c r="E643" s="1178">
        <v>0</v>
      </c>
      <c r="F643" s="1179">
        <v>0</v>
      </c>
      <c r="G643" s="1189" t="s">
        <v>5215</v>
      </c>
      <c r="H643" s="1176">
        <v>0</v>
      </c>
      <c r="I643" s="1176">
        <v>1</v>
      </c>
      <c r="J643" s="1190">
        <v>1</v>
      </c>
      <c r="K643" s="1180"/>
      <c r="L643" s="1174">
        <v>13059150600</v>
      </c>
      <c r="M643" s="1175">
        <v>0</v>
      </c>
      <c r="N643" s="1175">
        <v>1</v>
      </c>
      <c r="O643" s="1175">
        <v>1</v>
      </c>
      <c r="P643" s="157" t="s">
        <v>5216</v>
      </c>
      <c r="Q643" s="157"/>
      <c r="R643" s="102"/>
      <c r="S643" s="153"/>
      <c r="T643" s="290" t="s">
        <v>5217</v>
      </c>
      <c r="U643" s="290" t="s">
        <v>4184</v>
      </c>
      <c r="AA643"/>
      <c r="AB643"/>
      <c r="AC643" s="283"/>
      <c r="AD643" s="42"/>
    </row>
    <row r="644" spans="3:30" ht="10.5" customHeight="1">
      <c r="C644" s="1181" t="s">
        <v>5218</v>
      </c>
      <c r="D644" s="1178">
        <v>1</v>
      </c>
      <c r="E644" s="1178">
        <v>0</v>
      </c>
      <c r="F644" s="1179">
        <v>1</v>
      </c>
      <c r="G644" s="1189" t="s">
        <v>5218</v>
      </c>
      <c r="H644" s="1176">
        <v>0</v>
      </c>
      <c r="I644" s="1176">
        <v>1</v>
      </c>
      <c r="J644" s="1190">
        <v>1</v>
      </c>
      <c r="K644" s="1180"/>
      <c r="L644" s="1174">
        <v>13059150700</v>
      </c>
      <c r="M644" s="1175">
        <v>1</v>
      </c>
      <c r="N644" s="1175">
        <v>1</v>
      </c>
      <c r="O644" s="1175">
        <v>1</v>
      </c>
      <c r="P644" s="157" t="s">
        <v>5219</v>
      </c>
      <c r="Q644" s="157"/>
      <c r="R644" s="102"/>
      <c r="S644" s="153"/>
      <c r="T644" s="290" t="s">
        <v>171</v>
      </c>
      <c r="U644" s="290" t="s">
        <v>93</v>
      </c>
      <c r="AA644"/>
      <c r="AB644"/>
      <c r="AC644" s="283"/>
      <c r="AD644" s="42"/>
    </row>
    <row r="645" spans="3:30" ht="10.5" customHeight="1">
      <c r="C645" s="1181" t="s">
        <v>5220</v>
      </c>
      <c r="D645" s="1178">
        <v>1</v>
      </c>
      <c r="E645" s="1178">
        <v>1</v>
      </c>
      <c r="F645" s="1179">
        <v>2</v>
      </c>
      <c r="G645" s="1189" t="s">
        <v>5220</v>
      </c>
      <c r="H645" s="1176">
        <v>1</v>
      </c>
      <c r="I645" s="1176">
        <v>1</v>
      </c>
      <c r="J645" s="1190">
        <v>2</v>
      </c>
      <c r="K645" s="1180"/>
      <c r="L645" s="1174">
        <v>13059150800</v>
      </c>
      <c r="M645" s="1175">
        <v>1</v>
      </c>
      <c r="N645" s="1175">
        <v>1</v>
      </c>
      <c r="O645" s="1175">
        <v>2</v>
      </c>
      <c r="P645" s="157" t="s">
        <v>5221</v>
      </c>
      <c r="Q645" s="157"/>
      <c r="R645" s="102"/>
      <c r="S645" s="153"/>
      <c r="T645" s="153" t="s">
        <v>4131</v>
      </c>
      <c r="U645" s="153" t="s">
        <v>4256</v>
      </c>
      <c r="AA645"/>
      <c r="AB645"/>
      <c r="AC645" s="42"/>
      <c r="AD645" s="42"/>
    </row>
    <row r="646" spans="3:30" ht="10.5" customHeight="1">
      <c r="C646" s="1181" t="s">
        <v>5222</v>
      </c>
      <c r="D646" s="1178">
        <v>1</v>
      </c>
      <c r="E646" s="1178">
        <v>1</v>
      </c>
      <c r="F646" s="1179">
        <v>2</v>
      </c>
      <c r="G646" s="1189" t="s">
        <v>5222</v>
      </c>
      <c r="H646" s="1176">
        <v>1</v>
      </c>
      <c r="I646" s="1176">
        <v>1</v>
      </c>
      <c r="J646" s="1190">
        <v>2</v>
      </c>
      <c r="K646" s="1180"/>
      <c r="L646" s="1174">
        <v>13059150900</v>
      </c>
      <c r="M646" s="1175">
        <v>1</v>
      </c>
      <c r="N646" s="1175">
        <v>1</v>
      </c>
      <c r="O646" s="1175">
        <v>2</v>
      </c>
      <c r="P646" s="157" t="s">
        <v>5223</v>
      </c>
      <c r="Q646" s="157"/>
      <c r="R646" s="102"/>
      <c r="S646" s="153"/>
      <c r="T646" s="290" t="s">
        <v>5224</v>
      </c>
      <c r="U646" s="290" t="s">
        <v>113</v>
      </c>
      <c r="AA646"/>
      <c r="AB646"/>
      <c r="AC646" s="283"/>
      <c r="AD646" s="42"/>
    </row>
    <row r="647" spans="3:30" ht="10.5" customHeight="1">
      <c r="C647" s="1181" t="s">
        <v>5225</v>
      </c>
      <c r="D647" s="1178">
        <v>0</v>
      </c>
      <c r="E647" s="1178">
        <v>0</v>
      </c>
      <c r="F647" s="1179">
        <v>0</v>
      </c>
      <c r="G647" s="1189" t="s">
        <v>5225</v>
      </c>
      <c r="H647" s="1176">
        <v>0</v>
      </c>
      <c r="I647" s="1176">
        <v>0</v>
      </c>
      <c r="J647" s="1190">
        <v>0</v>
      </c>
      <c r="K647" s="1180"/>
      <c r="L647" s="1174">
        <v>13061960300</v>
      </c>
      <c r="M647" s="1175">
        <v>0</v>
      </c>
      <c r="N647" s="1175">
        <v>0</v>
      </c>
      <c r="O647" s="1175">
        <v>0</v>
      </c>
      <c r="P647" s="157" t="s">
        <v>5226</v>
      </c>
      <c r="Q647" s="157"/>
      <c r="R647" s="102"/>
      <c r="S647" s="153"/>
      <c r="T647" s="290" t="s">
        <v>5227</v>
      </c>
      <c r="U647" s="290" t="s">
        <v>3445</v>
      </c>
      <c r="AA647"/>
      <c r="AB647"/>
      <c r="AC647" s="283"/>
      <c r="AD647" s="42"/>
    </row>
    <row r="648" spans="3:30" ht="10.5" customHeight="1">
      <c r="C648" s="1181" t="s">
        <v>5228</v>
      </c>
      <c r="D648" s="1178">
        <v>0</v>
      </c>
      <c r="E648" s="1178">
        <v>0</v>
      </c>
      <c r="F648" s="1179">
        <v>0</v>
      </c>
      <c r="G648" s="1189" t="s">
        <v>5228</v>
      </c>
      <c r="H648" s="1176">
        <v>0</v>
      </c>
      <c r="I648" s="1176" t="s">
        <v>4455</v>
      </c>
      <c r="J648" s="1190">
        <v>0</v>
      </c>
      <c r="K648" s="1180"/>
      <c r="L648" s="1174">
        <v>13063040202</v>
      </c>
      <c r="M648" s="1175">
        <v>0</v>
      </c>
      <c r="N648" s="1175">
        <v>0</v>
      </c>
      <c r="O648" s="1175">
        <v>0</v>
      </c>
      <c r="P648" s="157" t="s">
        <v>5229</v>
      </c>
      <c r="Q648" s="157"/>
      <c r="R648" s="102"/>
      <c r="S648" s="153"/>
      <c r="T648" s="290" t="s">
        <v>5230</v>
      </c>
      <c r="U648" s="290" t="s">
        <v>3900</v>
      </c>
      <c r="AA648"/>
      <c r="AB648"/>
      <c r="AC648" s="283"/>
      <c r="AD648" s="42"/>
    </row>
    <row r="649" spans="3:30" ht="10.5" customHeight="1">
      <c r="C649" s="1181" t="s">
        <v>5231</v>
      </c>
      <c r="D649" s="1178">
        <v>0</v>
      </c>
      <c r="E649" s="1178">
        <v>0</v>
      </c>
      <c r="F649" s="1179">
        <v>0</v>
      </c>
      <c r="G649" s="1189" t="s">
        <v>5231</v>
      </c>
      <c r="H649" s="1176">
        <v>0</v>
      </c>
      <c r="I649" s="1176">
        <v>0</v>
      </c>
      <c r="J649" s="1190">
        <v>0</v>
      </c>
      <c r="K649" s="1180"/>
      <c r="L649" s="1174">
        <v>13063040203</v>
      </c>
      <c r="M649" s="1175">
        <v>0</v>
      </c>
      <c r="N649" s="1175">
        <v>0</v>
      </c>
      <c r="O649" s="1175">
        <v>0</v>
      </c>
      <c r="P649" s="157" t="s">
        <v>5232</v>
      </c>
      <c r="Q649" s="157"/>
      <c r="R649" s="102"/>
      <c r="S649" s="153"/>
      <c r="T649" s="290" t="s">
        <v>172</v>
      </c>
      <c r="U649" s="290" t="s">
        <v>173</v>
      </c>
      <c r="AA649"/>
      <c r="AB649"/>
      <c r="AC649" s="283"/>
      <c r="AD649" s="42"/>
    </row>
    <row r="650" spans="3:30" ht="10.5" customHeight="1">
      <c r="C650" s="1181" t="s">
        <v>5233</v>
      </c>
      <c r="D650" s="1178">
        <v>0</v>
      </c>
      <c r="E650" s="1178">
        <v>0</v>
      </c>
      <c r="F650" s="1179">
        <v>0</v>
      </c>
      <c r="G650" s="1189" t="s">
        <v>5233</v>
      </c>
      <c r="H650" s="1176">
        <v>0</v>
      </c>
      <c r="I650" s="1176">
        <v>0</v>
      </c>
      <c r="J650" s="1190">
        <v>0</v>
      </c>
      <c r="K650" s="1180"/>
      <c r="L650" s="1174">
        <v>13063040204</v>
      </c>
      <c r="M650" s="1175">
        <v>0</v>
      </c>
      <c r="N650" s="1175">
        <v>0</v>
      </c>
      <c r="O650" s="1175">
        <v>0</v>
      </c>
      <c r="P650" s="157" t="s">
        <v>5234</v>
      </c>
      <c r="Q650" s="157"/>
      <c r="R650" s="102"/>
      <c r="S650" s="153"/>
      <c r="T650" s="290" t="s">
        <v>5235</v>
      </c>
      <c r="U650" s="290" t="s">
        <v>4171</v>
      </c>
      <c r="AA650"/>
      <c r="AB650"/>
      <c r="AC650" s="283"/>
      <c r="AD650" s="42"/>
    </row>
    <row r="651" spans="3:30" ht="10.5" customHeight="1">
      <c r="C651" s="1181" t="s">
        <v>5236</v>
      </c>
      <c r="D651" s="1178">
        <v>0</v>
      </c>
      <c r="E651" s="1178">
        <v>0</v>
      </c>
      <c r="F651" s="1179">
        <v>0</v>
      </c>
      <c r="G651" s="1189" t="s">
        <v>5236</v>
      </c>
      <c r="H651" s="1176">
        <v>0</v>
      </c>
      <c r="I651" s="1176">
        <v>0</v>
      </c>
      <c r="J651" s="1190">
        <v>0</v>
      </c>
      <c r="K651" s="1180"/>
      <c r="L651" s="1174">
        <v>13063040302</v>
      </c>
      <c r="M651" s="1175">
        <v>0</v>
      </c>
      <c r="N651" s="1175">
        <v>0</v>
      </c>
      <c r="O651" s="1175">
        <v>0</v>
      </c>
      <c r="P651" s="157" t="s">
        <v>5237</v>
      </c>
      <c r="Q651" s="157"/>
      <c r="R651" s="102"/>
      <c r="S651" s="153"/>
      <c r="T651" s="290" t="s">
        <v>5238</v>
      </c>
      <c r="U651" s="290" t="s">
        <v>113</v>
      </c>
      <c r="AA651"/>
      <c r="AB651"/>
      <c r="AC651" s="283"/>
      <c r="AD651" s="42"/>
    </row>
    <row r="652" spans="3:30" ht="10.5" customHeight="1">
      <c r="C652" s="1181" t="s">
        <v>5239</v>
      </c>
      <c r="D652" s="1178">
        <v>0</v>
      </c>
      <c r="E652" s="1178">
        <v>0</v>
      </c>
      <c r="F652" s="1179">
        <v>0</v>
      </c>
      <c r="G652" s="1189" t="s">
        <v>5239</v>
      </c>
      <c r="H652" s="1176">
        <v>0</v>
      </c>
      <c r="I652" s="1176">
        <v>0</v>
      </c>
      <c r="J652" s="1190">
        <v>0</v>
      </c>
      <c r="K652" s="1180"/>
      <c r="L652" s="1174">
        <v>13063040303</v>
      </c>
      <c r="M652" s="1175">
        <v>0</v>
      </c>
      <c r="N652" s="1175">
        <v>0</v>
      </c>
      <c r="O652" s="1175">
        <v>0</v>
      </c>
      <c r="P652" s="157" t="s">
        <v>5240</v>
      </c>
      <c r="Q652" s="157"/>
      <c r="R652" s="102"/>
      <c r="S652" s="153"/>
      <c r="T652" s="290" t="s">
        <v>4391</v>
      </c>
      <c r="U652" s="290" t="s">
        <v>4112</v>
      </c>
      <c r="AA652"/>
      <c r="AB652"/>
      <c r="AC652" s="283"/>
      <c r="AD652" s="42"/>
    </row>
    <row r="653" spans="3:30" ht="10.5" customHeight="1">
      <c r="C653" s="1181" t="s">
        <v>5241</v>
      </c>
      <c r="D653" s="1178">
        <v>0</v>
      </c>
      <c r="E653" s="1178">
        <v>0</v>
      </c>
      <c r="F653" s="1179">
        <v>0</v>
      </c>
      <c r="G653" s="1189" t="s">
        <v>5241</v>
      </c>
      <c r="H653" s="1176">
        <v>0</v>
      </c>
      <c r="I653" s="1176" t="s">
        <v>4455</v>
      </c>
      <c r="J653" s="1190">
        <v>0</v>
      </c>
      <c r="K653" s="1180"/>
      <c r="L653" s="1174">
        <v>13063040306</v>
      </c>
      <c r="M653" s="1175">
        <v>0</v>
      </c>
      <c r="N653" s="1175">
        <v>0</v>
      </c>
      <c r="O653" s="1175">
        <v>0</v>
      </c>
      <c r="P653" s="157" t="s">
        <v>5242</v>
      </c>
      <c r="Q653" s="157"/>
      <c r="R653" s="102"/>
      <c r="S653" s="153"/>
      <c r="T653" s="290" t="s">
        <v>5243</v>
      </c>
      <c r="U653" s="290" t="s">
        <v>3862</v>
      </c>
      <c r="AA653"/>
      <c r="AB653"/>
      <c r="AC653" s="283"/>
      <c r="AD653" s="42"/>
    </row>
    <row r="654" spans="3:30" ht="10.5" customHeight="1">
      <c r="C654" s="1181" t="s">
        <v>5244</v>
      </c>
      <c r="D654" s="1178">
        <v>0</v>
      </c>
      <c r="E654" s="1178">
        <v>0</v>
      </c>
      <c r="F654" s="1179">
        <v>0</v>
      </c>
      <c r="G654" s="1189" t="s">
        <v>5244</v>
      </c>
      <c r="H654" s="1176">
        <v>0</v>
      </c>
      <c r="I654" s="1176">
        <v>0</v>
      </c>
      <c r="J654" s="1190">
        <v>0</v>
      </c>
      <c r="K654" s="1180"/>
      <c r="L654" s="1174">
        <v>13063040307</v>
      </c>
      <c r="M654" s="1175">
        <v>0</v>
      </c>
      <c r="N654" s="1175">
        <v>0</v>
      </c>
      <c r="O654" s="1175">
        <v>0</v>
      </c>
      <c r="P654" s="157" t="s">
        <v>5245</v>
      </c>
      <c r="Q654" s="157"/>
      <c r="R654" s="102"/>
      <c r="S654" s="153"/>
      <c r="T654" s="290" t="s">
        <v>5246</v>
      </c>
      <c r="U654" s="290" t="s">
        <v>3827</v>
      </c>
      <c r="AA654"/>
      <c r="AB654"/>
      <c r="AC654" s="283"/>
      <c r="AD654" s="42"/>
    </row>
    <row r="655" spans="3:30" ht="10.5" customHeight="1">
      <c r="C655" s="1181" t="s">
        <v>5247</v>
      </c>
      <c r="D655" s="1178">
        <v>0</v>
      </c>
      <c r="E655" s="1178">
        <v>0</v>
      </c>
      <c r="F655" s="1179">
        <v>0</v>
      </c>
      <c r="G655" s="1189" t="s">
        <v>5247</v>
      </c>
      <c r="H655" s="1176">
        <v>0</v>
      </c>
      <c r="I655" s="1176">
        <v>0</v>
      </c>
      <c r="J655" s="1190">
        <v>0</v>
      </c>
      <c r="K655" s="1180"/>
      <c r="L655" s="1174">
        <v>13063040308</v>
      </c>
      <c r="M655" s="1175">
        <v>0</v>
      </c>
      <c r="N655" s="1175">
        <v>0</v>
      </c>
      <c r="O655" s="1175">
        <v>0</v>
      </c>
      <c r="P655" s="157" t="s">
        <v>5248</v>
      </c>
      <c r="Q655" s="157"/>
      <c r="R655" s="102"/>
      <c r="S655" s="153"/>
      <c r="T655" s="290" t="s">
        <v>174</v>
      </c>
      <c r="U655" s="290" t="s">
        <v>135</v>
      </c>
      <c r="AA655"/>
      <c r="AB655"/>
      <c r="AC655" s="283"/>
      <c r="AD655" s="42"/>
    </row>
    <row r="656" spans="3:30" ht="10.5" customHeight="1">
      <c r="C656" s="1181" t="s">
        <v>5249</v>
      </c>
      <c r="D656" s="1178">
        <v>0</v>
      </c>
      <c r="E656" s="1178">
        <v>0</v>
      </c>
      <c r="F656" s="1179">
        <v>0</v>
      </c>
      <c r="G656" s="1189" t="s">
        <v>5249</v>
      </c>
      <c r="H656" s="1176">
        <v>0</v>
      </c>
      <c r="I656" s="1176">
        <v>0</v>
      </c>
      <c r="J656" s="1190">
        <v>0</v>
      </c>
      <c r="K656" s="1180"/>
      <c r="L656" s="1174">
        <v>13063040407</v>
      </c>
      <c r="M656" s="1175">
        <v>0</v>
      </c>
      <c r="N656" s="1175">
        <v>0</v>
      </c>
      <c r="O656" s="1175">
        <v>0</v>
      </c>
      <c r="P656" s="157" t="s">
        <v>5250</v>
      </c>
      <c r="Q656" s="157"/>
      <c r="R656" s="102"/>
      <c r="S656" s="153"/>
      <c r="T656" s="290" t="s">
        <v>5251</v>
      </c>
      <c r="U656" s="290" t="s">
        <v>4107</v>
      </c>
      <c r="AA656"/>
      <c r="AB656"/>
      <c r="AC656" s="283"/>
      <c r="AD656" s="42"/>
    </row>
    <row r="657" spans="3:30" ht="10.5" customHeight="1">
      <c r="C657" s="1181" t="s">
        <v>5252</v>
      </c>
      <c r="D657" s="1178">
        <v>0</v>
      </c>
      <c r="E657" s="1178">
        <v>0</v>
      </c>
      <c r="F657" s="1179">
        <v>0</v>
      </c>
      <c r="G657" s="1189" t="s">
        <v>5252</v>
      </c>
      <c r="H657" s="1176">
        <v>0</v>
      </c>
      <c r="I657" s="1176">
        <v>0</v>
      </c>
      <c r="J657" s="1190">
        <v>0</v>
      </c>
      <c r="K657" s="1180"/>
      <c r="L657" s="1174">
        <v>13063040408</v>
      </c>
      <c r="M657" s="1175">
        <v>0</v>
      </c>
      <c r="N657" s="1175">
        <v>0</v>
      </c>
      <c r="O657" s="1175">
        <v>0</v>
      </c>
      <c r="P657" s="157" t="s">
        <v>5253</v>
      </c>
      <c r="Q657" s="157"/>
      <c r="R657" s="102"/>
      <c r="S657" s="153"/>
      <c r="T657" s="153" t="s">
        <v>5254</v>
      </c>
      <c r="U657" s="153" t="s">
        <v>3952</v>
      </c>
      <c r="AA657"/>
      <c r="AB657"/>
      <c r="AC657" s="42"/>
      <c r="AD657" s="42"/>
    </row>
    <row r="658" spans="3:30" ht="10.5" customHeight="1">
      <c r="C658" s="1181" t="s">
        <v>5255</v>
      </c>
      <c r="D658" s="1178">
        <v>0</v>
      </c>
      <c r="E658" s="1178">
        <v>0</v>
      </c>
      <c r="F658" s="1179">
        <v>0</v>
      </c>
      <c r="G658" s="1189" t="s">
        <v>5255</v>
      </c>
      <c r="H658" s="1176">
        <v>1</v>
      </c>
      <c r="I658" s="1176" t="s">
        <v>4455</v>
      </c>
      <c r="J658" s="1190">
        <v>1</v>
      </c>
      <c r="K658" s="1180"/>
      <c r="L658" s="1174">
        <v>13063040409</v>
      </c>
      <c r="M658" s="1175">
        <v>1</v>
      </c>
      <c r="N658" s="1175">
        <v>0</v>
      </c>
      <c r="O658" s="1175">
        <v>1</v>
      </c>
      <c r="P658" s="157" t="s">
        <v>5256</v>
      </c>
      <c r="Q658" s="157"/>
      <c r="R658" s="102"/>
      <c r="S658" s="153"/>
      <c r="T658" s="153" t="s">
        <v>2040</v>
      </c>
      <c r="U658" s="153" t="s">
        <v>118</v>
      </c>
      <c r="AA658"/>
      <c r="AB658"/>
      <c r="AC658" s="42"/>
      <c r="AD658" s="42"/>
    </row>
    <row r="659" spans="3:30" ht="10.5" customHeight="1">
      <c r="C659" s="1181" t="s">
        <v>5257</v>
      </c>
      <c r="D659" s="1178">
        <v>0</v>
      </c>
      <c r="E659" s="1178">
        <v>0</v>
      </c>
      <c r="F659" s="1179">
        <v>0</v>
      </c>
      <c r="G659" s="1189" t="s">
        <v>5257</v>
      </c>
      <c r="H659" s="1176">
        <v>0</v>
      </c>
      <c r="I659" s="1176">
        <v>0</v>
      </c>
      <c r="J659" s="1190">
        <v>0</v>
      </c>
      <c r="K659" s="1180"/>
      <c r="L659" s="1174">
        <v>13063040410</v>
      </c>
      <c r="M659" s="1175">
        <v>0</v>
      </c>
      <c r="N659" s="1175">
        <v>0</v>
      </c>
      <c r="O659" s="1175">
        <v>0</v>
      </c>
      <c r="P659" s="157" t="s">
        <v>5258</v>
      </c>
      <c r="Q659" s="157"/>
      <c r="R659" s="102"/>
      <c r="S659" s="153"/>
      <c r="T659" s="290" t="s">
        <v>5259</v>
      </c>
      <c r="U659" s="290" t="s">
        <v>3725</v>
      </c>
      <c r="AA659"/>
      <c r="AB659"/>
      <c r="AC659" s="283"/>
      <c r="AD659" s="42"/>
    </row>
    <row r="660" spans="3:30" ht="10.5" customHeight="1">
      <c r="C660" s="1181" t="s">
        <v>5260</v>
      </c>
      <c r="D660" s="1178">
        <v>1</v>
      </c>
      <c r="E660" s="1178">
        <v>0</v>
      </c>
      <c r="F660" s="1179">
        <v>1</v>
      </c>
      <c r="G660" s="1189" t="s">
        <v>5260</v>
      </c>
      <c r="H660" s="1176">
        <v>1</v>
      </c>
      <c r="I660" s="1176">
        <v>1</v>
      </c>
      <c r="J660" s="1190">
        <v>2</v>
      </c>
      <c r="K660" s="1180"/>
      <c r="L660" s="1174">
        <v>13063040411</v>
      </c>
      <c r="M660" s="1175">
        <v>1</v>
      </c>
      <c r="N660" s="1175">
        <v>1</v>
      </c>
      <c r="O660" s="1175">
        <v>2</v>
      </c>
      <c r="P660" s="157" t="s">
        <v>5261</v>
      </c>
      <c r="Q660" s="157"/>
      <c r="R660" s="102"/>
      <c r="S660" s="153"/>
      <c r="T660" s="290" t="s">
        <v>2041</v>
      </c>
      <c r="U660" s="290" t="s">
        <v>3743</v>
      </c>
      <c r="AA660"/>
      <c r="AB660"/>
      <c r="AC660" s="283"/>
      <c r="AD660" s="42"/>
    </row>
    <row r="661" spans="3:30" ht="10.5" customHeight="1">
      <c r="C661" s="1181" t="s">
        <v>5262</v>
      </c>
      <c r="D661" s="1178">
        <v>0</v>
      </c>
      <c r="E661" s="1178">
        <v>0</v>
      </c>
      <c r="F661" s="1179">
        <v>0</v>
      </c>
      <c r="G661" s="1189" t="s">
        <v>5262</v>
      </c>
      <c r="H661" s="1176">
        <v>0</v>
      </c>
      <c r="I661" s="1176">
        <v>0</v>
      </c>
      <c r="J661" s="1190">
        <v>0</v>
      </c>
      <c r="K661" s="1180"/>
      <c r="L661" s="1174">
        <v>13063040412</v>
      </c>
      <c r="M661" s="1175">
        <v>0</v>
      </c>
      <c r="N661" s="1175">
        <v>0</v>
      </c>
      <c r="O661" s="1175">
        <v>0</v>
      </c>
      <c r="P661" s="157" t="s">
        <v>5263</v>
      </c>
      <c r="Q661" s="157"/>
      <c r="R661" s="102"/>
      <c r="S661" s="153"/>
      <c r="T661" s="290" t="s">
        <v>4396</v>
      </c>
      <c r="U661" s="290" t="s">
        <v>4210</v>
      </c>
      <c r="AA661"/>
      <c r="AB661"/>
      <c r="AC661" s="283"/>
      <c r="AD661" s="42"/>
    </row>
    <row r="662" spans="3:30" ht="10.5" customHeight="1">
      <c r="C662" s="1181" t="s">
        <v>5264</v>
      </c>
      <c r="D662" s="1178">
        <v>0</v>
      </c>
      <c r="E662" s="1178">
        <v>0</v>
      </c>
      <c r="F662" s="1179">
        <v>0</v>
      </c>
      <c r="G662" s="1189" t="s">
        <v>5264</v>
      </c>
      <c r="H662" s="1176">
        <v>0</v>
      </c>
      <c r="I662" s="1176">
        <v>0</v>
      </c>
      <c r="J662" s="1190">
        <v>0</v>
      </c>
      <c r="K662" s="1180"/>
      <c r="L662" s="1174">
        <v>13063040413</v>
      </c>
      <c r="M662" s="1175">
        <v>0</v>
      </c>
      <c r="N662" s="1175">
        <v>0</v>
      </c>
      <c r="O662" s="1175">
        <v>0</v>
      </c>
      <c r="P662" s="157" t="s">
        <v>5265</v>
      </c>
      <c r="Q662" s="157"/>
      <c r="R662" s="102"/>
      <c r="S662" s="153"/>
      <c r="T662" s="290" t="s">
        <v>5266</v>
      </c>
      <c r="U662" s="290" t="s">
        <v>151</v>
      </c>
      <c r="AA662"/>
      <c r="AB662"/>
      <c r="AC662" s="283"/>
      <c r="AD662" s="42"/>
    </row>
    <row r="663" spans="3:30" ht="10.5" customHeight="1">
      <c r="C663" s="1181" t="s">
        <v>5267</v>
      </c>
      <c r="D663" s="1178">
        <v>0</v>
      </c>
      <c r="E663" s="1178">
        <v>0</v>
      </c>
      <c r="F663" s="1179">
        <v>0</v>
      </c>
      <c r="G663" s="1189" t="s">
        <v>5267</v>
      </c>
      <c r="H663" s="1176">
        <v>0</v>
      </c>
      <c r="I663" s="1176">
        <v>0</v>
      </c>
      <c r="J663" s="1190">
        <v>0</v>
      </c>
      <c r="K663" s="1180"/>
      <c r="L663" s="1174">
        <v>13063040414</v>
      </c>
      <c r="M663" s="1175">
        <v>0</v>
      </c>
      <c r="N663" s="1175">
        <v>0</v>
      </c>
      <c r="O663" s="1175">
        <v>0</v>
      </c>
      <c r="P663" s="157" t="s">
        <v>5268</v>
      </c>
      <c r="Q663" s="157"/>
      <c r="R663" s="102"/>
      <c r="S663" s="153"/>
      <c r="T663" s="290" t="s">
        <v>5269</v>
      </c>
      <c r="U663" s="290" t="s">
        <v>3467</v>
      </c>
      <c r="AA663"/>
      <c r="AB663"/>
      <c r="AC663" s="283"/>
      <c r="AD663" s="42"/>
    </row>
    <row r="664" spans="3:30" ht="10.5" customHeight="1">
      <c r="C664" s="1181" t="s">
        <v>5270</v>
      </c>
      <c r="D664" s="1178">
        <v>0</v>
      </c>
      <c r="E664" s="1178">
        <v>0</v>
      </c>
      <c r="F664" s="1179">
        <v>0</v>
      </c>
      <c r="G664" s="1189" t="s">
        <v>5270</v>
      </c>
      <c r="H664" s="1176">
        <v>0</v>
      </c>
      <c r="I664" s="1176">
        <v>0</v>
      </c>
      <c r="J664" s="1190">
        <v>0</v>
      </c>
      <c r="K664" s="1180"/>
      <c r="L664" s="1174">
        <v>13063040415</v>
      </c>
      <c r="M664" s="1175">
        <v>0</v>
      </c>
      <c r="N664" s="1175">
        <v>0</v>
      </c>
      <c r="O664" s="1175">
        <v>0</v>
      </c>
      <c r="P664" s="157" t="s">
        <v>5271</v>
      </c>
      <c r="Q664" s="157"/>
      <c r="R664" s="102"/>
      <c r="S664" s="153"/>
      <c r="T664" s="290" t="s">
        <v>4399</v>
      </c>
      <c r="U664" s="290" t="s">
        <v>3849</v>
      </c>
      <c r="AA664"/>
      <c r="AB664"/>
      <c r="AC664" s="283"/>
      <c r="AD664" s="42"/>
    </row>
    <row r="665" spans="3:30" ht="10.5" customHeight="1">
      <c r="C665" s="1181" t="s">
        <v>5272</v>
      </c>
      <c r="D665" s="1178">
        <v>0</v>
      </c>
      <c r="E665" s="1178">
        <v>0</v>
      </c>
      <c r="F665" s="1179">
        <v>0</v>
      </c>
      <c r="G665" s="1189" t="s">
        <v>5272</v>
      </c>
      <c r="H665" s="1176">
        <v>0</v>
      </c>
      <c r="I665" s="1176">
        <v>0</v>
      </c>
      <c r="J665" s="1190">
        <v>0</v>
      </c>
      <c r="K665" s="1180"/>
      <c r="L665" s="1174">
        <v>13063040416</v>
      </c>
      <c r="M665" s="1175">
        <v>0</v>
      </c>
      <c r="N665" s="1175">
        <v>0</v>
      </c>
      <c r="O665" s="1175">
        <v>0</v>
      </c>
      <c r="P665" s="157" t="s">
        <v>5273</v>
      </c>
      <c r="Q665" s="157"/>
      <c r="R665" s="102"/>
      <c r="S665" s="153"/>
      <c r="T665" s="290" t="s">
        <v>4403</v>
      </c>
      <c r="U665" s="290" t="s">
        <v>3739</v>
      </c>
      <c r="AA665"/>
      <c r="AB665"/>
      <c r="AC665" s="283"/>
      <c r="AD665" s="42"/>
    </row>
    <row r="666" spans="3:30" ht="10.5" customHeight="1">
      <c r="C666" s="1181" t="s">
        <v>5274</v>
      </c>
      <c r="D666" s="1178">
        <v>0</v>
      </c>
      <c r="E666" s="1178">
        <v>0</v>
      </c>
      <c r="F666" s="1179">
        <v>0</v>
      </c>
      <c r="G666" s="1189" t="s">
        <v>5274</v>
      </c>
      <c r="H666" s="1176">
        <v>0</v>
      </c>
      <c r="I666" s="1176">
        <v>0</v>
      </c>
      <c r="J666" s="1190">
        <v>0</v>
      </c>
      <c r="K666" s="1180"/>
      <c r="L666" s="1174">
        <v>13063040417</v>
      </c>
      <c r="M666" s="1175">
        <v>0</v>
      </c>
      <c r="N666" s="1175">
        <v>0</v>
      </c>
      <c r="O666" s="1175">
        <v>0</v>
      </c>
      <c r="P666" s="157" t="s">
        <v>5275</v>
      </c>
      <c r="Q666" s="157"/>
      <c r="R666" s="102"/>
      <c r="S666" s="153"/>
      <c r="T666" s="290" t="s">
        <v>4406</v>
      </c>
      <c r="U666" s="290" t="s">
        <v>137</v>
      </c>
      <c r="AA666"/>
      <c r="AB666"/>
      <c r="AC666" s="283"/>
      <c r="AD666" s="42"/>
    </row>
    <row r="667" spans="3:30" ht="10.5" customHeight="1">
      <c r="C667" s="1181" t="s">
        <v>5276</v>
      </c>
      <c r="D667" s="1178">
        <v>0</v>
      </c>
      <c r="E667" s="1178">
        <v>0</v>
      </c>
      <c r="F667" s="1179">
        <v>0</v>
      </c>
      <c r="G667" s="1189" t="s">
        <v>5276</v>
      </c>
      <c r="H667" s="1176">
        <v>1</v>
      </c>
      <c r="I667" s="1176">
        <v>0</v>
      </c>
      <c r="J667" s="1190">
        <v>1</v>
      </c>
      <c r="K667" s="1180"/>
      <c r="L667" s="1174">
        <v>13063040509</v>
      </c>
      <c r="M667" s="1175">
        <v>1</v>
      </c>
      <c r="N667" s="1175">
        <v>0</v>
      </c>
      <c r="O667" s="1175">
        <v>1</v>
      </c>
      <c r="P667" s="157" t="s">
        <v>5277</v>
      </c>
      <c r="Q667" s="157"/>
      <c r="R667" s="102"/>
      <c r="S667" s="153"/>
      <c r="T667" s="290" t="s">
        <v>169</v>
      </c>
      <c r="U667" s="290" t="s">
        <v>108</v>
      </c>
      <c r="AA667"/>
      <c r="AB667"/>
      <c r="AC667" s="283"/>
      <c r="AD667" s="42"/>
    </row>
    <row r="668" spans="3:30" ht="10.5" customHeight="1">
      <c r="C668" s="1181" t="s">
        <v>5278</v>
      </c>
      <c r="D668" s="1178">
        <v>0</v>
      </c>
      <c r="E668" s="1178">
        <v>0</v>
      </c>
      <c r="F668" s="1179">
        <v>0</v>
      </c>
      <c r="G668" s="1189" t="s">
        <v>5278</v>
      </c>
      <c r="H668" s="1176">
        <v>0</v>
      </c>
      <c r="I668" s="1176">
        <v>0</v>
      </c>
      <c r="J668" s="1190">
        <v>0</v>
      </c>
      <c r="K668" s="1180"/>
      <c r="L668" s="1174">
        <v>13063040510</v>
      </c>
      <c r="M668" s="1175">
        <v>0</v>
      </c>
      <c r="N668" s="1175">
        <v>0</v>
      </c>
      <c r="O668" s="1175">
        <v>0</v>
      </c>
      <c r="P668" s="157" t="s">
        <v>5279</v>
      </c>
      <c r="Q668" s="157"/>
      <c r="R668" s="102"/>
      <c r="S668" s="153"/>
      <c r="T668" s="290" t="s">
        <v>5280</v>
      </c>
      <c r="U668" s="290" t="s">
        <v>3658</v>
      </c>
      <c r="AA668"/>
      <c r="AB668"/>
      <c r="AC668" s="283"/>
      <c r="AD668" s="42"/>
    </row>
    <row r="669" spans="3:30" ht="10.5" customHeight="1">
      <c r="C669" s="1181" t="s">
        <v>5281</v>
      </c>
      <c r="D669" s="1178">
        <v>0</v>
      </c>
      <c r="E669" s="1178">
        <v>0</v>
      </c>
      <c r="F669" s="1179">
        <v>0</v>
      </c>
      <c r="G669" s="1189" t="s">
        <v>5281</v>
      </c>
      <c r="H669" s="1176">
        <v>0</v>
      </c>
      <c r="I669" s="1176">
        <v>0</v>
      </c>
      <c r="J669" s="1190">
        <v>0</v>
      </c>
      <c r="K669" s="1180"/>
      <c r="L669" s="1174">
        <v>13063040512</v>
      </c>
      <c r="M669" s="1175">
        <v>0</v>
      </c>
      <c r="N669" s="1175">
        <v>0</v>
      </c>
      <c r="O669" s="1175">
        <v>0</v>
      </c>
      <c r="P669" s="157" t="s">
        <v>5282</v>
      </c>
      <c r="Q669" s="157"/>
      <c r="R669" s="102"/>
      <c r="S669" s="153"/>
      <c r="T669" s="290" t="s">
        <v>5283</v>
      </c>
      <c r="U669" s="290" t="s">
        <v>3734</v>
      </c>
      <c r="AA669"/>
      <c r="AB669"/>
      <c r="AC669" s="283"/>
      <c r="AD669" s="42"/>
    </row>
    <row r="670" spans="3:30" ht="10.5" customHeight="1">
      <c r="C670" s="1181" t="s">
        <v>5284</v>
      </c>
      <c r="D670" s="1178">
        <v>0</v>
      </c>
      <c r="E670" s="1178">
        <v>1</v>
      </c>
      <c r="F670" s="1179">
        <v>1</v>
      </c>
      <c r="G670" s="1189" t="s">
        <v>5284</v>
      </c>
      <c r="H670" s="1176">
        <v>0</v>
      </c>
      <c r="I670" s="1176">
        <v>1</v>
      </c>
      <c r="J670" s="1190">
        <v>0</v>
      </c>
      <c r="K670" s="1180"/>
      <c r="L670" s="1174">
        <v>13063040513</v>
      </c>
      <c r="M670" s="1175">
        <v>0</v>
      </c>
      <c r="N670" s="1175">
        <v>1</v>
      </c>
      <c r="O670" s="1175">
        <v>1</v>
      </c>
      <c r="P670" s="157" t="s">
        <v>5285</v>
      </c>
      <c r="Q670" s="157"/>
      <c r="R670" s="102"/>
      <c r="S670" s="153"/>
      <c r="T670" s="290" t="s">
        <v>2042</v>
      </c>
      <c r="U670" s="290" t="s">
        <v>104</v>
      </c>
      <c r="AA670"/>
      <c r="AB670"/>
      <c r="AC670" s="283"/>
      <c r="AD670" s="42"/>
    </row>
    <row r="671" spans="3:30" ht="10.5" customHeight="1">
      <c r="C671" s="1181" t="s">
        <v>5286</v>
      </c>
      <c r="D671" s="1178">
        <v>0</v>
      </c>
      <c r="E671" s="1178">
        <v>0</v>
      </c>
      <c r="F671" s="1179">
        <v>0</v>
      </c>
      <c r="G671" s="1189" t="s">
        <v>5286</v>
      </c>
      <c r="H671" s="1176">
        <v>0</v>
      </c>
      <c r="I671" s="1176">
        <v>0</v>
      </c>
      <c r="J671" s="1190">
        <v>0</v>
      </c>
      <c r="K671" s="1180"/>
      <c r="L671" s="1174">
        <v>13063040514</v>
      </c>
      <c r="M671" s="1175">
        <v>0</v>
      </c>
      <c r="N671" s="1175">
        <v>0</v>
      </c>
      <c r="O671" s="1175">
        <v>0</v>
      </c>
      <c r="P671" s="157" t="s">
        <v>5287</v>
      </c>
      <c r="Q671" s="157"/>
      <c r="R671" s="102"/>
      <c r="S671" s="153"/>
      <c r="T671" s="290" t="s">
        <v>5288</v>
      </c>
      <c r="U671" s="290" t="s">
        <v>168</v>
      </c>
      <c r="AA671"/>
      <c r="AB671"/>
      <c r="AC671" s="283"/>
      <c r="AD671" s="42"/>
    </row>
    <row r="672" spans="3:30" ht="10.5" customHeight="1">
      <c r="C672" s="1181" t="s">
        <v>5289</v>
      </c>
      <c r="D672" s="1178">
        <v>0</v>
      </c>
      <c r="E672" s="1178">
        <v>0</v>
      </c>
      <c r="F672" s="1179">
        <v>0</v>
      </c>
      <c r="G672" s="1189" t="s">
        <v>5289</v>
      </c>
      <c r="H672" s="1176">
        <v>0</v>
      </c>
      <c r="I672" s="1176">
        <v>0</v>
      </c>
      <c r="J672" s="1190">
        <v>0</v>
      </c>
      <c r="K672" s="1180"/>
      <c r="L672" s="1174">
        <v>13063040515</v>
      </c>
      <c r="M672" s="1175">
        <v>0</v>
      </c>
      <c r="N672" s="1175">
        <v>0</v>
      </c>
      <c r="O672" s="1175">
        <v>0</v>
      </c>
      <c r="P672" s="157" t="s">
        <v>5290</v>
      </c>
      <c r="Q672" s="157"/>
      <c r="R672" s="102"/>
      <c r="S672" s="153"/>
      <c r="T672" s="290" t="s">
        <v>5291</v>
      </c>
      <c r="U672" s="290" t="s">
        <v>3753</v>
      </c>
      <c r="AA672"/>
      <c r="AB672"/>
      <c r="AC672" s="283"/>
      <c r="AD672" s="42"/>
    </row>
    <row r="673" spans="3:30" ht="10.5" customHeight="1">
      <c r="C673" s="1181" t="s">
        <v>5292</v>
      </c>
      <c r="D673" s="1178">
        <v>0</v>
      </c>
      <c r="E673" s="1178">
        <v>0</v>
      </c>
      <c r="F673" s="1179">
        <v>0</v>
      </c>
      <c r="G673" s="1189" t="s">
        <v>5292</v>
      </c>
      <c r="H673" s="1176">
        <v>0</v>
      </c>
      <c r="I673" s="1176">
        <v>0</v>
      </c>
      <c r="J673" s="1190">
        <v>0</v>
      </c>
      <c r="K673" s="1180"/>
      <c r="L673" s="1174">
        <v>13063040516</v>
      </c>
      <c r="M673" s="1175">
        <v>0</v>
      </c>
      <c r="N673" s="1175">
        <v>0</v>
      </c>
      <c r="O673" s="1175">
        <v>0</v>
      </c>
      <c r="P673" s="157" t="s">
        <v>5293</v>
      </c>
      <c r="Q673" s="157"/>
      <c r="R673" s="102"/>
      <c r="S673" s="153"/>
      <c r="T673" s="290" t="s">
        <v>4411</v>
      </c>
      <c r="U673" s="290" t="s">
        <v>96</v>
      </c>
      <c r="AA673"/>
      <c r="AB673"/>
      <c r="AC673" s="283"/>
      <c r="AD673" s="42"/>
    </row>
    <row r="674" spans="3:30" ht="10.5" customHeight="1">
      <c r="C674" s="1181" t="s">
        <v>5294</v>
      </c>
      <c r="D674" s="1178">
        <v>0</v>
      </c>
      <c r="E674" s="1178">
        <v>0</v>
      </c>
      <c r="F674" s="1179">
        <v>0</v>
      </c>
      <c r="G674" s="1189" t="s">
        <v>5294</v>
      </c>
      <c r="H674" s="1176">
        <v>0</v>
      </c>
      <c r="I674" s="1176">
        <v>0</v>
      </c>
      <c r="J674" s="1190">
        <v>0</v>
      </c>
      <c r="K674" s="1180"/>
      <c r="L674" s="1174">
        <v>13063040518</v>
      </c>
      <c r="M674" s="1175">
        <v>0</v>
      </c>
      <c r="N674" s="1175">
        <v>0</v>
      </c>
      <c r="O674" s="1175">
        <v>0</v>
      </c>
      <c r="P674" s="157" t="s">
        <v>5295</v>
      </c>
      <c r="Q674" s="157"/>
      <c r="R674" s="102"/>
      <c r="S674" s="153"/>
      <c r="T674" s="290" t="s">
        <v>4415</v>
      </c>
      <c r="U674" s="290" t="s">
        <v>93</v>
      </c>
      <c r="AA674"/>
      <c r="AB674"/>
      <c r="AC674" s="283"/>
      <c r="AD674" s="42"/>
    </row>
    <row r="675" spans="3:30" ht="10.5" customHeight="1">
      <c r="C675" s="1181" t="s">
        <v>5296</v>
      </c>
      <c r="D675" s="1178">
        <v>0</v>
      </c>
      <c r="E675" s="1178">
        <v>0</v>
      </c>
      <c r="F675" s="1179">
        <v>0</v>
      </c>
      <c r="G675" s="1189" t="s">
        <v>5296</v>
      </c>
      <c r="H675" s="1176">
        <v>0</v>
      </c>
      <c r="I675" s="1176" t="s">
        <v>4455</v>
      </c>
      <c r="J675" s="1190">
        <v>0</v>
      </c>
      <c r="K675" s="1180"/>
      <c r="L675" s="1174">
        <v>13063040519</v>
      </c>
      <c r="M675" s="1175">
        <v>0</v>
      </c>
      <c r="N675" s="1175">
        <v>0</v>
      </c>
      <c r="O675" s="1175">
        <v>0</v>
      </c>
      <c r="P675" s="157" t="s">
        <v>5297</v>
      </c>
      <c r="Q675" s="157"/>
      <c r="R675" s="102"/>
      <c r="S675" s="153"/>
      <c r="T675" s="290" t="s">
        <v>5298</v>
      </c>
      <c r="U675" s="290" t="s">
        <v>93</v>
      </c>
      <c r="AA675"/>
      <c r="AB675"/>
      <c r="AC675" s="283"/>
      <c r="AD675" s="42"/>
    </row>
    <row r="676" spans="3:30" ht="10.5" customHeight="1">
      <c r="C676" s="1181" t="s">
        <v>5299</v>
      </c>
      <c r="D676" s="1178">
        <v>0</v>
      </c>
      <c r="E676" s="1178">
        <v>0</v>
      </c>
      <c r="F676" s="1179">
        <v>0</v>
      </c>
      <c r="G676" s="1189" t="s">
        <v>5299</v>
      </c>
      <c r="H676" s="1176">
        <v>0</v>
      </c>
      <c r="I676" s="1176">
        <v>0</v>
      </c>
      <c r="J676" s="1190">
        <v>0</v>
      </c>
      <c r="K676" s="1180"/>
      <c r="L676" s="1174">
        <v>13063040520</v>
      </c>
      <c r="M676" s="1175">
        <v>0</v>
      </c>
      <c r="N676" s="1175">
        <v>0</v>
      </c>
      <c r="O676" s="1175">
        <v>0</v>
      </c>
      <c r="P676" s="157" t="s">
        <v>5300</v>
      </c>
      <c r="Q676" s="157"/>
      <c r="R676" s="102"/>
      <c r="S676" s="153"/>
      <c r="T676" s="290" t="s">
        <v>5301</v>
      </c>
      <c r="U676" s="290" t="s">
        <v>3725</v>
      </c>
      <c r="AA676"/>
      <c r="AB676"/>
      <c r="AC676" s="283"/>
      <c r="AD676" s="42"/>
    </row>
    <row r="677" spans="3:30" ht="10.5" customHeight="1">
      <c r="C677" s="1181" t="s">
        <v>5302</v>
      </c>
      <c r="D677" s="1178">
        <v>0</v>
      </c>
      <c r="E677" s="1178">
        <v>0</v>
      </c>
      <c r="F677" s="1179">
        <v>0</v>
      </c>
      <c r="G677" s="1189" t="s">
        <v>5302</v>
      </c>
      <c r="H677" s="1176">
        <v>0</v>
      </c>
      <c r="I677" s="1176">
        <v>0</v>
      </c>
      <c r="J677" s="1190">
        <v>0</v>
      </c>
      <c r="K677" s="1180"/>
      <c r="L677" s="1174">
        <v>13063040521</v>
      </c>
      <c r="M677" s="1175">
        <v>0</v>
      </c>
      <c r="N677" s="1175">
        <v>0</v>
      </c>
      <c r="O677" s="1175">
        <v>0</v>
      </c>
      <c r="P677" s="157" t="s">
        <v>5303</v>
      </c>
      <c r="Q677" s="157"/>
      <c r="R677" s="102"/>
      <c r="S677" s="153"/>
      <c r="T677" s="290" t="s">
        <v>5304</v>
      </c>
      <c r="U677" s="290" t="s">
        <v>3753</v>
      </c>
      <c r="AA677"/>
      <c r="AB677"/>
      <c r="AC677" s="283"/>
      <c r="AD677" s="42"/>
    </row>
    <row r="678" spans="3:30" ht="10.5" customHeight="1">
      <c r="C678" s="1181" t="s">
        <v>5305</v>
      </c>
      <c r="D678" s="1178">
        <v>0</v>
      </c>
      <c r="E678" s="1178">
        <v>0</v>
      </c>
      <c r="F678" s="1179">
        <v>0</v>
      </c>
      <c r="G678" s="1189" t="s">
        <v>5305</v>
      </c>
      <c r="H678" s="1176">
        <v>0</v>
      </c>
      <c r="I678" s="1176">
        <v>0</v>
      </c>
      <c r="J678" s="1190">
        <v>0</v>
      </c>
      <c r="K678" s="1180"/>
      <c r="L678" s="1174">
        <v>13063040522</v>
      </c>
      <c r="M678" s="1175">
        <v>0</v>
      </c>
      <c r="N678" s="1175">
        <v>0</v>
      </c>
      <c r="O678" s="1175">
        <v>0</v>
      </c>
      <c r="P678" s="157" t="s">
        <v>5306</v>
      </c>
      <c r="Q678" s="157"/>
      <c r="R678" s="102"/>
      <c r="S678" s="153"/>
      <c r="T678" s="290" t="s">
        <v>4419</v>
      </c>
      <c r="U678" s="290" t="s">
        <v>3602</v>
      </c>
      <c r="AA678"/>
      <c r="AB678"/>
      <c r="AC678" s="283"/>
      <c r="AD678" s="42"/>
    </row>
    <row r="679" spans="3:30" ht="10.5" customHeight="1">
      <c r="C679" s="1181" t="s">
        <v>5307</v>
      </c>
      <c r="D679" s="1178">
        <v>0</v>
      </c>
      <c r="E679" s="1178">
        <v>0</v>
      </c>
      <c r="F679" s="1179">
        <v>0</v>
      </c>
      <c r="G679" s="1189" t="s">
        <v>5307</v>
      </c>
      <c r="H679" s="1176">
        <v>1</v>
      </c>
      <c r="I679" s="1176">
        <v>0</v>
      </c>
      <c r="J679" s="1190">
        <v>1</v>
      </c>
      <c r="K679" s="1180"/>
      <c r="L679" s="1174">
        <v>13063040523</v>
      </c>
      <c r="M679" s="1175">
        <v>1</v>
      </c>
      <c r="N679" s="1175">
        <v>0</v>
      </c>
      <c r="O679" s="1175">
        <v>1</v>
      </c>
      <c r="P679" s="157" t="s">
        <v>5308</v>
      </c>
      <c r="Q679" s="157"/>
      <c r="R679" s="102"/>
      <c r="S679" s="153"/>
      <c r="T679" s="290" t="s">
        <v>5309</v>
      </c>
      <c r="U679" s="290" t="s">
        <v>4292</v>
      </c>
      <c r="AA679"/>
      <c r="AB679"/>
      <c r="AC679" s="283"/>
      <c r="AD679" s="42"/>
    </row>
    <row r="680" spans="3:30" ht="10.5" customHeight="1">
      <c r="C680" s="1181" t="s">
        <v>5310</v>
      </c>
      <c r="D680" s="1178">
        <v>0</v>
      </c>
      <c r="E680" s="1178">
        <v>0</v>
      </c>
      <c r="F680" s="1179">
        <v>0</v>
      </c>
      <c r="G680" s="1189" t="s">
        <v>5310</v>
      </c>
      <c r="H680" s="1176">
        <v>0</v>
      </c>
      <c r="I680" s="1176">
        <v>0</v>
      </c>
      <c r="J680" s="1190">
        <v>0</v>
      </c>
      <c r="K680" s="1180"/>
      <c r="L680" s="1174">
        <v>13063040524</v>
      </c>
      <c r="M680" s="1175">
        <v>0</v>
      </c>
      <c r="N680" s="1175">
        <v>0</v>
      </c>
      <c r="O680" s="1175">
        <v>0</v>
      </c>
      <c r="P680" s="157" t="s">
        <v>5311</v>
      </c>
      <c r="Q680" s="2960"/>
      <c r="R680" s="2960"/>
      <c r="S680" s="2961"/>
      <c r="T680" s="290" t="s">
        <v>5312</v>
      </c>
      <c r="U680" s="290" t="s">
        <v>111</v>
      </c>
      <c r="AA680"/>
      <c r="AB680"/>
      <c r="AC680" s="283"/>
      <c r="AD680" s="42"/>
    </row>
    <row r="681" spans="3:30" ht="10.5" customHeight="1">
      <c r="C681" s="1181" t="s">
        <v>5313</v>
      </c>
      <c r="D681" s="1178">
        <v>0</v>
      </c>
      <c r="E681" s="1178">
        <v>0</v>
      </c>
      <c r="F681" s="1179">
        <v>0</v>
      </c>
      <c r="G681" s="1189" t="s">
        <v>5313</v>
      </c>
      <c r="H681" s="1176">
        <v>0</v>
      </c>
      <c r="I681" s="1176" t="s">
        <v>4455</v>
      </c>
      <c r="J681" s="1190">
        <v>0</v>
      </c>
      <c r="K681" s="1180"/>
      <c r="L681" s="1174">
        <v>13063040525</v>
      </c>
      <c r="M681" s="1175">
        <v>0</v>
      </c>
      <c r="N681" s="1175">
        <v>0</v>
      </c>
      <c r="O681" s="1175">
        <v>0</v>
      </c>
      <c r="P681" s="2962"/>
      <c r="Q681" s="274"/>
      <c r="R681" s="99"/>
      <c r="S681" s="100"/>
      <c r="T681" s="290" t="s">
        <v>175</v>
      </c>
      <c r="U681" s="290" t="s">
        <v>126</v>
      </c>
      <c r="AA681"/>
      <c r="AB681"/>
      <c r="AC681" s="283"/>
      <c r="AD681" s="42"/>
    </row>
    <row r="682" spans="3:30" ht="10.5" customHeight="1">
      <c r="C682" s="1181" t="s">
        <v>5314</v>
      </c>
      <c r="D682" s="1178">
        <v>0</v>
      </c>
      <c r="E682" s="1178">
        <v>0</v>
      </c>
      <c r="F682" s="1179">
        <v>0</v>
      </c>
      <c r="G682" s="1189" t="s">
        <v>5314</v>
      </c>
      <c r="H682" s="1176">
        <v>0</v>
      </c>
      <c r="I682" s="1176">
        <v>0</v>
      </c>
      <c r="J682" s="1190">
        <v>0</v>
      </c>
      <c r="K682" s="1180"/>
      <c r="L682" s="1174">
        <v>13063040526</v>
      </c>
      <c r="M682" s="1175">
        <v>0</v>
      </c>
      <c r="N682" s="1175">
        <v>0</v>
      </c>
      <c r="O682" s="1175">
        <v>0</v>
      </c>
      <c r="P682" s="329"/>
      <c r="Q682" s="100"/>
      <c r="R682" s="100"/>
      <c r="S682" s="100"/>
      <c r="T682" s="290" t="s">
        <v>176</v>
      </c>
      <c r="U682" s="290" t="s">
        <v>128</v>
      </c>
      <c r="AA682"/>
      <c r="AB682"/>
      <c r="AC682" s="283"/>
      <c r="AD682" s="42"/>
    </row>
    <row r="683" spans="3:30" ht="10.5" customHeight="1">
      <c r="C683" s="1181" t="s">
        <v>5315</v>
      </c>
      <c r="D683" s="1178">
        <v>0</v>
      </c>
      <c r="E683" s="1178">
        <v>0</v>
      </c>
      <c r="F683" s="1179">
        <v>0</v>
      </c>
      <c r="G683" s="1189" t="s">
        <v>5315</v>
      </c>
      <c r="H683" s="1176">
        <v>0</v>
      </c>
      <c r="I683" s="1176">
        <v>1</v>
      </c>
      <c r="J683" s="1190">
        <v>1</v>
      </c>
      <c r="K683" s="1180"/>
      <c r="L683" s="1174">
        <v>13063040606</v>
      </c>
      <c r="M683" s="1175">
        <v>0</v>
      </c>
      <c r="N683" s="1175">
        <v>1</v>
      </c>
      <c r="O683" s="1175">
        <v>1</v>
      </c>
      <c r="P683" s="100"/>
      <c r="Q683" s="100"/>
      <c r="R683" s="100"/>
      <c r="S683" s="100"/>
      <c r="T683" s="290" t="s">
        <v>5316</v>
      </c>
      <c r="U683" s="290" t="s">
        <v>3429</v>
      </c>
      <c r="AA683"/>
      <c r="AB683"/>
      <c r="AC683" s="283"/>
      <c r="AD683" s="42"/>
    </row>
    <row r="684" spans="3:30" ht="10.5" customHeight="1">
      <c r="C684" s="1181" t="s">
        <v>5317</v>
      </c>
      <c r="D684" s="1178">
        <v>1</v>
      </c>
      <c r="E684" s="1178">
        <v>1</v>
      </c>
      <c r="F684" s="1179">
        <v>2</v>
      </c>
      <c r="G684" s="1189" t="s">
        <v>5317</v>
      </c>
      <c r="H684" s="1176">
        <v>1</v>
      </c>
      <c r="I684" s="1176">
        <v>0</v>
      </c>
      <c r="J684" s="1190">
        <v>1</v>
      </c>
      <c r="K684" s="1180"/>
      <c r="L684" s="1174">
        <v>13063040608</v>
      </c>
      <c r="M684" s="1175">
        <v>1</v>
      </c>
      <c r="N684" s="1175">
        <v>1</v>
      </c>
      <c r="O684" s="1175">
        <v>2</v>
      </c>
      <c r="P684" s="100"/>
      <c r="Q684" s="100"/>
      <c r="R684" s="100"/>
      <c r="S684" s="100"/>
      <c r="T684" s="290" t="s">
        <v>5318</v>
      </c>
      <c r="U684" s="290" t="s">
        <v>3725</v>
      </c>
      <c r="AA684"/>
      <c r="AB684"/>
      <c r="AC684" s="283"/>
      <c r="AD684" s="42"/>
    </row>
    <row r="685" spans="3:30" ht="10.5" customHeight="1">
      <c r="C685" s="1181" t="s">
        <v>5319</v>
      </c>
      <c r="D685" s="1178">
        <v>1</v>
      </c>
      <c r="E685" s="1178">
        <v>1</v>
      </c>
      <c r="F685" s="1179">
        <v>2</v>
      </c>
      <c r="G685" s="1189" t="s">
        <v>5319</v>
      </c>
      <c r="H685" s="1176">
        <v>0</v>
      </c>
      <c r="I685" s="1176">
        <v>0</v>
      </c>
      <c r="J685" s="1190">
        <v>0</v>
      </c>
      <c r="K685" s="1180"/>
      <c r="L685" s="1174">
        <v>13063040609</v>
      </c>
      <c r="M685" s="1175">
        <v>1</v>
      </c>
      <c r="N685" s="1175">
        <v>1</v>
      </c>
      <c r="O685" s="1175">
        <v>2</v>
      </c>
      <c r="P685" s="100"/>
      <c r="Q685" s="100"/>
      <c r="R685" s="100"/>
      <c r="S685" s="100"/>
      <c r="T685" s="290" t="s">
        <v>4422</v>
      </c>
      <c r="U685" s="290" t="s">
        <v>3753</v>
      </c>
      <c r="AA685"/>
      <c r="AB685"/>
      <c r="AC685" s="283"/>
      <c r="AD685" s="42"/>
    </row>
    <row r="686" spans="3:30" ht="10.5" customHeight="1">
      <c r="C686" s="1181" t="s">
        <v>5320</v>
      </c>
      <c r="D686" s="1178">
        <v>0</v>
      </c>
      <c r="E686" s="1178">
        <v>0</v>
      </c>
      <c r="F686" s="1179">
        <v>0</v>
      </c>
      <c r="G686" s="1189" t="s">
        <v>5320</v>
      </c>
      <c r="H686" s="1176">
        <v>0</v>
      </c>
      <c r="I686" s="1176">
        <v>0</v>
      </c>
      <c r="J686" s="1190">
        <v>0</v>
      </c>
      <c r="K686" s="1180"/>
      <c r="L686" s="1174">
        <v>13063040611</v>
      </c>
      <c r="M686" s="1175">
        <v>0</v>
      </c>
      <c r="N686" s="1175">
        <v>0</v>
      </c>
      <c r="O686" s="1175">
        <v>0</v>
      </c>
      <c r="P686" s="100"/>
      <c r="Q686" s="100"/>
      <c r="R686" s="100"/>
      <c r="S686" s="100"/>
      <c r="T686" s="153" t="s">
        <v>5321</v>
      </c>
      <c r="U686" s="153" t="s">
        <v>3613</v>
      </c>
      <c r="AA686"/>
      <c r="AB686"/>
      <c r="AC686" s="42"/>
      <c r="AD686" s="42"/>
    </row>
    <row r="687" spans="3:30" ht="10.5" customHeight="1">
      <c r="C687" s="1181" t="s">
        <v>5322</v>
      </c>
      <c r="D687" s="1178">
        <v>0</v>
      </c>
      <c r="E687" s="1178">
        <v>0</v>
      </c>
      <c r="F687" s="1179">
        <v>0</v>
      </c>
      <c r="G687" s="1189" t="s">
        <v>5322</v>
      </c>
      <c r="H687" s="1176">
        <v>0</v>
      </c>
      <c r="I687" s="1176">
        <v>0</v>
      </c>
      <c r="J687" s="1190">
        <v>0</v>
      </c>
      <c r="K687" s="1180"/>
      <c r="L687" s="1174">
        <v>13063040612</v>
      </c>
      <c r="M687" s="1175">
        <v>0</v>
      </c>
      <c r="N687" s="1175">
        <v>0</v>
      </c>
      <c r="O687" s="1175">
        <v>0</v>
      </c>
      <c r="P687" s="100"/>
      <c r="Q687" s="100"/>
      <c r="R687" s="100"/>
      <c r="S687" s="100"/>
      <c r="T687" s="290" t="s">
        <v>4426</v>
      </c>
      <c r="U687" s="290" t="s">
        <v>4131</v>
      </c>
      <c r="AA687"/>
      <c r="AB687"/>
      <c r="AC687" s="283"/>
      <c r="AD687" s="42"/>
    </row>
    <row r="688" spans="3:30" ht="10.5" customHeight="1">
      <c r="C688" s="1181" t="s">
        <v>5323</v>
      </c>
      <c r="D688" s="1178">
        <v>0</v>
      </c>
      <c r="E688" s="1178">
        <v>0</v>
      </c>
      <c r="F688" s="1179">
        <v>0</v>
      </c>
      <c r="G688" s="1189" t="s">
        <v>5323</v>
      </c>
      <c r="H688" s="1176">
        <v>0</v>
      </c>
      <c r="I688" s="1176">
        <v>1</v>
      </c>
      <c r="J688" s="1190">
        <v>0</v>
      </c>
      <c r="K688" s="1180"/>
      <c r="L688" s="1174">
        <v>13063040613</v>
      </c>
      <c r="M688" s="1175">
        <v>0</v>
      </c>
      <c r="N688" s="1175">
        <v>1</v>
      </c>
      <c r="O688" s="1175">
        <v>0</v>
      </c>
      <c r="P688" s="100"/>
      <c r="Q688" s="100"/>
      <c r="R688" s="100"/>
      <c r="S688" s="100"/>
      <c r="T688" s="290" t="s">
        <v>2043</v>
      </c>
      <c r="U688" s="290" t="s">
        <v>4292</v>
      </c>
      <c r="AA688"/>
      <c r="AB688"/>
      <c r="AC688" s="283"/>
      <c r="AD688" s="42"/>
    </row>
    <row r="689" spans="3:30" ht="10.5" customHeight="1">
      <c r="C689" s="1181" t="s">
        <v>5324</v>
      </c>
      <c r="D689" s="1178">
        <v>1</v>
      </c>
      <c r="E689" s="1178">
        <v>0</v>
      </c>
      <c r="F689" s="1179">
        <v>1</v>
      </c>
      <c r="G689" s="1189" t="s">
        <v>5324</v>
      </c>
      <c r="H689" s="1176">
        <v>1</v>
      </c>
      <c r="I689" s="1176">
        <v>0</v>
      </c>
      <c r="J689" s="1190">
        <v>1</v>
      </c>
      <c r="K689" s="1180"/>
      <c r="L689" s="1174">
        <v>13063040614</v>
      </c>
      <c r="M689" s="1175">
        <v>1</v>
      </c>
      <c r="N689" s="1175">
        <v>0</v>
      </c>
      <c r="O689" s="1175">
        <v>1</v>
      </c>
      <c r="P689" s="100"/>
      <c r="Q689" s="100"/>
      <c r="R689" s="100"/>
      <c r="S689" s="100"/>
      <c r="T689" s="290" t="s">
        <v>5325</v>
      </c>
      <c r="U689" s="290" t="s">
        <v>135</v>
      </c>
      <c r="AA689"/>
      <c r="AB689"/>
      <c r="AC689" s="283"/>
      <c r="AD689" s="42"/>
    </row>
    <row r="690" spans="3:30" ht="10.5" customHeight="1">
      <c r="C690" s="1181" t="s">
        <v>5326</v>
      </c>
      <c r="D690" s="1178">
        <v>1</v>
      </c>
      <c r="E690" s="1178">
        <v>0</v>
      </c>
      <c r="F690" s="1179">
        <v>1</v>
      </c>
      <c r="G690" s="1189" t="s">
        <v>5326</v>
      </c>
      <c r="H690" s="1176">
        <v>1</v>
      </c>
      <c r="I690" s="1176" t="s">
        <v>4455</v>
      </c>
      <c r="J690" s="1190">
        <v>1</v>
      </c>
      <c r="K690" s="1180"/>
      <c r="L690" s="1174">
        <v>13063040615</v>
      </c>
      <c r="M690" s="1175">
        <v>1</v>
      </c>
      <c r="N690" s="1175">
        <v>0</v>
      </c>
      <c r="O690" s="1175">
        <v>1</v>
      </c>
      <c r="P690" s="100"/>
      <c r="Q690" s="100"/>
      <c r="R690" s="100"/>
      <c r="S690" s="100"/>
      <c r="T690" s="290" t="s">
        <v>4433</v>
      </c>
      <c r="U690" s="290" t="s">
        <v>4165</v>
      </c>
      <c r="AA690"/>
      <c r="AB690"/>
      <c r="AC690" s="283"/>
      <c r="AD690" s="42"/>
    </row>
    <row r="691" spans="3:30" ht="10.5" customHeight="1">
      <c r="C691" s="1181" t="s">
        <v>5327</v>
      </c>
      <c r="D691" s="1178">
        <v>0</v>
      </c>
      <c r="E691" s="1178">
        <v>0</v>
      </c>
      <c r="F691" s="1179">
        <v>0</v>
      </c>
      <c r="G691" s="1189" t="s">
        <v>5327</v>
      </c>
      <c r="H691" s="1176">
        <v>1</v>
      </c>
      <c r="I691" s="1176">
        <v>0</v>
      </c>
      <c r="J691" s="1190">
        <v>1</v>
      </c>
      <c r="K691" s="1180"/>
      <c r="L691" s="1174">
        <v>13063040616</v>
      </c>
      <c r="M691" s="1175">
        <v>1</v>
      </c>
      <c r="N691" s="1175">
        <v>0</v>
      </c>
      <c r="O691" s="1175">
        <v>1</v>
      </c>
      <c r="P691" s="100"/>
      <c r="Q691" s="100"/>
      <c r="R691" s="100"/>
      <c r="S691" s="100"/>
      <c r="T691" s="290" t="s">
        <v>5328</v>
      </c>
      <c r="U691" s="290" t="s">
        <v>4076</v>
      </c>
      <c r="AA691"/>
      <c r="AB691"/>
      <c r="AC691" s="283"/>
      <c r="AD691" s="42"/>
    </row>
    <row r="692" spans="3:30" ht="10.5" customHeight="1">
      <c r="C692" s="1181" t="s">
        <v>5329</v>
      </c>
      <c r="D692" s="1178">
        <v>0</v>
      </c>
      <c r="E692" s="1178">
        <v>0</v>
      </c>
      <c r="F692" s="1179">
        <v>0</v>
      </c>
      <c r="G692" s="1189" t="s">
        <v>5329</v>
      </c>
      <c r="H692" s="1176">
        <v>0</v>
      </c>
      <c r="I692" s="1176">
        <v>0</v>
      </c>
      <c r="J692" s="1190">
        <v>0</v>
      </c>
      <c r="K692" s="1180"/>
      <c r="L692" s="1174">
        <v>13063040617</v>
      </c>
      <c r="M692" s="1175">
        <v>0</v>
      </c>
      <c r="N692" s="1175">
        <v>0</v>
      </c>
      <c r="O692" s="1175">
        <v>0</v>
      </c>
      <c r="P692" s="100"/>
      <c r="Q692" s="100"/>
      <c r="R692" s="100"/>
      <c r="S692" s="100"/>
      <c r="T692" s="290" t="s">
        <v>5330</v>
      </c>
      <c r="U692" s="290" t="s">
        <v>3856</v>
      </c>
      <c r="AA692"/>
      <c r="AB692"/>
      <c r="AC692" s="283"/>
      <c r="AD692" s="42"/>
    </row>
    <row r="693" spans="3:30" ht="10.5" customHeight="1">
      <c r="C693" s="1181" t="s">
        <v>5331</v>
      </c>
      <c r="D693" s="1178">
        <v>0</v>
      </c>
      <c r="E693" s="1178">
        <v>0</v>
      </c>
      <c r="F693" s="1179">
        <v>0</v>
      </c>
      <c r="G693" s="1189" t="s">
        <v>5331</v>
      </c>
      <c r="H693" s="1176">
        <v>1</v>
      </c>
      <c r="I693" s="1176">
        <v>0</v>
      </c>
      <c r="J693" s="1190">
        <v>1</v>
      </c>
      <c r="K693" s="1180"/>
      <c r="L693" s="1174">
        <v>13063040619</v>
      </c>
      <c r="M693" s="1175">
        <v>1</v>
      </c>
      <c r="N693" s="1175">
        <v>0</v>
      </c>
      <c r="O693" s="1175">
        <v>1</v>
      </c>
      <c r="P693" s="100"/>
      <c r="Q693" s="100"/>
      <c r="R693" s="100"/>
      <c r="S693" s="100"/>
      <c r="T693" s="290" t="s">
        <v>5332</v>
      </c>
      <c r="U693" s="290" t="s">
        <v>161</v>
      </c>
      <c r="AA693"/>
      <c r="AB693"/>
      <c r="AC693" s="283"/>
      <c r="AD693" s="42"/>
    </row>
    <row r="694" spans="3:30" ht="10.5" customHeight="1">
      <c r="C694" s="1181" t="s">
        <v>5333</v>
      </c>
      <c r="D694" s="1178">
        <v>0</v>
      </c>
      <c r="E694" s="1178">
        <v>1</v>
      </c>
      <c r="F694" s="1179">
        <v>1</v>
      </c>
      <c r="G694" s="1189" t="s">
        <v>5333</v>
      </c>
      <c r="H694" s="1176">
        <v>1</v>
      </c>
      <c r="I694" s="1176">
        <v>1</v>
      </c>
      <c r="J694" s="1190">
        <v>2</v>
      </c>
      <c r="K694" s="1180"/>
      <c r="L694" s="1174">
        <v>13063040620</v>
      </c>
      <c r="M694" s="1175">
        <v>1</v>
      </c>
      <c r="N694" s="1175">
        <v>1</v>
      </c>
      <c r="O694" s="1175">
        <v>2</v>
      </c>
      <c r="P694" s="100"/>
      <c r="Q694" s="100"/>
      <c r="R694" s="100"/>
      <c r="S694" s="100"/>
      <c r="T694" s="290" t="s">
        <v>5334</v>
      </c>
      <c r="U694" s="290" t="s">
        <v>3588</v>
      </c>
      <c r="AA694"/>
      <c r="AB694"/>
      <c r="AC694" s="283"/>
      <c r="AD694" s="42"/>
    </row>
    <row r="695" spans="3:30" ht="10.5" customHeight="1">
      <c r="C695" s="1181" t="s">
        <v>5335</v>
      </c>
      <c r="D695" s="1178">
        <v>0</v>
      </c>
      <c r="E695" s="1178">
        <v>0</v>
      </c>
      <c r="F695" s="1179">
        <v>0</v>
      </c>
      <c r="G695" s="1189" t="s">
        <v>5335</v>
      </c>
      <c r="H695" s="1176">
        <v>0</v>
      </c>
      <c r="I695" s="1176">
        <v>0</v>
      </c>
      <c r="J695" s="1190">
        <v>0</v>
      </c>
      <c r="K695" s="1180"/>
      <c r="L695" s="1174">
        <v>13063040621</v>
      </c>
      <c r="M695" s="1175">
        <v>0</v>
      </c>
      <c r="N695" s="1175">
        <v>0</v>
      </c>
      <c r="O695" s="1175">
        <v>0</v>
      </c>
      <c r="P695" s="100"/>
      <c r="Q695" s="100"/>
      <c r="R695" s="100"/>
      <c r="S695" s="100"/>
      <c r="T695" s="290" t="s">
        <v>5336</v>
      </c>
      <c r="U695" s="290" t="s">
        <v>147</v>
      </c>
      <c r="AA695"/>
      <c r="AB695"/>
      <c r="AC695" s="283"/>
      <c r="AD695" s="42"/>
    </row>
    <row r="696" spans="3:30" ht="10.5" customHeight="1">
      <c r="C696" s="1181" t="s">
        <v>5337</v>
      </c>
      <c r="D696" s="1178">
        <v>0</v>
      </c>
      <c r="E696" s="1178">
        <v>0</v>
      </c>
      <c r="F696" s="1179">
        <v>0</v>
      </c>
      <c r="G696" s="1189" t="s">
        <v>5337</v>
      </c>
      <c r="H696" s="1176">
        <v>0</v>
      </c>
      <c r="I696" s="1176" t="s">
        <v>4455</v>
      </c>
      <c r="J696" s="1190">
        <v>0</v>
      </c>
      <c r="K696" s="1180"/>
      <c r="L696" s="1174">
        <v>13063040622</v>
      </c>
      <c r="M696" s="1175">
        <v>0</v>
      </c>
      <c r="N696" s="1175">
        <v>0</v>
      </c>
      <c r="O696" s="1175">
        <v>0</v>
      </c>
      <c r="P696" s="100"/>
      <c r="Q696" s="100"/>
      <c r="R696" s="100"/>
      <c r="S696" s="100"/>
      <c r="T696" s="153" t="s">
        <v>5338</v>
      </c>
      <c r="U696" s="153" t="s">
        <v>126</v>
      </c>
      <c r="AA696"/>
      <c r="AB696"/>
      <c r="AC696" s="42"/>
      <c r="AD696" s="42"/>
    </row>
    <row r="697" spans="3:30" ht="10.5" customHeight="1">
      <c r="C697" s="1181" t="s">
        <v>5339</v>
      </c>
      <c r="D697" s="1178" t="s">
        <v>4455</v>
      </c>
      <c r="E697" s="1178" t="s">
        <v>4455</v>
      </c>
      <c r="F697" s="1179">
        <v>0</v>
      </c>
      <c r="G697" s="1189" t="s">
        <v>5339</v>
      </c>
      <c r="H697" s="1176" t="s">
        <v>4455</v>
      </c>
      <c r="I697" s="1176" t="s">
        <v>4455</v>
      </c>
      <c r="J697" s="1190">
        <v>0</v>
      </c>
      <c r="K697" s="1180"/>
      <c r="L697" s="1174">
        <v>13063980000</v>
      </c>
      <c r="M697" s="1175">
        <v>0</v>
      </c>
      <c r="N697" s="1175">
        <v>0</v>
      </c>
      <c r="O697" s="1175">
        <v>0</v>
      </c>
      <c r="P697" s="100"/>
      <c r="Q697" s="100"/>
      <c r="R697" s="100"/>
      <c r="S697" s="100"/>
      <c r="T697" s="290" t="s">
        <v>5340</v>
      </c>
      <c r="U697" s="290" t="s">
        <v>3459</v>
      </c>
      <c r="AA697"/>
      <c r="AB697"/>
      <c r="AC697" s="283"/>
      <c r="AD697" s="42"/>
    </row>
    <row r="698" spans="3:30" ht="10.5" customHeight="1">
      <c r="C698" s="1181" t="s">
        <v>5341</v>
      </c>
      <c r="D698" s="1178">
        <v>0</v>
      </c>
      <c r="E698" s="1178">
        <v>0</v>
      </c>
      <c r="F698" s="1179">
        <v>0</v>
      </c>
      <c r="G698" s="1189" t="s">
        <v>5341</v>
      </c>
      <c r="H698" s="1176">
        <v>0</v>
      </c>
      <c r="I698" s="1176">
        <v>0</v>
      </c>
      <c r="J698" s="1190">
        <v>0</v>
      </c>
      <c r="K698" s="1180"/>
      <c r="L698" s="1174">
        <v>13065970100</v>
      </c>
      <c r="M698" s="1175">
        <v>0</v>
      </c>
      <c r="N698" s="1175">
        <v>0</v>
      </c>
      <c r="O698" s="1175">
        <v>0</v>
      </c>
      <c r="P698" s="100"/>
      <c r="Q698" s="100"/>
      <c r="R698" s="100"/>
      <c r="S698" s="100"/>
      <c r="T698" s="290" t="s">
        <v>5342</v>
      </c>
      <c r="U698" s="290" t="s">
        <v>3570</v>
      </c>
      <c r="AA698"/>
      <c r="AB698"/>
      <c r="AC698" s="283"/>
      <c r="AD698" s="42"/>
    </row>
    <row r="699" spans="3:30" ht="10.5" customHeight="1">
      <c r="C699" s="1181" t="s">
        <v>5343</v>
      </c>
      <c r="D699" s="1178">
        <v>0</v>
      </c>
      <c r="E699" s="1178">
        <v>0</v>
      </c>
      <c r="F699" s="1179">
        <v>0</v>
      </c>
      <c r="G699" s="1189" t="s">
        <v>5343</v>
      </c>
      <c r="H699" s="1176">
        <v>0</v>
      </c>
      <c r="I699" s="1176">
        <v>0</v>
      </c>
      <c r="J699" s="1190">
        <v>0</v>
      </c>
      <c r="K699" s="1180"/>
      <c r="L699" s="1174">
        <v>13065970200</v>
      </c>
      <c r="M699" s="1175">
        <v>0</v>
      </c>
      <c r="N699" s="1175">
        <v>0</v>
      </c>
      <c r="O699" s="1175">
        <v>0</v>
      </c>
      <c r="P699" s="100"/>
      <c r="Q699" s="100"/>
      <c r="R699" s="100"/>
      <c r="S699" s="100"/>
      <c r="T699" s="290" t="s">
        <v>4437</v>
      </c>
      <c r="U699" s="290" t="s">
        <v>2052</v>
      </c>
      <c r="AA699"/>
      <c r="AB699"/>
      <c r="AC699" s="283"/>
      <c r="AD699" s="42"/>
    </row>
    <row r="700" spans="3:30" ht="10.5" customHeight="1">
      <c r="C700" s="1181" t="s">
        <v>5344</v>
      </c>
      <c r="D700" s="1178">
        <v>1</v>
      </c>
      <c r="E700" s="1178">
        <v>1</v>
      </c>
      <c r="F700" s="1179">
        <v>2</v>
      </c>
      <c r="G700" s="1189" t="s">
        <v>5344</v>
      </c>
      <c r="H700" s="1176">
        <v>1</v>
      </c>
      <c r="I700" s="1176">
        <v>1</v>
      </c>
      <c r="J700" s="1190">
        <v>2</v>
      </c>
      <c r="K700" s="1180"/>
      <c r="L700" s="1174">
        <v>13067030101</v>
      </c>
      <c r="M700" s="1175">
        <v>1</v>
      </c>
      <c r="N700" s="1175">
        <v>1</v>
      </c>
      <c r="O700" s="1175">
        <v>2</v>
      </c>
      <c r="P700" s="100"/>
      <c r="Q700" s="100"/>
      <c r="R700" s="100"/>
      <c r="S700" s="100"/>
      <c r="T700" s="290" t="s">
        <v>5345</v>
      </c>
      <c r="U700" s="290" t="s">
        <v>128</v>
      </c>
      <c r="AA700"/>
      <c r="AB700"/>
      <c r="AC700" s="283"/>
      <c r="AD700" s="42"/>
    </row>
    <row r="701" spans="3:30" ht="10.5" customHeight="1">
      <c r="C701" s="1181" t="s">
        <v>5346</v>
      </c>
      <c r="D701" s="1178">
        <v>1</v>
      </c>
      <c r="E701" s="1178">
        <v>1</v>
      </c>
      <c r="F701" s="1179">
        <v>2</v>
      </c>
      <c r="G701" s="1189" t="s">
        <v>5346</v>
      </c>
      <c r="H701" s="1176">
        <v>1</v>
      </c>
      <c r="I701" s="1176">
        <v>1</v>
      </c>
      <c r="J701" s="1190">
        <v>2</v>
      </c>
      <c r="K701" s="1180"/>
      <c r="L701" s="1174">
        <v>13067030103</v>
      </c>
      <c r="M701" s="1175">
        <v>1</v>
      </c>
      <c r="N701" s="1175">
        <v>1</v>
      </c>
      <c r="O701" s="1175">
        <v>2</v>
      </c>
      <c r="P701" s="100"/>
      <c r="Q701" s="100"/>
      <c r="R701" s="100"/>
      <c r="S701" s="100"/>
      <c r="T701" s="290" t="s">
        <v>4441</v>
      </c>
      <c r="U701" s="290" t="s">
        <v>128</v>
      </c>
      <c r="AA701"/>
      <c r="AB701"/>
      <c r="AC701" s="283"/>
      <c r="AD701" s="42"/>
    </row>
    <row r="702" spans="3:30" ht="10.5" customHeight="1">
      <c r="C702" s="1181" t="s">
        <v>5347</v>
      </c>
      <c r="D702" s="1178">
        <v>0</v>
      </c>
      <c r="E702" s="1178">
        <v>0</v>
      </c>
      <c r="F702" s="1179">
        <v>0</v>
      </c>
      <c r="G702" s="1189" t="s">
        <v>5347</v>
      </c>
      <c r="H702" s="1176">
        <v>0</v>
      </c>
      <c r="I702" s="1176">
        <v>0</v>
      </c>
      <c r="J702" s="1190">
        <v>0</v>
      </c>
      <c r="K702" s="1180"/>
      <c r="L702" s="1174">
        <v>13067030104</v>
      </c>
      <c r="M702" s="1175">
        <v>0</v>
      </c>
      <c r="N702" s="1175">
        <v>0</v>
      </c>
      <c r="O702" s="1175">
        <v>0</v>
      </c>
      <c r="P702" s="100"/>
      <c r="Q702" s="100"/>
      <c r="R702" s="100"/>
      <c r="S702" s="100"/>
      <c r="T702" s="290" t="s">
        <v>2044</v>
      </c>
      <c r="U702" s="290" t="s">
        <v>3700</v>
      </c>
      <c r="AA702"/>
      <c r="AB702"/>
      <c r="AC702" s="283"/>
      <c r="AD702" s="42"/>
    </row>
    <row r="703" spans="3:30" ht="10.5" customHeight="1">
      <c r="C703" s="1181" t="s">
        <v>5348</v>
      </c>
      <c r="D703" s="1178">
        <v>0</v>
      </c>
      <c r="E703" s="1178">
        <v>0</v>
      </c>
      <c r="F703" s="1179">
        <v>0</v>
      </c>
      <c r="G703" s="1189" t="s">
        <v>5348</v>
      </c>
      <c r="H703" s="1176">
        <v>1</v>
      </c>
      <c r="I703" s="1176">
        <v>0</v>
      </c>
      <c r="J703" s="1190">
        <v>1</v>
      </c>
      <c r="K703" s="1180"/>
      <c r="L703" s="1174">
        <v>13067030106</v>
      </c>
      <c r="M703" s="1175">
        <v>1</v>
      </c>
      <c r="N703" s="1175">
        <v>0</v>
      </c>
      <c r="O703" s="1175">
        <v>1</v>
      </c>
      <c r="P703" s="100"/>
      <c r="Q703" s="100"/>
      <c r="R703" s="100"/>
      <c r="S703" s="100"/>
      <c r="T703" s="290" t="s">
        <v>4448</v>
      </c>
      <c r="U703" s="290" t="s">
        <v>4001</v>
      </c>
      <c r="AA703"/>
      <c r="AB703"/>
      <c r="AC703" s="283"/>
      <c r="AD703" s="42"/>
    </row>
    <row r="704" spans="3:30" ht="10.5" customHeight="1">
      <c r="C704" s="1181" t="s">
        <v>5349</v>
      </c>
      <c r="D704" s="1178">
        <v>1</v>
      </c>
      <c r="E704" s="1178">
        <v>1</v>
      </c>
      <c r="F704" s="1179">
        <v>2</v>
      </c>
      <c r="G704" s="1189" t="s">
        <v>5349</v>
      </c>
      <c r="H704" s="1176">
        <v>1</v>
      </c>
      <c r="I704" s="1176">
        <v>1</v>
      </c>
      <c r="J704" s="1190">
        <v>2</v>
      </c>
      <c r="K704" s="1180"/>
      <c r="L704" s="1174">
        <v>13067030107</v>
      </c>
      <c r="M704" s="1175">
        <v>1</v>
      </c>
      <c r="N704" s="1175">
        <v>1</v>
      </c>
      <c r="O704" s="1175">
        <v>2</v>
      </c>
      <c r="P704" s="100"/>
      <c r="Q704" s="100"/>
      <c r="R704" s="100"/>
      <c r="S704" s="100"/>
      <c r="T704" s="290" t="s">
        <v>5350</v>
      </c>
      <c r="U704" s="290" t="s">
        <v>135</v>
      </c>
      <c r="AA704"/>
      <c r="AB704"/>
      <c r="AC704" s="283"/>
      <c r="AD704" s="42"/>
    </row>
    <row r="705" spans="3:30" ht="10.5" customHeight="1">
      <c r="C705" s="1181" t="s">
        <v>5351</v>
      </c>
      <c r="D705" s="1178">
        <v>1</v>
      </c>
      <c r="E705" s="1178">
        <v>1</v>
      </c>
      <c r="F705" s="1179">
        <v>2</v>
      </c>
      <c r="G705" s="1189" t="s">
        <v>5351</v>
      </c>
      <c r="H705" s="1176">
        <v>1</v>
      </c>
      <c r="I705" s="1176">
        <v>1</v>
      </c>
      <c r="J705" s="1190">
        <v>2</v>
      </c>
      <c r="K705" s="1180"/>
      <c r="L705" s="1174">
        <v>13067030209</v>
      </c>
      <c r="M705" s="1175">
        <v>1</v>
      </c>
      <c r="N705" s="1175">
        <v>1</v>
      </c>
      <c r="O705" s="1175">
        <v>2</v>
      </c>
      <c r="P705" s="100"/>
      <c r="Q705" s="100"/>
      <c r="R705" s="100"/>
      <c r="S705" s="100"/>
      <c r="T705" s="153" t="s">
        <v>2045</v>
      </c>
      <c r="U705" s="153" t="s">
        <v>157</v>
      </c>
      <c r="AA705"/>
      <c r="AB705"/>
      <c r="AC705" s="42"/>
      <c r="AD705" s="42"/>
    </row>
    <row r="706" spans="3:30" ht="10.5" customHeight="1">
      <c r="C706" s="1181" t="s">
        <v>5352</v>
      </c>
      <c r="D706" s="1178">
        <v>1</v>
      </c>
      <c r="E706" s="1178">
        <v>1</v>
      </c>
      <c r="F706" s="1179">
        <v>2</v>
      </c>
      <c r="G706" s="1189" t="s">
        <v>5352</v>
      </c>
      <c r="H706" s="1176">
        <v>1</v>
      </c>
      <c r="I706" s="1176">
        <v>1</v>
      </c>
      <c r="J706" s="1190">
        <v>2</v>
      </c>
      <c r="K706" s="1180"/>
      <c r="L706" s="1174">
        <v>13067030214</v>
      </c>
      <c r="M706" s="1175">
        <v>1</v>
      </c>
      <c r="N706" s="1175">
        <v>1</v>
      </c>
      <c r="O706" s="1175">
        <v>2</v>
      </c>
      <c r="P706" s="100"/>
      <c r="Q706" s="100"/>
      <c r="R706" s="100"/>
      <c r="S706" s="100"/>
      <c r="T706" s="290" t="s">
        <v>5353</v>
      </c>
      <c r="U706" s="290" t="s">
        <v>4107</v>
      </c>
      <c r="AA706"/>
      <c r="AB706"/>
      <c r="AC706" s="283"/>
      <c r="AD706" s="42"/>
    </row>
    <row r="707" spans="3:30" ht="10.5" customHeight="1">
      <c r="C707" s="1181" t="s">
        <v>5354</v>
      </c>
      <c r="D707" s="1178">
        <v>1</v>
      </c>
      <c r="E707" s="1178">
        <v>1</v>
      </c>
      <c r="F707" s="1179">
        <v>2</v>
      </c>
      <c r="G707" s="1189" t="s">
        <v>5354</v>
      </c>
      <c r="H707" s="1176">
        <v>1</v>
      </c>
      <c r="I707" s="1176">
        <v>1</v>
      </c>
      <c r="J707" s="1190">
        <v>2</v>
      </c>
      <c r="K707" s="1180"/>
      <c r="L707" s="1174">
        <v>13067030215</v>
      </c>
      <c r="M707" s="1175">
        <v>1</v>
      </c>
      <c r="N707" s="1175">
        <v>1</v>
      </c>
      <c r="O707" s="1175">
        <v>2</v>
      </c>
      <c r="P707" s="100"/>
      <c r="Q707" s="100"/>
      <c r="R707" s="100"/>
      <c r="S707" s="100"/>
      <c r="T707" s="290" t="s">
        <v>5355</v>
      </c>
      <c r="U707" s="290" t="s">
        <v>4283</v>
      </c>
      <c r="AA707"/>
      <c r="AB707"/>
      <c r="AC707" s="283"/>
      <c r="AD707" s="42"/>
    </row>
    <row r="708" spans="3:30" ht="10.5" customHeight="1">
      <c r="C708" s="1181" t="s">
        <v>5356</v>
      </c>
      <c r="D708" s="1178">
        <v>1</v>
      </c>
      <c r="E708" s="1178">
        <v>1</v>
      </c>
      <c r="F708" s="1179">
        <v>2</v>
      </c>
      <c r="G708" s="1189" t="s">
        <v>5356</v>
      </c>
      <c r="H708" s="1176">
        <v>1</v>
      </c>
      <c r="I708" s="1176">
        <v>1</v>
      </c>
      <c r="J708" s="1190">
        <v>2</v>
      </c>
      <c r="K708" s="1180"/>
      <c r="L708" s="1174">
        <v>13067030218</v>
      </c>
      <c r="M708" s="1175">
        <v>1</v>
      </c>
      <c r="N708" s="1175">
        <v>1</v>
      </c>
      <c r="O708" s="1175">
        <v>2</v>
      </c>
      <c r="P708" s="100"/>
      <c r="Q708" s="100"/>
      <c r="R708" s="100"/>
      <c r="S708" s="100"/>
      <c r="T708" s="290" t="s">
        <v>4453</v>
      </c>
      <c r="U708" s="290" t="s">
        <v>3652</v>
      </c>
      <c r="AA708"/>
      <c r="AB708"/>
      <c r="AC708" s="283"/>
      <c r="AD708" s="42"/>
    </row>
    <row r="709" spans="3:30" ht="10.5" customHeight="1">
      <c r="C709" s="1181" t="s">
        <v>5357</v>
      </c>
      <c r="D709" s="1178">
        <v>1</v>
      </c>
      <c r="E709" s="1178">
        <v>1</v>
      </c>
      <c r="F709" s="1179">
        <v>2</v>
      </c>
      <c r="G709" s="1189" t="s">
        <v>5357</v>
      </c>
      <c r="H709" s="1176">
        <v>1</v>
      </c>
      <c r="I709" s="1176">
        <v>1</v>
      </c>
      <c r="J709" s="1190">
        <v>2</v>
      </c>
      <c r="K709" s="1180"/>
      <c r="L709" s="1174">
        <v>13067030219</v>
      </c>
      <c r="M709" s="1175">
        <v>1</v>
      </c>
      <c r="N709" s="1175">
        <v>1</v>
      </c>
      <c r="O709" s="1175">
        <v>2</v>
      </c>
      <c r="P709" s="100"/>
      <c r="Q709" s="100"/>
      <c r="R709" s="100"/>
      <c r="S709" s="100"/>
      <c r="T709" s="290" t="s">
        <v>5358</v>
      </c>
      <c r="U709" s="290" t="s">
        <v>3520</v>
      </c>
      <c r="AA709"/>
      <c r="AB709"/>
      <c r="AC709" s="283"/>
      <c r="AD709" s="42"/>
    </row>
    <row r="710" spans="3:30" ht="10.5" customHeight="1">
      <c r="C710" s="1181" t="s">
        <v>5359</v>
      </c>
      <c r="D710" s="1178">
        <v>1</v>
      </c>
      <c r="E710" s="1178">
        <v>1</v>
      </c>
      <c r="F710" s="1179">
        <v>2</v>
      </c>
      <c r="G710" s="1189" t="s">
        <v>5359</v>
      </c>
      <c r="H710" s="1176">
        <v>1</v>
      </c>
      <c r="I710" s="1176">
        <v>1</v>
      </c>
      <c r="J710" s="1190">
        <v>2</v>
      </c>
      <c r="K710" s="1180"/>
      <c r="L710" s="1174">
        <v>13067030220</v>
      </c>
      <c r="M710" s="1175">
        <v>1</v>
      </c>
      <c r="N710" s="1175">
        <v>1</v>
      </c>
      <c r="O710" s="1175">
        <v>2</v>
      </c>
      <c r="P710" s="100"/>
      <c r="Q710" s="100"/>
      <c r="R710" s="100"/>
      <c r="S710" s="100"/>
      <c r="T710" s="290" t="s">
        <v>4457</v>
      </c>
      <c r="U710" s="290" t="s">
        <v>3681</v>
      </c>
      <c r="AA710"/>
      <c r="AB710"/>
      <c r="AC710" s="283"/>
      <c r="AD710" s="42"/>
    </row>
    <row r="711" spans="3:30" ht="10.5" customHeight="1">
      <c r="C711" s="1181" t="s">
        <v>5360</v>
      </c>
      <c r="D711" s="1178">
        <v>1</v>
      </c>
      <c r="E711" s="1178">
        <v>1</v>
      </c>
      <c r="F711" s="1179">
        <v>2</v>
      </c>
      <c r="G711" s="1189" t="s">
        <v>5360</v>
      </c>
      <c r="H711" s="1176">
        <v>1</v>
      </c>
      <c r="I711" s="1176">
        <v>1</v>
      </c>
      <c r="J711" s="1190">
        <v>2</v>
      </c>
      <c r="K711" s="1180"/>
      <c r="L711" s="1174">
        <v>13067030222</v>
      </c>
      <c r="M711" s="1175">
        <v>1</v>
      </c>
      <c r="N711" s="1175">
        <v>1</v>
      </c>
      <c r="O711" s="1175">
        <v>2</v>
      </c>
      <c r="P711" s="100"/>
      <c r="Q711" s="100"/>
      <c r="R711" s="100"/>
      <c r="S711" s="100"/>
      <c r="T711" s="290" t="s">
        <v>4460</v>
      </c>
      <c r="U711" s="290" t="s">
        <v>3602</v>
      </c>
      <c r="AA711"/>
      <c r="AB711"/>
      <c r="AC711" s="283"/>
      <c r="AD711" s="42"/>
    </row>
    <row r="712" spans="3:30" ht="10.5" customHeight="1">
      <c r="C712" s="1181" t="s">
        <v>5361</v>
      </c>
      <c r="D712" s="1178">
        <v>1</v>
      </c>
      <c r="E712" s="1178">
        <v>1</v>
      </c>
      <c r="F712" s="1179">
        <v>2</v>
      </c>
      <c r="G712" s="1189" t="s">
        <v>5361</v>
      </c>
      <c r="H712" s="1176">
        <v>1</v>
      </c>
      <c r="I712" s="1176">
        <v>1</v>
      </c>
      <c r="J712" s="1190">
        <v>2</v>
      </c>
      <c r="K712" s="1180"/>
      <c r="L712" s="1174">
        <v>13067030223</v>
      </c>
      <c r="M712" s="1175">
        <v>1</v>
      </c>
      <c r="N712" s="1175">
        <v>1</v>
      </c>
      <c r="O712" s="1175">
        <v>2</v>
      </c>
      <c r="P712" s="100"/>
      <c r="Q712" s="100"/>
      <c r="R712" s="100"/>
      <c r="S712" s="100"/>
      <c r="T712" s="290" t="s">
        <v>177</v>
      </c>
      <c r="U712" s="290" t="s">
        <v>93</v>
      </c>
      <c r="AA712"/>
      <c r="AB712"/>
      <c r="AC712" s="283"/>
      <c r="AD712" s="42"/>
    </row>
    <row r="713" spans="3:30" ht="10.5" customHeight="1">
      <c r="C713" s="1181" t="s">
        <v>5362</v>
      </c>
      <c r="D713" s="1178">
        <v>1</v>
      </c>
      <c r="E713" s="1178">
        <v>1</v>
      </c>
      <c r="F713" s="1179">
        <v>2</v>
      </c>
      <c r="G713" s="1189" t="s">
        <v>5362</v>
      </c>
      <c r="H713" s="1176">
        <v>1</v>
      </c>
      <c r="I713" s="1176">
        <v>1</v>
      </c>
      <c r="J713" s="1190">
        <v>2</v>
      </c>
      <c r="K713" s="1180"/>
      <c r="L713" s="1174">
        <v>13067030224</v>
      </c>
      <c r="M713" s="1175">
        <v>1</v>
      </c>
      <c r="N713" s="1175">
        <v>1</v>
      </c>
      <c r="O713" s="1175">
        <v>2</v>
      </c>
      <c r="P713" s="100"/>
      <c r="Q713" s="100"/>
      <c r="R713" s="100"/>
      <c r="S713" s="100"/>
      <c r="T713" s="290" t="s">
        <v>5363</v>
      </c>
      <c r="U713" s="290" t="s">
        <v>4136</v>
      </c>
      <c r="AA713"/>
      <c r="AB713"/>
      <c r="AC713" s="283"/>
      <c r="AD713" s="42"/>
    </row>
    <row r="714" spans="3:30" ht="10.5" customHeight="1">
      <c r="C714" s="1181" t="s">
        <v>5364</v>
      </c>
      <c r="D714" s="1178">
        <v>1</v>
      </c>
      <c r="E714" s="1178">
        <v>1</v>
      </c>
      <c r="F714" s="1179">
        <v>2</v>
      </c>
      <c r="G714" s="1189" t="s">
        <v>5364</v>
      </c>
      <c r="H714" s="1176">
        <v>1</v>
      </c>
      <c r="I714" s="1176">
        <v>1</v>
      </c>
      <c r="J714" s="1190">
        <v>2</v>
      </c>
      <c r="K714" s="1180"/>
      <c r="L714" s="1174">
        <v>13067030226</v>
      </c>
      <c r="M714" s="1175">
        <v>1</v>
      </c>
      <c r="N714" s="1175">
        <v>1</v>
      </c>
      <c r="O714" s="1175">
        <v>2</v>
      </c>
      <c r="P714" s="100"/>
      <c r="Q714" s="100"/>
      <c r="R714" s="100"/>
      <c r="S714" s="100"/>
      <c r="T714" s="290" t="s">
        <v>5365</v>
      </c>
      <c r="U714" s="290" t="s">
        <v>113</v>
      </c>
      <c r="AA714"/>
      <c r="AB714"/>
      <c r="AC714" s="283"/>
      <c r="AD714" s="42"/>
    </row>
    <row r="715" spans="3:30" ht="10.5" customHeight="1">
      <c r="C715" s="1181" t="s">
        <v>5366</v>
      </c>
      <c r="D715" s="1178">
        <v>1</v>
      </c>
      <c r="E715" s="1178">
        <v>1</v>
      </c>
      <c r="F715" s="1179">
        <v>2</v>
      </c>
      <c r="G715" s="1189" t="s">
        <v>5366</v>
      </c>
      <c r="H715" s="1176">
        <v>1</v>
      </c>
      <c r="I715" s="1176">
        <v>0</v>
      </c>
      <c r="J715" s="1190">
        <v>1</v>
      </c>
      <c r="K715" s="1180"/>
      <c r="L715" s="1174">
        <v>13067030227</v>
      </c>
      <c r="M715" s="1175">
        <v>1</v>
      </c>
      <c r="N715" s="1175">
        <v>1</v>
      </c>
      <c r="O715" s="1175">
        <v>2</v>
      </c>
      <c r="P715" s="100"/>
      <c r="Q715" s="100"/>
      <c r="R715" s="100"/>
      <c r="S715" s="100"/>
      <c r="T715" s="290" t="s">
        <v>5367</v>
      </c>
      <c r="U715" s="290" t="s">
        <v>3753</v>
      </c>
      <c r="AA715"/>
      <c r="AB715"/>
      <c r="AC715" s="283"/>
      <c r="AD715" s="42"/>
    </row>
    <row r="716" spans="3:30" ht="10.5" customHeight="1">
      <c r="C716" s="1181" t="s">
        <v>5368</v>
      </c>
      <c r="D716" s="1178">
        <v>1</v>
      </c>
      <c r="E716" s="1178">
        <v>1</v>
      </c>
      <c r="F716" s="1179">
        <v>2</v>
      </c>
      <c r="G716" s="1189" t="s">
        <v>5368</v>
      </c>
      <c r="H716" s="1176">
        <v>1</v>
      </c>
      <c r="I716" s="1176">
        <v>1</v>
      </c>
      <c r="J716" s="1190">
        <v>2</v>
      </c>
      <c r="K716" s="1180"/>
      <c r="L716" s="1174">
        <v>13067030228</v>
      </c>
      <c r="M716" s="1175">
        <v>1</v>
      </c>
      <c r="N716" s="1175">
        <v>1</v>
      </c>
      <c r="O716" s="1175">
        <v>2</v>
      </c>
      <c r="P716" s="100"/>
      <c r="Q716" s="100"/>
      <c r="R716" s="100"/>
      <c r="S716" s="100"/>
      <c r="T716" s="290" t="s">
        <v>5369</v>
      </c>
      <c r="U716" s="290" t="s">
        <v>157</v>
      </c>
      <c r="AA716"/>
      <c r="AB716"/>
      <c r="AC716" s="283"/>
      <c r="AD716" s="42"/>
    </row>
    <row r="717" spans="3:30" ht="10.5" customHeight="1">
      <c r="C717" s="1181" t="s">
        <v>5370</v>
      </c>
      <c r="D717" s="1178">
        <v>0</v>
      </c>
      <c r="E717" s="1178">
        <v>1</v>
      </c>
      <c r="F717" s="1179">
        <v>1</v>
      </c>
      <c r="G717" s="1189" t="s">
        <v>5370</v>
      </c>
      <c r="H717" s="1176">
        <v>0</v>
      </c>
      <c r="I717" s="1176" t="s">
        <v>4455</v>
      </c>
      <c r="J717" s="1190">
        <v>0</v>
      </c>
      <c r="K717" s="1180"/>
      <c r="L717" s="1174">
        <v>13067030229</v>
      </c>
      <c r="M717" s="1175">
        <v>0</v>
      </c>
      <c r="N717" s="1175">
        <v>1</v>
      </c>
      <c r="O717" s="1175">
        <v>1</v>
      </c>
      <c r="P717" s="100"/>
      <c r="Q717" s="100"/>
      <c r="R717" s="100"/>
      <c r="S717" s="100"/>
      <c r="T717" s="290" t="s">
        <v>5371</v>
      </c>
      <c r="U717" s="290" t="s">
        <v>135</v>
      </c>
      <c r="AA717"/>
      <c r="AB717"/>
      <c r="AC717" s="283"/>
      <c r="AD717" s="42"/>
    </row>
    <row r="718" spans="3:30" ht="10.5" customHeight="1">
      <c r="C718" s="1181" t="s">
        <v>5372</v>
      </c>
      <c r="D718" s="1178">
        <v>1</v>
      </c>
      <c r="E718" s="1178">
        <v>1</v>
      </c>
      <c r="F718" s="1179">
        <v>2</v>
      </c>
      <c r="G718" s="1189" t="s">
        <v>5372</v>
      </c>
      <c r="H718" s="1176">
        <v>1</v>
      </c>
      <c r="I718" s="1176">
        <v>1</v>
      </c>
      <c r="J718" s="1190">
        <v>2</v>
      </c>
      <c r="K718" s="1180"/>
      <c r="L718" s="1174">
        <v>13067030230</v>
      </c>
      <c r="M718" s="1175">
        <v>1</v>
      </c>
      <c r="N718" s="1175">
        <v>1</v>
      </c>
      <c r="O718" s="1175">
        <v>2</v>
      </c>
      <c r="P718" s="100"/>
      <c r="Q718" s="100"/>
      <c r="R718" s="100"/>
      <c r="S718" s="100"/>
      <c r="T718" s="290" t="s">
        <v>5373</v>
      </c>
      <c r="U718" s="290" t="s">
        <v>3770</v>
      </c>
      <c r="AA718"/>
      <c r="AB718"/>
      <c r="AC718" s="283"/>
      <c r="AD718" s="42"/>
    </row>
    <row r="719" spans="3:30" ht="10.5" customHeight="1">
      <c r="C719" s="1181" t="s">
        <v>5374</v>
      </c>
      <c r="D719" s="1178">
        <v>1</v>
      </c>
      <c r="E719" s="1178">
        <v>1</v>
      </c>
      <c r="F719" s="1179">
        <v>2</v>
      </c>
      <c r="G719" s="1189" t="s">
        <v>5374</v>
      </c>
      <c r="H719" s="1176">
        <v>1</v>
      </c>
      <c r="I719" s="1176">
        <v>1</v>
      </c>
      <c r="J719" s="1190">
        <v>2</v>
      </c>
      <c r="K719" s="1180"/>
      <c r="L719" s="1174">
        <v>13067030231</v>
      </c>
      <c r="M719" s="1175">
        <v>1</v>
      </c>
      <c r="N719" s="1175">
        <v>1</v>
      </c>
      <c r="O719" s="1175">
        <v>2</v>
      </c>
      <c r="P719" s="100"/>
      <c r="Q719" s="100"/>
      <c r="R719" s="100"/>
      <c r="S719" s="100"/>
      <c r="T719" s="290" t="s">
        <v>5375</v>
      </c>
      <c r="U719" s="290" t="s">
        <v>3710</v>
      </c>
      <c r="AA719"/>
      <c r="AB719"/>
      <c r="AC719" s="283"/>
      <c r="AD719" s="42"/>
    </row>
    <row r="720" spans="3:30" ht="10.5" customHeight="1">
      <c r="C720" s="1181" t="s">
        <v>5376</v>
      </c>
      <c r="D720" s="1178">
        <v>1</v>
      </c>
      <c r="E720" s="1178">
        <v>1</v>
      </c>
      <c r="F720" s="1179">
        <v>2</v>
      </c>
      <c r="G720" s="1189" t="s">
        <v>5376</v>
      </c>
      <c r="H720" s="1176">
        <v>1</v>
      </c>
      <c r="I720" s="1176">
        <v>1</v>
      </c>
      <c r="J720" s="1190">
        <v>2</v>
      </c>
      <c r="K720" s="1180"/>
      <c r="L720" s="1174">
        <v>13067030232</v>
      </c>
      <c r="M720" s="1175">
        <v>1</v>
      </c>
      <c r="N720" s="1175">
        <v>1</v>
      </c>
      <c r="O720" s="1175">
        <v>2</v>
      </c>
      <c r="P720" s="100"/>
      <c r="Q720" s="100"/>
      <c r="R720" s="100"/>
      <c r="S720" s="100"/>
      <c r="T720" s="290" t="s">
        <v>2047</v>
      </c>
      <c r="U720" s="290" t="s">
        <v>151</v>
      </c>
      <c r="AA720"/>
      <c r="AB720"/>
      <c r="AC720" s="283"/>
      <c r="AD720" s="42"/>
    </row>
    <row r="721" spans="3:30" ht="10.5" customHeight="1">
      <c r="C721" s="1181" t="s">
        <v>5377</v>
      </c>
      <c r="D721" s="1178">
        <v>1</v>
      </c>
      <c r="E721" s="1178">
        <v>1</v>
      </c>
      <c r="F721" s="1179">
        <v>2</v>
      </c>
      <c r="G721" s="1189" t="s">
        <v>5377</v>
      </c>
      <c r="H721" s="1176">
        <v>1</v>
      </c>
      <c r="I721" s="1176">
        <v>1</v>
      </c>
      <c r="J721" s="1190">
        <v>2</v>
      </c>
      <c r="K721" s="1180"/>
      <c r="L721" s="1174">
        <v>13067030233</v>
      </c>
      <c r="M721" s="1175">
        <v>1</v>
      </c>
      <c r="N721" s="1175">
        <v>1</v>
      </c>
      <c r="O721" s="1175">
        <v>2</v>
      </c>
      <c r="P721" s="100"/>
      <c r="Q721" s="100"/>
      <c r="R721" s="100"/>
      <c r="S721" s="100"/>
      <c r="T721" s="290" t="s">
        <v>4469</v>
      </c>
      <c r="U721" s="290" t="s">
        <v>3827</v>
      </c>
      <c r="AA721"/>
      <c r="AB721"/>
      <c r="AC721" s="283"/>
      <c r="AD721" s="42"/>
    </row>
    <row r="722" spans="3:30" ht="10.5" customHeight="1">
      <c r="C722" s="1181" t="s">
        <v>5378</v>
      </c>
      <c r="D722" s="1178">
        <v>1</v>
      </c>
      <c r="E722" s="1178">
        <v>1</v>
      </c>
      <c r="F722" s="1179">
        <v>2</v>
      </c>
      <c r="G722" s="1189" t="s">
        <v>5378</v>
      </c>
      <c r="H722" s="1176">
        <v>1</v>
      </c>
      <c r="I722" s="1176" t="s">
        <v>4455</v>
      </c>
      <c r="J722" s="1190">
        <v>1</v>
      </c>
      <c r="K722" s="1180"/>
      <c r="L722" s="1174">
        <v>13067030234</v>
      </c>
      <c r="M722" s="1175">
        <v>1</v>
      </c>
      <c r="N722" s="1175">
        <v>1</v>
      </c>
      <c r="O722" s="1175">
        <v>2</v>
      </c>
      <c r="P722" s="100"/>
      <c r="Q722" s="100"/>
      <c r="R722" s="100"/>
      <c r="S722" s="100"/>
      <c r="T722" s="290" t="s">
        <v>178</v>
      </c>
      <c r="U722" s="290" t="s">
        <v>157</v>
      </c>
      <c r="AA722"/>
      <c r="AB722"/>
      <c r="AC722" s="283"/>
      <c r="AD722" s="42"/>
    </row>
    <row r="723" spans="3:30" ht="10.5" customHeight="1">
      <c r="C723" s="1181" t="s">
        <v>5379</v>
      </c>
      <c r="D723" s="1178">
        <v>1</v>
      </c>
      <c r="E723" s="1178">
        <v>1</v>
      </c>
      <c r="F723" s="1179">
        <v>2</v>
      </c>
      <c r="G723" s="1189" t="s">
        <v>5379</v>
      </c>
      <c r="H723" s="1176">
        <v>1</v>
      </c>
      <c r="I723" s="1176">
        <v>1</v>
      </c>
      <c r="J723" s="1190">
        <v>2</v>
      </c>
      <c r="K723" s="1180"/>
      <c r="L723" s="1174">
        <v>13067030235</v>
      </c>
      <c r="M723" s="1175">
        <v>1</v>
      </c>
      <c r="N723" s="1175">
        <v>1</v>
      </c>
      <c r="O723" s="1175">
        <v>2</v>
      </c>
      <c r="P723" s="100"/>
      <c r="Q723" s="100"/>
      <c r="R723" s="100"/>
      <c r="S723" s="100"/>
      <c r="T723" s="290" t="s">
        <v>5380</v>
      </c>
      <c r="U723" s="290" t="s">
        <v>147</v>
      </c>
      <c r="AA723"/>
      <c r="AB723"/>
      <c r="AC723" s="283"/>
      <c r="AD723" s="42"/>
    </row>
    <row r="724" spans="3:30" ht="10.5" customHeight="1">
      <c r="C724" s="1181" t="s">
        <v>5381</v>
      </c>
      <c r="D724" s="1178">
        <v>1</v>
      </c>
      <c r="E724" s="1178">
        <v>1</v>
      </c>
      <c r="F724" s="1179">
        <v>2</v>
      </c>
      <c r="G724" s="1189" t="s">
        <v>5381</v>
      </c>
      <c r="H724" s="1176">
        <v>1</v>
      </c>
      <c r="I724" s="1176" t="s">
        <v>4455</v>
      </c>
      <c r="J724" s="1190">
        <v>1</v>
      </c>
      <c r="K724" s="1180"/>
      <c r="L724" s="1174">
        <v>13067030236</v>
      </c>
      <c r="M724" s="1175">
        <v>1</v>
      </c>
      <c r="N724" s="1175">
        <v>1</v>
      </c>
      <c r="O724" s="1175">
        <v>2</v>
      </c>
      <c r="P724" s="100"/>
      <c r="Q724" s="100"/>
      <c r="R724" s="100"/>
      <c r="S724" s="100"/>
      <c r="T724" s="290" t="s">
        <v>2048</v>
      </c>
      <c r="U724" s="290" t="s">
        <v>149</v>
      </c>
      <c r="AA724"/>
      <c r="AB724"/>
      <c r="AC724" s="283"/>
      <c r="AD724" s="42"/>
    </row>
    <row r="725" spans="3:30" ht="10.5" customHeight="1">
      <c r="C725" s="1181" t="s">
        <v>5382</v>
      </c>
      <c r="D725" s="1178">
        <v>1</v>
      </c>
      <c r="E725" s="1178">
        <v>1</v>
      </c>
      <c r="F725" s="1179">
        <v>2</v>
      </c>
      <c r="G725" s="1189" t="s">
        <v>5382</v>
      </c>
      <c r="H725" s="1176">
        <v>1</v>
      </c>
      <c r="I725" s="1176">
        <v>1</v>
      </c>
      <c r="J725" s="1190">
        <v>2</v>
      </c>
      <c r="K725" s="1180"/>
      <c r="L725" s="1174">
        <v>13067030238</v>
      </c>
      <c r="M725" s="1175">
        <v>1</v>
      </c>
      <c r="N725" s="1175">
        <v>1</v>
      </c>
      <c r="O725" s="1175">
        <v>2</v>
      </c>
      <c r="P725" s="100"/>
      <c r="Q725" s="100"/>
      <c r="R725" s="100"/>
      <c r="S725" s="100"/>
      <c r="T725" s="153" t="s">
        <v>5383</v>
      </c>
      <c r="U725" s="153" t="s">
        <v>4136</v>
      </c>
      <c r="AA725"/>
      <c r="AB725"/>
      <c r="AC725" s="42"/>
      <c r="AD725" s="42"/>
    </row>
    <row r="726" spans="3:30" ht="10.5" customHeight="1">
      <c r="C726" s="1181" t="s">
        <v>5384</v>
      </c>
      <c r="D726" s="1178">
        <v>1</v>
      </c>
      <c r="E726" s="1178">
        <v>1</v>
      </c>
      <c r="F726" s="1179">
        <v>2</v>
      </c>
      <c r="G726" s="1189" t="s">
        <v>5384</v>
      </c>
      <c r="H726" s="1176">
        <v>1</v>
      </c>
      <c r="I726" s="1176">
        <v>1</v>
      </c>
      <c r="J726" s="1190">
        <v>2</v>
      </c>
      <c r="K726" s="1180"/>
      <c r="L726" s="1174">
        <v>13067030239</v>
      </c>
      <c r="M726" s="1175">
        <v>1</v>
      </c>
      <c r="N726" s="1175">
        <v>1</v>
      </c>
      <c r="O726" s="1175">
        <v>2</v>
      </c>
      <c r="P726" s="100"/>
      <c r="Q726" s="100"/>
      <c r="R726" s="100"/>
      <c r="S726" s="100"/>
      <c r="T726" s="290" t="s">
        <v>5385</v>
      </c>
      <c r="U726" s="290" t="s">
        <v>135</v>
      </c>
      <c r="AA726"/>
      <c r="AB726"/>
      <c r="AC726" s="283"/>
      <c r="AD726" s="42"/>
    </row>
    <row r="727" spans="3:30" ht="10.5" customHeight="1">
      <c r="C727" s="1181" t="s">
        <v>5386</v>
      </c>
      <c r="D727" s="1178">
        <v>1</v>
      </c>
      <c r="E727" s="1178">
        <v>1</v>
      </c>
      <c r="F727" s="1179">
        <v>2</v>
      </c>
      <c r="G727" s="1189" t="s">
        <v>5386</v>
      </c>
      <c r="H727" s="1176">
        <v>1</v>
      </c>
      <c r="I727" s="1176">
        <v>0</v>
      </c>
      <c r="J727" s="1190">
        <v>1</v>
      </c>
      <c r="K727" s="1180"/>
      <c r="L727" s="1174">
        <v>13067030310</v>
      </c>
      <c r="M727" s="1175">
        <v>1</v>
      </c>
      <c r="N727" s="1175">
        <v>1</v>
      </c>
      <c r="O727" s="1175">
        <v>2</v>
      </c>
      <c r="P727" s="100"/>
      <c r="Q727" s="100"/>
      <c r="R727" s="100"/>
      <c r="S727" s="100"/>
      <c r="T727" s="290" t="s">
        <v>4475</v>
      </c>
      <c r="U727" s="290" t="s">
        <v>4202</v>
      </c>
      <c r="AA727"/>
      <c r="AB727"/>
      <c r="AC727" s="283"/>
      <c r="AD727" s="42"/>
    </row>
    <row r="728" spans="3:30" ht="10.5" customHeight="1">
      <c r="C728" s="1181" t="s">
        <v>5387</v>
      </c>
      <c r="D728" s="1178">
        <v>1</v>
      </c>
      <c r="E728" s="1178">
        <v>1</v>
      </c>
      <c r="F728" s="1179">
        <v>2</v>
      </c>
      <c r="G728" s="1189" t="s">
        <v>5387</v>
      </c>
      <c r="H728" s="1176">
        <v>1</v>
      </c>
      <c r="I728" s="1176">
        <v>1</v>
      </c>
      <c r="J728" s="1190">
        <v>2</v>
      </c>
      <c r="K728" s="1180"/>
      <c r="L728" s="1174">
        <v>13067030311</v>
      </c>
      <c r="M728" s="1175">
        <v>1</v>
      </c>
      <c r="N728" s="1175">
        <v>1</v>
      </c>
      <c r="O728" s="1175">
        <v>2</v>
      </c>
      <c r="P728" s="100"/>
      <c r="Q728" s="100"/>
      <c r="R728" s="100"/>
      <c r="S728" s="100"/>
      <c r="T728" s="290" t="s">
        <v>5388</v>
      </c>
      <c r="U728" s="290" t="s">
        <v>3538</v>
      </c>
      <c r="AA728"/>
      <c r="AB728"/>
      <c r="AC728" s="283"/>
      <c r="AD728" s="42"/>
    </row>
    <row r="729" spans="3:30" ht="10.5" customHeight="1">
      <c r="C729" s="1181" t="s">
        <v>5389</v>
      </c>
      <c r="D729" s="1178">
        <v>1</v>
      </c>
      <c r="E729" s="1178">
        <v>1</v>
      </c>
      <c r="F729" s="1179">
        <v>2</v>
      </c>
      <c r="G729" s="1189" t="s">
        <v>5389</v>
      </c>
      <c r="H729" s="1176">
        <v>1</v>
      </c>
      <c r="I729" s="1176">
        <v>1</v>
      </c>
      <c r="J729" s="1190">
        <v>2</v>
      </c>
      <c r="K729" s="1180"/>
      <c r="L729" s="1174">
        <v>13067030312</v>
      </c>
      <c r="M729" s="1175">
        <v>1</v>
      </c>
      <c r="N729" s="1175">
        <v>1</v>
      </c>
      <c r="O729" s="1175">
        <v>2</v>
      </c>
      <c r="P729" s="100"/>
      <c r="Q729" s="100"/>
      <c r="R729" s="100"/>
      <c r="S729" s="100"/>
      <c r="T729" s="153" t="s">
        <v>2049</v>
      </c>
      <c r="U729" s="153" t="s">
        <v>3710</v>
      </c>
      <c r="AA729"/>
      <c r="AB729"/>
      <c r="AC729" s="42"/>
      <c r="AD729" s="42"/>
    </row>
    <row r="730" spans="3:30" ht="10.5" customHeight="1">
      <c r="C730" s="1181" t="s">
        <v>5390</v>
      </c>
      <c r="D730" s="1178">
        <v>1</v>
      </c>
      <c r="E730" s="1178">
        <v>1</v>
      </c>
      <c r="F730" s="1179">
        <v>2</v>
      </c>
      <c r="G730" s="1189" t="s">
        <v>5390</v>
      </c>
      <c r="H730" s="1176">
        <v>1</v>
      </c>
      <c r="I730" s="1176">
        <v>1</v>
      </c>
      <c r="J730" s="1190">
        <v>2</v>
      </c>
      <c r="K730" s="1180"/>
      <c r="L730" s="1174">
        <v>13067030313</v>
      </c>
      <c r="M730" s="1175">
        <v>1</v>
      </c>
      <c r="N730" s="1175">
        <v>1</v>
      </c>
      <c r="O730" s="1175">
        <v>2</v>
      </c>
      <c r="P730" s="100"/>
      <c r="Q730" s="100"/>
      <c r="R730" s="100"/>
      <c r="S730" s="100"/>
      <c r="T730" s="290" t="s">
        <v>4482</v>
      </c>
      <c r="U730" s="290" t="s">
        <v>3570</v>
      </c>
      <c r="AA730"/>
      <c r="AB730"/>
      <c r="AC730" s="283"/>
      <c r="AD730" s="42"/>
    </row>
    <row r="731" spans="3:30" ht="10.5" customHeight="1">
      <c r="C731" s="1181" t="s">
        <v>5391</v>
      </c>
      <c r="D731" s="1178">
        <v>1</v>
      </c>
      <c r="E731" s="1178">
        <v>1</v>
      </c>
      <c r="F731" s="1179">
        <v>2</v>
      </c>
      <c r="G731" s="1189" t="s">
        <v>5391</v>
      </c>
      <c r="H731" s="1176">
        <v>1</v>
      </c>
      <c r="I731" s="1176">
        <v>1</v>
      </c>
      <c r="J731" s="1190">
        <v>2</v>
      </c>
      <c r="K731" s="1180"/>
      <c r="L731" s="1174">
        <v>13067030314</v>
      </c>
      <c r="M731" s="1175">
        <v>1</v>
      </c>
      <c r="N731" s="1175">
        <v>1</v>
      </c>
      <c r="O731" s="1175">
        <v>2</v>
      </c>
      <c r="P731" s="100"/>
      <c r="Q731" s="100"/>
      <c r="R731" s="100"/>
      <c r="S731" s="100"/>
      <c r="T731" s="290" t="s">
        <v>179</v>
      </c>
      <c r="U731" s="290" t="s">
        <v>118</v>
      </c>
      <c r="AA731"/>
      <c r="AB731"/>
      <c r="AC731" s="283"/>
      <c r="AD731" s="42"/>
    </row>
    <row r="732" spans="3:30" ht="10.5" customHeight="1">
      <c r="C732" s="1181" t="s">
        <v>5392</v>
      </c>
      <c r="D732" s="1178">
        <v>1</v>
      </c>
      <c r="E732" s="1178">
        <v>1</v>
      </c>
      <c r="F732" s="1179">
        <v>2</v>
      </c>
      <c r="G732" s="1189" t="s">
        <v>5392</v>
      </c>
      <c r="H732" s="1176">
        <v>1</v>
      </c>
      <c r="I732" s="1176">
        <v>1</v>
      </c>
      <c r="J732" s="1190">
        <v>2</v>
      </c>
      <c r="K732" s="1180"/>
      <c r="L732" s="1174">
        <v>13067030318</v>
      </c>
      <c r="M732" s="1175">
        <v>1</v>
      </c>
      <c r="N732" s="1175">
        <v>1</v>
      </c>
      <c r="O732" s="1175">
        <v>2</v>
      </c>
      <c r="P732" s="100"/>
      <c r="Q732" s="100"/>
      <c r="R732" s="100"/>
      <c r="S732" s="100"/>
      <c r="T732" s="290" t="s">
        <v>5393</v>
      </c>
      <c r="U732" s="290" t="s">
        <v>3856</v>
      </c>
      <c r="AA732"/>
      <c r="AB732"/>
      <c r="AC732" s="283"/>
      <c r="AD732" s="42"/>
    </row>
    <row r="733" spans="3:30" ht="10.5" customHeight="1">
      <c r="C733" s="1181" t="s">
        <v>5394</v>
      </c>
      <c r="D733" s="1178">
        <v>1</v>
      </c>
      <c r="E733" s="1178">
        <v>1</v>
      </c>
      <c r="F733" s="1179">
        <v>2</v>
      </c>
      <c r="G733" s="1189" t="s">
        <v>5394</v>
      </c>
      <c r="H733" s="1176">
        <v>1</v>
      </c>
      <c r="I733" s="1176">
        <v>1</v>
      </c>
      <c r="J733" s="1190">
        <v>2</v>
      </c>
      <c r="K733" s="1180"/>
      <c r="L733" s="1174">
        <v>13067030319</v>
      </c>
      <c r="M733" s="1175">
        <v>1</v>
      </c>
      <c r="N733" s="1175">
        <v>1</v>
      </c>
      <c r="O733" s="1175">
        <v>2</v>
      </c>
      <c r="P733" s="100"/>
      <c r="Q733" s="100"/>
      <c r="R733" s="100"/>
      <c r="S733" s="100"/>
      <c r="T733" s="290" t="s">
        <v>4485</v>
      </c>
      <c r="U733" s="290" t="s">
        <v>3658</v>
      </c>
      <c r="AA733"/>
      <c r="AB733"/>
      <c r="AC733" s="283"/>
      <c r="AD733" s="42"/>
    </row>
    <row r="734" spans="3:30" ht="10.5" customHeight="1">
      <c r="C734" s="1181" t="s">
        <v>5395</v>
      </c>
      <c r="D734" s="1178">
        <v>1</v>
      </c>
      <c r="E734" s="1178">
        <v>1</v>
      </c>
      <c r="F734" s="1179">
        <v>2</v>
      </c>
      <c r="G734" s="1189" t="s">
        <v>5395</v>
      </c>
      <c r="H734" s="1176">
        <v>1</v>
      </c>
      <c r="I734" s="1176">
        <v>1</v>
      </c>
      <c r="J734" s="1190">
        <v>2</v>
      </c>
      <c r="K734" s="1180"/>
      <c r="L734" s="1174">
        <v>13067030320</v>
      </c>
      <c r="M734" s="1175">
        <v>1</v>
      </c>
      <c r="N734" s="1175">
        <v>1</v>
      </c>
      <c r="O734" s="1175">
        <v>2</v>
      </c>
      <c r="P734" s="100"/>
      <c r="Q734" s="100"/>
      <c r="R734" s="100"/>
      <c r="S734" s="100"/>
      <c r="T734" s="290" t="s">
        <v>5396</v>
      </c>
      <c r="U734" s="290" t="s">
        <v>3610</v>
      </c>
      <c r="AA734"/>
      <c r="AB734"/>
      <c r="AC734" s="283"/>
      <c r="AD734" s="42"/>
    </row>
    <row r="735" spans="3:30" ht="10.5" customHeight="1">
      <c r="C735" s="1181" t="s">
        <v>5397</v>
      </c>
      <c r="D735" s="1178">
        <v>1</v>
      </c>
      <c r="E735" s="1178">
        <v>1</v>
      </c>
      <c r="F735" s="1179">
        <v>2</v>
      </c>
      <c r="G735" s="1189" t="s">
        <v>5397</v>
      </c>
      <c r="H735" s="1176">
        <v>1</v>
      </c>
      <c r="I735" s="1176">
        <v>1</v>
      </c>
      <c r="J735" s="1190">
        <v>2</v>
      </c>
      <c r="K735" s="1180"/>
      <c r="L735" s="1174">
        <v>13067030322</v>
      </c>
      <c r="M735" s="1175">
        <v>1</v>
      </c>
      <c r="N735" s="1175">
        <v>1</v>
      </c>
      <c r="O735" s="1175">
        <v>2</v>
      </c>
      <c r="P735" s="100"/>
      <c r="Q735" s="100"/>
      <c r="R735" s="100"/>
      <c r="S735" s="100"/>
      <c r="T735" s="290" t="s">
        <v>5398</v>
      </c>
      <c r="U735" s="290" t="s">
        <v>3743</v>
      </c>
      <c r="AA735"/>
      <c r="AB735"/>
      <c r="AC735" s="283"/>
      <c r="AD735" s="42"/>
    </row>
    <row r="736" spans="3:30" ht="10.5" customHeight="1">
      <c r="C736" s="1181" t="s">
        <v>5399</v>
      </c>
      <c r="D736" s="1178">
        <v>1</v>
      </c>
      <c r="E736" s="1178">
        <v>1</v>
      </c>
      <c r="F736" s="1179">
        <v>2</v>
      </c>
      <c r="G736" s="1189" t="s">
        <v>5399</v>
      </c>
      <c r="H736" s="1176">
        <v>1</v>
      </c>
      <c r="I736" s="1176">
        <v>1</v>
      </c>
      <c r="J736" s="1190">
        <v>2</v>
      </c>
      <c r="K736" s="1180"/>
      <c r="L736" s="1174">
        <v>13067030324</v>
      </c>
      <c r="M736" s="1175">
        <v>1</v>
      </c>
      <c r="N736" s="1175">
        <v>1</v>
      </c>
      <c r="O736" s="1175">
        <v>2</v>
      </c>
      <c r="P736" s="100"/>
      <c r="Q736" s="100"/>
      <c r="R736" s="100"/>
      <c r="S736" s="100"/>
      <c r="T736" s="290" t="s">
        <v>5400</v>
      </c>
      <c r="U736" s="290" t="s">
        <v>121</v>
      </c>
      <c r="AA736"/>
      <c r="AB736"/>
      <c r="AC736" s="283"/>
      <c r="AD736" s="42"/>
    </row>
    <row r="737" spans="3:30" ht="10.5" customHeight="1">
      <c r="C737" s="1181" t="s">
        <v>5401</v>
      </c>
      <c r="D737" s="1178">
        <v>1</v>
      </c>
      <c r="E737" s="1178">
        <v>1</v>
      </c>
      <c r="F737" s="1179">
        <v>2</v>
      </c>
      <c r="G737" s="1189" t="s">
        <v>5401</v>
      </c>
      <c r="H737" s="1176">
        <v>1</v>
      </c>
      <c r="I737" s="1176">
        <v>1</v>
      </c>
      <c r="J737" s="1190">
        <v>2</v>
      </c>
      <c r="K737" s="1180"/>
      <c r="L737" s="1174">
        <v>13067030326</v>
      </c>
      <c r="M737" s="1175">
        <v>1</v>
      </c>
      <c r="N737" s="1175">
        <v>1</v>
      </c>
      <c r="O737" s="1175">
        <v>2</v>
      </c>
      <c r="P737" s="100"/>
      <c r="Q737" s="100"/>
      <c r="R737" s="100"/>
      <c r="S737" s="100"/>
      <c r="T737" s="290" t="s">
        <v>4488</v>
      </c>
      <c r="U737" s="290" t="s">
        <v>4012</v>
      </c>
      <c r="AA737"/>
      <c r="AB737"/>
      <c r="AC737" s="283"/>
      <c r="AD737" s="42"/>
    </row>
    <row r="738" spans="3:30" ht="10.5" customHeight="1">
      <c r="C738" s="1181" t="s">
        <v>5402</v>
      </c>
      <c r="D738" s="1178">
        <v>1</v>
      </c>
      <c r="E738" s="1178">
        <v>1</v>
      </c>
      <c r="F738" s="1179">
        <v>2</v>
      </c>
      <c r="G738" s="1189" t="s">
        <v>5402</v>
      </c>
      <c r="H738" s="1176">
        <v>1</v>
      </c>
      <c r="I738" s="1176">
        <v>1</v>
      </c>
      <c r="J738" s="1190">
        <v>2</v>
      </c>
      <c r="K738" s="1180"/>
      <c r="L738" s="1174">
        <v>13067030327</v>
      </c>
      <c r="M738" s="1175">
        <v>1</v>
      </c>
      <c r="N738" s="1175">
        <v>1</v>
      </c>
      <c r="O738" s="1175">
        <v>2</v>
      </c>
      <c r="P738" s="100"/>
      <c r="Q738" s="100"/>
      <c r="R738" s="100"/>
      <c r="S738" s="100"/>
      <c r="T738" s="290" t="s">
        <v>2050</v>
      </c>
      <c r="U738" s="290" t="s">
        <v>166</v>
      </c>
      <c r="AA738"/>
      <c r="AB738"/>
      <c r="AC738" s="283"/>
      <c r="AD738" s="42"/>
    </row>
    <row r="739" spans="3:30" ht="10.5" customHeight="1">
      <c r="C739" s="1181" t="s">
        <v>5403</v>
      </c>
      <c r="D739" s="1178">
        <v>1</v>
      </c>
      <c r="E739" s="1178">
        <v>1</v>
      </c>
      <c r="F739" s="1179">
        <v>2</v>
      </c>
      <c r="G739" s="1189" t="s">
        <v>5403</v>
      </c>
      <c r="H739" s="1176">
        <v>1</v>
      </c>
      <c r="I739" s="1176">
        <v>1</v>
      </c>
      <c r="J739" s="1190">
        <v>2</v>
      </c>
      <c r="K739" s="1180"/>
      <c r="L739" s="1174">
        <v>13067030328</v>
      </c>
      <c r="M739" s="1175">
        <v>1</v>
      </c>
      <c r="N739" s="1175">
        <v>1</v>
      </c>
      <c r="O739" s="1175">
        <v>2</v>
      </c>
      <c r="P739" s="100"/>
      <c r="Q739" s="100"/>
      <c r="R739" s="100"/>
      <c r="S739" s="100"/>
      <c r="T739" s="290" t="s">
        <v>2051</v>
      </c>
      <c r="U739" s="290" t="s">
        <v>3969</v>
      </c>
      <c r="AA739"/>
      <c r="AB739"/>
      <c r="AC739" s="283"/>
      <c r="AD739" s="42"/>
    </row>
    <row r="740" spans="3:30" ht="10.5" customHeight="1">
      <c r="C740" s="1181" t="s">
        <v>5404</v>
      </c>
      <c r="D740" s="1178">
        <v>1</v>
      </c>
      <c r="E740" s="1178">
        <v>1</v>
      </c>
      <c r="F740" s="1179">
        <v>2</v>
      </c>
      <c r="G740" s="1189" t="s">
        <v>5404</v>
      </c>
      <c r="H740" s="1176">
        <v>1</v>
      </c>
      <c r="I740" s="1176">
        <v>1</v>
      </c>
      <c r="J740" s="1190">
        <v>2</v>
      </c>
      <c r="K740" s="1180"/>
      <c r="L740" s="1174">
        <v>13067030329</v>
      </c>
      <c r="M740" s="1175">
        <v>1</v>
      </c>
      <c r="N740" s="1175">
        <v>1</v>
      </c>
      <c r="O740" s="1175">
        <v>2</v>
      </c>
      <c r="P740" s="100"/>
      <c r="Q740" s="100"/>
      <c r="R740" s="100"/>
      <c r="S740" s="100"/>
      <c r="T740" s="290" t="s">
        <v>5405</v>
      </c>
      <c r="U740" s="290" t="s">
        <v>4292</v>
      </c>
      <c r="AA740"/>
      <c r="AB740"/>
      <c r="AC740" s="283"/>
      <c r="AD740" s="42"/>
    </row>
    <row r="741" spans="3:30" ht="10.5" customHeight="1">
      <c r="C741" s="1181" t="s">
        <v>5406</v>
      </c>
      <c r="D741" s="1178">
        <v>1</v>
      </c>
      <c r="E741" s="1178">
        <v>1</v>
      </c>
      <c r="F741" s="1179">
        <v>2</v>
      </c>
      <c r="G741" s="1189" t="s">
        <v>5406</v>
      </c>
      <c r="H741" s="1176">
        <v>1</v>
      </c>
      <c r="I741" s="1176">
        <v>1</v>
      </c>
      <c r="J741" s="1190">
        <v>2</v>
      </c>
      <c r="K741" s="1180"/>
      <c r="L741" s="1174">
        <v>13067030330</v>
      </c>
      <c r="M741" s="1175">
        <v>1</v>
      </c>
      <c r="N741" s="1175">
        <v>1</v>
      </c>
      <c r="O741" s="1175">
        <v>2</v>
      </c>
      <c r="P741" s="100"/>
      <c r="Q741" s="100"/>
      <c r="R741" s="100"/>
      <c r="S741" s="100"/>
      <c r="T741" s="290" t="s">
        <v>2052</v>
      </c>
      <c r="U741" s="290" t="s">
        <v>4283</v>
      </c>
      <c r="AA741"/>
      <c r="AB741"/>
      <c r="AC741" s="283"/>
      <c r="AD741" s="42"/>
    </row>
    <row r="742" spans="3:30" ht="10.5" customHeight="1">
      <c r="C742" s="1181" t="s">
        <v>5407</v>
      </c>
      <c r="D742" s="1178">
        <v>1</v>
      </c>
      <c r="E742" s="1178">
        <v>1</v>
      </c>
      <c r="F742" s="1179">
        <v>2</v>
      </c>
      <c r="G742" s="1189" t="s">
        <v>5407</v>
      </c>
      <c r="H742" s="1176">
        <v>1</v>
      </c>
      <c r="I742" s="1176">
        <v>1</v>
      </c>
      <c r="J742" s="1190">
        <v>2</v>
      </c>
      <c r="K742" s="1180"/>
      <c r="L742" s="1174">
        <v>13067030331</v>
      </c>
      <c r="M742" s="1175">
        <v>1</v>
      </c>
      <c r="N742" s="1175">
        <v>1</v>
      </c>
      <c r="O742" s="1175">
        <v>2</v>
      </c>
      <c r="P742" s="100"/>
      <c r="Q742" s="100"/>
      <c r="R742" s="100"/>
      <c r="S742" s="100"/>
      <c r="T742" s="290" t="s">
        <v>5408</v>
      </c>
      <c r="U742" s="290" t="s">
        <v>3758</v>
      </c>
      <c r="AA742"/>
      <c r="AB742"/>
      <c r="AC742" s="283"/>
      <c r="AD742" s="42"/>
    </row>
    <row r="743" spans="3:30" ht="10.5" customHeight="1">
      <c r="C743" s="1181" t="s">
        <v>5409</v>
      </c>
      <c r="D743" s="1178">
        <v>1</v>
      </c>
      <c r="E743" s="1178">
        <v>1</v>
      </c>
      <c r="F743" s="1179">
        <v>2</v>
      </c>
      <c r="G743" s="1189" t="s">
        <v>5409</v>
      </c>
      <c r="H743" s="1176">
        <v>1</v>
      </c>
      <c r="I743" s="1176">
        <v>1</v>
      </c>
      <c r="J743" s="1190">
        <v>2</v>
      </c>
      <c r="K743" s="1180"/>
      <c r="L743" s="1174">
        <v>13067030332</v>
      </c>
      <c r="M743" s="1175">
        <v>1</v>
      </c>
      <c r="N743" s="1175">
        <v>1</v>
      </c>
      <c r="O743" s="1175">
        <v>2</v>
      </c>
      <c r="P743" s="100"/>
      <c r="Q743" s="100"/>
      <c r="R743" s="100"/>
      <c r="S743" s="100"/>
      <c r="T743" s="153" t="s">
        <v>5410</v>
      </c>
      <c r="U743" s="153" t="s">
        <v>3862</v>
      </c>
      <c r="AA743"/>
      <c r="AB743"/>
      <c r="AC743" s="42"/>
      <c r="AD743" s="42"/>
    </row>
    <row r="744" spans="3:30" ht="10.5" customHeight="1">
      <c r="C744" s="1181" t="s">
        <v>5411</v>
      </c>
      <c r="D744" s="1178">
        <v>1</v>
      </c>
      <c r="E744" s="1178">
        <v>1</v>
      </c>
      <c r="F744" s="1179">
        <v>2</v>
      </c>
      <c r="G744" s="1189" t="s">
        <v>5411</v>
      </c>
      <c r="H744" s="1176">
        <v>1</v>
      </c>
      <c r="I744" s="1176">
        <v>1</v>
      </c>
      <c r="J744" s="1190">
        <v>2</v>
      </c>
      <c r="K744" s="1180"/>
      <c r="L744" s="1174">
        <v>13067030333</v>
      </c>
      <c r="M744" s="1175">
        <v>1</v>
      </c>
      <c r="N744" s="1175">
        <v>1</v>
      </c>
      <c r="O744" s="1175">
        <v>2</v>
      </c>
      <c r="P744" s="100"/>
      <c r="Q744" s="100"/>
      <c r="R744" s="100"/>
      <c r="S744" s="100"/>
      <c r="T744" s="290" t="s">
        <v>4499</v>
      </c>
      <c r="U744" s="290" t="s">
        <v>106</v>
      </c>
      <c r="AA744"/>
      <c r="AB744"/>
      <c r="AC744" s="283"/>
      <c r="AD744" s="42"/>
    </row>
    <row r="745" spans="3:30" ht="13.5">
      <c r="C745" s="1181" t="s">
        <v>5412</v>
      </c>
      <c r="D745" s="1178">
        <v>1</v>
      </c>
      <c r="E745" s="1178">
        <v>1</v>
      </c>
      <c r="F745" s="1179">
        <v>2</v>
      </c>
      <c r="G745" s="1189" t="s">
        <v>5412</v>
      </c>
      <c r="H745" s="1176">
        <v>1</v>
      </c>
      <c r="I745" s="1176">
        <v>1</v>
      </c>
      <c r="J745" s="1190">
        <v>2</v>
      </c>
      <c r="K745" s="1180"/>
      <c r="L745" s="1174">
        <v>13067030334</v>
      </c>
      <c r="M745" s="1175">
        <v>1</v>
      </c>
      <c r="N745" s="1175">
        <v>1</v>
      </c>
      <c r="O745" s="1175">
        <v>2</v>
      </c>
      <c r="P745" s="100"/>
      <c r="Q745" s="100"/>
      <c r="R745" s="100"/>
      <c r="S745" s="100"/>
      <c r="T745" s="290" t="s">
        <v>2053</v>
      </c>
      <c r="U745" s="153" t="s">
        <v>3538</v>
      </c>
      <c r="AA745"/>
      <c r="AB745"/>
      <c r="AC745" s="283"/>
      <c r="AD745" s="42"/>
    </row>
    <row r="746" spans="3:30" ht="13.5">
      <c r="C746" s="1181" t="s">
        <v>5413</v>
      </c>
      <c r="D746" s="1178">
        <v>1</v>
      </c>
      <c r="E746" s="1178">
        <v>1</v>
      </c>
      <c r="F746" s="1179">
        <v>2</v>
      </c>
      <c r="G746" s="1189" t="s">
        <v>5413</v>
      </c>
      <c r="H746" s="1176">
        <v>1</v>
      </c>
      <c r="I746" s="1176">
        <v>1</v>
      </c>
      <c r="J746" s="1190">
        <v>2</v>
      </c>
      <c r="K746" s="1180"/>
      <c r="L746" s="1174">
        <v>13067030335</v>
      </c>
      <c r="M746" s="1175">
        <v>1</v>
      </c>
      <c r="N746" s="1175">
        <v>1</v>
      </c>
      <c r="O746" s="1175">
        <v>2</v>
      </c>
      <c r="P746" s="100"/>
      <c r="Q746" s="100"/>
      <c r="R746" s="100"/>
      <c r="S746" s="100"/>
      <c r="T746" s="153" t="s">
        <v>4504</v>
      </c>
      <c r="U746" s="153" t="s">
        <v>4214</v>
      </c>
      <c r="AA746"/>
      <c r="AB746"/>
      <c r="AC746" s="42"/>
      <c r="AD746" s="42"/>
    </row>
    <row r="747" spans="3:30" ht="13.5">
      <c r="C747" s="1181" t="s">
        <v>5414</v>
      </c>
      <c r="D747" s="1178">
        <v>1</v>
      </c>
      <c r="E747" s="1178">
        <v>1</v>
      </c>
      <c r="F747" s="1179">
        <v>2</v>
      </c>
      <c r="G747" s="1189" t="s">
        <v>5414</v>
      </c>
      <c r="H747" s="1176">
        <v>1</v>
      </c>
      <c r="I747" s="1176" t="s">
        <v>4455</v>
      </c>
      <c r="J747" s="1190">
        <v>1</v>
      </c>
      <c r="K747" s="1180"/>
      <c r="L747" s="1174">
        <v>13067030336</v>
      </c>
      <c r="M747" s="1175">
        <v>1</v>
      </c>
      <c r="N747" s="1175">
        <v>1</v>
      </c>
      <c r="O747" s="1175">
        <v>2</v>
      </c>
      <c r="P747" s="100"/>
      <c r="Q747" s="100"/>
      <c r="R747" s="100"/>
      <c r="S747" s="100"/>
      <c r="T747" s="153" t="s">
        <v>5415</v>
      </c>
      <c r="U747" s="153" t="s">
        <v>4261</v>
      </c>
      <c r="AA747"/>
      <c r="AB747"/>
      <c r="AC747" s="42"/>
      <c r="AD747" s="42"/>
    </row>
    <row r="748" spans="3:30" ht="13.5">
      <c r="C748" s="1181" t="s">
        <v>5416</v>
      </c>
      <c r="D748" s="1178">
        <v>1</v>
      </c>
      <c r="E748" s="1178">
        <v>1</v>
      </c>
      <c r="F748" s="1179">
        <v>2</v>
      </c>
      <c r="G748" s="1189" t="s">
        <v>5416</v>
      </c>
      <c r="H748" s="1176">
        <v>1</v>
      </c>
      <c r="I748" s="1176">
        <v>1</v>
      </c>
      <c r="J748" s="1190">
        <v>2</v>
      </c>
      <c r="K748" s="1180"/>
      <c r="L748" s="1174">
        <v>13067030337</v>
      </c>
      <c r="M748" s="1175">
        <v>1</v>
      </c>
      <c r="N748" s="1175">
        <v>1</v>
      </c>
      <c r="O748" s="1175">
        <v>2</v>
      </c>
      <c r="P748" s="100"/>
      <c r="Q748" s="100"/>
      <c r="R748" s="100"/>
      <c r="S748" s="100"/>
      <c r="T748" s="153" t="s">
        <v>5417</v>
      </c>
      <c r="U748" s="153" t="s">
        <v>3819</v>
      </c>
      <c r="AA748"/>
      <c r="AB748"/>
      <c r="AC748" s="42"/>
      <c r="AD748" s="42"/>
    </row>
    <row r="749" spans="3:30" ht="13.5">
      <c r="C749" s="1181" t="s">
        <v>5418</v>
      </c>
      <c r="D749" s="1178">
        <v>1</v>
      </c>
      <c r="E749" s="1178">
        <v>1</v>
      </c>
      <c r="F749" s="1179">
        <v>2</v>
      </c>
      <c r="G749" s="1189" t="s">
        <v>5418</v>
      </c>
      <c r="H749" s="1176">
        <v>1</v>
      </c>
      <c r="I749" s="1176" t="s">
        <v>4455</v>
      </c>
      <c r="J749" s="1190">
        <v>1</v>
      </c>
      <c r="K749" s="1180"/>
      <c r="L749" s="1174">
        <v>13067030339</v>
      </c>
      <c r="M749" s="1175">
        <v>1</v>
      </c>
      <c r="N749" s="1175">
        <v>1</v>
      </c>
      <c r="O749" s="1175">
        <v>2</v>
      </c>
      <c r="P749" s="100"/>
      <c r="Q749" s="100"/>
      <c r="R749" s="100"/>
      <c r="S749" s="100"/>
      <c r="T749" s="153" t="s">
        <v>4116</v>
      </c>
      <c r="U749" s="153" t="s">
        <v>3459</v>
      </c>
      <c r="AA749"/>
      <c r="AB749"/>
      <c r="AC749" s="42"/>
      <c r="AD749" s="42"/>
    </row>
    <row r="750" spans="3:30" ht="13.5">
      <c r="C750" s="1181" t="s">
        <v>5419</v>
      </c>
      <c r="D750" s="1178">
        <v>1</v>
      </c>
      <c r="E750" s="1178">
        <v>1</v>
      </c>
      <c r="F750" s="1179">
        <v>2</v>
      </c>
      <c r="G750" s="1189" t="s">
        <v>5419</v>
      </c>
      <c r="H750" s="1176">
        <v>1</v>
      </c>
      <c r="I750" s="1176">
        <v>1</v>
      </c>
      <c r="J750" s="1190">
        <v>2</v>
      </c>
      <c r="K750" s="1180"/>
      <c r="L750" s="1174">
        <v>13067030340</v>
      </c>
      <c r="M750" s="1175">
        <v>1</v>
      </c>
      <c r="N750" s="1175">
        <v>1</v>
      </c>
      <c r="O750" s="1175">
        <v>2</v>
      </c>
      <c r="P750" s="100"/>
      <c r="Q750" s="100"/>
      <c r="R750" s="100"/>
      <c r="S750" s="100"/>
      <c r="T750" s="153" t="s">
        <v>5420</v>
      </c>
      <c r="U750" s="153" t="s">
        <v>3827</v>
      </c>
      <c r="AA750"/>
      <c r="AB750"/>
      <c r="AC750" s="42"/>
      <c r="AD750" s="42"/>
    </row>
    <row r="751" spans="3:30" ht="13.5">
      <c r="C751" s="1181" t="s">
        <v>5421</v>
      </c>
      <c r="D751" s="1178">
        <v>1</v>
      </c>
      <c r="E751" s="1178">
        <v>1</v>
      </c>
      <c r="F751" s="1179">
        <v>2</v>
      </c>
      <c r="G751" s="1189" t="s">
        <v>5421</v>
      </c>
      <c r="H751" s="1176">
        <v>1</v>
      </c>
      <c r="I751" s="1176">
        <v>1</v>
      </c>
      <c r="J751" s="1190">
        <v>2</v>
      </c>
      <c r="K751" s="1180"/>
      <c r="L751" s="1174">
        <v>13067030341</v>
      </c>
      <c r="M751" s="1175">
        <v>1</v>
      </c>
      <c r="N751" s="1175">
        <v>1</v>
      </c>
      <c r="O751" s="1175">
        <v>2</v>
      </c>
      <c r="P751" s="100"/>
      <c r="Q751" s="100"/>
      <c r="R751" s="100"/>
      <c r="S751" s="100"/>
      <c r="T751" s="153" t="s">
        <v>180</v>
      </c>
      <c r="U751" s="153" t="s">
        <v>135</v>
      </c>
      <c r="AA751"/>
      <c r="AB751"/>
      <c r="AC751" s="42"/>
      <c r="AD751" s="42"/>
    </row>
    <row r="752" spans="3:30" ht="13.5">
      <c r="C752" s="1181" t="s">
        <v>5422</v>
      </c>
      <c r="D752" s="1178">
        <v>1</v>
      </c>
      <c r="E752" s="1178">
        <v>1</v>
      </c>
      <c r="F752" s="1179">
        <v>2</v>
      </c>
      <c r="G752" s="1189" t="s">
        <v>5422</v>
      </c>
      <c r="H752" s="1176">
        <v>1</v>
      </c>
      <c r="I752" s="1176">
        <v>1</v>
      </c>
      <c r="J752" s="1190">
        <v>2</v>
      </c>
      <c r="K752" s="1180"/>
      <c r="L752" s="1174">
        <v>13067030342</v>
      </c>
      <c r="M752" s="1175">
        <v>1</v>
      </c>
      <c r="N752" s="1175">
        <v>1</v>
      </c>
      <c r="O752" s="1175">
        <v>2</v>
      </c>
      <c r="P752" s="100"/>
      <c r="Q752" s="100"/>
      <c r="R752" s="100"/>
      <c r="S752" s="100"/>
      <c r="T752" s="153" t="s">
        <v>5423</v>
      </c>
      <c r="U752" s="153" t="s">
        <v>3570</v>
      </c>
      <c r="AA752"/>
      <c r="AB752"/>
      <c r="AC752" s="42"/>
      <c r="AD752" s="42"/>
    </row>
    <row r="753" spans="3:30" ht="13.5">
      <c r="C753" s="1181" t="s">
        <v>5424</v>
      </c>
      <c r="D753" s="1178">
        <v>1</v>
      </c>
      <c r="E753" s="1178">
        <v>1</v>
      </c>
      <c r="F753" s="1179">
        <v>2</v>
      </c>
      <c r="G753" s="1189" t="s">
        <v>5424</v>
      </c>
      <c r="H753" s="1176">
        <v>1</v>
      </c>
      <c r="I753" s="1176">
        <v>1</v>
      </c>
      <c r="J753" s="1190">
        <v>2</v>
      </c>
      <c r="K753" s="1180"/>
      <c r="L753" s="1174">
        <v>13067030343</v>
      </c>
      <c r="M753" s="1175">
        <v>1</v>
      </c>
      <c r="N753" s="1175">
        <v>1</v>
      </c>
      <c r="O753" s="1175">
        <v>2</v>
      </c>
      <c r="P753" s="100"/>
      <c r="Q753" s="100"/>
      <c r="R753" s="100"/>
      <c r="S753" s="100"/>
      <c r="T753" s="153" t="s">
        <v>4507</v>
      </c>
      <c r="U753" s="153" t="s">
        <v>3440</v>
      </c>
      <c r="AA753"/>
      <c r="AB753"/>
      <c r="AC753" s="42"/>
      <c r="AD753" s="42"/>
    </row>
    <row r="754" spans="3:30" ht="13.5">
      <c r="C754" s="1181" t="s">
        <v>5425</v>
      </c>
      <c r="D754" s="1178">
        <v>1</v>
      </c>
      <c r="E754" s="1178">
        <v>1</v>
      </c>
      <c r="F754" s="1179">
        <v>2</v>
      </c>
      <c r="G754" s="1189" t="s">
        <v>5425</v>
      </c>
      <c r="H754" s="1176">
        <v>1</v>
      </c>
      <c r="I754" s="1176">
        <v>0</v>
      </c>
      <c r="J754" s="1190">
        <v>1</v>
      </c>
      <c r="K754" s="1180"/>
      <c r="L754" s="1174">
        <v>13067030344</v>
      </c>
      <c r="M754" s="1175">
        <v>1</v>
      </c>
      <c r="N754" s="1175">
        <v>1</v>
      </c>
      <c r="O754" s="1175">
        <v>2</v>
      </c>
      <c r="P754" s="100"/>
      <c r="Q754" s="100"/>
      <c r="R754" s="100"/>
      <c r="S754" s="100"/>
      <c r="T754" s="153" t="s">
        <v>4510</v>
      </c>
      <c r="U754" s="153" t="s">
        <v>130</v>
      </c>
      <c r="AA754"/>
      <c r="AB754"/>
      <c r="AC754" s="42"/>
      <c r="AD754" s="42"/>
    </row>
    <row r="755" spans="3:30" ht="13.5">
      <c r="C755" s="1181" t="s">
        <v>5426</v>
      </c>
      <c r="D755" s="1178">
        <v>1</v>
      </c>
      <c r="E755" s="1178">
        <v>1</v>
      </c>
      <c r="F755" s="1179">
        <v>2</v>
      </c>
      <c r="G755" s="1189" t="s">
        <v>5426</v>
      </c>
      <c r="H755" s="1176">
        <v>1</v>
      </c>
      <c r="I755" s="1176">
        <v>0</v>
      </c>
      <c r="J755" s="1190">
        <v>1</v>
      </c>
      <c r="K755" s="1180"/>
      <c r="L755" s="1174">
        <v>13067030345</v>
      </c>
      <c r="M755" s="1175">
        <v>1</v>
      </c>
      <c r="N755" s="1175">
        <v>1</v>
      </c>
      <c r="O755" s="1175">
        <v>2</v>
      </c>
      <c r="P755" s="100"/>
      <c r="Q755" s="100"/>
      <c r="R755" s="100"/>
      <c r="S755" s="100"/>
      <c r="T755" s="153" t="s">
        <v>181</v>
      </c>
      <c r="U755" s="153" t="s">
        <v>135</v>
      </c>
      <c r="AA755"/>
      <c r="AB755"/>
      <c r="AC755" s="42"/>
      <c r="AD755" s="42"/>
    </row>
    <row r="756" spans="3:30" ht="13.5">
      <c r="C756" s="1181" t="s">
        <v>5427</v>
      </c>
      <c r="D756" s="1178">
        <v>1</v>
      </c>
      <c r="E756" s="1178">
        <v>0</v>
      </c>
      <c r="F756" s="1179">
        <v>1</v>
      </c>
      <c r="G756" s="1189" t="s">
        <v>5427</v>
      </c>
      <c r="H756" s="1176">
        <v>1</v>
      </c>
      <c r="I756" s="1176">
        <v>0</v>
      </c>
      <c r="J756" s="1190">
        <v>1</v>
      </c>
      <c r="K756" s="1180"/>
      <c r="L756" s="1174">
        <v>13067030405</v>
      </c>
      <c r="M756" s="1175">
        <v>1</v>
      </c>
      <c r="N756" s="1175">
        <v>0</v>
      </c>
      <c r="O756" s="1175">
        <v>1</v>
      </c>
      <c r="P756" s="100"/>
      <c r="Q756" s="100"/>
      <c r="R756" s="100"/>
      <c r="S756" s="100"/>
      <c r="T756" s="153" t="s">
        <v>2054</v>
      </c>
      <c r="U756" s="153" t="s">
        <v>168</v>
      </c>
      <c r="AA756"/>
      <c r="AB756"/>
      <c r="AC756" s="42"/>
      <c r="AD756" s="42"/>
    </row>
    <row r="757" spans="3:30" ht="13.5">
      <c r="C757" s="1181" t="s">
        <v>5428</v>
      </c>
      <c r="D757" s="1178">
        <v>1</v>
      </c>
      <c r="E757" s="1178">
        <v>1</v>
      </c>
      <c r="F757" s="1179">
        <v>2</v>
      </c>
      <c r="G757" s="1189" t="s">
        <v>5428</v>
      </c>
      <c r="H757" s="1176">
        <v>1</v>
      </c>
      <c r="I757" s="1176">
        <v>1</v>
      </c>
      <c r="J757" s="1190">
        <v>2</v>
      </c>
      <c r="K757" s="1180"/>
      <c r="L757" s="1174">
        <v>13067030407</v>
      </c>
      <c r="M757" s="1175">
        <v>1</v>
      </c>
      <c r="N757" s="1175">
        <v>1</v>
      </c>
      <c r="O757" s="1175">
        <v>2</v>
      </c>
      <c r="P757" s="100"/>
      <c r="Q757" s="100"/>
      <c r="R757" s="100"/>
      <c r="S757" s="100"/>
      <c r="T757" s="153" t="s">
        <v>5429</v>
      </c>
      <c r="U757" s="153" t="s">
        <v>3615</v>
      </c>
      <c r="AA757"/>
      <c r="AB757"/>
      <c r="AC757" s="42"/>
      <c r="AD757" s="42"/>
    </row>
    <row r="758" spans="3:30" ht="13.5">
      <c r="C758" s="1181" t="s">
        <v>5430</v>
      </c>
      <c r="D758" s="1178">
        <v>1</v>
      </c>
      <c r="E758" s="1178">
        <v>1</v>
      </c>
      <c r="F758" s="1179">
        <v>2</v>
      </c>
      <c r="G758" s="1189" t="s">
        <v>5430</v>
      </c>
      <c r="H758" s="1176">
        <v>1</v>
      </c>
      <c r="I758" s="1176">
        <v>1</v>
      </c>
      <c r="J758" s="1190">
        <v>2</v>
      </c>
      <c r="K758" s="1180"/>
      <c r="L758" s="1174">
        <v>13067030408</v>
      </c>
      <c r="M758" s="1175">
        <v>1</v>
      </c>
      <c r="N758" s="1175">
        <v>1</v>
      </c>
      <c r="O758" s="1175">
        <v>2</v>
      </c>
      <c r="P758" s="100"/>
      <c r="Q758" s="100"/>
      <c r="R758" s="100"/>
      <c r="S758" s="100"/>
      <c r="T758" s="153" t="s">
        <v>5431</v>
      </c>
      <c r="U758" s="153" t="s">
        <v>137</v>
      </c>
      <c r="AA758"/>
      <c r="AB758"/>
      <c r="AC758" s="42"/>
      <c r="AD758" s="42"/>
    </row>
    <row r="759" spans="3:30" ht="13.5">
      <c r="C759" s="1181" t="s">
        <v>5432</v>
      </c>
      <c r="D759" s="1178">
        <v>1</v>
      </c>
      <c r="E759" s="1178">
        <v>1</v>
      </c>
      <c r="F759" s="1179">
        <v>2</v>
      </c>
      <c r="G759" s="1189" t="s">
        <v>5432</v>
      </c>
      <c r="H759" s="1176">
        <v>1</v>
      </c>
      <c r="I759" s="1176">
        <v>1</v>
      </c>
      <c r="J759" s="1190">
        <v>2</v>
      </c>
      <c r="K759" s="1180"/>
      <c r="L759" s="1174">
        <v>13067030409</v>
      </c>
      <c r="M759" s="1175">
        <v>1</v>
      </c>
      <c r="N759" s="1175">
        <v>1</v>
      </c>
      <c r="O759" s="1175">
        <v>2</v>
      </c>
      <c r="P759" s="100"/>
      <c r="Q759" s="100"/>
      <c r="R759" s="100"/>
      <c r="S759" s="100"/>
      <c r="T759" s="153" t="s">
        <v>5433</v>
      </c>
      <c r="U759" s="153" t="s">
        <v>4012</v>
      </c>
      <c r="AA759"/>
      <c r="AB759"/>
      <c r="AC759" s="42"/>
      <c r="AD759" s="42"/>
    </row>
    <row r="760" spans="3:30" ht="13.5">
      <c r="C760" s="1181" t="s">
        <v>5434</v>
      </c>
      <c r="D760" s="1178">
        <v>1</v>
      </c>
      <c r="E760" s="1178">
        <v>1</v>
      </c>
      <c r="F760" s="1179">
        <v>2</v>
      </c>
      <c r="G760" s="1189" t="s">
        <v>5434</v>
      </c>
      <c r="H760" s="1176">
        <v>1</v>
      </c>
      <c r="I760" s="1176">
        <v>1</v>
      </c>
      <c r="J760" s="1190">
        <v>2</v>
      </c>
      <c r="K760" s="1180"/>
      <c r="L760" s="1174">
        <v>13067030410</v>
      </c>
      <c r="M760" s="1175">
        <v>1</v>
      </c>
      <c r="N760" s="1175">
        <v>1</v>
      </c>
      <c r="O760" s="1175">
        <v>2</v>
      </c>
      <c r="P760" s="100"/>
      <c r="Q760" s="100"/>
      <c r="R760" s="100"/>
      <c r="S760" s="100"/>
      <c r="T760" s="153" t="s">
        <v>5435</v>
      </c>
      <c r="U760" s="153" t="s">
        <v>4165</v>
      </c>
      <c r="AA760"/>
      <c r="AB760"/>
      <c r="AC760" s="42"/>
      <c r="AD760" s="42"/>
    </row>
    <row r="761" spans="3:30" ht="13.5">
      <c r="C761" s="1181" t="s">
        <v>5436</v>
      </c>
      <c r="D761" s="1178">
        <v>0</v>
      </c>
      <c r="E761" s="1178">
        <v>0</v>
      </c>
      <c r="F761" s="1179">
        <v>0</v>
      </c>
      <c r="G761" s="1189" t="s">
        <v>5436</v>
      </c>
      <c r="H761" s="1176">
        <v>0</v>
      </c>
      <c r="I761" s="1176" t="s">
        <v>4455</v>
      </c>
      <c r="J761" s="1190">
        <v>0</v>
      </c>
      <c r="K761" s="1180"/>
      <c r="L761" s="1174">
        <v>13067030411</v>
      </c>
      <c r="M761" s="1175">
        <v>0</v>
      </c>
      <c r="N761" s="1175">
        <v>0</v>
      </c>
      <c r="O761" s="1175">
        <v>0</v>
      </c>
      <c r="P761" s="100"/>
      <c r="Q761" s="100"/>
      <c r="R761" s="100"/>
      <c r="S761" s="100"/>
      <c r="T761" s="153" t="s">
        <v>4516</v>
      </c>
      <c r="U761" s="153" t="s">
        <v>3610</v>
      </c>
      <c r="AA761"/>
      <c r="AB761"/>
      <c r="AC761" s="42"/>
      <c r="AD761" s="42"/>
    </row>
    <row r="762" spans="3:30" ht="13.5">
      <c r="C762" s="1181" t="s">
        <v>5437</v>
      </c>
      <c r="D762" s="1178">
        <v>0</v>
      </c>
      <c r="E762" s="1178">
        <v>0</v>
      </c>
      <c r="F762" s="1179">
        <v>0</v>
      </c>
      <c r="G762" s="1189" t="s">
        <v>5437</v>
      </c>
      <c r="H762" s="1176">
        <v>0</v>
      </c>
      <c r="I762" s="1176">
        <v>0</v>
      </c>
      <c r="J762" s="1190">
        <v>0</v>
      </c>
      <c r="K762" s="1180"/>
      <c r="L762" s="1174">
        <v>13067030412</v>
      </c>
      <c r="M762" s="1175">
        <v>0</v>
      </c>
      <c r="N762" s="1175">
        <v>0</v>
      </c>
      <c r="O762" s="1175">
        <v>0</v>
      </c>
      <c r="P762" s="100"/>
      <c r="Q762" s="100"/>
      <c r="R762" s="100"/>
      <c r="S762" s="100"/>
      <c r="T762" s="153" t="s">
        <v>5438</v>
      </c>
      <c r="U762" s="153" t="s">
        <v>3827</v>
      </c>
      <c r="AA762"/>
      <c r="AB762"/>
      <c r="AC762" s="42"/>
      <c r="AD762" s="42"/>
    </row>
    <row r="763" spans="3:30" ht="13.5">
      <c r="C763" s="1181" t="s">
        <v>5439</v>
      </c>
      <c r="D763" s="1178">
        <v>0</v>
      </c>
      <c r="E763" s="1178">
        <v>0</v>
      </c>
      <c r="F763" s="1179">
        <v>0</v>
      </c>
      <c r="G763" s="1189" t="s">
        <v>5439</v>
      </c>
      <c r="H763" s="1176">
        <v>1</v>
      </c>
      <c r="I763" s="1176" t="s">
        <v>4455</v>
      </c>
      <c r="J763" s="1190">
        <v>1</v>
      </c>
      <c r="K763" s="1180"/>
      <c r="L763" s="1174">
        <v>13067030413</v>
      </c>
      <c r="M763" s="1175">
        <v>1</v>
      </c>
      <c r="N763" s="1175">
        <v>0</v>
      </c>
      <c r="O763" s="1175">
        <v>1</v>
      </c>
      <c r="P763" s="100"/>
      <c r="Q763" s="100"/>
      <c r="R763" s="100"/>
      <c r="S763" s="100"/>
      <c r="T763" s="153" t="s">
        <v>5440</v>
      </c>
      <c r="U763" s="153" t="s">
        <v>3770</v>
      </c>
      <c r="AA763"/>
      <c r="AB763"/>
      <c r="AC763" s="42"/>
      <c r="AD763" s="42"/>
    </row>
    <row r="764" spans="3:30" ht="13.5">
      <c r="C764" s="1181" t="s">
        <v>5441</v>
      </c>
      <c r="D764" s="1178">
        <v>0</v>
      </c>
      <c r="E764" s="1178">
        <v>0</v>
      </c>
      <c r="F764" s="1179">
        <v>0</v>
      </c>
      <c r="G764" s="1189" t="s">
        <v>5441</v>
      </c>
      <c r="H764" s="1176">
        <v>0</v>
      </c>
      <c r="I764" s="1176" t="s">
        <v>4455</v>
      </c>
      <c r="J764" s="1190">
        <v>0</v>
      </c>
      <c r="K764" s="1180"/>
      <c r="L764" s="1174">
        <v>13067030414</v>
      </c>
      <c r="M764" s="1175">
        <v>0</v>
      </c>
      <c r="N764" s="1175">
        <v>0</v>
      </c>
      <c r="O764" s="1175">
        <v>0</v>
      </c>
      <c r="P764" s="100"/>
      <c r="Q764" s="100"/>
      <c r="R764" s="100"/>
      <c r="S764" s="100"/>
      <c r="T764" s="153" t="s">
        <v>4520</v>
      </c>
      <c r="U764" s="153" t="s">
        <v>3658</v>
      </c>
      <c r="AA764"/>
      <c r="AB764"/>
      <c r="AC764" s="42"/>
      <c r="AD764" s="42"/>
    </row>
    <row r="765" spans="3:30" ht="13.5">
      <c r="C765" s="1181" t="s">
        <v>5442</v>
      </c>
      <c r="D765" s="1178">
        <v>1</v>
      </c>
      <c r="E765" s="1178">
        <v>1</v>
      </c>
      <c r="F765" s="1179">
        <v>2</v>
      </c>
      <c r="G765" s="1189" t="s">
        <v>5442</v>
      </c>
      <c r="H765" s="1176">
        <v>1</v>
      </c>
      <c r="I765" s="1176">
        <v>1</v>
      </c>
      <c r="J765" s="1190">
        <v>2</v>
      </c>
      <c r="K765" s="1180"/>
      <c r="L765" s="1174">
        <v>13067030502</v>
      </c>
      <c r="M765" s="1175">
        <v>1</v>
      </c>
      <c r="N765" s="1175">
        <v>1</v>
      </c>
      <c r="O765" s="1175">
        <v>2</v>
      </c>
      <c r="P765" s="100"/>
      <c r="Q765" s="100"/>
      <c r="R765" s="100"/>
      <c r="S765" s="100"/>
      <c r="T765" s="153" t="s">
        <v>4524</v>
      </c>
      <c r="U765" s="153" t="s">
        <v>3476</v>
      </c>
      <c r="AA765"/>
      <c r="AB765"/>
      <c r="AC765" s="42"/>
      <c r="AD765" s="42"/>
    </row>
    <row r="766" spans="3:30" ht="13.5">
      <c r="C766" s="1181" t="s">
        <v>5443</v>
      </c>
      <c r="D766" s="1178">
        <v>1</v>
      </c>
      <c r="E766" s="1178">
        <v>0</v>
      </c>
      <c r="F766" s="1179">
        <v>1</v>
      </c>
      <c r="G766" s="1189" t="s">
        <v>5443</v>
      </c>
      <c r="H766" s="1176">
        <v>1</v>
      </c>
      <c r="I766" s="1176">
        <v>0</v>
      </c>
      <c r="J766" s="1190">
        <v>1</v>
      </c>
      <c r="K766" s="1180"/>
      <c r="L766" s="1174">
        <v>13067030504</v>
      </c>
      <c r="M766" s="1175">
        <v>1</v>
      </c>
      <c r="N766" s="1175">
        <v>0</v>
      </c>
      <c r="O766" s="1175">
        <v>1</v>
      </c>
      <c r="P766" s="100"/>
      <c r="Q766" s="100"/>
      <c r="R766" s="100"/>
      <c r="S766" s="100"/>
      <c r="T766" s="153" t="s">
        <v>5444</v>
      </c>
      <c r="U766" s="153" t="s">
        <v>128</v>
      </c>
      <c r="AA766"/>
      <c r="AB766"/>
      <c r="AC766" s="42"/>
      <c r="AD766" s="42"/>
    </row>
    <row r="767" spans="3:30" ht="13.5">
      <c r="C767" s="1181" t="s">
        <v>5445</v>
      </c>
      <c r="D767" s="1178">
        <v>1</v>
      </c>
      <c r="E767" s="1178">
        <v>0</v>
      </c>
      <c r="F767" s="1179">
        <v>1</v>
      </c>
      <c r="G767" s="1189" t="s">
        <v>5445</v>
      </c>
      <c r="H767" s="1176">
        <v>1</v>
      </c>
      <c r="I767" s="1176">
        <v>0</v>
      </c>
      <c r="J767" s="1190">
        <v>1</v>
      </c>
      <c r="K767" s="1180"/>
      <c r="L767" s="1174">
        <v>13067030505</v>
      </c>
      <c r="M767" s="1175">
        <v>1</v>
      </c>
      <c r="N767" s="1175">
        <v>0</v>
      </c>
      <c r="O767" s="1175">
        <v>1</v>
      </c>
      <c r="P767" s="100"/>
      <c r="Q767" s="100"/>
      <c r="R767" s="100"/>
      <c r="S767" s="100"/>
      <c r="T767" s="153" t="s">
        <v>5446</v>
      </c>
      <c r="U767" s="153" t="s">
        <v>4116</v>
      </c>
      <c r="AA767"/>
      <c r="AB767"/>
      <c r="AC767" s="42"/>
      <c r="AD767" s="42"/>
    </row>
    <row r="768" spans="3:30" ht="13.5">
      <c r="C768" s="1181" t="s">
        <v>5447</v>
      </c>
      <c r="D768" s="1178">
        <v>1</v>
      </c>
      <c r="E768" s="1178">
        <v>1</v>
      </c>
      <c r="F768" s="1179">
        <v>2</v>
      </c>
      <c r="G768" s="1189" t="s">
        <v>5447</v>
      </c>
      <c r="H768" s="1176">
        <v>1</v>
      </c>
      <c r="I768" s="1176">
        <v>0</v>
      </c>
      <c r="J768" s="1190">
        <v>1</v>
      </c>
      <c r="K768" s="1180"/>
      <c r="L768" s="1174">
        <v>13067030506</v>
      </c>
      <c r="M768" s="1175">
        <v>1</v>
      </c>
      <c r="N768" s="1175">
        <v>1</v>
      </c>
      <c r="O768" s="1175">
        <v>2</v>
      </c>
      <c r="P768" s="100"/>
      <c r="Q768" s="100"/>
      <c r="R768" s="100"/>
      <c r="S768" s="100"/>
      <c r="T768" s="153" t="s">
        <v>4528</v>
      </c>
      <c r="U768" s="153" t="s">
        <v>126</v>
      </c>
      <c r="AA768"/>
      <c r="AB768"/>
      <c r="AC768" s="42"/>
      <c r="AD768" s="42"/>
    </row>
    <row r="769" spans="3:30" ht="13.5">
      <c r="C769" s="1181" t="s">
        <v>5448</v>
      </c>
      <c r="D769" s="1178">
        <v>1</v>
      </c>
      <c r="E769" s="1178">
        <v>1</v>
      </c>
      <c r="F769" s="1179">
        <v>2</v>
      </c>
      <c r="G769" s="1189" t="s">
        <v>5448</v>
      </c>
      <c r="H769" s="1176">
        <v>1</v>
      </c>
      <c r="I769" s="1176">
        <v>1</v>
      </c>
      <c r="J769" s="1190">
        <v>2</v>
      </c>
      <c r="K769" s="1180"/>
      <c r="L769" s="1174">
        <v>13067030507</v>
      </c>
      <c r="M769" s="1175">
        <v>1</v>
      </c>
      <c r="N769" s="1175">
        <v>1</v>
      </c>
      <c r="O769" s="1175">
        <v>2</v>
      </c>
      <c r="P769" s="100"/>
      <c r="Q769" s="100"/>
      <c r="R769" s="100"/>
      <c r="S769" s="100"/>
      <c r="T769" s="153" t="s">
        <v>5449</v>
      </c>
      <c r="U769" s="153" t="s">
        <v>130</v>
      </c>
      <c r="AA769"/>
      <c r="AB769"/>
      <c r="AC769" s="42"/>
      <c r="AD769" s="42"/>
    </row>
    <row r="770" spans="3:30" ht="13.5">
      <c r="C770" s="1181" t="s">
        <v>5450</v>
      </c>
      <c r="D770" s="1178">
        <v>1</v>
      </c>
      <c r="E770" s="1178">
        <v>1</v>
      </c>
      <c r="F770" s="1179">
        <v>2</v>
      </c>
      <c r="G770" s="1189" t="s">
        <v>5450</v>
      </c>
      <c r="H770" s="1176">
        <v>1</v>
      </c>
      <c r="I770" s="1176" t="s">
        <v>4455</v>
      </c>
      <c r="J770" s="1190">
        <v>1</v>
      </c>
      <c r="K770" s="1180"/>
      <c r="L770" s="1174">
        <v>13067030601</v>
      </c>
      <c r="M770" s="1175">
        <v>1</v>
      </c>
      <c r="N770" s="1175">
        <v>1</v>
      </c>
      <c r="O770" s="1175">
        <v>2</v>
      </c>
      <c r="P770" s="100"/>
      <c r="Q770" s="100"/>
      <c r="R770" s="100"/>
      <c r="S770" s="100"/>
      <c r="T770" s="153"/>
      <c r="U770" s="153"/>
      <c r="AA770"/>
      <c r="AB770"/>
      <c r="AC770" s="42"/>
      <c r="AD770" s="42"/>
    </row>
    <row r="771" spans="3:30" ht="13.5">
      <c r="C771" s="1181" t="s">
        <v>5451</v>
      </c>
      <c r="D771" s="1178">
        <v>1</v>
      </c>
      <c r="E771" s="1178">
        <v>1</v>
      </c>
      <c r="F771" s="1179">
        <v>2</v>
      </c>
      <c r="G771" s="1189" t="s">
        <v>5451</v>
      </c>
      <c r="H771" s="1176">
        <v>1</v>
      </c>
      <c r="I771" s="1176">
        <v>1</v>
      </c>
      <c r="J771" s="1190">
        <v>2</v>
      </c>
      <c r="K771" s="1180"/>
      <c r="L771" s="1174">
        <v>13067030602</v>
      </c>
      <c r="M771" s="1175">
        <v>1</v>
      </c>
      <c r="N771" s="1175">
        <v>1</v>
      </c>
      <c r="O771" s="1175">
        <v>2</v>
      </c>
      <c r="P771" s="100"/>
      <c r="Q771" s="100"/>
      <c r="R771" s="100"/>
      <c r="S771" s="100"/>
      <c r="T771" s="153"/>
      <c r="U771" s="153"/>
      <c r="AA771"/>
      <c r="AB771"/>
      <c r="AC771" s="42"/>
      <c r="AD771" s="42"/>
    </row>
    <row r="772" spans="3:30" ht="13.5">
      <c r="C772" s="1181" t="s">
        <v>5452</v>
      </c>
      <c r="D772" s="1178">
        <v>1</v>
      </c>
      <c r="E772" s="1178">
        <v>0</v>
      </c>
      <c r="F772" s="1179">
        <v>1</v>
      </c>
      <c r="G772" s="1189" t="s">
        <v>5452</v>
      </c>
      <c r="H772" s="1176">
        <v>1</v>
      </c>
      <c r="I772" s="1176">
        <v>0</v>
      </c>
      <c r="J772" s="1190">
        <v>0</v>
      </c>
      <c r="K772" s="1180"/>
      <c r="L772" s="1174">
        <v>13067030700</v>
      </c>
      <c r="M772" s="1175">
        <v>1</v>
      </c>
      <c r="N772" s="1175">
        <v>0</v>
      </c>
      <c r="O772" s="1175">
        <v>1</v>
      </c>
      <c r="P772" s="100"/>
      <c r="T772" s="153"/>
      <c r="U772" s="153"/>
      <c r="AA772"/>
      <c r="AB772"/>
      <c r="AC772" s="42"/>
      <c r="AD772" s="42"/>
    </row>
    <row r="773" spans="3:30" ht="13.5">
      <c r="C773" s="1181" t="s">
        <v>5453</v>
      </c>
      <c r="D773" s="1178">
        <v>0</v>
      </c>
      <c r="E773" s="1178">
        <v>0</v>
      </c>
      <c r="F773" s="1179">
        <v>0</v>
      </c>
      <c r="G773" s="1189" t="s">
        <v>5453</v>
      </c>
      <c r="H773" s="1176">
        <v>0</v>
      </c>
      <c r="I773" s="1176" t="s">
        <v>4455</v>
      </c>
      <c r="J773" s="1190">
        <v>0</v>
      </c>
      <c r="K773" s="1180"/>
      <c r="L773" s="1174">
        <v>13067030800</v>
      </c>
      <c r="M773" s="1175">
        <v>0</v>
      </c>
      <c r="N773" s="1175">
        <v>0</v>
      </c>
      <c r="O773" s="1175">
        <v>0</v>
      </c>
      <c r="T773" s="27"/>
      <c r="U773" s="27"/>
      <c r="AA773"/>
      <c r="AB773"/>
      <c r="AC773" s="42"/>
      <c r="AD773" s="42"/>
    </row>
    <row r="774" spans="3:30" ht="13.5">
      <c r="C774" s="1181" t="s">
        <v>5454</v>
      </c>
      <c r="D774" s="1178">
        <v>1</v>
      </c>
      <c r="E774" s="1178">
        <v>1</v>
      </c>
      <c r="F774" s="1179">
        <v>2</v>
      </c>
      <c r="G774" s="1189" t="s">
        <v>5454</v>
      </c>
      <c r="H774" s="1176">
        <v>1</v>
      </c>
      <c r="I774" s="1176">
        <v>1</v>
      </c>
      <c r="J774" s="1190">
        <v>2</v>
      </c>
      <c r="K774" s="1180"/>
      <c r="L774" s="1174">
        <v>13067030901</v>
      </c>
      <c r="M774" s="1175">
        <v>1</v>
      </c>
      <c r="N774" s="1175">
        <v>1</v>
      </c>
      <c r="O774" s="1175">
        <v>2</v>
      </c>
      <c r="T774" s="27"/>
      <c r="U774" s="27"/>
      <c r="AA774"/>
      <c r="AB774"/>
      <c r="AC774" s="42"/>
      <c r="AD774" s="42"/>
    </row>
    <row r="775" spans="3:30" ht="13.5">
      <c r="C775" s="1181" t="s">
        <v>5455</v>
      </c>
      <c r="D775" s="1178">
        <v>1</v>
      </c>
      <c r="E775" s="1178">
        <v>0</v>
      </c>
      <c r="F775" s="1179">
        <v>1</v>
      </c>
      <c r="G775" s="1189" t="s">
        <v>5455</v>
      </c>
      <c r="H775" s="1176">
        <v>1</v>
      </c>
      <c r="I775" s="1176">
        <v>0</v>
      </c>
      <c r="J775" s="1190">
        <v>1</v>
      </c>
      <c r="K775" s="1180"/>
      <c r="L775" s="1174">
        <v>13067030902</v>
      </c>
      <c r="M775" s="1175">
        <v>1</v>
      </c>
      <c r="N775" s="1175">
        <v>0</v>
      </c>
      <c r="O775" s="1175">
        <v>1</v>
      </c>
      <c r="T775" s="27"/>
      <c r="U775" s="27"/>
      <c r="AA775"/>
      <c r="AB775"/>
      <c r="AC775" s="42"/>
      <c r="AD775" s="42"/>
    </row>
    <row r="776" spans="3:30" ht="13.5">
      <c r="C776" s="1181" t="s">
        <v>5456</v>
      </c>
      <c r="D776" s="1178">
        <v>0</v>
      </c>
      <c r="E776" s="1178">
        <v>0</v>
      </c>
      <c r="F776" s="1179">
        <v>0</v>
      </c>
      <c r="G776" s="1189" t="s">
        <v>5456</v>
      </c>
      <c r="H776" s="1176">
        <v>0</v>
      </c>
      <c r="I776" s="1176">
        <v>0</v>
      </c>
      <c r="J776" s="1190">
        <v>0</v>
      </c>
      <c r="K776" s="1180"/>
      <c r="L776" s="1174">
        <v>13067030904</v>
      </c>
      <c r="M776" s="1175">
        <v>0</v>
      </c>
      <c r="N776" s="1175">
        <v>0</v>
      </c>
      <c r="O776" s="1175">
        <v>0</v>
      </c>
      <c r="T776" s="27"/>
      <c r="U776" s="27"/>
      <c r="AA776"/>
      <c r="AB776"/>
      <c r="AC776" s="42"/>
      <c r="AD776" s="42"/>
    </row>
    <row r="777" spans="3:30" ht="13.5">
      <c r="C777" s="1181" t="s">
        <v>5457</v>
      </c>
      <c r="D777" s="1178">
        <v>0</v>
      </c>
      <c r="E777" s="1178">
        <v>0</v>
      </c>
      <c r="F777" s="1179">
        <v>0</v>
      </c>
      <c r="G777" s="1189" t="s">
        <v>5457</v>
      </c>
      <c r="H777" s="1176">
        <v>0</v>
      </c>
      <c r="I777" s="1176">
        <v>0</v>
      </c>
      <c r="J777" s="1190">
        <v>0</v>
      </c>
      <c r="K777" s="1180"/>
      <c r="L777" s="1174">
        <v>13067030905</v>
      </c>
      <c r="M777" s="1175">
        <v>0</v>
      </c>
      <c r="N777" s="1175">
        <v>0</v>
      </c>
      <c r="O777" s="1175">
        <v>0</v>
      </c>
      <c r="AA777"/>
      <c r="AB777"/>
      <c r="AC777" s="42"/>
      <c r="AD777" s="42"/>
    </row>
    <row r="778" spans="3:30" ht="13.5">
      <c r="C778" s="1181" t="s">
        <v>5458</v>
      </c>
      <c r="D778" s="1178">
        <v>0</v>
      </c>
      <c r="E778" s="1178">
        <v>0</v>
      </c>
      <c r="F778" s="1179">
        <v>0</v>
      </c>
      <c r="G778" s="1189" t="s">
        <v>5458</v>
      </c>
      <c r="H778" s="1176">
        <v>0</v>
      </c>
      <c r="I778" s="1176">
        <v>0</v>
      </c>
      <c r="J778" s="1190">
        <v>0</v>
      </c>
      <c r="K778" s="1180"/>
      <c r="L778" s="1174">
        <v>13067031001</v>
      </c>
      <c r="M778" s="1175">
        <v>0</v>
      </c>
      <c r="N778" s="1175">
        <v>0</v>
      </c>
      <c r="O778" s="1175">
        <v>0</v>
      </c>
      <c r="AA778"/>
      <c r="AB778"/>
      <c r="AC778" s="42"/>
      <c r="AD778" s="42"/>
    </row>
    <row r="779" spans="3:30" ht="13.5">
      <c r="C779" s="1181" t="s">
        <v>5459</v>
      </c>
      <c r="D779" s="1178">
        <v>0</v>
      </c>
      <c r="E779" s="1178">
        <v>0</v>
      </c>
      <c r="F779" s="1179">
        <v>0</v>
      </c>
      <c r="G779" s="1189" t="s">
        <v>5459</v>
      </c>
      <c r="H779" s="1176">
        <v>0</v>
      </c>
      <c r="I779" s="1176">
        <v>0</v>
      </c>
      <c r="J779" s="1190">
        <v>0</v>
      </c>
      <c r="K779" s="1180"/>
      <c r="L779" s="1174">
        <v>13067031002</v>
      </c>
      <c r="M779" s="1175">
        <v>0</v>
      </c>
      <c r="N779" s="1175">
        <v>0</v>
      </c>
      <c r="O779" s="1175">
        <v>0</v>
      </c>
      <c r="AA779"/>
      <c r="AB779"/>
      <c r="AC779" s="42"/>
      <c r="AD779" s="42"/>
    </row>
    <row r="780" spans="3:30" ht="13.5">
      <c r="C780" s="1181" t="s">
        <v>5460</v>
      </c>
      <c r="D780" s="1178">
        <v>0</v>
      </c>
      <c r="E780" s="1178">
        <v>0</v>
      </c>
      <c r="F780" s="1179">
        <v>0</v>
      </c>
      <c r="G780" s="1189" t="s">
        <v>5460</v>
      </c>
      <c r="H780" s="1176">
        <v>0</v>
      </c>
      <c r="I780" s="1176">
        <v>0</v>
      </c>
      <c r="J780" s="1190">
        <v>0</v>
      </c>
      <c r="K780" s="1180"/>
      <c r="L780" s="1174">
        <v>13067031004</v>
      </c>
      <c r="M780" s="1175">
        <v>0</v>
      </c>
      <c r="N780" s="1175">
        <v>0</v>
      </c>
      <c r="O780" s="1175">
        <v>0</v>
      </c>
      <c r="AA780"/>
      <c r="AB780"/>
      <c r="AC780" s="42"/>
      <c r="AD780" s="42"/>
    </row>
    <row r="781" spans="3:30" ht="13.5">
      <c r="C781" s="1181" t="s">
        <v>5461</v>
      </c>
      <c r="D781" s="1178">
        <v>0</v>
      </c>
      <c r="E781" s="1178">
        <v>0</v>
      </c>
      <c r="F781" s="1179">
        <v>0</v>
      </c>
      <c r="G781" s="1189" t="s">
        <v>5461</v>
      </c>
      <c r="H781" s="1176">
        <v>0</v>
      </c>
      <c r="I781" s="1176">
        <v>0</v>
      </c>
      <c r="J781" s="1190">
        <v>0</v>
      </c>
      <c r="K781" s="1180"/>
      <c r="L781" s="1174">
        <v>13067031005</v>
      </c>
      <c r="M781" s="1175">
        <v>0</v>
      </c>
      <c r="N781" s="1175">
        <v>0</v>
      </c>
      <c r="O781" s="1175">
        <v>0</v>
      </c>
      <c r="AA781"/>
      <c r="AB781"/>
      <c r="AC781" s="42"/>
      <c r="AD781" s="42"/>
    </row>
    <row r="782" spans="3:30" ht="13.5">
      <c r="C782" s="1181" t="s">
        <v>5462</v>
      </c>
      <c r="D782" s="1178">
        <v>0</v>
      </c>
      <c r="E782" s="1178">
        <v>0</v>
      </c>
      <c r="F782" s="1179">
        <v>0</v>
      </c>
      <c r="G782" s="1189" t="s">
        <v>5462</v>
      </c>
      <c r="H782" s="1176">
        <v>0</v>
      </c>
      <c r="I782" s="1176">
        <v>0</v>
      </c>
      <c r="J782" s="1190">
        <v>0</v>
      </c>
      <c r="K782" s="1180"/>
      <c r="L782" s="1174">
        <v>13067031101</v>
      </c>
      <c r="M782" s="1175">
        <v>0</v>
      </c>
      <c r="N782" s="1175">
        <v>0</v>
      </c>
      <c r="O782" s="1175">
        <v>0</v>
      </c>
      <c r="AA782"/>
      <c r="AB782"/>
      <c r="AC782" s="42"/>
      <c r="AD782" s="42"/>
    </row>
    <row r="783" spans="3:30" ht="13.5">
      <c r="C783" s="1181" t="s">
        <v>5463</v>
      </c>
      <c r="D783" s="1178">
        <v>1</v>
      </c>
      <c r="E783" s="1178">
        <v>0</v>
      </c>
      <c r="F783" s="1179">
        <v>1</v>
      </c>
      <c r="G783" s="1189" t="s">
        <v>5463</v>
      </c>
      <c r="H783" s="1176">
        <v>1</v>
      </c>
      <c r="I783" s="1176">
        <v>1</v>
      </c>
      <c r="J783" s="1190">
        <v>2</v>
      </c>
      <c r="K783" s="1180"/>
      <c r="L783" s="1174">
        <v>13067031106</v>
      </c>
      <c r="M783" s="1175">
        <v>1</v>
      </c>
      <c r="N783" s="1175">
        <v>1</v>
      </c>
      <c r="O783" s="1175">
        <v>2</v>
      </c>
      <c r="AA783"/>
      <c r="AB783"/>
      <c r="AC783" s="42"/>
      <c r="AD783" s="42"/>
    </row>
    <row r="784" spans="3:30" ht="13.5">
      <c r="C784" s="1181" t="s">
        <v>5464</v>
      </c>
      <c r="D784" s="1178">
        <v>1</v>
      </c>
      <c r="E784" s="1178">
        <v>0</v>
      </c>
      <c r="F784" s="1179">
        <v>1</v>
      </c>
      <c r="G784" s="1189" t="s">
        <v>5464</v>
      </c>
      <c r="H784" s="1176">
        <v>1</v>
      </c>
      <c r="I784" s="1176">
        <v>1</v>
      </c>
      <c r="J784" s="1190">
        <v>2</v>
      </c>
      <c r="K784" s="1180"/>
      <c r="L784" s="1174">
        <v>13067031108</v>
      </c>
      <c r="M784" s="1175">
        <v>1</v>
      </c>
      <c r="N784" s="1175">
        <v>1</v>
      </c>
      <c r="O784" s="1175">
        <v>2</v>
      </c>
      <c r="AA784"/>
      <c r="AB784"/>
      <c r="AC784" s="42"/>
      <c r="AD784" s="42"/>
    </row>
    <row r="785" spans="3:30" ht="13.5">
      <c r="C785" s="1181" t="s">
        <v>5465</v>
      </c>
      <c r="D785" s="1178">
        <v>1</v>
      </c>
      <c r="E785" s="1178">
        <v>0</v>
      </c>
      <c r="F785" s="1179">
        <v>1</v>
      </c>
      <c r="G785" s="1189" t="s">
        <v>5465</v>
      </c>
      <c r="H785" s="1176">
        <v>1</v>
      </c>
      <c r="I785" s="1176">
        <v>0</v>
      </c>
      <c r="J785" s="1190">
        <v>1</v>
      </c>
      <c r="K785" s="1180"/>
      <c r="L785" s="1174">
        <v>13067031110</v>
      </c>
      <c r="M785" s="1175">
        <v>1</v>
      </c>
      <c r="N785" s="1175">
        <v>0</v>
      </c>
      <c r="O785" s="1175">
        <v>1</v>
      </c>
      <c r="AA785"/>
      <c r="AB785"/>
      <c r="AC785" s="42"/>
      <c r="AD785" s="42"/>
    </row>
    <row r="786" spans="3:30" ht="13.5">
      <c r="C786" s="1181" t="s">
        <v>5466</v>
      </c>
      <c r="D786" s="1178">
        <v>1</v>
      </c>
      <c r="E786" s="1178">
        <v>1</v>
      </c>
      <c r="F786" s="1179">
        <v>2</v>
      </c>
      <c r="G786" s="1189" t="s">
        <v>5466</v>
      </c>
      <c r="H786" s="1176">
        <v>1</v>
      </c>
      <c r="I786" s="1176">
        <v>1</v>
      </c>
      <c r="J786" s="1190">
        <v>2</v>
      </c>
      <c r="K786" s="1180"/>
      <c r="L786" s="1174">
        <v>13067031111</v>
      </c>
      <c r="M786" s="1175">
        <v>1</v>
      </c>
      <c r="N786" s="1175">
        <v>1</v>
      </c>
      <c r="O786" s="1175">
        <v>2</v>
      </c>
      <c r="AA786"/>
      <c r="AB786"/>
      <c r="AC786" s="42"/>
      <c r="AD786" s="42"/>
    </row>
    <row r="787" spans="3:30" ht="13.5">
      <c r="C787" s="1181" t="s">
        <v>5467</v>
      </c>
      <c r="D787" s="1178">
        <v>1</v>
      </c>
      <c r="E787" s="1178">
        <v>1</v>
      </c>
      <c r="F787" s="1179">
        <v>2</v>
      </c>
      <c r="G787" s="1189" t="s">
        <v>5467</v>
      </c>
      <c r="H787" s="1176">
        <v>1</v>
      </c>
      <c r="I787" s="1176">
        <v>1</v>
      </c>
      <c r="J787" s="1190">
        <v>2</v>
      </c>
      <c r="K787" s="1180"/>
      <c r="L787" s="1174">
        <v>13067031112</v>
      </c>
      <c r="M787" s="1175">
        <v>1</v>
      </c>
      <c r="N787" s="1175">
        <v>1</v>
      </c>
      <c r="O787" s="1175">
        <v>2</v>
      </c>
      <c r="AA787"/>
      <c r="AB787"/>
      <c r="AC787" s="42"/>
      <c r="AD787" s="42"/>
    </row>
    <row r="788" spans="3:30" ht="13.5">
      <c r="C788" s="1181" t="s">
        <v>5468</v>
      </c>
      <c r="D788" s="1178">
        <v>0</v>
      </c>
      <c r="E788" s="1178">
        <v>0</v>
      </c>
      <c r="F788" s="1179">
        <v>0</v>
      </c>
      <c r="G788" s="1189" t="s">
        <v>5468</v>
      </c>
      <c r="H788" s="1176">
        <v>1</v>
      </c>
      <c r="I788" s="1176" t="s">
        <v>4455</v>
      </c>
      <c r="J788" s="1190">
        <v>1</v>
      </c>
      <c r="K788" s="1180"/>
      <c r="L788" s="1174">
        <v>13067031113</v>
      </c>
      <c r="M788" s="1175">
        <v>1</v>
      </c>
      <c r="N788" s="1175">
        <v>0</v>
      </c>
      <c r="O788" s="1175">
        <v>1</v>
      </c>
      <c r="AA788"/>
      <c r="AB788"/>
      <c r="AC788" s="42"/>
      <c r="AD788" s="42"/>
    </row>
    <row r="789" spans="3:30" ht="13.5">
      <c r="C789" s="1181" t="s">
        <v>5469</v>
      </c>
      <c r="D789" s="1178">
        <v>0</v>
      </c>
      <c r="E789" s="1178">
        <v>0</v>
      </c>
      <c r="F789" s="1179">
        <v>0</v>
      </c>
      <c r="G789" s="1189" t="s">
        <v>5469</v>
      </c>
      <c r="H789" s="1176">
        <v>1</v>
      </c>
      <c r="I789" s="1176">
        <v>0</v>
      </c>
      <c r="J789" s="1190">
        <v>1</v>
      </c>
      <c r="K789" s="1180"/>
      <c r="L789" s="1174">
        <v>13067031114</v>
      </c>
      <c r="M789" s="1175">
        <v>1</v>
      </c>
      <c r="N789" s="1175">
        <v>0</v>
      </c>
      <c r="O789" s="1175">
        <v>1</v>
      </c>
      <c r="AA789"/>
      <c r="AB789"/>
      <c r="AC789" s="42"/>
      <c r="AD789" s="42"/>
    </row>
    <row r="790" spans="3:30" ht="13.5">
      <c r="C790" s="1181" t="s">
        <v>5470</v>
      </c>
      <c r="D790" s="1178">
        <v>1</v>
      </c>
      <c r="E790" s="1178">
        <v>0</v>
      </c>
      <c r="F790" s="1179">
        <v>1</v>
      </c>
      <c r="G790" s="1189" t="s">
        <v>5470</v>
      </c>
      <c r="H790" s="1176">
        <v>1</v>
      </c>
      <c r="I790" s="1176">
        <v>0</v>
      </c>
      <c r="J790" s="1190">
        <v>1</v>
      </c>
      <c r="K790" s="1180"/>
      <c r="L790" s="1174">
        <v>13067031115</v>
      </c>
      <c r="M790" s="1175">
        <v>1</v>
      </c>
      <c r="N790" s="1175">
        <v>0</v>
      </c>
      <c r="O790" s="1175">
        <v>1</v>
      </c>
      <c r="AA790"/>
      <c r="AB790"/>
      <c r="AC790" s="42"/>
      <c r="AD790" s="42"/>
    </row>
    <row r="791" spans="3:30" ht="13.5">
      <c r="C791" s="1181" t="s">
        <v>5471</v>
      </c>
      <c r="D791" s="1178">
        <v>0</v>
      </c>
      <c r="E791" s="1178">
        <v>0</v>
      </c>
      <c r="F791" s="1179">
        <v>0</v>
      </c>
      <c r="G791" s="1189" t="s">
        <v>5471</v>
      </c>
      <c r="H791" s="1176">
        <v>0</v>
      </c>
      <c r="I791" s="1176" t="s">
        <v>4455</v>
      </c>
      <c r="J791" s="1190">
        <v>0</v>
      </c>
      <c r="K791" s="1180"/>
      <c r="L791" s="1174">
        <v>13067031116</v>
      </c>
      <c r="M791" s="1175">
        <v>0</v>
      </c>
      <c r="N791" s="1175">
        <v>0</v>
      </c>
      <c r="O791" s="1175">
        <v>0</v>
      </c>
      <c r="AA791"/>
      <c r="AB791"/>
      <c r="AC791" s="42"/>
      <c r="AD791" s="42"/>
    </row>
    <row r="792" spans="3:30" ht="13.5">
      <c r="C792" s="1181" t="s">
        <v>5472</v>
      </c>
      <c r="D792" s="1178">
        <v>1</v>
      </c>
      <c r="E792" s="1178">
        <v>1</v>
      </c>
      <c r="F792" s="1179">
        <v>2</v>
      </c>
      <c r="G792" s="1189" t="s">
        <v>5472</v>
      </c>
      <c r="H792" s="1176">
        <v>1</v>
      </c>
      <c r="I792" s="1176">
        <v>1</v>
      </c>
      <c r="J792" s="1190">
        <v>2</v>
      </c>
      <c r="K792" s="1180"/>
      <c r="L792" s="1174">
        <v>13067031117</v>
      </c>
      <c r="M792" s="1175">
        <v>1</v>
      </c>
      <c r="N792" s="1175">
        <v>1</v>
      </c>
      <c r="O792" s="1175">
        <v>2</v>
      </c>
      <c r="AA792"/>
      <c r="AB792"/>
      <c r="AC792" s="42"/>
      <c r="AD792" s="42"/>
    </row>
    <row r="793" spans="3:30" ht="13.5">
      <c r="C793" s="1181" t="s">
        <v>5473</v>
      </c>
      <c r="D793" s="1178">
        <v>1</v>
      </c>
      <c r="E793" s="1178">
        <v>1</v>
      </c>
      <c r="F793" s="1179">
        <v>2</v>
      </c>
      <c r="G793" s="1189" t="s">
        <v>5473</v>
      </c>
      <c r="H793" s="1176">
        <v>1</v>
      </c>
      <c r="I793" s="1176">
        <v>1</v>
      </c>
      <c r="J793" s="1190">
        <v>2</v>
      </c>
      <c r="K793" s="1180"/>
      <c r="L793" s="1174">
        <v>13067031118</v>
      </c>
      <c r="M793" s="1175">
        <v>1</v>
      </c>
      <c r="N793" s="1175">
        <v>1</v>
      </c>
      <c r="O793" s="1175">
        <v>2</v>
      </c>
      <c r="AA793"/>
      <c r="AB793"/>
      <c r="AC793" s="42"/>
      <c r="AD793" s="42"/>
    </row>
    <row r="794" spans="3:30" ht="13.5">
      <c r="C794" s="1181" t="s">
        <v>5474</v>
      </c>
      <c r="D794" s="1178">
        <v>1</v>
      </c>
      <c r="E794" s="1178">
        <v>1</v>
      </c>
      <c r="F794" s="1179">
        <v>2</v>
      </c>
      <c r="G794" s="1189" t="s">
        <v>5474</v>
      </c>
      <c r="H794" s="1176">
        <v>1</v>
      </c>
      <c r="I794" s="1176">
        <v>1</v>
      </c>
      <c r="J794" s="1190">
        <v>2</v>
      </c>
      <c r="K794" s="1180"/>
      <c r="L794" s="1174">
        <v>13067031205</v>
      </c>
      <c r="M794" s="1175">
        <v>1</v>
      </c>
      <c r="N794" s="1175">
        <v>1</v>
      </c>
      <c r="O794" s="1175">
        <v>2</v>
      </c>
      <c r="AA794"/>
      <c r="AB794"/>
      <c r="AC794" s="42"/>
      <c r="AD794" s="42"/>
    </row>
    <row r="795" spans="3:30" ht="13.5">
      <c r="C795" s="1181" t="s">
        <v>5475</v>
      </c>
      <c r="D795" s="1178">
        <v>1</v>
      </c>
      <c r="E795" s="1178">
        <v>1</v>
      </c>
      <c r="F795" s="1179">
        <v>2</v>
      </c>
      <c r="G795" s="1189" t="s">
        <v>5475</v>
      </c>
      <c r="H795" s="1176">
        <v>1</v>
      </c>
      <c r="I795" s="1176">
        <v>1</v>
      </c>
      <c r="J795" s="1190">
        <v>2</v>
      </c>
      <c r="K795" s="1180"/>
      <c r="L795" s="1174">
        <v>13067031206</v>
      </c>
      <c r="M795" s="1175">
        <v>1</v>
      </c>
      <c r="N795" s="1175">
        <v>1</v>
      </c>
      <c r="O795" s="1175">
        <v>2</v>
      </c>
      <c r="AA795"/>
      <c r="AB795"/>
      <c r="AC795" s="42"/>
      <c r="AD795" s="42"/>
    </row>
    <row r="796" spans="3:30" ht="13.5">
      <c r="C796" s="1181" t="s">
        <v>5476</v>
      </c>
      <c r="D796" s="1178">
        <v>1</v>
      </c>
      <c r="E796" s="1178">
        <v>1</v>
      </c>
      <c r="F796" s="1179">
        <v>2</v>
      </c>
      <c r="G796" s="1189" t="s">
        <v>5476</v>
      </c>
      <c r="H796" s="1176">
        <v>1</v>
      </c>
      <c r="I796" s="1176" t="s">
        <v>4455</v>
      </c>
      <c r="J796" s="1190">
        <v>1</v>
      </c>
      <c r="K796" s="1180"/>
      <c r="L796" s="1174">
        <v>13067031207</v>
      </c>
      <c r="M796" s="1175">
        <v>1</v>
      </c>
      <c r="N796" s="1175">
        <v>1</v>
      </c>
      <c r="O796" s="1175">
        <v>2</v>
      </c>
      <c r="AA796"/>
      <c r="AB796"/>
      <c r="AC796" s="42"/>
      <c r="AD796" s="42"/>
    </row>
    <row r="797" spans="3:30" ht="13.5">
      <c r="C797" s="1181" t="s">
        <v>5477</v>
      </c>
      <c r="D797" s="1178">
        <v>1</v>
      </c>
      <c r="E797" s="1178">
        <v>1</v>
      </c>
      <c r="F797" s="1179">
        <v>2</v>
      </c>
      <c r="G797" s="1189" t="s">
        <v>5477</v>
      </c>
      <c r="H797" s="1176">
        <v>1</v>
      </c>
      <c r="I797" s="1176">
        <v>1</v>
      </c>
      <c r="J797" s="1190">
        <v>2</v>
      </c>
      <c r="K797" s="1180"/>
      <c r="L797" s="1174">
        <v>13067031208</v>
      </c>
      <c r="M797" s="1175">
        <v>1</v>
      </c>
      <c r="N797" s="1175">
        <v>1</v>
      </c>
      <c r="O797" s="1175">
        <v>2</v>
      </c>
      <c r="AA797"/>
      <c r="AB797"/>
      <c r="AC797" s="42"/>
      <c r="AD797" s="42"/>
    </row>
    <row r="798" spans="3:30" ht="13.5">
      <c r="C798" s="1181" t="s">
        <v>5478</v>
      </c>
      <c r="D798" s="1178">
        <v>1</v>
      </c>
      <c r="E798" s="1178">
        <v>1</v>
      </c>
      <c r="F798" s="1179">
        <v>2</v>
      </c>
      <c r="G798" s="1189" t="s">
        <v>5478</v>
      </c>
      <c r="H798" s="1176">
        <v>1</v>
      </c>
      <c r="I798" s="1176">
        <v>1</v>
      </c>
      <c r="J798" s="1190">
        <v>2</v>
      </c>
      <c r="K798" s="1180"/>
      <c r="L798" s="1174">
        <v>13067031209</v>
      </c>
      <c r="M798" s="1175">
        <v>1</v>
      </c>
      <c r="N798" s="1175">
        <v>1</v>
      </c>
      <c r="O798" s="1175">
        <v>2</v>
      </c>
      <c r="AA798"/>
      <c r="AB798"/>
      <c r="AC798" s="42"/>
      <c r="AD798" s="42"/>
    </row>
    <row r="799" spans="3:30" ht="13.5">
      <c r="C799" s="1181" t="s">
        <v>5479</v>
      </c>
      <c r="D799" s="1178">
        <v>1</v>
      </c>
      <c r="E799" s="1178">
        <v>1</v>
      </c>
      <c r="F799" s="1179">
        <v>2</v>
      </c>
      <c r="G799" s="1189" t="s">
        <v>5479</v>
      </c>
      <c r="H799" s="1176">
        <v>1</v>
      </c>
      <c r="I799" s="1176">
        <v>1</v>
      </c>
      <c r="J799" s="1190">
        <v>2</v>
      </c>
      <c r="K799" s="1180"/>
      <c r="L799" s="1174">
        <v>13067031211</v>
      </c>
      <c r="M799" s="1175">
        <v>1</v>
      </c>
      <c r="N799" s="1175">
        <v>1</v>
      </c>
      <c r="O799" s="1175">
        <v>2</v>
      </c>
      <c r="AA799"/>
      <c r="AB799"/>
      <c r="AC799" s="42"/>
      <c r="AD799" s="42"/>
    </row>
    <row r="800" spans="3:30" ht="13.5">
      <c r="C800" s="1181" t="s">
        <v>5480</v>
      </c>
      <c r="D800" s="1178">
        <v>1</v>
      </c>
      <c r="E800" s="1178">
        <v>1</v>
      </c>
      <c r="F800" s="1179">
        <v>2</v>
      </c>
      <c r="G800" s="1189" t="s">
        <v>5480</v>
      </c>
      <c r="H800" s="1176">
        <v>1</v>
      </c>
      <c r="I800" s="1176">
        <v>1</v>
      </c>
      <c r="J800" s="1190">
        <v>2</v>
      </c>
      <c r="K800" s="1180"/>
      <c r="L800" s="1174">
        <v>13067031212</v>
      </c>
      <c r="M800" s="1175">
        <v>1</v>
      </c>
      <c r="N800" s="1175">
        <v>1</v>
      </c>
      <c r="O800" s="1175">
        <v>2</v>
      </c>
      <c r="AA800"/>
      <c r="AB800"/>
      <c r="AC800" s="42"/>
      <c r="AD800" s="42"/>
    </row>
    <row r="801" spans="3:30" ht="13.5">
      <c r="C801" s="1181" t="s">
        <v>5481</v>
      </c>
      <c r="D801" s="1178">
        <v>1</v>
      </c>
      <c r="E801" s="1178">
        <v>0</v>
      </c>
      <c r="F801" s="1179">
        <v>1</v>
      </c>
      <c r="G801" s="1189" t="s">
        <v>5481</v>
      </c>
      <c r="H801" s="1176">
        <v>1</v>
      </c>
      <c r="I801" s="1176">
        <v>0</v>
      </c>
      <c r="J801" s="1190">
        <v>1</v>
      </c>
      <c r="K801" s="1180"/>
      <c r="L801" s="1174">
        <v>13067031306</v>
      </c>
      <c r="M801" s="1175">
        <v>1</v>
      </c>
      <c r="N801" s="1175">
        <v>0</v>
      </c>
      <c r="O801" s="1175">
        <v>1</v>
      </c>
      <c r="AA801"/>
      <c r="AB801"/>
      <c r="AC801" s="42"/>
      <c r="AD801" s="42"/>
    </row>
    <row r="802" spans="3:30" ht="13.5">
      <c r="C802" s="1181" t="s">
        <v>5482</v>
      </c>
      <c r="D802" s="1178">
        <v>1</v>
      </c>
      <c r="E802" s="1178">
        <v>1</v>
      </c>
      <c r="F802" s="1179">
        <v>2</v>
      </c>
      <c r="G802" s="1189" t="s">
        <v>5482</v>
      </c>
      <c r="H802" s="1176">
        <v>1</v>
      </c>
      <c r="I802" s="1176">
        <v>1</v>
      </c>
      <c r="J802" s="1190">
        <v>2</v>
      </c>
      <c r="K802" s="1180"/>
      <c r="L802" s="1174">
        <v>13067031307</v>
      </c>
      <c r="M802" s="1175">
        <v>1</v>
      </c>
      <c r="N802" s="1175">
        <v>1</v>
      </c>
      <c r="O802" s="1175">
        <v>2</v>
      </c>
      <c r="AA802"/>
      <c r="AB802"/>
      <c r="AC802" s="42"/>
      <c r="AD802" s="42"/>
    </row>
    <row r="803" spans="3:30" ht="13.5">
      <c r="C803" s="1181" t="s">
        <v>5483</v>
      </c>
      <c r="D803" s="1178">
        <v>0</v>
      </c>
      <c r="E803" s="1178">
        <v>0</v>
      </c>
      <c r="F803" s="1179">
        <v>0</v>
      </c>
      <c r="G803" s="1189" t="s">
        <v>5483</v>
      </c>
      <c r="H803" s="1176">
        <v>0</v>
      </c>
      <c r="I803" s="1176">
        <v>0</v>
      </c>
      <c r="J803" s="1190">
        <v>0</v>
      </c>
      <c r="K803" s="1180"/>
      <c r="L803" s="1174">
        <v>13067031308</v>
      </c>
      <c r="M803" s="1175">
        <v>0</v>
      </c>
      <c r="N803" s="1175">
        <v>0</v>
      </c>
      <c r="O803" s="1175">
        <v>0</v>
      </c>
      <c r="AA803"/>
      <c r="AB803"/>
      <c r="AC803" s="42"/>
      <c r="AD803" s="42"/>
    </row>
    <row r="804" spans="3:30" ht="13.5">
      <c r="C804" s="1181" t="s">
        <v>5484</v>
      </c>
      <c r="D804" s="1178">
        <v>0</v>
      </c>
      <c r="E804" s="1178">
        <v>0</v>
      </c>
      <c r="F804" s="1179">
        <v>0</v>
      </c>
      <c r="G804" s="1189" t="s">
        <v>5484</v>
      </c>
      <c r="H804" s="1176">
        <v>1</v>
      </c>
      <c r="I804" s="1176">
        <v>0</v>
      </c>
      <c r="J804" s="1190">
        <v>1</v>
      </c>
      <c r="K804" s="1180"/>
      <c r="L804" s="1174">
        <v>13067031309</v>
      </c>
      <c r="M804" s="1175">
        <v>1</v>
      </c>
      <c r="N804" s="1175">
        <v>0</v>
      </c>
      <c r="O804" s="1175">
        <v>1</v>
      </c>
      <c r="AA804"/>
      <c r="AB804"/>
      <c r="AC804" s="42"/>
      <c r="AD804" s="42"/>
    </row>
    <row r="805" spans="3:30" ht="13.5">
      <c r="C805" s="1181" t="s">
        <v>5485</v>
      </c>
      <c r="D805" s="1178">
        <v>0</v>
      </c>
      <c r="E805" s="1178">
        <v>0</v>
      </c>
      <c r="F805" s="1179">
        <v>0</v>
      </c>
      <c r="G805" s="1189" t="s">
        <v>5485</v>
      </c>
      <c r="H805" s="1176">
        <v>0</v>
      </c>
      <c r="I805" s="1176">
        <v>0</v>
      </c>
      <c r="J805" s="1190">
        <v>0</v>
      </c>
      <c r="K805" s="1180"/>
      <c r="L805" s="1174">
        <v>13067031310</v>
      </c>
      <c r="M805" s="1175">
        <v>0</v>
      </c>
      <c r="N805" s="1175">
        <v>0</v>
      </c>
      <c r="O805" s="1175">
        <v>0</v>
      </c>
      <c r="AA805"/>
      <c r="AC805" s="42"/>
    </row>
    <row r="806" spans="3:30" ht="13.5">
      <c r="C806" s="1181" t="s">
        <v>5486</v>
      </c>
      <c r="D806" s="1178">
        <v>0</v>
      </c>
      <c r="E806" s="1178">
        <v>0</v>
      </c>
      <c r="F806" s="1179">
        <v>0</v>
      </c>
      <c r="G806" s="1189" t="s">
        <v>5486</v>
      </c>
      <c r="H806" s="1176">
        <v>0</v>
      </c>
      <c r="I806" s="1176">
        <v>0</v>
      </c>
      <c r="J806" s="1190">
        <v>0</v>
      </c>
      <c r="K806" s="1180"/>
      <c r="L806" s="1174">
        <v>13067031311</v>
      </c>
      <c r="M806" s="1175">
        <v>0</v>
      </c>
      <c r="N806" s="1175">
        <v>0</v>
      </c>
      <c r="O806" s="1175">
        <v>0</v>
      </c>
      <c r="AA806"/>
      <c r="AC806" s="42"/>
    </row>
    <row r="807" spans="3:30" ht="13.5">
      <c r="C807" s="1181" t="s">
        <v>5487</v>
      </c>
      <c r="D807" s="1178">
        <v>1</v>
      </c>
      <c r="E807" s="1178">
        <v>1</v>
      </c>
      <c r="F807" s="1179">
        <v>2</v>
      </c>
      <c r="G807" s="1189" t="s">
        <v>5487</v>
      </c>
      <c r="H807" s="1176">
        <v>1</v>
      </c>
      <c r="I807" s="1176">
        <v>1</v>
      </c>
      <c r="J807" s="1190">
        <v>2</v>
      </c>
      <c r="K807" s="1180"/>
      <c r="L807" s="1174">
        <v>13067031312</v>
      </c>
      <c r="M807" s="1175">
        <v>1</v>
      </c>
      <c r="N807" s="1175">
        <v>1</v>
      </c>
      <c r="O807" s="1175">
        <v>2</v>
      </c>
      <c r="AA807"/>
      <c r="AC807" s="42"/>
    </row>
    <row r="808" spans="3:30" ht="13.5">
      <c r="C808" s="1181" t="s">
        <v>5488</v>
      </c>
      <c r="D808" s="1178">
        <v>1</v>
      </c>
      <c r="E808" s="1178">
        <v>1</v>
      </c>
      <c r="F808" s="1179">
        <v>2</v>
      </c>
      <c r="G808" s="1189" t="s">
        <v>5488</v>
      </c>
      <c r="H808" s="1176">
        <v>1</v>
      </c>
      <c r="I808" s="1176">
        <v>1</v>
      </c>
      <c r="J808" s="1190">
        <v>2</v>
      </c>
      <c r="K808" s="1180"/>
      <c r="L808" s="1174">
        <v>13067031313</v>
      </c>
      <c r="M808" s="1175">
        <v>1</v>
      </c>
      <c r="N808" s="1175">
        <v>1</v>
      </c>
      <c r="O808" s="1175">
        <v>2</v>
      </c>
      <c r="AA808"/>
      <c r="AC808" s="42"/>
    </row>
    <row r="809" spans="3:30" ht="13.5">
      <c r="C809" s="1181" t="s">
        <v>5489</v>
      </c>
      <c r="D809" s="1178">
        <v>1</v>
      </c>
      <c r="E809" s="1178">
        <v>1</v>
      </c>
      <c r="F809" s="1179">
        <v>2</v>
      </c>
      <c r="G809" s="1189" t="s">
        <v>5489</v>
      </c>
      <c r="H809" s="1176">
        <v>1</v>
      </c>
      <c r="I809" s="1176">
        <v>1</v>
      </c>
      <c r="J809" s="1190">
        <v>2</v>
      </c>
      <c r="K809" s="1180"/>
      <c r="L809" s="1174">
        <v>13067031404</v>
      </c>
      <c r="M809" s="1175">
        <v>1</v>
      </c>
      <c r="N809" s="1175">
        <v>1</v>
      </c>
      <c r="O809" s="1175">
        <v>2</v>
      </c>
      <c r="AA809"/>
      <c r="AC809" s="42"/>
    </row>
    <row r="810" spans="3:30" ht="13.5">
      <c r="C810" s="1181" t="s">
        <v>5490</v>
      </c>
      <c r="D810" s="1178">
        <v>0</v>
      </c>
      <c r="E810" s="1178">
        <v>1</v>
      </c>
      <c r="F810" s="1179">
        <v>1</v>
      </c>
      <c r="G810" s="1189" t="s">
        <v>5490</v>
      </c>
      <c r="H810" s="1176">
        <v>1</v>
      </c>
      <c r="I810" s="1176">
        <v>0</v>
      </c>
      <c r="J810" s="1190">
        <v>1</v>
      </c>
      <c r="K810" s="1180"/>
      <c r="L810" s="1174">
        <v>13067031405</v>
      </c>
      <c r="M810" s="1175">
        <v>1</v>
      </c>
      <c r="N810" s="1175">
        <v>1</v>
      </c>
      <c r="O810" s="1175">
        <v>1</v>
      </c>
      <c r="AA810"/>
      <c r="AC810" s="42"/>
    </row>
    <row r="811" spans="3:30" ht="13.5">
      <c r="C811" s="1181" t="s">
        <v>5491</v>
      </c>
      <c r="D811" s="1178">
        <v>0</v>
      </c>
      <c r="E811" s="1178">
        <v>0</v>
      </c>
      <c r="F811" s="1179">
        <v>0</v>
      </c>
      <c r="G811" s="1189" t="s">
        <v>5491</v>
      </c>
      <c r="H811" s="1176">
        <v>0</v>
      </c>
      <c r="I811" s="1176">
        <v>0</v>
      </c>
      <c r="J811" s="1190">
        <v>0</v>
      </c>
      <c r="K811" s="1180"/>
      <c r="L811" s="1174">
        <v>13067031406</v>
      </c>
      <c r="M811" s="1175">
        <v>0</v>
      </c>
      <c r="N811" s="1175">
        <v>0</v>
      </c>
      <c r="O811" s="1175">
        <v>0</v>
      </c>
      <c r="AA811"/>
      <c r="AC811" s="42"/>
    </row>
    <row r="812" spans="3:30" ht="13.5">
      <c r="C812" s="1181" t="s">
        <v>5492</v>
      </c>
      <c r="D812" s="1178">
        <v>0</v>
      </c>
      <c r="E812" s="1178">
        <v>0</v>
      </c>
      <c r="F812" s="1179">
        <v>0</v>
      </c>
      <c r="G812" s="1189" t="s">
        <v>5492</v>
      </c>
      <c r="H812" s="1176">
        <v>1</v>
      </c>
      <c r="I812" s="1176">
        <v>0</v>
      </c>
      <c r="J812" s="1190">
        <v>0</v>
      </c>
      <c r="K812" s="1180"/>
      <c r="L812" s="1174">
        <v>13067031408</v>
      </c>
      <c r="M812" s="1175">
        <v>1</v>
      </c>
      <c r="N812" s="1175">
        <v>0</v>
      </c>
      <c r="O812" s="1175">
        <v>0</v>
      </c>
      <c r="AA812"/>
      <c r="AC812" s="42"/>
    </row>
    <row r="813" spans="3:30" ht="13.5">
      <c r="C813" s="1181" t="s">
        <v>5493</v>
      </c>
      <c r="D813" s="1178">
        <v>0</v>
      </c>
      <c r="E813" s="1178">
        <v>0</v>
      </c>
      <c r="F813" s="1179">
        <v>0</v>
      </c>
      <c r="G813" s="1189" t="s">
        <v>5493</v>
      </c>
      <c r="H813" s="1176">
        <v>0</v>
      </c>
      <c r="I813" s="1176">
        <v>0</v>
      </c>
      <c r="J813" s="1190">
        <v>0</v>
      </c>
      <c r="K813" s="1180"/>
      <c r="L813" s="1174">
        <v>13067031409</v>
      </c>
      <c r="M813" s="1175">
        <v>0</v>
      </c>
      <c r="N813" s="1175">
        <v>0</v>
      </c>
      <c r="O813" s="1175">
        <v>0</v>
      </c>
      <c r="AA813"/>
      <c r="AC813" s="42"/>
    </row>
    <row r="814" spans="3:30" ht="13.5">
      <c r="C814" s="1181" t="s">
        <v>5494</v>
      </c>
      <c r="D814" s="1178">
        <v>1</v>
      </c>
      <c r="E814" s="1178">
        <v>0</v>
      </c>
      <c r="F814" s="1179">
        <v>1</v>
      </c>
      <c r="G814" s="1189" t="s">
        <v>5494</v>
      </c>
      <c r="H814" s="1176">
        <v>1</v>
      </c>
      <c r="I814" s="1176">
        <v>1</v>
      </c>
      <c r="J814" s="1190">
        <v>2</v>
      </c>
      <c r="K814" s="1180"/>
      <c r="L814" s="1174">
        <v>13067031503</v>
      </c>
      <c r="M814" s="1175">
        <v>1</v>
      </c>
      <c r="N814" s="1175">
        <v>1</v>
      </c>
      <c r="O814" s="1175">
        <v>2</v>
      </c>
      <c r="AA814"/>
      <c r="AC814" s="42"/>
    </row>
    <row r="815" spans="3:30" ht="13.5">
      <c r="C815" s="1181" t="s">
        <v>5495</v>
      </c>
      <c r="D815" s="1178">
        <v>1</v>
      </c>
      <c r="E815" s="1178">
        <v>1</v>
      </c>
      <c r="F815" s="1179">
        <v>2</v>
      </c>
      <c r="G815" s="1189" t="s">
        <v>5495</v>
      </c>
      <c r="H815" s="1176">
        <v>1</v>
      </c>
      <c r="I815" s="1176">
        <v>1</v>
      </c>
      <c r="J815" s="1190">
        <v>2</v>
      </c>
      <c r="K815" s="1180"/>
      <c r="L815" s="1174">
        <v>13067031505</v>
      </c>
      <c r="M815" s="1175">
        <v>1</v>
      </c>
      <c r="N815" s="1175">
        <v>1</v>
      </c>
      <c r="O815" s="1175">
        <v>2</v>
      </c>
      <c r="AA815"/>
      <c r="AC815" s="42"/>
    </row>
    <row r="816" spans="3:30" ht="13.5">
      <c r="C816" s="1181" t="s">
        <v>5496</v>
      </c>
      <c r="D816" s="1178">
        <v>0</v>
      </c>
      <c r="E816" s="1178">
        <v>1</v>
      </c>
      <c r="F816" s="1179">
        <v>1</v>
      </c>
      <c r="G816" s="1189" t="s">
        <v>5496</v>
      </c>
      <c r="H816" s="1176">
        <v>0</v>
      </c>
      <c r="I816" s="1176">
        <v>0</v>
      </c>
      <c r="J816" s="1190">
        <v>0</v>
      </c>
      <c r="K816" s="1180"/>
      <c r="L816" s="1174">
        <v>13067031506</v>
      </c>
      <c r="M816" s="1175">
        <v>0</v>
      </c>
      <c r="N816" s="1175">
        <v>1</v>
      </c>
      <c r="O816" s="1175">
        <v>1</v>
      </c>
      <c r="AA816"/>
      <c r="AC816" s="42"/>
    </row>
    <row r="817" spans="3:29" ht="13.5">
      <c r="C817" s="1181" t="s">
        <v>5497</v>
      </c>
      <c r="D817" s="1178">
        <v>0</v>
      </c>
      <c r="E817" s="1178">
        <v>0</v>
      </c>
      <c r="F817" s="1179">
        <v>0</v>
      </c>
      <c r="G817" s="1189" t="s">
        <v>5497</v>
      </c>
      <c r="H817" s="1176">
        <v>0</v>
      </c>
      <c r="I817" s="1176">
        <v>1</v>
      </c>
      <c r="J817" s="1190">
        <v>1</v>
      </c>
      <c r="K817" s="1180"/>
      <c r="L817" s="1174">
        <v>13067031507</v>
      </c>
      <c r="M817" s="1175">
        <v>0</v>
      </c>
      <c r="N817" s="1175">
        <v>1</v>
      </c>
      <c r="O817" s="1175">
        <v>1</v>
      </c>
      <c r="AA817"/>
      <c r="AC817" s="42"/>
    </row>
    <row r="818" spans="3:29" ht="13.5">
      <c r="C818" s="1181" t="s">
        <v>5498</v>
      </c>
      <c r="D818" s="1178">
        <v>1</v>
      </c>
      <c r="E818" s="1178">
        <v>1</v>
      </c>
      <c r="F818" s="1179">
        <v>2</v>
      </c>
      <c r="G818" s="1189" t="s">
        <v>5498</v>
      </c>
      <c r="H818" s="1176">
        <v>1</v>
      </c>
      <c r="I818" s="1176">
        <v>1</v>
      </c>
      <c r="J818" s="1190">
        <v>2</v>
      </c>
      <c r="K818" s="1180"/>
      <c r="L818" s="1174">
        <v>13067031508</v>
      </c>
      <c r="M818" s="1175">
        <v>1</v>
      </c>
      <c r="N818" s="1175">
        <v>1</v>
      </c>
      <c r="O818" s="1175">
        <v>2</v>
      </c>
      <c r="AA818"/>
      <c r="AC818" s="42"/>
    </row>
    <row r="819" spans="3:29" ht="13.5">
      <c r="C819" s="1181" t="s">
        <v>5499</v>
      </c>
      <c r="D819" s="1178">
        <v>1</v>
      </c>
      <c r="E819" s="1178">
        <v>1</v>
      </c>
      <c r="F819" s="1179">
        <v>2</v>
      </c>
      <c r="G819" s="1189" t="s">
        <v>5499</v>
      </c>
      <c r="H819" s="1176">
        <v>1</v>
      </c>
      <c r="I819" s="1176">
        <v>1</v>
      </c>
      <c r="J819" s="1190">
        <v>2</v>
      </c>
      <c r="K819" s="1180"/>
      <c r="L819" s="1174">
        <v>13067031509</v>
      </c>
      <c r="M819" s="1175">
        <v>1</v>
      </c>
      <c r="N819" s="1175">
        <v>1</v>
      </c>
      <c r="O819" s="1175">
        <v>2</v>
      </c>
      <c r="AA819"/>
      <c r="AC819" s="42"/>
    </row>
    <row r="820" spans="3:29" ht="13.5">
      <c r="C820" s="1181" t="s">
        <v>5500</v>
      </c>
      <c r="D820" s="1178">
        <v>0</v>
      </c>
      <c r="E820" s="1178">
        <v>0</v>
      </c>
      <c r="F820" s="1179">
        <v>0</v>
      </c>
      <c r="G820" s="1189" t="s">
        <v>5500</v>
      </c>
      <c r="H820" s="1176">
        <v>0</v>
      </c>
      <c r="I820" s="1176">
        <v>0</v>
      </c>
      <c r="J820" s="1190">
        <v>0</v>
      </c>
      <c r="K820" s="1180"/>
      <c r="L820" s="1174">
        <v>13069010100</v>
      </c>
      <c r="M820" s="1175">
        <v>0</v>
      </c>
      <c r="N820" s="1175">
        <v>0</v>
      </c>
      <c r="O820" s="1175">
        <v>0</v>
      </c>
      <c r="AA820"/>
      <c r="AC820" s="42"/>
    </row>
    <row r="821" spans="3:29" ht="13.5">
      <c r="C821" s="1181" t="s">
        <v>5501</v>
      </c>
      <c r="D821" s="1178">
        <v>0</v>
      </c>
      <c r="E821" s="1178">
        <v>0</v>
      </c>
      <c r="F821" s="1179">
        <v>0</v>
      </c>
      <c r="G821" s="1189" t="s">
        <v>5501</v>
      </c>
      <c r="H821" s="1176">
        <v>0</v>
      </c>
      <c r="I821" s="1176" t="s">
        <v>4455</v>
      </c>
      <c r="J821" s="1190">
        <v>0</v>
      </c>
      <c r="K821" s="1180"/>
      <c r="L821" s="1174">
        <v>13069010200</v>
      </c>
      <c r="M821" s="1175">
        <v>0</v>
      </c>
      <c r="N821" s="1175">
        <v>0</v>
      </c>
      <c r="O821" s="1175">
        <v>0</v>
      </c>
      <c r="AA821"/>
      <c r="AC821" s="42"/>
    </row>
    <row r="822" spans="3:29" ht="13.5">
      <c r="C822" s="1181" t="s">
        <v>5502</v>
      </c>
      <c r="D822" s="1178">
        <v>0</v>
      </c>
      <c r="E822" s="1178">
        <v>0</v>
      </c>
      <c r="F822" s="1179">
        <v>0</v>
      </c>
      <c r="G822" s="1189" t="s">
        <v>5502</v>
      </c>
      <c r="H822" s="1176">
        <v>0</v>
      </c>
      <c r="I822" s="1176">
        <v>0</v>
      </c>
      <c r="J822" s="1190">
        <v>0</v>
      </c>
      <c r="K822" s="1180"/>
      <c r="L822" s="1174">
        <v>13069010300</v>
      </c>
      <c r="M822" s="1175">
        <v>0</v>
      </c>
      <c r="N822" s="1175">
        <v>0</v>
      </c>
      <c r="O822" s="1175">
        <v>0</v>
      </c>
      <c r="AA822"/>
      <c r="AC822" s="42"/>
    </row>
    <row r="823" spans="3:29" ht="13.5">
      <c r="C823" s="1181" t="s">
        <v>5503</v>
      </c>
      <c r="D823" s="1178">
        <v>0</v>
      </c>
      <c r="E823" s="1178">
        <v>0</v>
      </c>
      <c r="F823" s="1179">
        <v>0</v>
      </c>
      <c r="G823" s="1189" t="s">
        <v>5503</v>
      </c>
      <c r="H823" s="1176">
        <v>0</v>
      </c>
      <c r="I823" s="1176">
        <v>0</v>
      </c>
      <c r="J823" s="1190">
        <v>0</v>
      </c>
      <c r="K823" s="1180"/>
      <c r="L823" s="1174">
        <v>13069010400</v>
      </c>
      <c r="M823" s="1175">
        <v>0</v>
      </c>
      <c r="N823" s="1175">
        <v>0</v>
      </c>
      <c r="O823" s="1175">
        <v>0</v>
      </c>
      <c r="AA823"/>
      <c r="AC823" s="42"/>
    </row>
    <row r="824" spans="3:29" ht="13.5">
      <c r="C824" s="1181" t="s">
        <v>5504</v>
      </c>
      <c r="D824" s="1178">
        <v>0</v>
      </c>
      <c r="E824" s="1178">
        <v>0</v>
      </c>
      <c r="F824" s="1179">
        <v>0</v>
      </c>
      <c r="G824" s="1189" t="s">
        <v>5504</v>
      </c>
      <c r="H824" s="1176">
        <v>0</v>
      </c>
      <c r="I824" s="1176">
        <v>0</v>
      </c>
      <c r="J824" s="1190">
        <v>0</v>
      </c>
      <c r="K824" s="1180"/>
      <c r="L824" s="1174">
        <v>13069010500</v>
      </c>
      <c r="M824" s="1175">
        <v>0</v>
      </c>
      <c r="N824" s="1175">
        <v>0</v>
      </c>
      <c r="O824" s="1175">
        <v>0</v>
      </c>
      <c r="AA824"/>
      <c r="AC824" s="42"/>
    </row>
    <row r="825" spans="3:29" ht="13.5">
      <c r="C825" s="1181" t="s">
        <v>5505</v>
      </c>
      <c r="D825" s="1178">
        <v>1</v>
      </c>
      <c r="E825" s="1178">
        <v>1</v>
      </c>
      <c r="F825" s="1179">
        <v>2</v>
      </c>
      <c r="G825" s="1189" t="s">
        <v>5505</v>
      </c>
      <c r="H825" s="1176">
        <v>0</v>
      </c>
      <c r="I825" s="1176">
        <v>0</v>
      </c>
      <c r="J825" s="1190">
        <v>0</v>
      </c>
      <c r="K825" s="1180"/>
      <c r="L825" s="1174">
        <v>13069010600</v>
      </c>
      <c r="M825" s="1175">
        <v>1</v>
      </c>
      <c r="N825" s="1175">
        <v>1</v>
      </c>
      <c r="O825" s="1175">
        <v>2</v>
      </c>
      <c r="AA825"/>
      <c r="AC825" s="42"/>
    </row>
    <row r="826" spans="3:29" ht="13.5">
      <c r="C826" s="1181" t="s">
        <v>5506</v>
      </c>
      <c r="D826" s="1178">
        <v>0</v>
      </c>
      <c r="E826" s="1178">
        <v>0</v>
      </c>
      <c r="F826" s="1179">
        <v>0</v>
      </c>
      <c r="G826" s="1189" t="s">
        <v>5506</v>
      </c>
      <c r="H826" s="1176">
        <v>0</v>
      </c>
      <c r="I826" s="1176">
        <v>0</v>
      </c>
      <c r="J826" s="1190">
        <v>0</v>
      </c>
      <c r="K826" s="1180"/>
      <c r="L826" s="1174">
        <v>13069010700</v>
      </c>
      <c r="M826" s="1175">
        <v>0</v>
      </c>
      <c r="N826" s="1175">
        <v>0</v>
      </c>
      <c r="O826" s="1175">
        <v>0</v>
      </c>
      <c r="AA826"/>
      <c r="AC826" s="42"/>
    </row>
    <row r="827" spans="3:29" ht="13.5">
      <c r="C827" s="1181" t="s">
        <v>5507</v>
      </c>
      <c r="D827" s="1178">
        <v>0</v>
      </c>
      <c r="E827" s="1178">
        <v>0</v>
      </c>
      <c r="F827" s="1179">
        <v>0</v>
      </c>
      <c r="G827" s="1189" t="s">
        <v>5507</v>
      </c>
      <c r="H827" s="1176">
        <v>0</v>
      </c>
      <c r="I827" s="1176">
        <v>0</v>
      </c>
      <c r="J827" s="1190">
        <v>0</v>
      </c>
      <c r="K827" s="1180"/>
      <c r="L827" s="1174">
        <v>13069010801</v>
      </c>
      <c r="M827" s="1175">
        <v>0</v>
      </c>
      <c r="N827" s="1175">
        <v>0</v>
      </c>
      <c r="O827" s="1175">
        <v>0</v>
      </c>
      <c r="AA827"/>
      <c r="AC827" s="42"/>
    </row>
    <row r="828" spans="3:29" ht="13.5">
      <c r="C828" s="1181" t="s">
        <v>5508</v>
      </c>
      <c r="D828" s="1178">
        <v>0</v>
      </c>
      <c r="E828" s="1178">
        <v>0</v>
      </c>
      <c r="F828" s="1179">
        <v>0</v>
      </c>
      <c r="G828" s="1189" t="s">
        <v>5508</v>
      </c>
      <c r="H828" s="1176">
        <v>0</v>
      </c>
      <c r="I828" s="1176">
        <v>0</v>
      </c>
      <c r="J828" s="1190">
        <v>0</v>
      </c>
      <c r="K828" s="1180"/>
      <c r="L828" s="1174">
        <v>13069010802</v>
      </c>
      <c r="M828" s="1175">
        <v>0</v>
      </c>
      <c r="N828" s="1175">
        <v>0</v>
      </c>
      <c r="O828" s="1175">
        <v>0</v>
      </c>
      <c r="AA828"/>
      <c r="AC828" s="42"/>
    </row>
    <row r="829" spans="3:29" ht="13.5">
      <c r="C829" s="1181" t="s">
        <v>5509</v>
      </c>
      <c r="D829" s="1178">
        <v>0</v>
      </c>
      <c r="E829" s="1178">
        <v>0</v>
      </c>
      <c r="F829" s="1179">
        <v>0</v>
      </c>
      <c r="G829" s="1189" t="s">
        <v>5509</v>
      </c>
      <c r="H829" s="1176">
        <v>0</v>
      </c>
      <c r="I829" s="1176">
        <v>0</v>
      </c>
      <c r="J829" s="1190">
        <v>0</v>
      </c>
      <c r="K829" s="1180"/>
      <c r="L829" s="1174">
        <v>13071970100</v>
      </c>
      <c r="M829" s="1175">
        <v>0</v>
      </c>
      <c r="N829" s="1175">
        <v>0</v>
      </c>
      <c r="O829" s="1175">
        <v>0</v>
      </c>
      <c r="AA829"/>
      <c r="AC829" s="42"/>
    </row>
    <row r="830" spans="3:29" ht="13.5">
      <c r="C830" s="1181" t="s">
        <v>5510</v>
      </c>
      <c r="D830" s="1178">
        <v>0</v>
      </c>
      <c r="E830" s="1178">
        <v>0</v>
      </c>
      <c r="F830" s="1179">
        <v>0</v>
      </c>
      <c r="G830" s="1189" t="s">
        <v>5510</v>
      </c>
      <c r="H830" s="1176">
        <v>0</v>
      </c>
      <c r="I830" s="1176">
        <v>0</v>
      </c>
      <c r="J830" s="1190">
        <v>0</v>
      </c>
      <c r="K830" s="1180"/>
      <c r="L830" s="1174">
        <v>13071970200</v>
      </c>
      <c r="M830" s="1175">
        <v>0</v>
      </c>
      <c r="N830" s="1175">
        <v>0</v>
      </c>
      <c r="O830" s="1175">
        <v>0</v>
      </c>
      <c r="AA830"/>
      <c r="AC830" s="42"/>
    </row>
    <row r="831" spans="3:29" ht="13.5">
      <c r="C831" s="1181" t="s">
        <v>5511</v>
      </c>
      <c r="D831" s="1178">
        <v>0</v>
      </c>
      <c r="E831" s="1178">
        <v>0</v>
      </c>
      <c r="F831" s="1179">
        <v>0</v>
      </c>
      <c r="G831" s="1189" t="s">
        <v>5511</v>
      </c>
      <c r="H831" s="1176">
        <v>0</v>
      </c>
      <c r="I831" s="1176">
        <v>0</v>
      </c>
      <c r="J831" s="1190">
        <v>0</v>
      </c>
      <c r="K831" s="1180"/>
      <c r="L831" s="1174">
        <v>13071970300</v>
      </c>
      <c r="M831" s="1175">
        <v>0</v>
      </c>
      <c r="N831" s="1175">
        <v>0</v>
      </c>
      <c r="O831" s="1175">
        <v>0</v>
      </c>
      <c r="AA831"/>
      <c r="AC831" s="42"/>
    </row>
    <row r="832" spans="3:29" ht="13.5">
      <c r="C832" s="1181" t="s">
        <v>5512</v>
      </c>
      <c r="D832" s="1178">
        <v>0</v>
      </c>
      <c r="E832" s="1178">
        <v>0</v>
      </c>
      <c r="F832" s="1179">
        <v>0</v>
      </c>
      <c r="G832" s="1189" t="s">
        <v>5512</v>
      </c>
      <c r="H832" s="1176">
        <v>0</v>
      </c>
      <c r="I832" s="1176">
        <v>0</v>
      </c>
      <c r="J832" s="1190">
        <v>0</v>
      </c>
      <c r="K832" s="1180"/>
      <c r="L832" s="1174">
        <v>13071970400</v>
      </c>
      <c r="M832" s="1175">
        <v>0</v>
      </c>
      <c r="N832" s="1175">
        <v>0</v>
      </c>
      <c r="O832" s="1175">
        <v>0</v>
      </c>
      <c r="AA832"/>
      <c r="AC832" s="42"/>
    </row>
    <row r="833" spans="3:29" ht="13.5">
      <c r="C833" s="1181" t="s">
        <v>5513</v>
      </c>
      <c r="D833" s="1178">
        <v>0</v>
      </c>
      <c r="E833" s="1178">
        <v>0</v>
      </c>
      <c r="F833" s="1179">
        <v>0</v>
      </c>
      <c r="G833" s="1189" t="s">
        <v>5513</v>
      </c>
      <c r="H833" s="1176">
        <v>0</v>
      </c>
      <c r="I833" s="1176">
        <v>0</v>
      </c>
      <c r="J833" s="1190">
        <v>0</v>
      </c>
      <c r="K833" s="1180"/>
      <c r="L833" s="1174">
        <v>13071970500</v>
      </c>
      <c r="M833" s="1175">
        <v>0</v>
      </c>
      <c r="N833" s="1175">
        <v>0</v>
      </c>
      <c r="O833" s="1175">
        <v>0</v>
      </c>
      <c r="AA833"/>
      <c r="AC833" s="42"/>
    </row>
    <row r="834" spans="3:29" ht="13.5">
      <c r="C834" s="1181" t="s">
        <v>5514</v>
      </c>
      <c r="D834" s="1178">
        <v>0</v>
      </c>
      <c r="E834" s="1178">
        <v>0</v>
      </c>
      <c r="F834" s="1179">
        <v>0</v>
      </c>
      <c r="G834" s="1189" t="s">
        <v>5514</v>
      </c>
      <c r="H834" s="1176">
        <v>0</v>
      </c>
      <c r="I834" s="1176">
        <v>0</v>
      </c>
      <c r="J834" s="1190">
        <v>0</v>
      </c>
      <c r="K834" s="1180"/>
      <c r="L834" s="1174">
        <v>13071970600</v>
      </c>
      <c r="M834" s="1175">
        <v>0</v>
      </c>
      <c r="N834" s="1175">
        <v>0</v>
      </c>
      <c r="O834" s="1175">
        <v>0</v>
      </c>
      <c r="AA834"/>
      <c r="AC834" s="42"/>
    </row>
    <row r="835" spans="3:29" ht="13.5">
      <c r="C835" s="1181" t="s">
        <v>5515</v>
      </c>
      <c r="D835" s="1178">
        <v>0</v>
      </c>
      <c r="E835" s="1178">
        <v>0</v>
      </c>
      <c r="F835" s="1179">
        <v>0</v>
      </c>
      <c r="G835" s="1189" t="s">
        <v>5515</v>
      </c>
      <c r="H835" s="1176">
        <v>0</v>
      </c>
      <c r="I835" s="1176">
        <v>0</v>
      </c>
      <c r="J835" s="1190">
        <v>0</v>
      </c>
      <c r="K835" s="1180"/>
      <c r="L835" s="1174">
        <v>13071970701</v>
      </c>
      <c r="M835" s="1175">
        <v>0</v>
      </c>
      <c r="N835" s="1175">
        <v>0</v>
      </c>
      <c r="O835" s="1175">
        <v>0</v>
      </c>
      <c r="AA835"/>
      <c r="AC835" s="42"/>
    </row>
    <row r="836" spans="3:29" ht="13.5">
      <c r="C836" s="1181" t="s">
        <v>5516</v>
      </c>
      <c r="D836" s="1178">
        <v>0</v>
      </c>
      <c r="E836" s="1178">
        <v>0</v>
      </c>
      <c r="F836" s="1179">
        <v>0</v>
      </c>
      <c r="G836" s="1189" t="s">
        <v>5516</v>
      </c>
      <c r="H836" s="1176">
        <v>0</v>
      </c>
      <c r="I836" s="1176">
        <v>0</v>
      </c>
      <c r="J836" s="1190">
        <v>0</v>
      </c>
      <c r="K836" s="1180"/>
      <c r="L836" s="1174">
        <v>13071970702</v>
      </c>
      <c r="M836" s="1175">
        <v>0</v>
      </c>
      <c r="N836" s="1175">
        <v>0</v>
      </c>
      <c r="O836" s="1175">
        <v>0</v>
      </c>
      <c r="AA836"/>
      <c r="AC836" s="42"/>
    </row>
    <row r="837" spans="3:29" ht="13.5">
      <c r="C837" s="1181" t="s">
        <v>5517</v>
      </c>
      <c r="D837" s="1178">
        <v>0</v>
      </c>
      <c r="E837" s="1178">
        <v>0</v>
      </c>
      <c r="F837" s="1179">
        <v>0</v>
      </c>
      <c r="G837" s="1189" t="s">
        <v>5517</v>
      </c>
      <c r="H837" s="1176">
        <v>0</v>
      </c>
      <c r="I837" s="1176">
        <v>0</v>
      </c>
      <c r="J837" s="1190">
        <v>0</v>
      </c>
      <c r="K837" s="1180"/>
      <c r="L837" s="1174">
        <v>13071970800</v>
      </c>
      <c r="M837" s="1175">
        <v>0</v>
      </c>
      <c r="N837" s="1175">
        <v>0</v>
      </c>
      <c r="O837" s="1175">
        <v>0</v>
      </c>
      <c r="AA837"/>
      <c r="AC837" s="42"/>
    </row>
    <row r="838" spans="3:29" ht="13.5">
      <c r="C838" s="1181" t="s">
        <v>5518</v>
      </c>
      <c r="D838" s="1178">
        <v>0</v>
      </c>
      <c r="E838" s="1178">
        <v>0</v>
      </c>
      <c r="F838" s="1179">
        <v>0</v>
      </c>
      <c r="G838" s="1189" t="s">
        <v>5518</v>
      </c>
      <c r="H838" s="1176">
        <v>0</v>
      </c>
      <c r="I838" s="1176">
        <v>0</v>
      </c>
      <c r="J838" s="1190">
        <v>0</v>
      </c>
      <c r="K838" s="1180"/>
      <c r="L838" s="1174">
        <v>13071970900</v>
      </c>
      <c r="M838" s="1175">
        <v>0</v>
      </c>
      <c r="N838" s="1175">
        <v>0</v>
      </c>
      <c r="O838" s="1175">
        <v>0</v>
      </c>
      <c r="AA838"/>
      <c r="AC838" s="42"/>
    </row>
    <row r="839" spans="3:29" ht="13.5">
      <c r="C839" s="1181" t="s">
        <v>5519</v>
      </c>
      <c r="D839" s="1178">
        <v>1</v>
      </c>
      <c r="E839" s="1178">
        <v>1</v>
      </c>
      <c r="F839" s="1179">
        <v>2</v>
      </c>
      <c r="G839" s="1189" t="s">
        <v>5519</v>
      </c>
      <c r="H839" s="1176">
        <v>1</v>
      </c>
      <c r="I839" s="1176" t="s">
        <v>4455</v>
      </c>
      <c r="J839" s="1190">
        <v>1</v>
      </c>
      <c r="K839" s="1180"/>
      <c r="L839" s="1174">
        <v>13073030102</v>
      </c>
      <c r="M839" s="1175">
        <v>1</v>
      </c>
      <c r="N839" s="1175">
        <v>1</v>
      </c>
      <c r="O839" s="1175">
        <v>2</v>
      </c>
      <c r="AA839"/>
      <c r="AC839" s="42"/>
    </row>
    <row r="840" spans="3:29" ht="13.5">
      <c r="C840" s="1181" t="s">
        <v>5520</v>
      </c>
      <c r="D840" s="1178">
        <v>1</v>
      </c>
      <c r="E840" s="1178">
        <v>1</v>
      </c>
      <c r="F840" s="1179">
        <v>2</v>
      </c>
      <c r="G840" s="1189" t="s">
        <v>5520</v>
      </c>
      <c r="H840" s="1176">
        <v>1</v>
      </c>
      <c r="I840" s="1176">
        <v>1</v>
      </c>
      <c r="J840" s="1190">
        <v>2</v>
      </c>
      <c r="K840" s="1180"/>
      <c r="L840" s="1174">
        <v>13073030103</v>
      </c>
      <c r="M840" s="1175">
        <v>1</v>
      </c>
      <c r="N840" s="1175">
        <v>1</v>
      </c>
      <c r="O840" s="1175">
        <v>2</v>
      </c>
      <c r="AA840"/>
      <c r="AC840" s="42"/>
    </row>
    <row r="841" spans="3:29" ht="13.5">
      <c r="C841" s="1181" t="s">
        <v>5521</v>
      </c>
      <c r="D841" s="1178">
        <v>1</v>
      </c>
      <c r="E841" s="1178">
        <v>1</v>
      </c>
      <c r="F841" s="1179">
        <v>2</v>
      </c>
      <c r="G841" s="1189" t="s">
        <v>5521</v>
      </c>
      <c r="H841" s="1176">
        <v>1</v>
      </c>
      <c r="I841" s="1176">
        <v>1</v>
      </c>
      <c r="J841" s="1190">
        <v>2</v>
      </c>
      <c r="K841" s="1180"/>
      <c r="L841" s="1174">
        <v>13073030105</v>
      </c>
      <c r="M841" s="1175">
        <v>1</v>
      </c>
      <c r="N841" s="1175">
        <v>1</v>
      </c>
      <c r="O841" s="1175">
        <v>2</v>
      </c>
      <c r="AA841"/>
      <c r="AC841" s="42"/>
    </row>
    <row r="842" spans="3:29" ht="13.5">
      <c r="C842" s="1181" t="s">
        <v>5522</v>
      </c>
      <c r="D842" s="1178">
        <v>1</v>
      </c>
      <c r="E842" s="1178">
        <v>1</v>
      </c>
      <c r="F842" s="1179">
        <v>2</v>
      </c>
      <c r="G842" s="1189" t="s">
        <v>5522</v>
      </c>
      <c r="H842" s="1176">
        <v>1</v>
      </c>
      <c r="I842" s="1176">
        <v>1</v>
      </c>
      <c r="J842" s="1190">
        <v>2</v>
      </c>
      <c r="K842" s="1180"/>
      <c r="L842" s="1174">
        <v>13073030106</v>
      </c>
      <c r="M842" s="1175">
        <v>1</v>
      </c>
      <c r="N842" s="1175">
        <v>1</v>
      </c>
      <c r="O842" s="1175">
        <v>2</v>
      </c>
      <c r="AA842"/>
      <c r="AC842" s="42"/>
    </row>
    <row r="843" spans="3:29" ht="13.5">
      <c r="C843" s="1181" t="s">
        <v>5523</v>
      </c>
      <c r="D843" s="1178">
        <v>1</v>
      </c>
      <c r="E843" s="1178">
        <v>1</v>
      </c>
      <c r="F843" s="1179">
        <v>2</v>
      </c>
      <c r="G843" s="1189" t="s">
        <v>5523</v>
      </c>
      <c r="H843" s="1176">
        <v>0</v>
      </c>
      <c r="I843" s="1176">
        <v>1</v>
      </c>
      <c r="J843" s="1190">
        <v>1</v>
      </c>
      <c r="K843" s="1180"/>
      <c r="L843" s="1174">
        <v>13073030201</v>
      </c>
      <c r="M843" s="1175">
        <v>1</v>
      </c>
      <c r="N843" s="1175">
        <v>1</v>
      </c>
      <c r="O843" s="1175">
        <v>2</v>
      </c>
      <c r="AA843"/>
      <c r="AC843" s="42"/>
    </row>
    <row r="844" spans="3:29" ht="13.5">
      <c r="C844" s="1181" t="s">
        <v>5524</v>
      </c>
      <c r="D844" s="1178">
        <v>0</v>
      </c>
      <c r="E844" s="1178">
        <v>1</v>
      </c>
      <c r="F844" s="1179">
        <v>1</v>
      </c>
      <c r="G844" s="1189" t="s">
        <v>5524</v>
      </c>
      <c r="H844" s="1176">
        <v>0</v>
      </c>
      <c r="I844" s="1176">
        <v>1</v>
      </c>
      <c r="J844" s="1190">
        <v>1</v>
      </c>
      <c r="K844" s="1180"/>
      <c r="L844" s="1174">
        <v>13073030202</v>
      </c>
      <c r="M844" s="1175">
        <v>0</v>
      </c>
      <c r="N844" s="1175">
        <v>1</v>
      </c>
      <c r="O844" s="1175">
        <v>1</v>
      </c>
      <c r="AA844"/>
      <c r="AC844" s="42"/>
    </row>
    <row r="845" spans="3:29" ht="13.5">
      <c r="C845" s="1181" t="s">
        <v>5525</v>
      </c>
      <c r="D845" s="1178">
        <v>1</v>
      </c>
      <c r="E845" s="1178">
        <v>1</v>
      </c>
      <c r="F845" s="1179">
        <v>2</v>
      </c>
      <c r="G845" s="1189" t="s">
        <v>5525</v>
      </c>
      <c r="H845" s="1176">
        <v>1</v>
      </c>
      <c r="I845" s="1176">
        <v>1</v>
      </c>
      <c r="J845" s="1190">
        <v>2</v>
      </c>
      <c r="K845" s="1180"/>
      <c r="L845" s="1174">
        <v>13073030203</v>
      </c>
      <c r="M845" s="1175">
        <v>1</v>
      </c>
      <c r="N845" s="1175">
        <v>1</v>
      </c>
      <c r="O845" s="1175">
        <v>2</v>
      </c>
      <c r="AA845"/>
      <c r="AC845" s="42"/>
    </row>
    <row r="846" spans="3:29" ht="13.5">
      <c r="C846" s="1181" t="s">
        <v>5526</v>
      </c>
      <c r="D846" s="1178">
        <v>1</v>
      </c>
      <c r="E846" s="1178">
        <v>1</v>
      </c>
      <c r="F846" s="1179">
        <v>2</v>
      </c>
      <c r="G846" s="1189" t="s">
        <v>5526</v>
      </c>
      <c r="H846" s="1176">
        <v>1</v>
      </c>
      <c r="I846" s="1176">
        <v>1</v>
      </c>
      <c r="J846" s="1190">
        <v>2</v>
      </c>
      <c r="K846" s="1180"/>
      <c r="L846" s="1174">
        <v>13073030302</v>
      </c>
      <c r="M846" s="1175">
        <v>1</v>
      </c>
      <c r="N846" s="1175">
        <v>1</v>
      </c>
      <c r="O846" s="1175">
        <v>2</v>
      </c>
      <c r="AA846"/>
      <c r="AC846" s="42"/>
    </row>
    <row r="847" spans="3:29" ht="13.5">
      <c r="C847" s="1181" t="s">
        <v>5527</v>
      </c>
      <c r="D847" s="1178">
        <v>1</v>
      </c>
      <c r="E847" s="1178">
        <v>1</v>
      </c>
      <c r="F847" s="1179">
        <v>2</v>
      </c>
      <c r="G847" s="1189" t="s">
        <v>5527</v>
      </c>
      <c r="H847" s="1176">
        <v>1</v>
      </c>
      <c r="I847" s="1176">
        <v>1</v>
      </c>
      <c r="J847" s="1190">
        <v>2</v>
      </c>
      <c r="K847" s="1180"/>
      <c r="L847" s="1174">
        <v>13073030304</v>
      </c>
      <c r="M847" s="1175">
        <v>1</v>
      </c>
      <c r="N847" s="1175">
        <v>1</v>
      </c>
      <c r="O847" s="1175">
        <v>2</v>
      </c>
    </row>
    <row r="848" spans="3:29" ht="13.5">
      <c r="C848" s="1181" t="s">
        <v>5528</v>
      </c>
      <c r="D848" s="1178">
        <v>1</v>
      </c>
      <c r="E848" s="1178">
        <v>1</v>
      </c>
      <c r="F848" s="1179">
        <v>2</v>
      </c>
      <c r="G848" s="1189" t="s">
        <v>5528</v>
      </c>
      <c r="H848" s="1176">
        <v>1</v>
      </c>
      <c r="I848" s="1176">
        <v>1</v>
      </c>
      <c r="J848" s="1190">
        <v>2</v>
      </c>
      <c r="K848" s="1180"/>
      <c r="L848" s="1174">
        <v>13073030306</v>
      </c>
      <c r="M848" s="1175">
        <v>1</v>
      </c>
      <c r="N848" s="1175">
        <v>1</v>
      </c>
      <c r="O848" s="1175">
        <v>2</v>
      </c>
    </row>
    <row r="849" spans="3:28" ht="13.5">
      <c r="C849" s="1181" t="s">
        <v>5529</v>
      </c>
      <c r="D849" s="1178">
        <v>1</v>
      </c>
      <c r="E849" s="1178">
        <v>1</v>
      </c>
      <c r="F849" s="1179">
        <v>2</v>
      </c>
      <c r="G849" s="1189" t="s">
        <v>5529</v>
      </c>
      <c r="H849" s="1176">
        <v>1</v>
      </c>
      <c r="I849" s="1176">
        <v>1</v>
      </c>
      <c r="J849" s="1190">
        <v>2</v>
      </c>
      <c r="K849" s="1180"/>
      <c r="L849" s="1174">
        <v>13073030307</v>
      </c>
      <c r="M849" s="1175">
        <v>1</v>
      </c>
      <c r="N849" s="1175">
        <v>1</v>
      </c>
      <c r="O849" s="1175">
        <v>2</v>
      </c>
    </row>
    <row r="850" spans="3:28" ht="13.5">
      <c r="C850" s="1181" t="s">
        <v>5530</v>
      </c>
      <c r="D850" s="1178">
        <v>1</v>
      </c>
      <c r="E850" s="1178">
        <v>1</v>
      </c>
      <c r="F850" s="1179">
        <v>2</v>
      </c>
      <c r="G850" s="1189" t="s">
        <v>5530</v>
      </c>
      <c r="H850" s="1176">
        <v>1</v>
      </c>
      <c r="I850" s="1176">
        <v>1</v>
      </c>
      <c r="J850" s="1190">
        <v>2</v>
      </c>
      <c r="K850" s="1180"/>
      <c r="L850" s="1174">
        <v>13073030308</v>
      </c>
      <c r="M850" s="1175">
        <v>1</v>
      </c>
      <c r="N850" s="1175">
        <v>1</v>
      </c>
      <c r="O850" s="1175">
        <v>2</v>
      </c>
    </row>
    <row r="851" spans="3:28" ht="13.5">
      <c r="C851" s="1181" t="s">
        <v>5531</v>
      </c>
      <c r="D851" s="1178">
        <v>1</v>
      </c>
      <c r="E851" s="1178">
        <v>1</v>
      </c>
      <c r="F851" s="1179">
        <v>2</v>
      </c>
      <c r="G851" s="1189" t="s">
        <v>5531</v>
      </c>
      <c r="H851" s="1176">
        <v>1</v>
      </c>
      <c r="I851" s="1176">
        <v>1</v>
      </c>
      <c r="J851" s="1190">
        <v>2</v>
      </c>
      <c r="K851" s="1180"/>
      <c r="L851" s="1174">
        <v>13073030309</v>
      </c>
      <c r="M851" s="1175">
        <v>1</v>
      </c>
      <c r="N851" s="1175">
        <v>1</v>
      </c>
      <c r="O851" s="1175">
        <v>2</v>
      </c>
    </row>
    <row r="852" spans="3:28" ht="13.5">
      <c r="C852" s="1181" t="s">
        <v>5532</v>
      </c>
      <c r="D852" s="1178">
        <v>0</v>
      </c>
      <c r="E852" s="1178">
        <v>0</v>
      </c>
      <c r="F852" s="1179">
        <v>0</v>
      </c>
      <c r="G852" s="1189" t="s">
        <v>5532</v>
      </c>
      <c r="H852" s="1176">
        <v>0</v>
      </c>
      <c r="I852" s="1176">
        <v>0</v>
      </c>
      <c r="J852" s="1190">
        <v>0</v>
      </c>
      <c r="K852" s="1180"/>
      <c r="L852" s="1174">
        <v>13073030401</v>
      </c>
      <c r="M852" s="1175">
        <v>0</v>
      </c>
      <c r="N852" s="1175">
        <v>0</v>
      </c>
      <c r="O852" s="1175">
        <v>0</v>
      </c>
      <c r="AA852"/>
      <c r="AB852"/>
    </row>
    <row r="853" spans="3:28" ht="13.5">
      <c r="C853" s="1181" t="s">
        <v>5533</v>
      </c>
      <c r="D853" s="1178">
        <v>1</v>
      </c>
      <c r="E853" s="1178">
        <v>1</v>
      </c>
      <c r="F853" s="1179">
        <v>2</v>
      </c>
      <c r="G853" s="1189" t="s">
        <v>5533</v>
      </c>
      <c r="H853" s="1176">
        <v>1</v>
      </c>
      <c r="I853" s="1176">
        <v>1</v>
      </c>
      <c r="J853" s="1190">
        <v>2</v>
      </c>
      <c r="K853" s="1180"/>
      <c r="L853" s="1174">
        <v>13073030402</v>
      </c>
      <c r="M853" s="1175">
        <v>1</v>
      </c>
      <c r="N853" s="1175">
        <v>1</v>
      </c>
      <c r="O853" s="1175">
        <v>2</v>
      </c>
      <c r="AA853"/>
      <c r="AB853"/>
    </row>
    <row r="854" spans="3:28" ht="13.5">
      <c r="C854" s="1181" t="s">
        <v>5534</v>
      </c>
      <c r="D854" s="1178">
        <v>1</v>
      </c>
      <c r="E854" s="1178">
        <v>1</v>
      </c>
      <c r="F854" s="1179">
        <v>2</v>
      </c>
      <c r="G854" s="1189" t="s">
        <v>5534</v>
      </c>
      <c r="H854" s="1176">
        <v>1</v>
      </c>
      <c r="I854" s="1176">
        <v>0</v>
      </c>
      <c r="J854" s="1190">
        <v>1</v>
      </c>
      <c r="K854" s="1180"/>
      <c r="L854" s="1174">
        <v>13073030503</v>
      </c>
      <c r="M854" s="1175">
        <v>1</v>
      </c>
      <c r="N854" s="1175">
        <v>1</v>
      </c>
      <c r="O854" s="1175">
        <v>2</v>
      </c>
      <c r="AA854"/>
      <c r="AB854"/>
    </row>
    <row r="855" spans="3:28" ht="13.5">
      <c r="C855" s="1181" t="s">
        <v>5535</v>
      </c>
      <c r="D855" s="1178">
        <v>1</v>
      </c>
      <c r="E855" s="1178">
        <v>1</v>
      </c>
      <c r="F855" s="1179">
        <v>2</v>
      </c>
      <c r="G855" s="1189" t="s">
        <v>5535</v>
      </c>
      <c r="H855" s="1176">
        <v>0</v>
      </c>
      <c r="I855" s="1176">
        <v>1</v>
      </c>
      <c r="J855" s="1190">
        <v>1</v>
      </c>
      <c r="K855" s="1180"/>
      <c r="L855" s="1174">
        <v>13073030504</v>
      </c>
      <c r="M855" s="1175">
        <v>1</v>
      </c>
      <c r="N855" s="1175">
        <v>1</v>
      </c>
      <c r="O855" s="1175">
        <v>2</v>
      </c>
      <c r="AA855"/>
      <c r="AB855"/>
    </row>
    <row r="856" spans="3:28" ht="13.5">
      <c r="C856" s="1181" t="s">
        <v>5536</v>
      </c>
      <c r="D856" s="1178">
        <v>1</v>
      </c>
      <c r="E856" s="1178">
        <v>1</v>
      </c>
      <c r="F856" s="1179">
        <v>2</v>
      </c>
      <c r="G856" s="1189" t="s">
        <v>5536</v>
      </c>
      <c r="H856" s="1176">
        <v>0</v>
      </c>
      <c r="I856" s="1176" t="s">
        <v>4455</v>
      </c>
      <c r="J856" s="1190">
        <v>0</v>
      </c>
      <c r="K856" s="1180"/>
      <c r="L856" s="1174">
        <v>13073030505</v>
      </c>
      <c r="M856" s="1175">
        <v>1</v>
      </c>
      <c r="N856" s="1175">
        <v>1</v>
      </c>
      <c r="O856" s="1175">
        <v>2</v>
      </c>
      <c r="AA856"/>
      <c r="AB856"/>
    </row>
    <row r="857" spans="3:28" ht="13.5">
      <c r="C857" s="1181" t="s">
        <v>5537</v>
      </c>
      <c r="D857" s="1178">
        <v>0</v>
      </c>
      <c r="E857" s="1178">
        <v>1</v>
      </c>
      <c r="F857" s="1179">
        <v>1</v>
      </c>
      <c r="G857" s="1189" t="s">
        <v>5537</v>
      </c>
      <c r="H857" s="1176">
        <v>0</v>
      </c>
      <c r="I857" s="1176">
        <v>0</v>
      </c>
      <c r="J857" s="1190">
        <v>0</v>
      </c>
      <c r="K857" s="1180"/>
      <c r="L857" s="1174">
        <v>13073030506</v>
      </c>
      <c r="M857" s="1175">
        <v>0</v>
      </c>
      <c r="N857" s="1175">
        <v>1</v>
      </c>
      <c r="O857" s="1175">
        <v>1</v>
      </c>
      <c r="AA857"/>
      <c r="AB857"/>
    </row>
    <row r="858" spans="3:28" ht="13.5">
      <c r="C858" s="1181" t="s">
        <v>5538</v>
      </c>
      <c r="D858" s="1178">
        <v>0</v>
      </c>
      <c r="E858" s="1178">
        <v>0</v>
      </c>
      <c r="F858" s="1179">
        <v>0</v>
      </c>
      <c r="G858" s="1189" t="s">
        <v>5538</v>
      </c>
      <c r="H858" s="1176">
        <v>0</v>
      </c>
      <c r="I858" s="1176">
        <v>0</v>
      </c>
      <c r="J858" s="1190">
        <v>0</v>
      </c>
      <c r="K858" s="1180"/>
      <c r="L858" s="1174">
        <v>13073030603</v>
      </c>
      <c r="M858" s="1175">
        <v>0</v>
      </c>
      <c r="N858" s="1175">
        <v>0</v>
      </c>
      <c r="O858" s="1175">
        <v>0</v>
      </c>
      <c r="AA858"/>
      <c r="AB858"/>
    </row>
    <row r="859" spans="3:28" ht="13.5">
      <c r="C859" s="1181" t="s">
        <v>5539</v>
      </c>
      <c r="D859" s="1178">
        <v>0</v>
      </c>
      <c r="E859" s="1178">
        <v>0</v>
      </c>
      <c r="F859" s="1179">
        <v>0</v>
      </c>
      <c r="G859" s="1189" t="s">
        <v>5539</v>
      </c>
      <c r="H859" s="1176">
        <v>0</v>
      </c>
      <c r="I859" s="1176">
        <v>0</v>
      </c>
      <c r="J859" s="1190">
        <v>0</v>
      </c>
      <c r="K859" s="1180"/>
      <c r="L859" s="1174">
        <v>13075960100</v>
      </c>
      <c r="M859" s="1175">
        <v>0</v>
      </c>
      <c r="N859" s="1175">
        <v>0</v>
      </c>
      <c r="O859" s="1175">
        <v>0</v>
      </c>
      <c r="AA859"/>
      <c r="AB859"/>
    </row>
    <row r="860" spans="3:28" ht="13.5">
      <c r="C860" s="1181" t="s">
        <v>5540</v>
      </c>
      <c r="D860" s="1178">
        <v>0</v>
      </c>
      <c r="E860" s="1178">
        <v>0</v>
      </c>
      <c r="F860" s="1179">
        <v>0</v>
      </c>
      <c r="G860" s="1189" t="s">
        <v>5540</v>
      </c>
      <c r="H860" s="1176">
        <v>0</v>
      </c>
      <c r="I860" s="1176">
        <v>0</v>
      </c>
      <c r="J860" s="1190">
        <v>0</v>
      </c>
      <c r="K860" s="1180"/>
      <c r="L860" s="1174">
        <v>13075960200</v>
      </c>
      <c r="M860" s="1175">
        <v>0</v>
      </c>
      <c r="N860" s="1175">
        <v>0</v>
      </c>
      <c r="O860" s="1175">
        <v>0</v>
      </c>
      <c r="AA860"/>
      <c r="AB860"/>
    </row>
    <row r="861" spans="3:28" ht="13.5">
      <c r="C861" s="1181" t="s">
        <v>5541</v>
      </c>
      <c r="D861" s="1178">
        <v>0</v>
      </c>
      <c r="E861" s="1178">
        <v>0</v>
      </c>
      <c r="F861" s="1179">
        <v>0</v>
      </c>
      <c r="G861" s="1189" t="s">
        <v>5541</v>
      </c>
      <c r="H861" s="1176">
        <v>0</v>
      </c>
      <c r="I861" s="1176">
        <v>0</v>
      </c>
      <c r="J861" s="1190">
        <v>0</v>
      </c>
      <c r="K861" s="1180"/>
      <c r="L861" s="1174">
        <v>13075960300</v>
      </c>
      <c r="M861" s="1175">
        <v>0</v>
      </c>
      <c r="N861" s="1175">
        <v>0</v>
      </c>
      <c r="O861" s="1175">
        <v>0</v>
      </c>
      <c r="AA861"/>
      <c r="AB861"/>
    </row>
    <row r="862" spans="3:28" ht="13.5">
      <c r="C862" s="1181" t="s">
        <v>5542</v>
      </c>
      <c r="D862" s="1178">
        <v>0</v>
      </c>
      <c r="E862" s="1178">
        <v>0</v>
      </c>
      <c r="F862" s="1179">
        <v>0</v>
      </c>
      <c r="G862" s="1189" t="s">
        <v>5542</v>
      </c>
      <c r="H862" s="1176">
        <v>0</v>
      </c>
      <c r="I862" s="1176">
        <v>0</v>
      </c>
      <c r="J862" s="1190">
        <v>0</v>
      </c>
      <c r="K862" s="1180"/>
      <c r="L862" s="1174">
        <v>13075960400</v>
      </c>
      <c r="M862" s="1175">
        <v>0</v>
      </c>
      <c r="N862" s="1175">
        <v>0</v>
      </c>
      <c r="O862" s="1175">
        <v>0</v>
      </c>
      <c r="AA862"/>
      <c r="AB862"/>
    </row>
    <row r="863" spans="3:28" ht="13.5">
      <c r="C863" s="1181" t="s">
        <v>5543</v>
      </c>
      <c r="D863" s="1178">
        <v>1</v>
      </c>
      <c r="E863" s="1178">
        <v>1</v>
      </c>
      <c r="F863" s="1179">
        <v>2</v>
      </c>
      <c r="G863" s="1189" t="s">
        <v>5543</v>
      </c>
      <c r="H863" s="1176">
        <v>1</v>
      </c>
      <c r="I863" s="1176">
        <v>0</v>
      </c>
      <c r="J863" s="1190">
        <v>1</v>
      </c>
      <c r="K863" s="1180"/>
      <c r="L863" s="1174">
        <v>13077170100</v>
      </c>
      <c r="M863" s="1175">
        <v>1</v>
      </c>
      <c r="N863" s="1175">
        <v>1</v>
      </c>
      <c r="O863" s="1175">
        <v>2</v>
      </c>
      <c r="AA863"/>
      <c r="AB863"/>
    </row>
    <row r="864" spans="3:28" ht="13.5">
      <c r="C864" s="1181" t="s">
        <v>5544</v>
      </c>
      <c r="D864" s="1178">
        <v>1</v>
      </c>
      <c r="E864" s="1178">
        <v>0</v>
      </c>
      <c r="F864" s="1179">
        <v>1</v>
      </c>
      <c r="G864" s="1189" t="s">
        <v>5544</v>
      </c>
      <c r="H864" s="1176">
        <v>1</v>
      </c>
      <c r="I864" s="1176">
        <v>0</v>
      </c>
      <c r="J864" s="1190">
        <v>1</v>
      </c>
      <c r="K864" s="1180"/>
      <c r="L864" s="1174">
        <v>13077170200</v>
      </c>
      <c r="M864" s="1175">
        <v>1</v>
      </c>
      <c r="N864" s="1175">
        <v>0</v>
      </c>
      <c r="O864" s="1175">
        <v>1</v>
      </c>
      <c r="AA864"/>
      <c r="AB864"/>
    </row>
    <row r="865" spans="3:28" ht="13.5">
      <c r="C865" s="1181" t="s">
        <v>5545</v>
      </c>
      <c r="D865" s="1178">
        <v>1</v>
      </c>
      <c r="E865" s="1178">
        <v>1</v>
      </c>
      <c r="F865" s="1179">
        <v>2</v>
      </c>
      <c r="G865" s="1189" t="s">
        <v>5545</v>
      </c>
      <c r="H865" s="1176">
        <v>1</v>
      </c>
      <c r="I865" s="1176">
        <v>1</v>
      </c>
      <c r="J865" s="1190">
        <v>2</v>
      </c>
      <c r="K865" s="1180"/>
      <c r="L865" s="1174">
        <v>13077170303</v>
      </c>
      <c r="M865" s="1175">
        <v>1</v>
      </c>
      <c r="N865" s="1175">
        <v>1</v>
      </c>
      <c r="O865" s="1175">
        <v>2</v>
      </c>
      <c r="AA865"/>
      <c r="AB865"/>
    </row>
    <row r="866" spans="3:28" ht="13.5">
      <c r="C866" s="1181" t="s">
        <v>5546</v>
      </c>
      <c r="D866" s="1178">
        <v>1</v>
      </c>
      <c r="E866" s="1178">
        <v>1</v>
      </c>
      <c r="F866" s="1179">
        <v>2</v>
      </c>
      <c r="G866" s="1189" t="s">
        <v>5546</v>
      </c>
      <c r="H866" s="1176">
        <v>1</v>
      </c>
      <c r="I866" s="1176">
        <v>1</v>
      </c>
      <c r="J866" s="1190">
        <v>2</v>
      </c>
      <c r="K866" s="1180"/>
      <c r="L866" s="1174">
        <v>13077170304</v>
      </c>
      <c r="M866" s="1175">
        <v>1</v>
      </c>
      <c r="N866" s="1175">
        <v>1</v>
      </c>
      <c r="O866" s="1175">
        <v>2</v>
      </c>
      <c r="AA866"/>
      <c r="AB866"/>
    </row>
    <row r="867" spans="3:28" ht="13.5">
      <c r="C867" s="1181" t="s">
        <v>5547</v>
      </c>
      <c r="D867" s="1178">
        <v>0</v>
      </c>
      <c r="E867" s="1178">
        <v>0</v>
      </c>
      <c r="F867" s="1179">
        <v>0</v>
      </c>
      <c r="G867" s="1189" t="s">
        <v>5547</v>
      </c>
      <c r="H867" s="1176">
        <v>0</v>
      </c>
      <c r="I867" s="1176">
        <v>0</v>
      </c>
      <c r="J867" s="1190">
        <v>0</v>
      </c>
      <c r="K867" s="1180"/>
      <c r="L867" s="1174">
        <v>13077170305</v>
      </c>
      <c r="M867" s="1175">
        <v>0</v>
      </c>
      <c r="N867" s="1175">
        <v>0</v>
      </c>
      <c r="O867" s="1175">
        <v>0</v>
      </c>
      <c r="AA867"/>
      <c r="AB867"/>
    </row>
    <row r="868" spans="3:28" ht="13.5">
      <c r="C868" s="1181" t="s">
        <v>5548</v>
      </c>
      <c r="D868" s="1178">
        <v>1</v>
      </c>
      <c r="E868" s="1178">
        <v>1</v>
      </c>
      <c r="F868" s="1179">
        <v>2</v>
      </c>
      <c r="G868" s="1189" t="s">
        <v>5548</v>
      </c>
      <c r="H868" s="1176">
        <v>1</v>
      </c>
      <c r="I868" s="1176">
        <v>1</v>
      </c>
      <c r="J868" s="1190">
        <v>2</v>
      </c>
      <c r="K868" s="1180"/>
      <c r="L868" s="1174">
        <v>13077170306</v>
      </c>
      <c r="M868" s="1175">
        <v>1</v>
      </c>
      <c r="N868" s="1175">
        <v>1</v>
      </c>
      <c r="O868" s="1175">
        <v>2</v>
      </c>
      <c r="AA868"/>
      <c r="AB868"/>
    </row>
    <row r="869" spans="3:28" ht="13.5">
      <c r="C869" s="1181" t="s">
        <v>5549</v>
      </c>
      <c r="D869" s="1178">
        <v>1</v>
      </c>
      <c r="E869" s="1178">
        <v>1</v>
      </c>
      <c r="F869" s="1179">
        <v>2</v>
      </c>
      <c r="G869" s="1189" t="s">
        <v>5549</v>
      </c>
      <c r="H869" s="1176">
        <v>1</v>
      </c>
      <c r="I869" s="1176">
        <v>1</v>
      </c>
      <c r="J869" s="1190">
        <v>2</v>
      </c>
      <c r="K869" s="1180"/>
      <c r="L869" s="1174">
        <v>13077170402</v>
      </c>
      <c r="M869" s="1175">
        <v>1</v>
      </c>
      <c r="N869" s="1175">
        <v>1</v>
      </c>
      <c r="O869" s="1175">
        <v>2</v>
      </c>
      <c r="AA869"/>
      <c r="AB869"/>
    </row>
    <row r="870" spans="3:28" ht="13.5">
      <c r="C870" s="1181" t="s">
        <v>5550</v>
      </c>
      <c r="D870" s="1178">
        <v>1</v>
      </c>
      <c r="E870" s="1178">
        <v>1</v>
      </c>
      <c r="F870" s="1179">
        <v>2</v>
      </c>
      <c r="G870" s="1189" t="s">
        <v>5550</v>
      </c>
      <c r="H870" s="1176">
        <v>1</v>
      </c>
      <c r="I870" s="1176">
        <v>1</v>
      </c>
      <c r="J870" s="1190">
        <v>2</v>
      </c>
      <c r="K870" s="1180"/>
      <c r="L870" s="1174">
        <v>13077170403</v>
      </c>
      <c r="M870" s="1175">
        <v>1</v>
      </c>
      <c r="N870" s="1175">
        <v>1</v>
      </c>
      <c r="O870" s="1175">
        <v>2</v>
      </c>
      <c r="AA870"/>
      <c r="AB870"/>
    </row>
    <row r="871" spans="3:28" ht="13.5">
      <c r="C871" s="1181" t="s">
        <v>5551</v>
      </c>
      <c r="D871" s="1178">
        <v>1</v>
      </c>
      <c r="E871" s="1178">
        <v>1</v>
      </c>
      <c r="F871" s="1179">
        <v>2</v>
      </c>
      <c r="G871" s="1189" t="s">
        <v>5551</v>
      </c>
      <c r="H871" s="1176">
        <v>1</v>
      </c>
      <c r="I871" s="1176">
        <v>1</v>
      </c>
      <c r="J871" s="1190">
        <v>2</v>
      </c>
      <c r="K871" s="1180"/>
      <c r="L871" s="1174">
        <v>13077170404</v>
      </c>
      <c r="M871" s="1175">
        <v>1</v>
      </c>
      <c r="N871" s="1175">
        <v>1</v>
      </c>
      <c r="O871" s="1175">
        <v>2</v>
      </c>
      <c r="AA871"/>
      <c r="AB871"/>
    </row>
    <row r="872" spans="3:28" ht="13.5">
      <c r="C872" s="1181" t="s">
        <v>5552</v>
      </c>
      <c r="D872" s="1178">
        <v>1</v>
      </c>
      <c r="E872" s="1178">
        <v>1</v>
      </c>
      <c r="F872" s="1179">
        <v>2</v>
      </c>
      <c r="G872" s="1189" t="s">
        <v>5552</v>
      </c>
      <c r="H872" s="1176">
        <v>1</v>
      </c>
      <c r="I872" s="1176">
        <v>1</v>
      </c>
      <c r="J872" s="1190">
        <v>2</v>
      </c>
      <c r="K872" s="1180"/>
      <c r="L872" s="1174">
        <v>13077170405</v>
      </c>
      <c r="M872" s="1175">
        <v>1</v>
      </c>
      <c r="N872" s="1175">
        <v>1</v>
      </c>
      <c r="O872" s="1175">
        <v>2</v>
      </c>
      <c r="AA872"/>
      <c r="AB872"/>
    </row>
    <row r="873" spans="3:28" ht="13.5">
      <c r="C873" s="1181" t="s">
        <v>5553</v>
      </c>
      <c r="D873" s="1178">
        <v>1</v>
      </c>
      <c r="E873" s="1178">
        <v>1</v>
      </c>
      <c r="F873" s="1179">
        <v>2</v>
      </c>
      <c r="G873" s="1189" t="s">
        <v>5553</v>
      </c>
      <c r="H873" s="1176">
        <v>1</v>
      </c>
      <c r="I873" s="1176">
        <v>1</v>
      </c>
      <c r="J873" s="1190">
        <v>2</v>
      </c>
      <c r="K873" s="1180"/>
      <c r="L873" s="1174">
        <v>13077170406</v>
      </c>
      <c r="M873" s="1175">
        <v>1</v>
      </c>
      <c r="N873" s="1175">
        <v>1</v>
      </c>
      <c r="O873" s="1175">
        <v>2</v>
      </c>
      <c r="AA873"/>
      <c r="AB873"/>
    </row>
    <row r="874" spans="3:28" ht="13.5">
      <c r="C874" s="1181" t="s">
        <v>5554</v>
      </c>
      <c r="D874" s="1178">
        <v>1</v>
      </c>
      <c r="E874" s="1178">
        <v>1</v>
      </c>
      <c r="F874" s="1179">
        <v>2</v>
      </c>
      <c r="G874" s="1189" t="s">
        <v>5554</v>
      </c>
      <c r="H874" s="1176">
        <v>1</v>
      </c>
      <c r="I874" s="1176">
        <v>1</v>
      </c>
      <c r="J874" s="1190">
        <v>2</v>
      </c>
      <c r="K874" s="1180"/>
      <c r="L874" s="1174">
        <v>13077170501</v>
      </c>
      <c r="M874" s="1175">
        <v>1</v>
      </c>
      <c r="N874" s="1175">
        <v>1</v>
      </c>
      <c r="O874" s="1175">
        <v>2</v>
      </c>
      <c r="AA874"/>
      <c r="AB874"/>
    </row>
    <row r="875" spans="3:28" ht="13.5">
      <c r="C875" s="1181" t="s">
        <v>5555</v>
      </c>
      <c r="D875" s="1178">
        <v>1</v>
      </c>
      <c r="E875" s="1178">
        <v>1</v>
      </c>
      <c r="F875" s="1179">
        <v>2</v>
      </c>
      <c r="G875" s="1189" t="s">
        <v>5555</v>
      </c>
      <c r="H875" s="1176">
        <v>1</v>
      </c>
      <c r="I875" s="1176">
        <v>1</v>
      </c>
      <c r="J875" s="1190">
        <v>2</v>
      </c>
      <c r="K875" s="1180"/>
      <c r="L875" s="1174">
        <v>13077170502</v>
      </c>
      <c r="M875" s="1175">
        <v>1</v>
      </c>
      <c r="N875" s="1175">
        <v>1</v>
      </c>
      <c r="O875" s="1175">
        <v>2</v>
      </c>
      <c r="AA875"/>
      <c r="AB875"/>
    </row>
    <row r="876" spans="3:28" ht="13.5">
      <c r="C876" s="1181" t="s">
        <v>5556</v>
      </c>
      <c r="D876" s="1178">
        <v>1</v>
      </c>
      <c r="E876" s="1178">
        <v>1</v>
      </c>
      <c r="F876" s="1179">
        <v>2</v>
      </c>
      <c r="G876" s="1189" t="s">
        <v>5556</v>
      </c>
      <c r="H876" s="1176">
        <v>1</v>
      </c>
      <c r="I876" s="1176">
        <v>1</v>
      </c>
      <c r="J876" s="1190">
        <v>2</v>
      </c>
      <c r="K876" s="1180"/>
      <c r="L876" s="1174">
        <v>13077170503</v>
      </c>
      <c r="M876" s="1175">
        <v>1</v>
      </c>
      <c r="N876" s="1175">
        <v>1</v>
      </c>
      <c r="O876" s="1175">
        <v>2</v>
      </c>
      <c r="AA876"/>
      <c r="AB876"/>
    </row>
    <row r="877" spans="3:28" ht="13.5">
      <c r="C877" s="1181" t="s">
        <v>5557</v>
      </c>
      <c r="D877" s="1178">
        <v>0</v>
      </c>
      <c r="E877" s="1178">
        <v>0</v>
      </c>
      <c r="F877" s="1179">
        <v>0</v>
      </c>
      <c r="G877" s="1189" t="s">
        <v>5557</v>
      </c>
      <c r="H877" s="1176">
        <v>0</v>
      </c>
      <c r="I877" s="1176">
        <v>0</v>
      </c>
      <c r="J877" s="1190">
        <v>0</v>
      </c>
      <c r="K877" s="1180"/>
      <c r="L877" s="1174">
        <v>13077170601</v>
      </c>
      <c r="M877" s="1175">
        <v>0</v>
      </c>
      <c r="N877" s="1175">
        <v>0</v>
      </c>
      <c r="O877" s="1175">
        <v>0</v>
      </c>
      <c r="AA877"/>
      <c r="AB877"/>
    </row>
    <row r="878" spans="3:28" ht="13.5">
      <c r="C878" s="1181" t="s">
        <v>5558</v>
      </c>
      <c r="D878" s="1178">
        <v>1</v>
      </c>
      <c r="E878" s="1178">
        <v>1</v>
      </c>
      <c r="F878" s="1179">
        <v>2</v>
      </c>
      <c r="G878" s="1189" t="s">
        <v>5558</v>
      </c>
      <c r="H878" s="1176">
        <v>1</v>
      </c>
      <c r="I878" s="1176" t="s">
        <v>4455</v>
      </c>
      <c r="J878" s="1190">
        <v>1</v>
      </c>
      <c r="K878" s="1180"/>
      <c r="L878" s="1174">
        <v>13077170602</v>
      </c>
      <c r="M878" s="1175">
        <v>1</v>
      </c>
      <c r="N878" s="1175">
        <v>1</v>
      </c>
      <c r="O878" s="1175">
        <v>2</v>
      </c>
      <c r="AA878"/>
      <c r="AB878"/>
    </row>
    <row r="879" spans="3:28" ht="13.5">
      <c r="C879" s="1181" t="s">
        <v>5559</v>
      </c>
      <c r="D879" s="1178">
        <v>1</v>
      </c>
      <c r="E879" s="1178">
        <v>1</v>
      </c>
      <c r="F879" s="1179">
        <v>2</v>
      </c>
      <c r="G879" s="1189" t="s">
        <v>5559</v>
      </c>
      <c r="H879" s="1176">
        <v>1</v>
      </c>
      <c r="I879" s="1176">
        <v>1</v>
      </c>
      <c r="J879" s="1190">
        <v>2</v>
      </c>
      <c r="K879" s="1180"/>
      <c r="L879" s="1174">
        <v>13077170603</v>
      </c>
      <c r="M879" s="1175">
        <v>1</v>
      </c>
      <c r="N879" s="1175">
        <v>1</v>
      </c>
      <c r="O879" s="1175">
        <v>2</v>
      </c>
      <c r="AA879"/>
      <c r="AB879"/>
    </row>
    <row r="880" spans="3:28" ht="13.5">
      <c r="C880" s="1181" t="s">
        <v>5560</v>
      </c>
      <c r="D880" s="1178">
        <v>0</v>
      </c>
      <c r="E880" s="1178">
        <v>0</v>
      </c>
      <c r="F880" s="1179">
        <v>0</v>
      </c>
      <c r="G880" s="1189" t="s">
        <v>5560</v>
      </c>
      <c r="H880" s="1176">
        <v>0</v>
      </c>
      <c r="I880" s="1176">
        <v>0</v>
      </c>
      <c r="J880" s="1190">
        <v>0</v>
      </c>
      <c r="K880" s="1180"/>
      <c r="L880" s="1174">
        <v>13077170700</v>
      </c>
      <c r="M880" s="1175">
        <v>0</v>
      </c>
      <c r="N880" s="1175">
        <v>0</v>
      </c>
      <c r="O880" s="1175">
        <v>0</v>
      </c>
      <c r="AA880"/>
      <c r="AB880"/>
    </row>
    <row r="881" spans="3:28" ht="13.5">
      <c r="C881" s="1181" t="s">
        <v>5561</v>
      </c>
      <c r="D881" s="1178">
        <v>0</v>
      </c>
      <c r="E881" s="1178">
        <v>1</v>
      </c>
      <c r="F881" s="1179">
        <v>1</v>
      </c>
      <c r="G881" s="1189" t="s">
        <v>5561</v>
      </c>
      <c r="H881" s="1176">
        <v>0</v>
      </c>
      <c r="I881" s="1176">
        <v>0</v>
      </c>
      <c r="J881" s="1190">
        <v>0</v>
      </c>
      <c r="K881" s="1180"/>
      <c r="L881" s="1174">
        <v>13077170801</v>
      </c>
      <c r="M881" s="1175">
        <v>0</v>
      </c>
      <c r="N881" s="1175">
        <v>1</v>
      </c>
      <c r="O881" s="1175">
        <v>1</v>
      </c>
      <c r="AA881"/>
      <c r="AB881"/>
    </row>
    <row r="882" spans="3:28" ht="13.5">
      <c r="C882" s="1181" t="s">
        <v>5562</v>
      </c>
      <c r="D882" s="1178">
        <v>1</v>
      </c>
      <c r="E882" s="1178">
        <v>1</v>
      </c>
      <c r="F882" s="1179">
        <v>2</v>
      </c>
      <c r="G882" s="1189" t="s">
        <v>5562</v>
      </c>
      <c r="H882" s="1176">
        <v>1</v>
      </c>
      <c r="I882" s="1176">
        <v>1</v>
      </c>
      <c r="J882" s="1190">
        <v>2</v>
      </c>
      <c r="K882" s="1180"/>
      <c r="L882" s="1174">
        <v>13077170802</v>
      </c>
      <c r="M882" s="1175">
        <v>1</v>
      </c>
      <c r="N882" s="1175">
        <v>1</v>
      </c>
      <c r="O882" s="1175">
        <v>2</v>
      </c>
      <c r="AA882"/>
      <c r="AB882"/>
    </row>
    <row r="883" spans="3:28" ht="13.5">
      <c r="C883" s="1181" t="s">
        <v>5563</v>
      </c>
      <c r="D883" s="1178">
        <v>0</v>
      </c>
      <c r="E883" s="1178">
        <v>0</v>
      </c>
      <c r="F883" s="1179">
        <v>0</v>
      </c>
      <c r="G883" s="1189" t="s">
        <v>5563</v>
      </c>
      <c r="H883" s="1176">
        <v>0</v>
      </c>
      <c r="I883" s="1176">
        <v>0</v>
      </c>
      <c r="J883" s="1190">
        <v>0</v>
      </c>
      <c r="K883" s="1180"/>
      <c r="L883" s="1174">
        <v>13079070100</v>
      </c>
      <c r="M883" s="1175">
        <v>0</v>
      </c>
      <c r="N883" s="1175">
        <v>0</v>
      </c>
      <c r="O883" s="1175">
        <v>0</v>
      </c>
      <c r="AA883"/>
      <c r="AB883"/>
    </row>
    <row r="884" spans="3:28" ht="13.5">
      <c r="C884" s="1181" t="s">
        <v>5564</v>
      </c>
      <c r="D884" s="1178">
        <v>0</v>
      </c>
      <c r="E884" s="1178">
        <v>1</v>
      </c>
      <c r="F884" s="1179">
        <v>1</v>
      </c>
      <c r="G884" s="1189" t="s">
        <v>5564</v>
      </c>
      <c r="H884" s="1176">
        <v>0</v>
      </c>
      <c r="I884" s="1176">
        <v>1</v>
      </c>
      <c r="J884" s="1190">
        <v>1</v>
      </c>
      <c r="K884" s="1180"/>
      <c r="L884" s="1174">
        <v>13079070201</v>
      </c>
      <c r="M884" s="1175">
        <v>0</v>
      </c>
      <c r="N884" s="1175">
        <v>1</v>
      </c>
      <c r="O884" s="1175">
        <v>1</v>
      </c>
      <c r="AA884"/>
      <c r="AB884"/>
    </row>
    <row r="885" spans="3:28" ht="13.5">
      <c r="C885" s="1181" t="s">
        <v>5565</v>
      </c>
      <c r="D885" s="1178">
        <v>0</v>
      </c>
      <c r="E885" s="1178">
        <v>1</v>
      </c>
      <c r="F885" s="1179">
        <v>1</v>
      </c>
      <c r="G885" s="1189" t="s">
        <v>5565</v>
      </c>
      <c r="H885" s="1176">
        <v>0</v>
      </c>
      <c r="I885" s="1176">
        <v>0</v>
      </c>
      <c r="J885" s="1190">
        <v>0</v>
      </c>
      <c r="K885" s="1180"/>
      <c r="L885" s="1174">
        <v>13079070202</v>
      </c>
      <c r="M885" s="1175">
        <v>0</v>
      </c>
      <c r="N885" s="1175">
        <v>1</v>
      </c>
      <c r="O885" s="1175">
        <v>1</v>
      </c>
      <c r="AA885"/>
      <c r="AB885"/>
    </row>
    <row r="886" spans="3:28" ht="13.5">
      <c r="C886" s="1181" t="s">
        <v>5566</v>
      </c>
      <c r="D886" s="1178">
        <v>0</v>
      </c>
      <c r="E886" s="1178">
        <v>0</v>
      </c>
      <c r="F886" s="1179">
        <v>0</v>
      </c>
      <c r="G886" s="1189" t="s">
        <v>5566</v>
      </c>
      <c r="H886" s="1176">
        <v>0</v>
      </c>
      <c r="I886" s="1176">
        <v>0</v>
      </c>
      <c r="J886" s="1190">
        <v>0</v>
      </c>
      <c r="K886" s="1180"/>
      <c r="L886" s="1174">
        <v>13081010100</v>
      </c>
      <c r="M886" s="1175">
        <v>0</v>
      </c>
      <c r="N886" s="1175">
        <v>0</v>
      </c>
      <c r="O886" s="1175">
        <v>0</v>
      </c>
      <c r="AA886"/>
      <c r="AB886"/>
    </row>
    <row r="887" spans="3:28" ht="13.5">
      <c r="C887" s="1181" t="s">
        <v>5567</v>
      </c>
      <c r="D887" s="1178">
        <v>0</v>
      </c>
      <c r="E887" s="1178">
        <v>0</v>
      </c>
      <c r="F887" s="1179">
        <v>0</v>
      </c>
      <c r="G887" s="1189" t="s">
        <v>5567</v>
      </c>
      <c r="H887" s="1176">
        <v>0</v>
      </c>
      <c r="I887" s="1176">
        <v>0</v>
      </c>
      <c r="J887" s="1190">
        <v>0</v>
      </c>
      <c r="K887" s="1180"/>
      <c r="L887" s="1174">
        <v>13081010201</v>
      </c>
      <c r="M887" s="1175">
        <v>0</v>
      </c>
      <c r="N887" s="1175">
        <v>0</v>
      </c>
      <c r="O887" s="1175">
        <v>0</v>
      </c>
      <c r="AA887"/>
      <c r="AB887"/>
    </row>
    <row r="888" spans="3:28" ht="13.5">
      <c r="C888" s="1181" t="s">
        <v>5568</v>
      </c>
      <c r="D888" s="1178">
        <v>0</v>
      </c>
      <c r="E888" s="1178">
        <v>0</v>
      </c>
      <c r="F888" s="1179">
        <v>0</v>
      </c>
      <c r="G888" s="1189" t="s">
        <v>5568</v>
      </c>
      <c r="H888" s="1176">
        <v>0</v>
      </c>
      <c r="I888" s="1176">
        <v>0</v>
      </c>
      <c r="J888" s="1190">
        <v>0</v>
      </c>
      <c r="K888" s="1180"/>
      <c r="L888" s="1174">
        <v>13081010202</v>
      </c>
      <c r="M888" s="1175">
        <v>0</v>
      </c>
      <c r="N888" s="1175">
        <v>0</v>
      </c>
      <c r="O888" s="1175">
        <v>0</v>
      </c>
      <c r="AA888"/>
      <c r="AB888"/>
    </row>
    <row r="889" spans="3:28" ht="13.5">
      <c r="C889" s="1181" t="s">
        <v>5569</v>
      </c>
      <c r="D889" s="1178">
        <v>0</v>
      </c>
      <c r="E889" s="1178">
        <v>0</v>
      </c>
      <c r="F889" s="1179">
        <v>0</v>
      </c>
      <c r="G889" s="1189" t="s">
        <v>5569</v>
      </c>
      <c r="H889" s="1176">
        <v>0</v>
      </c>
      <c r="I889" s="1176">
        <v>0</v>
      </c>
      <c r="J889" s="1190">
        <v>0</v>
      </c>
      <c r="K889" s="1180"/>
      <c r="L889" s="1174">
        <v>13081010300</v>
      </c>
      <c r="M889" s="1175">
        <v>0</v>
      </c>
      <c r="N889" s="1175">
        <v>0</v>
      </c>
      <c r="O889" s="1175">
        <v>0</v>
      </c>
      <c r="AA889"/>
      <c r="AB889"/>
    </row>
    <row r="890" spans="3:28" ht="13.5">
      <c r="C890" s="1181" t="s">
        <v>5570</v>
      </c>
      <c r="D890" s="1178">
        <v>0</v>
      </c>
      <c r="E890" s="1178">
        <v>0</v>
      </c>
      <c r="F890" s="1179">
        <v>0</v>
      </c>
      <c r="G890" s="1189" t="s">
        <v>5570</v>
      </c>
      <c r="H890" s="1176">
        <v>0</v>
      </c>
      <c r="I890" s="1176">
        <v>0</v>
      </c>
      <c r="J890" s="1190">
        <v>0</v>
      </c>
      <c r="K890" s="1180"/>
      <c r="L890" s="1174">
        <v>13081010400</v>
      </c>
      <c r="M890" s="1175">
        <v>0</v>
      </c>
      <c r="N890" s="1175">
        <v>0</v>
      </c>
      <c r="O890" s="1175">
        <v>0</v>
      </c>
      <c r="AA890"/>
      <c r="AB890"/>
    </row>
    <row r="891" spans="3:28" ht="13.5">
      <c r="C891" s="1181" t="s">
        <v>5571</v>
      </c>
      <c r="D891" s="1178">
        <v>0</v>
      </c>
      <c r="E891" s="1178">
        <v>0</v>
      </c>
      <c r="F891" s="1179">
        <v>0</v>
      </c>
      <c r="G891" s="1189" t="s">
        <v>5571</v>
      </c>
      <c r="H891" s="1176">
        <v>0</v>
      </c>
      <c r="I891" s="1176">
        <v>0</v>
      </c>
      <c r="J891" s="1190">
        <v>0</v>
      </c>
      <c r="K891" s="1180"/>
      <c r="L891" s="1174">
        <v>13081010500</v>
      </c>
      <c r="M891" s="1175">
        <v>0</v>
      </c>
      <c r="N891" s="1175">
        <v>0</v>
      </c>
      <c r="O891" s="1175">
        <v>0</v>
      </c>
      <c r="AA891"/>
      <c r="AB891"/>
    </row>
    <row r="892" spans="3:28" ht="13.5">
      <c r="C892" s="1181" t="s">
        <v>5572</v>
      </c>
      <c r="D892" s="1178">
        <v>0</v>
      </c>
      <c r="E892" s="1178">
        <v>0</v>
      </c>
      <c r="F892" s="1179">
        <v>0</v>
      </c>
      <c r="G892" s="1189" t="s">
        <v>5572</v>
      </c>
      <c r="H892" s="1176">
        <v>0</v>
      </c>
      <c r="I892" s="1176">
        <v>0</v>
      </c>
      <c r="J892" s="1190">
        <v>0</v>
      </c>
      <c r="K892" s="1180"/>
      <c r="L892" s="1174">
        <v>13083040101</v>
      </c>
      <c r="M892" s="1175">
        <v>0</v>
      </c>
      <c r="N892" s="1175">
        <v>0</v>
      </c>
      <c r="O892" s="1175">
        <v>0</v>
      </c>
      <c r="AA892"/>
      <c r="AB892"/>
    </row>
    <row r="893" spans="3:28" ht="13.5">
      <c r="C893" s="1181" t="s">
        <v>5573</v>
      </c>
      <c r="D893" s="1178">
        <v>1</v>
      </c>
      <c r="E893" s="1178">
        <v>1</v>
      </c>
      <c r="F893" s="1179">
        <v>2</v>
      </c>
      <c r="G893" s="1189" t="s">
        <v>5573</v>
      </c>
      <c r="H893" s="1176">
        <v>0</v>
      </c>
      <c r="I893" s="1176">
        <v>1</v>
      </c>
      <c r="J893" s="1190">
        <v>1</v>
      </c>
      <c r="K893" s="1180"/>
      <c r="L893" s="1174">
        <v>13083040102</v>
      </c>
      <c r="M893" s="1175">
        <v>1</v>
      </c>
      <c r="N893" s="1175">
        <v>1</v>
      </c>
      <c r="O893" s="1175">
        <v>2</v>
      </c>
      <c r="AA893"/>
      <c r="AB893"/>
    </row>
    <row r="894" spans="3:28" ht="13.5">
      <c r="C894" s="1181" t="s">
        <v>5574</v>
      </c>
      <c r="D894" s="1178">
        <v>0</v>
      </c>
      <c r="E894" s="1178">
        <v>0</v>
      </c>
      <c r="F894" s="1179">
        <v>0</v>
      </c>
      <c r="G894" s="1189" t="s">
        <v>5574</v>
      </c>
      <c r="H894" s="1176">
        <v>0</v>
      </c>
      <c r="I894" s="1176">
        <v>0</v>
      </c>
      <c r="J894" s="1190">
        <v>0</v>
      </c>
      <c r="K894" s="1180"/>
      <c r="L894" s="1174">
        <v>13083040200</v>
      </c>
      <c r="M894" s="1175">
        <v>0</v>
      </c>
      <c r="N894" s="1175">
        <v>0</v>
      </c>
      <c r="O894" s="1175">
        <v>0</v>
      </c>
      <c r="AA894"/>
      <c r="AB894"/>
    </row>
    <row r="895" spans="3:28" ht="13.5">
      <c r="C895" s="1181" t="s">
        <v>5575</v>
      </c>
      <c r="D895" s="1178">
        <v>1</v>
      </c>
      <c r="E895" s="1178">
        <v>1</v>
      </c>
      <c r="F895" s="1179">
        <v>2</v>
      </c>
      <c r="G895" s="1189" t="s">
        <v>5575</v>
      </c>
      <c r="H895" s="1176">
        <v>0</v>
      </c>
      <c r="I895" s="1176">
        <v>1</v>
      </c>
      <c r="J895" s="1190">
        <v>1</v>
      </c>
      <c r="K895" s="1180"/>
      <c r="L895" s="1174">
        <v>13083040300</v>
      </c>
      <c r="M895" s="1175">
        <v>1</v>
      </c>
      <c r="N895" s="1175">
        <v>1</v>
      </c>
      <c r="O895" s="1175">
        <v>2</v>
      </c>
      <c r="AA895"/>
      <c r="AB895"/>
    </row>
    <row r="896" spans="3:28" ht="13.5">
      <c r="C896" s="1181" t="s">
        <v>5576</v>
      </c>
      <c r="D896" s="1178">
        <v>1</v>
      </c>
      <c r="E896" s="1178">
        <v>1</v>
      </c>
      <c r="F896" s="1179">
        <v>2</v>
      </c>
      <c r="G896" s="1189" t="s">
        <v>5576</v>
      </c>
      <c r="H896" s="1176">
        <v>1</v>
      </c>
      <c r="I896" s="1176">
        <v>1</v>
      </c>
      <c r="J896" s="1190">
        <v>2</v>
      </c>
      <c r="K896" s="1180"/>
      <c r="L896" s="1174">
        <v>13085970100</v>
      </c>
      <c r="M896" s="1175">
        <v>1</v>
      </c>
      <c r="N896" s="1175">
        <v>1</v>
      </c>
      <c r="O896" s="1175">
        <v>2</v>
      </c>
      <c r="AA896"/>
      <c r="AB896"/>
    </row>
    <row r="897" spans="3:28" ht="13.5">
      <c r="C897" s="1181" t="s">
        <v>5577</v>
      </c>
      <c r="D897" s="1178">
        <v>1</v>
      </c>
      <c r="E897" s="1178">
        <v>1</v>
      </c>
      <c r="F897" s="1179">
        <v>2</v>
      </c>
      <c r="G897" s="1189" t="s">
        <v>5577</v>
      </c>
      <c r="H897" s="1176">
        <v>1</v>
      </c>
      <c r="I897" s="1176">
        <v>1</v>
      </c>
      <c r="J897" s="1190">
        <v>2</v>
      </c>
      <c r="K897" s="1180"/>
      <c r="L897" s="1174">
        <v>13085970201</v>
      </c>
      <c r="M897" s="1175">
        <v>1</v>
      </c>
      <c r="N897" s="1175">
        <v>1</v>
      </c>
      <c r="O897" s="1175">
        <v>2</v>
      </c>
      <c r="AA897"/>
      <c r="AB897"/>
    </row>
    <row r="898" spans="3:28" ht="13.5">
      <c r="C898" s="1181" t="s">
        <v>5578</v>
      </c>
      <c r="D898" s="1178">
        <v>0</v>
      </c>
      <c r="E898" s="1178">
        <v>1</v>
      </c>
      <c r="F898" s="1179">
        <v>1</v>
      </c>
      <c r="G898" s="1189" t="s">
        <v>5578</v>
      </c>
      <c r="H898" s="1176">
        <v>1</v>
      </c>
      <c r="I898" s="1176">
        <v>0</v>
      </c>
      <c r="J898" s="1190">
        <v>1</v>
      </c>
      <c r="K898" s="1180"/>
      <c r="L898" s="1174">
        <v>13085970202</v>
      </c>
      <c r="M898" s="1175">
        <v>1</v>
      </c>
      <c r="N898" s="1175">
        <v>1</v>
      </c>
      <c r="O898" s="1175">
        <v>1</v>
      </c>
      <c r="AA898"/>
      <c r="AB898"/>
    </row>
    <row r="899" spans="3:28" ht="13.5">
      <c r="C899" s="1181" t="s">
        <v>5579</v>
      </c>
      <c r="D899" s="1178">
        <v>1</v>
      </c>
      <c r="E899" s="1178">
        <v>0</v>
      </c>
      <c r="F899" s="1179">
        <v>1</v>
      </c>
      <c r="G899" s="1189" t="s">
        <v>5579</v>
      </c>
      <c r="H899" s="1176">
        <v>0</v>
      </c>
      <c r="I899" s="1176">
        <v>0</v>
      </c>
      <c r="J899" s="1190">
        <v>0</v>
      </c>
      <c r="K899" s="1180"/>
      <c r="L899" s="1174">
        <v>13087970100</v>
      </c>
      <c r="M899" s="1175">
        <v>1</v>
      </c>
      <c r="N899" s="1175">
        <v>0</v>
      </c>
      <c r="O899" s="1175">
        <v>1</v>
      </c>
      <c r="AA899"/>
      <c r="AB899"/>
    </row>
    <row r="900" spans="3:28" ht="13.5">
      <c r="C900" s="1181" t="s">
        <v>5580</v>
      </c>
      <c r="D900" s="1178">
        <v>0</v>
      </c>
      <c r="E900" s="1178">
        <v>0</v>
      </c>
      <c r="F900" s="1179">
        <v>0</v>
      </c>
      <c r="G900" s="1189" t="s">
        <v>5580</v>
      </c>
      <c r="H900" s="1176">
        <v>0</v>
      </c>
      <c r="I900" s="1176">
        <v>0</v>
      </c>
      <c r="J900" s="1190">
        <v>0</v>
      </c>
      <c r="K900" s="1180"/>
      <c r="L900" s="1174">
        <v>13087970200</v>
      </c>
      <c r="M900" s="1175">
        <v>0</v>
      </c>
      <c r="N900" s="1175">
        <v>0</v>
      </c>
      <c r="O900" s="1175">
        <v>0</v>
      </c>
      <c r="AA900"/>
      <c r="AB900"/>
    </row>
    <row r="901" spans="3:28" ht="13.5">
      <c r="C901" s="1181" t="s">
        <v>5581</v>
      </c>
      <c r="D901" s="1178">
        <v>0</v>
      </c>
      <c r="E901" s="1178">
        <v>0</v>
      </c>
      <c r="F901" s="1179">
        <v>0</v>
      </c>
      <c r="G901" s="1189" t="s">
        <v>5581</v>
      </c>
      <c r="H901" s="1176">
        <v>0</v>
      </c>
      <c r="I901" s="1176">
        <v>0</v>
      </c>
      <c r="J901" s="1190">
        <v>0</v>
      </c>
      <c r="K901" s="1180"/>
      <c r="L901" s="1174">
        <v>13087970300</v>
      </c>
      <c r="M901" s="1175">
        <v>0</v>
      </c>
      <c r="N901" s="1175">
        <v>0</v>
      </c>
      <c r="O901" s="1175">
        <v>0</v>
      </c>
      <c r="AA901"/>
      <c r="AB901"/>
    </row>
    <row r="902" spans="3:28" ht="13.5">
      <c r="C902" s="1181" t="s">
        <v>5582</v>
      </c>
      <c r="D902" s="1178">
        <v>0</v>
      </c>
      <c r="E902" s="1178">
        <v>0</v>
      </c>
      <c r="F902" s="1179">
        <v>0</v>
      </c>
      <c r="G902" s="1189" t="s">
        <v>5582</v>
      </c>
      <c r="H902" s="1176">
        <v>0</v>
      </c>
      <c r="I902" s="1176">
        <v>0</v>
      </c>
      <c r="J902" s="1190">
        <v>0</v>
      </c>
      <c r="K902" s="1180"/>
      <c r="L902" s="1174">
        <v>13087970400</v>
      </c>
      <c r="M902" s="1175">
        <v>0</v>
      </c>
      <c r="N902" s="1175">
        <v>0</v>
      </c>
      <c r="O902" s="1175">
        <v>0</v>
      </c>
      <c r="AA902"/>
      <c r="AB902"/>
    </row>
    <row r="903" spans="3:28" ht="13.5">
      <c r="C903" s="1181" t="s">
        <v>5583</v>
      </c>
      <c r="D903" s="1178">
        <v>1</v>
      </c>
      <c r="E903" s="1178">
        <v>0</v>
      </c>
      <c r="F903" s="1179">
        <v>1</v>
      </c>
      <c r="G903" s="1189" t="s">
        <v>5583</v>
      </c>
      <c r="H903" s="1176">
        <v>0</v>
      </c>
      <c r="I903" s="1176">
        <v>1</v>
      </c>
      <c r="J903" s="1190">
        <v>1</v>
      </c>
      <c r="K903" s="1180"/>
      <c r="L903" s="1174">
        <v>13087970600</v>
      </c>
      <c r="M903" s="1175">
        <v>1</v>
      </c>
      <c r="N903" s="1175">
        <v>1</v>
      </c>
      <c r="O903" s="1175">
        <v>1</v>
      </c>
      <c r="AA903"/>
      <c r="AB903"/>
    </row>
    <row r="904" spans="3:28" ht="13.5">
      <c r="C904" s="1181" t="s">
        <v>5584</v>
      </c>
      <c r="D904" s="1178">
        <v>0</v>
      </c>
      <c r="E904" s="1178">
        <v>0</v>
      </c>
      <c r="F904" s="1179">
        <v>0</v>
      </c>
      <c r="G904" s="1189" t="s">
        <v>5584</v>
      </c>
      <c r="H904" s="1176">
        <v>0</v>
      </c>
      <c r="I904" s="1176">
        <v>0</v>
      </c>
      <c r="J904" s="1190">
        <v>0</v>
      </c>
      <c r="K904" s="1180"/>
      <c r="L904" s="1174">
        <v>13087970700</v>
      </c>
      <c r="M904" s="1175">
        <v>0</v>
      </c>
      <c r="N904" s="1175">
        <v>0</v>
      </c>
      <c r="O904" s="1175">
        <v>0</v>
      </c>
      <c r="AA904"/>
      <c r="AB904"/>
    </row>
    <row r="905" spans="3:28" ht="13.5">
      <c r="C905" s="1181" t="s">
        <v>5585</v>
      </c>
      <c r="D905" s="1178">
        <v>0</v>
      </c>
      <c r="E905" s="1178">
        <v>0</v>
      </c>
      <c r="F905" s="1179">
        <v>0</v>
      </c>
      <c r="G905" s="1189" t="s">
        <v>5585</v>
      </c>
      <c r="H905" s="1176">
        <v>0</v>
      </c>
      <c r="I905" s="1176">
        <v>0</v>
      </c>
      <c r="J905" s="1190">
        <v>0</v>
      </c>
      <c r="K905" s="1180"/>
      <c r="L905" s="1174">
        <v>13087970800</v>
      </c>
      <c r="M905" s="1175">
        <v>0</v>
      </c>
      <c r="N905" s="1175">
        <v>0</v>
      </c>
      <c r="O905" s="1175">
        <v>0</v>
      </c>
      <c r="AA905"/>
      <c r="AB905"/>
    </row>
    <row r="906" spans="3:28" ht="13.5">
      <c r="C906" s="1181" t="s">
        <v>5586</v>
      </c>
      <c r="D906" s="1178">
        <v>1</v>
      </c>
      <c r="E906" s="1178">
        <v>1</v>
      </c>
      <c r="F906" s="1179">
        <v>2</v>
      </c>
      <c r="G906" s="1189" t="s">
        <v>5586</v>
      </c>
      <c r="H906" s="1176">
        <v>1</v>
      </c>
      <c r="I906" s="1176">
        <v>1</v>
      </c>
      <c r="J906" s="1190">
        <v>2</v>
      </c>
      <c r="K906" s="1180"/>
      <c r="L906" s="1174">
        <v>13089020100</v>
      </c>
      <c r="M906" s="1175">
        <v>1</v>
      </c>
      <c r="N906" s="1175">
        <v>1</v>
      </c>
      <c r="O906" s="1175">
        <v>2</v>
      </c>
      <c r="AA906"/>
      <c r="AB906"/>
    </row>
    <row r="907" spans="3:28" ht="13.5">
      <c r="C907" s="1181" t="s">
        <v>5587</v>
      </c>
      <c r="D907" s="1178">
        <v>1</v>
      </c>
      <c r="E907" s="1178">
        <v>1</v>
      </c>
      <c r="F907" s="1179">
        <v>2</v>
      </c>
      <c r="G907" s="1189" t="s">
        <v>5587</v>
      </c>
      <c r="H907" s="1176">
        <v>1</v>
      </c>
      <c r="I907" s="1176">
        <v>1</v>
      </c>
      <c r="J907" s="1190">
        <v>2</v>
      </c>
      <c r="K907" s="1180"/>
      <c r="L907" s="1174">
        <v>13089020200</v>
      </c>
      <c r="M907" s="1175">
        <v>1</v>
      </c>
      <c r="N907" s="1175">
        <v>1</v>
      </c>
      <c r="O907" s="1175">
        <v>2</v>
      </c>
      <c r="AA907"/>
      <c r="AB907"/>
    </row>
    <row r="908" spans="3:28" ht="13.5">
      <c r="C908" s="1181" t="s">
        <v>5588</v>
      </c>
      <c r="D908" s="1178">
        <v>1</v>
      </c>
      <c r="E908" s="1178">
        <v>1</v>
      </c>
      <c r="F908" s="1179">
        <v>2</v>
      </c>
      <c r="G908" s="1189" t="s">
        <v>5588</v>
      </c>
      <c r="H908" s="1176">
        <v>1</v>
      </c>
      <c r="I908" s="1176" t="s">
        <v>4455</v>
      </c>
      <c r="J908" s="1190">
        <v>1</v>
      </c>
      <c r="K908" s="1180"/>
      <c r="L908" s="1174">
        <v>13089020300</v>
      </c>
      <c r="M908" s="1175">
        <v>1</v>
      </c>
      <c r="N908" s="1175">
        <v>1</v>
      </c>
      <c r="O908" s="1175">
        <v>2</v>
      </c>
      <c r="AA908"/>
      <c r="AB908"/>
    </row>
    <row r="909" spans="3:28" ht="13.5">
      <c r="C909" s="1181" t="s">
        <v>5589</v>
      </c>
      <c r="D909" s="1178">
        <v>1</v>
      </c>
      <c r="E909" s="1178">
        <v>1</v>
      </c>
      <c r="F909" s="1179">
        <v>2</v>
      </c>
      <c r="G909" s="1189" t="s">
        <v>5589</v>
      </c>
      <c r="H909" s="1176">
        <v>1</v>
      </c>
      <c r="I909" s="1176" t="s">
        <v>4455</v>
      </c>
      <c r="J909" s="1190">
        <v>1</v>
      </c>
      <c r="K909" s="1180"/>
      <c r="L909" s="1174">
        <v>13089020400</v>
      </c>
      <c r="M909" s="1175">
        <v>1</v>
      </c>
      <c r="N909" s="1175">
        <v>1</v>
      </c>
      <c r="O909" s="1175">
        <v>2</v>
      </c>
      <c r="AA909"/>
      <c r="AB909"/>
    </row>
    <row r="910" spans="3:28" ht="13.5">
      <c r="C910" s="1181" t="s">
        <v>5590</v>
      </c>
      <c r="D910" s="1178">
        <v>0</v>
      </c>
      <c r="E910" s="1178">
        <v>0</v>
      </c>
      <c r="F910" s="1179">
        <v>0</v>
      </c>
      <c r="G910" s="1189" t="s">
        <v>5590</v>
      </c>
      <c r="H910" s="1176">
        <v>0</v>
      </c>
      <c r="I910" s="1176">
        <v>0</v>
      </c>
      <c r="J910" s="1190">
        <v>0</v>
      </c>
      <c r="K910" s="1180"/>
      <c r="L910" s="1174">
        <v>13089020500</v>
      </c>
      <c r="M910" s="1175">
        <v>0</v>
      </c>
      <c r="N910" s="1175">
        <v>0</v>
      </c>
      <c r="O910" s="1175">
        <v>0</v>
      </c>
      <c r="AA910"/>
      <c r="AB910"/>
    </row>
    <row r="911" spans="3:28" ht="13.5">
      <c r="C911" s="1181" t="s">
        <v>5591</v>
      </c>
      <c r="D911" s="1178">
        <v>0</v>
      </c>
      <c r="E911" s="1178">
        <v>0</v>
      </c>
      <c r="F911" s="1179">
        <v>0</v>
      </c>
      <c r="G911" s="1189" t="s">
        <v>5591</v>
      </c>
      <c r="H911" s="1176">
        <v>0</v>
      </c>
      <c r="I911" s="1176">
        <v>0</v>
      </c>
      <c r="J911" s="1190">
        <v>0</v>
      </c>
      <c r="K911" s="1180"/>
      <c r="L911" s="1174">
        <v>13089020600</v>
      </c>
      <c r="M911" s="1175">
        <v>0</v>
      </c>
      <c r="N911" s="1175">
        <v>0</v>
      </c>
      <c r="O911" s="1175">
        <v>0</v>
      </c>
      <c r="AA911"/>
      <c r="AB911"/>
    </row>
    <row r="912" spans="3:28" ht="13.5">
      <c r="C912" s="1181" t="s">
        <v>5592</v>
      </c>
      <c r="D912" s="1178">
        <v>1</v>
      </c>
      <c r="E912" s="1178">
        <v>0</v>
      </c>
      <c r="F912" s="1179">
        <v>1</v>
      </c>
      <c r="G912" s="1189" t="s">
        <v>5592</v>
      </c>
      <c r="H912" s="1176">
        <v>1</v>
      </c>
      <c r="I912" s="1176">
        <v>1</v>
      </c>
      <c r="J912" s="1190">
        <v>2</v>
      </c>
      <c r="K912" s="1180"/>
      <c r="L912" s="1174">
        <v>13089020700</v>
      </c>
      <c r="M912" s="1175">
        <v>1</v>
      </c>
      <c r="N912" s="1175">
        <v>1</v>
      </c>
      <c r="O912" s="1175">
        <v>2</v>
      </c>
      <c r="AA912"/>
      <c r="AB912"/>
    </row>
    <row r="913" spans="3:28" ht="13.5">
      <c r="C913" s="1181" t="s">
        <v>5593</v>
      </c>
      <c r="D913" s="1178">
        <v>1</v>
      </c>
      <c r="E913" s="1178">
        <v>1</v>
      </c>
      <c r="F913" s="1179">
        <v>2</v>
      </c>
      <c r="G913" s="1189" t="s">
        <v>5593</v>
      </c>
      <c r="H913" s="1176">
        <v>1</v>
      </c>
      <c r="I913" s="1176">
        <v>1</v>
      </c>
      <c r="J913" s="1190">
        <v>2</v>
      </c>
      <c r="K913" s="1180"/>
      <c r="L913" s="1174">
        <v>13089020801</v>
      </c>
      <c r="M913" s="1175">
        <v>1</v>
      </c>
      <c r="N913" s="1175">
        <v>1</v>
      </c>
      <c r="O913" s="1175">
        <v>2</v>
      </c>
      <c r="AA913"/>
      <c r="AB913"/>
    </row>
    <row r="914" spans="3:28" ht="13.5">
      <c r="C914" s="1181" t="s">
        <v>5594</v>
      </c>
      <c r="D914" s="1178">
        <v>1</v>
      </c>
      <c r="E914" s="1178">
        <v>0</v>
      </c>
      <c r="F914" s="1179">
        <v>1</v>
      </c>
      <c r="G914" s="1189" t="s">
        <v>5594</v>
      </c>
      <c r="H914" s="1176">
        <v>1</v>
      </c>
      <c r="I914" s="1176">
        <v>0</v>
      </c>
      <c r="J914" s="1190">
        <v>1</v>
      </c>
      <c r="K914" s="1180"/>
      <c r="L914" s="1174">
        <v>13089020802</v>
      </c>
      <c r="M914" s="1175">
        <v>1</v>
      </c>
      <c r="N914" s="1175">
        <v>0</v>
      </c>
      <c r="O914" s="1175">
        <v>1</v>
      </c>
      <c r="AA914"/>
      <c r="AB914"/>
    </row>
    <row r="915" spans="3:28" ht="13.5">
      <c r="C915" s="1181" t="s">
        <v>5595</v>
      </c>
      <c r="D915" s="1178">
        <v>1</v>
      </c>
      <c r="E915" s="1178">
        <v>0</v>
      </c>
      <c r="F915" s="1179">
        <v>1</v>
      </c>
      <c r="G915" s="1189" t="s">
        <v>5595</v>
      </c>
      <c r="H915" s="1176">
        <v>1</v>
      </c>
      <c r="I915" s="1176">
        <v>0</v>
      </c>
      <c r="J915" s="1190">
        <v>1</v>
      </c>
      <c r="K915" s="1180"/>
      <c r="L915" s="1174">
        <v>13089020900</v>
      </c>
      <c r="M915" s="1175">
        <v>1</v>
      </c>
      <c r="N915" s="1175">
        <v>0</v>
      </c>
      <c r="O915" s="1175">
        <v>1</v>
      </c>
      <c r="AA915"/>
      <c r="AB915"/>
    </row>
    <row r="916" spans="3:28" ht="13.5">
      <c r="C916" s="1181" t="s">
        <v>5596</v>
      </c>
      <c r="D916" s="1178">
        <v>1</v>
      </c>
      <c r="E916" s="1178">
        <v>1</v>
      </c>
      <c r="F916" s="1179">
        <v>2</v>
      </c>
      <c r="G916" s="1189" t="s">
        <v>5596</v>
      </c>
      <c r="H916" s="1176">
        <v>1</v>
      </c>
      <c r="I916" s="1176">
        <v>1</v>
      </c>
      <c r="J916" s="1190">
        <v>2</v>
      </c>
      <c r="K916" s="1180"/>
      <c r="L916" s="1174">
        <v>13089021101</v>
      </c>
      <c r="M916" s="1175">
        <v>1</v>
      </c>
      <c r="N916" s="1175">
        <v>1</v>
      </c>
      <c r="O916" s="1175">
        <v>2</v>
      </c>
      <c r="AA916"/>
      <c r="AB916"/>
    </row>
    <row r="917" spans="3:28" ht="13.5">
      <c r="C917" s="1181" t="s">
        <v>5597</v>
      </c>
      <c r="D917" s="1178">
        <v>1</v>
      </c>
      <c r="E917" s="1178">
        <v>1</v>
      </c>
      <c r="F917" s="1179">
        <v>2</v>
      </c>
      <c r="G917" s="1189" t="s">
        <v>5597</v>
      </c>
      <c r="H917" s="1176">
        <v>1</v>
      </c>
      <c r="I917" s="1176">
        <v>1</v>
      </c>
      <c r="J917" s="1190">
        <v>2</v>
      </c>
      <c r="K917" s="1180"/>
      <c r="L917" s="1174">
        <v>13089021102</v>
      </c>
      <c r="M917" s="1175">
        <v>1</v>
      </c>
      <c r="N917" s="1175">
        <v>1</v>
      </c>
      <c r="O917" s="1175">
        <v>2</v>
      </c>
      <c r="AA917"/>
      <c r="AB917"/>
    </row>
    <row r="918" spans="3:28" ht="13.5">
      <c r="C918" s="1181" t="s">
        <v>5598</v>
      </c>
      <c r="D918" s="1178">
        <v>1</v>
      </c>
      <c r="E918" s="1178">
        <v>1</v>
      </c>
      <c r="F918" s="1179">
        <v>2</v>
      </c>
      <c r="G918" s="1189" t="s">
        <v>5598</v>
      </c>
      <c r="H918" s="1176">
        <v>1</v>
      </c>
      <c r="I918" s="1176">
        <v>1</v>
      </c>
      <c r="J918" s="1190">
        <v>2</v>
      </c>
      <c r="K918" s="1180"/>
      <c r="L918" s="1174">
        <v>13089021202</v>
      </c>
      <c r="M918" s="1175">
        <v>1</v>
      </c>
      <c r="N918" s="1175">
        <v>1</v>
      </c>
      <c r="O918" s="1175">
        <v>2</v>
      </c>
      <c r="AA918"/>
      <c r="AB918"/>
    </row>
    <row r="919" spans="3:28" ht="13.5">
      <c r="C919" s="1181" t="s">
        <v>5599</v>
      </c>
      <c r="D919" s="1178">
        <v>0</v>
      </c>
      <c r="E919" s="1178">
        <v>0</v>
      </c>
      <c r="F919" s="1179">
        <v>0</v>
      </c>
      <c r="G919" s="1189" t="s">
        <v>5599</v>
      </c>
      <c r="H919" s="1176">
        <v>0</v>
      </c>
      <c r="I919" s="1176" t="s">
        <v>4455</v>
      </c>
      <c r="J919" s="1190">
        <v>0</v>
      </c>
      <c r="K919" s="1180"/>
      <c r="L919" s="1174">
        <v>13089021204</v>
      </c>
      <c r="M919" s="1175">
        <v>0</v>
      </c>
      <c r="N919" s="1175">
        <v>0</v>
      </c>
      <c r="O919" s="1175">
        <v>0</v>
      </c>
      <c r="AA919"/>
      <c r="AB919"/>
    </row>
    <row r="920" spans="3:28" ht="13.5">
      <c r="C920" s="1181" t="s">
        <v>5600</v>
      </c>
      <c r="D920" s="1178">
        <v>1</v>
      </c>
      <c r="E920" s="1178">
        <v>1</v>
      </c>
      <c r="F920" s="1179">
        <v>2</v>
      </c>
      <c r="G920" s="1189" t="s">
        <v>5600</v>
      </c>
      <c r="H920" s="1176">
        <v>1</v>
      </c>
      <c r="I920" s="1176">
        <v>1</v>
      </c>
      <c r="J920" s="1190">
        <v>2</v>
      </c>
      <c r="K920" s="1180"/>
      <c r="L920" s="1174">
        <v>13089021208</v>
      </c>
      <c r="M920" s="1175">
        <v>1</v>
      </c>
      <c r="N920" s="1175">
        <v>1</v>
      </c>
      <c r="O920" s="1175">
        <v>2</v>
      </c>
      <c r="AA920"/>
      <c r="AB920"/>
    </row>
    <row r="921" spans="3:28" ht="13.5">
      <c r="C921" s="1181" t="s">
        <v>5601</v>
      </c>
      <c r="D921" s="1178">
        <v>1</v>
      </c>
      <c r="E921" s="1178">
        <v>1</v>
      </c>
      <c r="F921" s="1179">
        <v>2</v>
      </c>
      <c r="G921" s="1189" t="s">
        <v>5601</v>
      </c>
      <c r="H921" s="1176">
        <v>1</v>
      </c>
      <c r="I921" s="1176">
        <v>1</v>
      </c>
      <c r="J921" s="1190">
        <v>2</v>
      </c>
      <c r="K921" s="1180"/>
      <c r="L921" s="1174">
        <v>13089021209</v>
      </c>
      <c r="M921" s="1175">
        <v>1</v>
      </c>
      <c r="N921" s="1175">
        <v>1</v>
      </c>
      <c r="O921" s="1175">
        <v>2</v>
      </c>
      <c r="AA921"/>
      <c r="AB921"/>
    </row>
    <row r="922" spans="3:28" ht="13.5">
      <c r="C922" s="1181" t="s">
        <v>5602</v>
      </c>
      <c r="D922" s="1178">
        <v>1</v>
      </c>
      <c r="E922" s="1178">
        <v>1</v>
      </c>
      <c r="F922" s="1179">
        <v>2</v>
      </c>
      <c r="G922" s="1189" t="s">
        <v>5602</v>
      </c>
      <c r="H922" s="1176">
        <v>1</v>
      </c>
      <c r="I922" s="1176">
        <v>1</v>
      </c>
      <c r="J922" s="1190">
        <v>2</v>
      </c>
      <c r="K922" s="1180"/>
      <c r="L922" s="1174">
        <v>13089021210</v>
      </c>
      <c r="M922" s="1175">
        <v>1</v>
      </c>
      <c r="N922" s="1175">
        <v>1</v>
      </c>
      <c r="O922" s="1175">
        <v>2</v>
      </c>
      <c r="AA922"/>
      <c r="AB922"/>
    </row>
    <row r="923" spans="3:28" ht="13.5">
      <c r="C923" s="1181" t="s">
        <v>5603</v>
      </c>
      <c r="D923" s="1178">
        <v>1</v>
      </c>
      <c r="E923" s="1178">
        <v>1</v>
      </c>
      <c r="F923" s="1179">
        <v>2</v>
      </c>
      <c r="G923" s="1189" t="s">
        <v>5603</v>
      </c>
      <c r="H923" s="1176">
        <v>1</v>
      </c>
      <c r="I923" s="1176">
        <v>1</v>
      </c>
      <c r="J923" s="1190">
        <v>2</v>
      </c>
      <c r="K923" s="1180"/>
      <c r="L923" s="1174">
        <v>13089021211</v>
      </c>
      <c r="M923" s="1175">
        <v>1</v>
      </c>
      <c r="N923" s="1175">
        <v>1</v>
      </c>
      <c r="O923" s="1175">
        <v>2</v>
      </c>
      <c r="AA923"/>
      <c r="AB923"/>
    </row>
    <row r="924" spans="3:28" ht="13.5">
      <c r="C924" s="1181" t="s">
        <v>5604</v>
      </c>
      <c r="D924" s="1178">
        <v>1</v>
      </c>
      <c r="E924" s="1178">
        <v>1</v>
      </c>
      <c r="F924" s="1179">
        <v>2</v>
      </c>
      <c r="G924" s="1189" t="s">
        <v>5604</v>
      </c>
      <c r="H924" s="1176">
        <v>1</v>
      </c>
      <c r="I924" s="1176">
        <v>1</v>
      </c>
      <c r="J924" s="1190">
        <v>2</v>
      </c>
      <c r="K924" s="1180"/>
      <c r="L924" s="1174">
        <v>13089021213</v>
      </c>
      <c r="M924" s="1175">
        <v>1</v>
      </c>
      <c r="N924" s="1175">
        <v>1</v>
      </c>
      <c r="O924" s="1175">
        <v>2</v>
      </c>
      <c r="AA924"/>
      <c r="AB924"/>
    </row>
    <row r="925" spans="3:28" ht="13.5">
      <c r="C925" s="1181" t="s">
        <v>5605</v>
      </c>
      <c r="D925" s="1178">
        <v>1</v>
      </c>
      <c r="E925" s="1178">
        <v>1</v>
      </c>
      <c r="F925" s="1179">
        <v>2</v>
      </c>
      <c r="G925" s="1189" t="s">
        <v>5605</v>
      </c>
      <c r="H925" s="1176">
        <v>1</v>
      </c>
      <c r="I925" s="1176" t="s">
        <v>4455</v>
      </c>
      <c r="J925" s="1190">
        <v>1</v>
      </c>
      <c r="K925" s="1180"/>
      <c r="L925" s="1174">
        <v>13089021214</v>
      </c>
      <c r="M925" s="1175">
        <v>1</v>
      </c>
      <c r="N925" s="1175">
        <v>1</v>
      </c>
      <c r="O925" s="1175">
        <v>2</v>
      </c>
      <c r="AA925"/>
      <c r="AB925"/>
    </row>
    <row r="926" spans="3:28" ht="13.5">
      <c r="C926" s="1181" t="s">
        <v>5606</v>
      </c>
      <c r="D926" s="1178">
        <v>1</v>
      </c>
      <c r="E926" s="1178">
        <v>1</v>
      </c>
      <c r="F926" s="1179">
        <v>2</v>
      </c>
      <c r="G926" s="1189" t="s">
        <v>5606</v>
      </c>
      <c r="H926" s="1176">
        <v>1</v>
      </c>
      <c r="I926" s="1176">
        <v>1</v>
      </c>
      <c r="J926" s="1190">
        <v>2</v>
      </c>
      <c r="K926" s="1180"/>
      <c r="L926" s="1174">
        <v>13089021215</v>
      </c>
      <c r="M926" s="1175">
        <v>1</v>
      </c>
      <c r="N926" s="1175">
        <v>1</v>
      </c>
      <c r="O926" s="1175">
        <v>2</v>
      </c>
      <c r="AA926"/>
      <c r="AB926"/>
    </row>
    <row r="927" spans="3:28" ht="13.5">
      <c r="C927" s="1181" t="s">
        <v>5607</v>
      </c>
      <c r="D927" s="1178">
        <v>1</v>
      </c>
      <c r="E927" s="1178">
        <v>1</v>
      </c>
      <c r="F927" s="1179">
        <v>2</v>
      </c>
      <c r="G927" s="1189" t="s">
        <v>5607</v>
      </c>
      <c r="H927" s="1176">
        <v>1</v>
      </c>
      <c r="I927" s="1176">
        <v>1</v>
      </c>
      <c r="J927" s="1190">
        <v>2</v>
      </c>
      <c r="K927" s="1180"/>
      <c r="L927" s="1174">
        <v>13089021216</v>
      </c>
      <c r="M927" s="1175">
        <v>1</v>
      </c>
      <c r="N927" s="1175">
        <v>1</v>
      </c>
      <c r="O927" s="1175">
        <v>2</v>
      </c>
      <c r="AA927"/>
      <c r="AB927"/>
    </row>
    <row r="928" spans="3:28" ht="13.5">
      <c r="C928" s="1181" t="s">
        <v>5608</v>
      </c>
      <c r="D928" s="1178">
        <v>1</v>
      </c>
      <c r="E928" s="1178">
        <v>1</v>
      </c>
      <c r="F928" s="1179">
        <v>2</v>
      </c>
      <c r="G928" s="1189" t="s">
        <v>5608</v>
      </c>
      <c r="H928" s="1176">
        <v>1</v>
      </c>
      <c r="I928" s="1176">
        <v>1</v>
      </c>
      <c r="J928" s="1190">
        <v>2</v>
      </c>
      <c r="K928" s="1180"/>
      <c r="L928" s="1174">
        <v>13089021217</v>
      </c>
      <c r="M928" s="1175">
        <v>1</v>
      </c>
      <c r="N928" s="1175">
        <v>1</v>
      </c>
      <c r="O928" s="1175">
        <v>2</v>
      </c>
      <c r="AA928"/>
      <c r="AB928"/>
    </row>
    <row r="929" spans="3:28" ht="13.5">
      <c r="C929" s="1181" t="s">
        <v>5609</v>
      </c>
      <c r="D929" s="1178">
        <v>1</v>
      </c>
      <c r="E929" s="1178">
        <v>1</v>
      </c>
      <c r="F929" s="1179">
        <v>2</v>
      </c>
      <c r="G929" s="1189" t="s">
        <v>5609</v>
      </c>
      <c r="H929" s="1176">
        <v>1</v>
      </c>
      <c r="I929" s="1176">
        <v>1</v>
      </c>
      <c r="J929" s="1190">
        <v>2</v>
      </c>
      <c r="K929" s="1180"/>
      <c r="L929" s="1174">
        <v>13089021218</v>
      </c>
      <c r="M929" s="1175">
        <v>1</v>
      </c>
      <c r="N929" s="1175">
        <v>1</v>
      </c>
      <c r="O929" s="1175">
        <v>2</v>
      </c>
      <c r="AA929"/>
      <c r="AB929"/>
    </row>
    <row r="930" spans="3:28" ht="13.5">
      <c r="C930" s="1181" t="s">
        <v>5610</v>
      </c>
      <c r="D930" s="1178">
        <v>0</v>
      </c>
      <c r="E930" s="1178">
        <v>0</v>
      </c>
      <c r="F930" s="1179">
        <v>0</v>
      </c>
      <c r="G930" s="1189" t="s">
        <v>5610</v>
      </c>
      <c r="H930" s="1176">
        <v>1</v>
      </c>
      <c r="I930" s="1176">
        <v>0</v>
      </c>
      <c r="J930" s="1190">
        <v>1</v>
      </c>
      <c r="K930" s="1180"/>
      <c r="L930" s="1174">
        <v>13089021301</v>
      </c>
      <c r="M930" s="1175">
        <v>1</v>
      </c>
      <c r="N930" s="1175">
        <v>0</v>
      </c>
      <c r="O930" s="1175">
        <v>1</v>
      </c>
      <c r="AA930"/>
      <c r="AB930"/>
    </row>
    <row r="931" spans="3:28" ht="13.5">
      <c r="C931" s="1181" t="s">
        <v>5611</v>
      </c>
      <c r="D931" s="1178">
        <v>0</v>
      </c>
      <c r="E931" s="1178">
        <v>0</v>
      </c>
      <c r="F931" s="1179">
        <v>0</v>
      </c>
      <c r="G931" s="1189" t="s">
        <v>5611</v>
      </c>
      <c r="H931" s="1176">
        <v>0</v>
      </c>
      <c r="I931" s="1176">
        <v>0</v>
      </c>
      <c r="J931" s="1190">
        <v>0</v>
      </c>
      <c r="K931" s="1180"/>
      <c r="L931" s="1174">
        <v>13089021303</v>
      </c>
      <c r="M931" s="1175">
        <v>0</v>
      </c>
      <c r="N931" s="1175">
        <v>0</v>
      </c>
      <c r="O931" s="1175">
        <v>0</v>
      </c>
      <c r="AA931"/>
      <c r="AB931"/>
    </row>
    <row r="932" spans="3:28" ht="13.5">
      <c r="C932" s="1181" t="s">
        <v>5612</v>
      </c>
      <c r="D932" s="1178">
        <v>0</v>
      </c>
      <c r="E932" s="1178">
        <v>0</v>
      </c>
      <c r="F932" s="1179">
        <v>0</v>
      </c>
      <c r="G932" s="1189" t="s">
        <v>5612</v>
      </c>
      <c r="H932" s="1176">
        <v>1</v>
      </c>
      <c r="I932" s="1176">
        <v>0</v>
      </c>
      <c r="J932" s="1190">
        <v>1</v>
      </c>
      <c r="K932" s="1180"/>
      <c r="L932" s="1174">
        <v>13089021305</v>
      </c>
      <c r="M932" s="1175">
        <v>1</v>
      </c>
      <c r="N932" s="1175">
        <v>0</v>
      </c>
      <c r="O932" s="1175">
        <v>1</v>
      </c>
      <c r="AA932"/>
      <c r="AB932"/>
    </row>
    <row r="933" spans="3:28" ht="13.5">
      <c r="C933" s="1181" t="s">
        <v>5613</v>
      </c>
      <c r="D933" s="1178">
        <v>1</v>
      </c>
      <c r="E933" s="1178">
        <v>0</v>
      </c>
      <c r="F933" s="1179">
        <v>1</v>
      </c>
      <c r="G933" s="1189" t="s">
        <v>5613</v>
      </c>
      <c r="H933" s="1176">
        <v>1</v>
      </c>
      <c r="I933" s="1176">
        <v>0</v>
      </c>
      <c r="J933" s="1190">
        <v>1</v>
      </c>
      <c r="K933" s="1180"/>
      <c r="L933" s="1174">
        <v>13089021306</v>
      </c>
      <c r="M933" s="1175">
        <v>1</v>
      </c>
      <c r="N933" s="1175">
        <v>0</v>
      </c>
      <c r="O933" s="1175">
        <v>1</v>
      </c>
      <c r="AA933"/>
      <c r="AB933"/>
    </row>
    <row r="934" spans="3:28" ht="13.5">
      <c r="C934" s="1181" t="s">
        <v>5614</v>
      </c>
      <c r="D934" s="1178">
        <v>0</v>
      </c>
      <c r="E934" s="1178">
        <v>0</v>
      </c>
      <c r="F934" s="1179">
        <v>0</v>
      </c>
      <c r="G934" s="1189" t="s">
        <v>5614</v>
      </c>
      <c r="H934" s="1176">
        <v>1</v>
      </c>
      <c r="I934" s="1176">
        <v>0</v>
      </c>
      <c r="J934" s="1190">
        <v>1</v>
      </c>
      <c r="K934" s="1180"/>
      <c r="L934" s="1174">
        <v>13089021307</v>
      </c>
      <c r="M934" s="1175">
        <v>1</v>
      </c>
      <c r="N934" s="1175">
        <v>0</v>
      </c>
      <c r="O934" s="1175">
        <v>1</v>
      </c>
      <c r="AA934"/>
      <c r="AB934"/>
    </row>
    <row r="935" spans="3:28" ht="13.5">
      <c r="C935" s="1181" t="s">
        <v>5615</v>
      </c>
      <c r="D935" s="1178">
        <v>1</v>
      </c>
      <c r="E935" s="1178">
        <v>0</v>
      </c>
      <c r="F935" s="1179">
        <v>1</v>
      </c>
      <c r="G935" s="1189" t="s">
        <v>5615</v>
      </c>
      <c r="H935" s="1176">
        <v>1</v>
      </c>
      <c r="I935" s="1176">
        <v>0</v>
      </c>
      <c r="J935" s="1190">
        <v>1</v>
      </c>
      <c r="K935" s="1180"/>
      <c r="L935" s="1174">
        <v>13089021308</v>
      </c>
      <c r="M935" s="1175">
        <v>1</v>
      </c>
      <c r="N935" s="1175">
        <v>0</v>
      </c>
      <c r="O935" s="1175">
        <v>1</v>
      </c>
      <c r="AA935"/>
      <c r="AB935"/>
    </row>
    <row r="936" spans="3:28" ht="13.5">
      <c r="C936" s="1181" t="s">
        <v>5616</v>
      </c>
      <c r="D936" s="1178">
        <v>1</v>
      </c>
      <c r="E936" s="1178">
        <v>1</v>
      </c>
      <c r="F936" s="1179">
        <v>2</v>
      </c>
      <c r="G936" s="1189" t="s">
        <v>5616</v>
      </c>
      <c r="H936" s="1176">
        <v>1</v>
      </c>
      <c r="I936" s="1176">
        <v>1</v>
      </c>
      <c r="J936" s="1190">
        <v>2</v>
      </c>
      <c r="K936" s="1180"/>
      <c r="L936" s="1174">
        <v>13089021405</v>
      </c>
      <c r="M936" s="1175">
        <v>1</v>
      </c>
      <c r="N936" s="1175">
        <v>1</v>
      </c>
      <c r="O936" s="1175">
        <v>2</v>
      </c>
      <c r="AA936"/>
      <c r="AB936"/>
    </row>
    <row r="937" spans="3:28" ht="13.5">
      <c r="C937" s="1181" t="s">
        <v>5617</v>
      </c>
      <c r="D937" s="1178">
        <v>0</v>
      </c>
      <c r="E937" s="1178">
        <v>0</v>
      </c>
      <c r="F937" s="1179">
        <v>0</v>
      </c>
      <c r="G937" s="1189" t="s">
        <v>5617</v>
      </c>
      <c r="H937" s="1176">
        <v>1</v>
      </c>
      <c r="I937" s="1176" t="s">
        <v>4455</v>
      </c>
      <c r="J937" s="1190">
        <v>1</v>
      </c>
      <c r="K937" s="1180"/>
      <c r="L937" s="1174">
        <v>13089021409</v>
      </c>
      <c r="M937" s="1175">
        <v>1</v>
      </c>
      <c r="N937" s="1175">
        <v>0</v>
      </c>
      <c r="O937" s="1175">
        <v>1</v>
      </c>
      <c r="AA937"/>
      <c r="AB937"/>
    </row>
    <row r="938" spans="3:28" ht="13.5">
      <c r="C938" s="1181" t="s">
        <v>5618</v>
      </c>
      <c r="D938" s="1178">
        <v>1</v>
      </c>
      <c r="E938" s="1178">
        <v>0</v>
      </c>
      <c r="F938" s="1179">
        <v>1</v>
      </c>
      <c r="G938" s="1189" t="s">
        <v>5618</v>
      </c>
      <c r="H938" s="1176">
        <v>1</v>
      </c>
      <c r="I938" s="1176" t="s">
        <v>4455</v>
      </c>
      <c r="J938" s="1190">
        <v>1</v>
      </c>
      <c r="K938" s="1180"/>
      <c r="L938" s="1174">
        <v>13089021410</v>
      </c>
      <c r="M938" s="1175">
        <v>1</v>
      </c>
      <c r="N938" s="1175">
        <v>0</v>
      </c>
      <c r="O938" s="1175">
        <v>1</v>
      </c>
      <c r="AA938"/>
      <c r="AB938"/>
    </row>
    <row r="939" spans="3:28" ht="13.5">
      <c r="C939" s="1181" t="s">
        <v>5619</v>
      </c>
      <c r="D939" s="1178">
        <v>1</v>
      </c>
      <c r="E939" s="1178">
        <v>1</v>
      </c>
      <c r="F939" s="1179">
        <v>2</v>
      </c>
      <c r="G939" s="1189" t="s">
        <v>5619</v>
      </c>
      <c r="H939" s="1176">
        <v>1</v>
      </c>
      <c r="I939" s="1176">
        <v>1</v>
      </c>
      <c r="J939" s="1190">
        <v>2</v>
      </c>
      <c r="K939" s="1180"/>
      <c r="L939" s="1174">
        <v>13089021411</v>
      </c>
      <c r="M939" s="1175">
        <v>1</v>
      </c>
      <c r="N939" s="1175">
        <v>1</v>
      </c>
      <c r="O939" s="1175">
        <v>2</v>
      </c>
      <c r="AA939"/>
      <c r="AB939"/>
    </row>
    <row r="940" spans="3:28" ht="13.5">
      <c r="C940" s="1181" t="s">
        <v>5620</v>
      </c>
      <c r="D940" s="1178">
        <v>1</v>
      </c>
      <c r="E940" s="1178">
        <v>1</v>
      </c>
      <c r="F940" s="1179">
        <v>2</v>
      </c>
      <c r="G940" s="1189" t="s">
        <v>5620</v>
      </c>
      <c r="H940" s="1176">
        <v>1</v>
      </c>
      <c r="I940" s="1176">
        <v>1</v>
      </c>
      <c r="J940" s="1190">
        <v>2</v>
      </c>
      <c r="K940" s="1180"/>
      <c r="L940" s="1174">
        <v>13089021412</v>
      </c>
      <c r="M940" s="1175">
        <v>1</v>
      </c>
      <c r="N940" s="1175">
        <v>1</v>
      </c>
      <c r="O940" s="1175">
        <v>2</v>
      </c>
      <c r="AA940"/>
      <c r="AB940"/>
    </row>
    <row r="941" spans="3:28" ht="13.5">
      <c r="C941" s="1181" t="s">
        <v>5621</v>
      </c>
      <c r="D941" s="1178">
        <v>0</v>
      </c>
      <c r="E941" s="1178">
        <v>0</v>
      </c>
      <c r="F941" s="1179">
        <v>0</v>
      </c>
      <c r="G941" s="1189" t="s">
        <v>5621</v>
      </c>
      <c r="H941" s="1176">
        <v>1</v>
      </c>
      <c r="I941" s="1176">
        <v>0</v>
      </c>
      <c r="J941" s="1190">
        <v>1</v>
      </c>
      <c r="K941" s="1180"/>
      <c r="L941" s="1174">
        <v>13089021413</v>
      </c>
      <c r="M941" s="1175">
        <v>1</v>
      </c>
      <c r="N941" s="1175">
        <v>0</v>
      </c>
      <c r="O941" s="1175">
        <v>1</v>
      </c>
      <c r="AA941"/>
      <c r="AB941"/>
    </row>
    <row r="942" spans="3:28" ht="13.5">
      <c r="C942" s="1181" t="s">
        <v>5622</v>
      </c>
      <c r="D942" s="1178">
        <v>1</v>
      </c>
      <c r="E942" s="1178">
        <v>0</v>
      </c>
      <c r="F942" s="1179">
        <v>1</v>
      </c>
      <c r="G942" s="1189" t="s">
        <v>5622</v>
      </c>
      <c r="H942" s="1176">
        <v>0</v>
      </c>
      <c r="I942" s="1176">
        <v>0</v>
      </c>
      <c r="J942" s="1190">
        <v>0</v>
      </c>
      <c r="K942" s="1180"/>
      <c r="L942" s="1174">
        <v>13089021414</v>
      </c>
      <c r="M942" s="1175">
        <v>1</v>
      </c>
      <c r="N942" s="1175">
        <v>0</v>
      </c>
      <c r="O942" s="1175">
        <v>1</v>
      </c>
      <c r="AA942"/>
      <c r="AB942"/>
    </row>
    <row r="943" spans="3:28" ht="13.5">
      <c r="C943" s="1181" t="s">
        <v>5623</v>
      </c>
      <c r="D943" s="1178">
        <v>1</v>
      </c>
      <c r="E943" s="1178">
        <v>1</v>
      </c>
      <c r="F943" s="1179">
        <v>2</v>
      </c>
      <c r="G943" s="1189" t="s">
        <v>5623</v>
      </c>
      <c r="H943" s="1176">
        <v>1</v>
      </c>
      <c r="I943" s="1176" t="s">
        <v>4455</v>
      </c>
      <c r="J943" s="1190">
        <v>1</v>
      </c>
      <c r="K943" s="1180"/>
      <c r="L943" s="1174">
        <v>13089021415</v>
      </c>
      <c r="M943" s="1175">
        <v>1</v>
      </c>
      <c r="N943" s="1175">
        <v>1</v>
      </c>
      <c r="O943" s="1175">
        <v>2</v>
      </c>
      <c r="AA943"/>
      <c r="AB943"/>
    </row>
    <row r="944" spans="3:28" ht="13.5">
      <c r="C944" s="1181" t="s">
        <v>5624</v>
      </c>
      <c r="D944" s="1178">
        <v>1</v>
      </c>
      <c r="E944" s="1178">
        <v>0</v>
      </c>
      <c r="F944" s="1179">
        <v>1</v>
      </c>
      <c r="G944" s="1189" t="s">
        <v>5624</v>
      </c>
      <c r="H944" s="1176">
        <v>1</v>
      </c>
      <c r="I944" s="1176">
        <v>0</v>
      </c>
      <c r="J944" s="1190">
        <v>1</v>
      </c>
      <c r="K944" s="1180"/>
      <c r="L944" s="1174">
        <v>13089021416</v>
      </c>
      <c r="M944" s="1175">
        <v>1</v>
      </c>
      <c r="N944" s="1175">
        <v>0</v>
      </c>
      <c r="O944" s="1175">
        <v>1</v>
      </c>
      <c r="AA944"/>
      <c r="AB944"/>
    </row>
    <row r="945" spans="3:28" ht="13.5">
      <c r="C945" s="1181" t="s">
        <v>5625</v>
      </c>
      <c r="D945" s="1178">
        <v>0</v>
      </c>
      <c r="E945" s="1178">
        <v>0</v>
      </c>
      <c r="F945" s="1179">
        <v>0</v>
      </c>
      <c r="G945" s="1189" t="s">
        <v>5625</v>
      </c>
      <c r="H945" s="1176">
        <v>1</v>
      </c>
      <c r="I945" s="1176" t="s">
        <v>4455</v>
      </c>
      <c r="J945" s="1190">
        <v>1</v>
      </c>
      <c r="K945" s="1180"/>
      <c r="L945" s="1174">
        <v>13089021417</v>
      </c>
      <c r="M945" s="1175">
        <v>1</v>
      </c>
      <c r="N945" s="1175">
        <v>0</v>
      </c>
      <c r="O945" s="1175">
        <v>1</v>
      </c>
      <c r="AA945"/>
      <c r="AB945"/>
    </row>
    <row r="946" spans="3:28" ht="13.5">
      <c r="C946" s="1181" t="s">
        <v>5626</v>
      </c>
      <c r="D946" s="1178">
        <v>1</v>
      </c>
      <c r="E946" s="1178">
        <v>1</v>
      </c>
      <c r="F946" s="1179">
        <v>2</v>
      </c>
      <c r="G946" s="1189" t="s">
        <v>5626</v>
      </c>
      <c r="H946" s="1176">
        <v>1</v>
      </c>
      <c r="I946" s="1176">
        <v>1</v>
      </c>
      <c r="J946" s="1190">
        <v>2</v>
      </c>
      <c r="K946" s="1180"/>
      <c r="L946" s="1174">
        <v>13089021502</v>
      </c>
      <c r="M946" s="1175">
        <v>1</v>
      </c>
      <c r="N946" s="1175">
        <v>1</v>
      </c>
      <c r="O946" s="1175">
        <v>2</v>
      </c>
      <c r="AA946"/>
      <c r="AB946"/>
    </row>
    <row r="947" spans="3:28" ht="13.5">
      <c r="C947" s="1181" t="s">
        <v>5627</v>
      </c>
      <c r="D947" s="1178">
        <v>1</v>
      </c>
      <c r="E947" s="1178">
        <v>0</v>
      </c>
      <c r="F947" s="1179">
        <v>1</v>
      </c>
      <c r="G947" s="1189" t="s">
        <v>5627</v>
      </c>
      <c r="H947" s="1176">
        <v>1</v>
      </c>
      <c r="I947" s="1176">
        <v>1</v>
      </c>
      <c r="J947" s="1190">
        <v>2</v>
      </c>
      <c r="K947" s="1180"/>
      <c r="L947" s="1174">
        <v>13089021503</v>
      </c>
      <c r="M947" s="1175">
        <v>1</v>
      </c>
      <c r="N947" s="1175">
        <v>1</v>
      </c>
      <c r="O947" s="1175">
        <v>2</v>
      </c>
      <c r="AA947"/>
      <c r="AB947"/>
    </row>
    <row r="948" spans="3:28" ht="13.5">
      <c r="C948" s="1181" t="s">
        <v>5628</v>
      </c>
      <c r="D948" s="1178">
        <v>1</v>
      </c>
      <c r="E948" s="1178">
        <v>1</v>
      </c>
      <c r="F948" s="1179">
        <v>2</v>
      </c>
      <c r="G948" s="1189" t="s">
        <v>5628</v>
      </c>
      <c r="H948" s="1176">
        <v>1</v>
      </c>
      <c r="I948" s="1176" t="s">
        <v>4455</v>
      </c>
      <c r="J948" s="1190">
        <v>1</v>
      </c>
      <c r="K948" s="1180"/>
      <c r="L948" s="1174">
        <v>13089021504</v>
      </c>
      <c r="M948" s="1175">
        <v>1</v>
      </c>
      <c r="N948" s="1175">
        <v>1</v>
      </c>
      <c r="O948" s="1175">
        <v>2</v>
      </c>
      <c r="AA948"/>
      <c r="AB948"/>
    </row>
    <row r="949" spans="3:28" ht="13.5">
      <c r="C949" s="1181" t="s">
        <v>5629</v>
      </c>
      <c r="D949" s="1178">
        <v>1</v>
      </c>
      <c r="E949" s="1178">
        <v>1</v>
      </c>
      <c r="F949" s="1179">
        <v>2</v>
      </c>
      <c r="G949" s="1189" t="s">
        <v>5629</v>
      </c>
      <c r="H949" s="1176">
        <v>1</v>
      </c>
      <c r="I949" s="1176">
        <v>1</v>
      </c>
      <c r="J949" s="1190">
        <v>2</v>
      </c>
      <c r="K949" s="1180"/>
      <c r="L949" s="1174">
        <v>13089021602</v>
      </c>
      <c r="M949" s="1175">
        <v>1</v>
      </c>
      <c r="N949" s="1175">
        <v>1</v>
      </c>
      <c r="O949" s="1175">
        <v>2</v>
      </c>
      <c r="AA949"/>
      <c r="AB949"/>
    </row>
    <row r="950" spans="3:28" ht="13.5">
      <c r="C950" s="1181" t="s">
        <v>5630</v>
      </c>
      <c r="D950" s="1178">
        <v>1</v>
      </c>
      <c r="E950" s="1178">
        <v>1</v>
      </c>
      <c r="F950" s="1179">
        <v>2</v>
      </c>
      <c r="G950" s="1189" t="s">
        <v>5630</v>
      </c>
      <c r="H950" s="1176">
        <v>1</v>
      </c>
      <c r="I950" s="1176">
        <v>1</v>
      </c>
      <c r="J950" s="1190">
        <v>2</v>
      </c>
      <c r="K950" s="1180"/>
      <c r="L950" s="1174">
        <v>13089021603</v>
      </c>
      <c r="M950" s="1175">
        <v>1</v>
      </c>
      <c r="N950" s="1175">
        <v>1</v>
      </c>
      <c r="O950" s="1175">
        <v>2</v>
      </c>
      <c r="AA950"/>
      <c r="AB950"/>
    </row>
    <row r="951" spans="3:28" ht="13.5">
      <c r="C951" s="1181" t="s">
        <v>5631</v>
      </c>
      <c r="D951" s="1178">
        <v>1</v>
      </c>
      <c r="E951" s="1178">
        <v>1</v>
      </c>
      <c r="F951" s="1179">
        <v>2</v>
      </c>
      <c r="G951" s="1189" t="s">
        <v>5631</v>
      </c>
      <c r="H951" s="1176">
        <v>1</v>
      </c>
      <c r="I951" s="1176">
        <v>1</v>
      </c>
      <c r="J951" s="1190">
        <v>2</v>
      </c>
      <c r="K951" s="1180"/>
      <c r="L951" s="1174">
        <v>13089021604</v>
      </c>
      <c r="M951" s="1175">
        <v>1</v>
      </c>
      <c r="N951" s="1175">
        <v>1</v>
      </c>
      <c r="O951" s="1175">
        <v>2</v>
      </c>
      <c r="AA951"/>
      <c r="AB951"/>
    </row>
    <row r="952" spans="3:28" ht="13.5">
      <c r="C952" s="1181" t="s">
        <v>5632</v>
      </c>
      <c r="D952" s="1178">
        <v>1</v>
      </c>
      <c r="E952" s="1178">
        <v>1</v>
      </c>
      <c r="F952" s="1179">
        <v>2</v>
      </c>
      <c r="G952" s="1189" t="s">
        <v>5632</v>
      </c>
      <c r="H952" s="1176">
        <v>1</v>
      </c>
      <c r="I952" s="1176">
        <v>1</v>
      </c>
      <c r="J952" s="1190">
        <v>2</v>
      </c>
      <c r="K952" s="1180"/>
      <c r="L952" s="1174">
        <v>13089021605</v>
      </c>
      <c r="M952" s="1175">
        <v>1</v>
      </c>
      <c r="N952" s="1175">
        <v>1</v>
      </c>
      <c r="O952" s="1175">
        <v>2</v>
      </c>
      <c r="AA952"/>
      <c r="AB952"/>
    </row>
    <row r="953" spans="3:28" ht="13.5">
      <c r="C953" s="1181" t="s">
        <v>5633</v>
      </c>
      <c r="D953" s="1178">
        <v>1</v>
      </c>
      <c r="E953" s="1178">
        <v>1</v>
      </c>
      <c r="F953" s="1179">
        <v>2</v>
      </c>
      <c r="G953" s="1189" t="s">
        <v>5633</v>
      </c>
      <c r="H953" s="1176">
        <v>1</v>
      </c>
      <c r="I953" s="1176">
        <v>1</v>
      </c>
      <c r="J953" s="1190">
        <v>2</v>
      </c>
      <c r="K953" s="1180"/>
      <c r="L953" s="1174">
        <v>13089021703</v>
      </c>
      <c r="M953" s="1175">
        <v>1</v>
      </c>
      <c r="N953" s="1175">
        <v>1</v>
      </c>
      <c r="O953" s="1175">
        <v>2</v>
      </c>
      <c r="AA953"/>
      <c r="AB953"/>
    </row>
    <row r="954" spans="3:28" ht="13.5">
      <c r="C954" s="1181" t="s">
        <v>5634</v>
      </c>
      <c r="D954" s="1178">
        <v>1</v>
      </c>
      <c r="E954" s="1178">
        <v>1</v>
      </c>
      <c r="F954" s="1179">
        <v>2</v>
      </c>
      <c r="G954" s="1189" t="s">
        <v>5634</v>
      </c>
      <c r="H954" s="1176">
        <v>1</v>
      </c>
      <c r="I954" s="1176">
        <v>1</v>
      </c>
      <c r="J954" s="1190">
        <v>2</v>
      </c>
      <c r="K954" s="1180"/>
      <c r="L954" s="1174">
        <v>13089021704</v>
      </c>
      <c r="M954" s="1175">
        <v>1</v>
      </c>
      <c r="N954" s="1175">
        <v>1</v>
      </c>
      <c r="O954" s="1175">
        <v>2</v>
      </c>
      <c r="AA954"/>
      <c r="AB954"/>
    </row>
    <row r="955" spans="3:28" ht="13.5">
      <c r="C955" s="1181" t="s">
        <v>5635</v>
      </c>
      <c r="D955" s="1178">
        <v>1</v>
      </c>
      <c r="E955" s="1178">
        <v>0</v>
      </c>
      <c r="F955" s="1179">
        <v>1</v>
      </c>
      <c r="G955" s="1189" t="s">
        <v>5635</v>
      </c>
      <c r="H955" s="1176">
        <v>1</v>
      </c>
      <c r="I955" s="1176">
        <v>1</v>
      </c>
      <c r="J955" s="1190">
        <v>2</v>
      </c>
      <c r="K955" s="1180"/>
      <c r="L955" s="1174">
        <v>13089021705</v>
      </c>
      <c r="M955" s="1175">
        <v>1</v>
      </c>
      <c r="N955" s="1175">
        <v>1</v>
      </c>
      <c r="O955" s="1175">
        <v>2</v>
      </c>
      <c r="AA955"/>
      <c r="AB955"/>
    </row>
    <row r="956" spans="3:28" ht="13.5">
      <c r="C956" s="1181" t="s">
        <v>5636</v>
      </c>
      <c r="D956" s="1178">
        <v>1</v>
      </c>
      <c r="E956" s="1178">
        <v>1</v>
      </c>
      <c r="F956" s="1179">
        <v>2</v>
      </c>
      <c r="G956" s="1189" t="s">
        <v>5636</v>
      </c>
      <c r="H956" s="1176">
        <v>1</v>
      </c>
      <c r="I956" s="1176">
        <v>1</v>
      </c>
      <c r="J956" s="1190">
        <v>2</v>
      </c>
      <c r="K956" s="1180"/>
      <c r="L956" s="1174">
        <v>13089021706</v>
      </c>
      <c r="M956" s="1175">
        <v>1</v>
      </c>
      <c r="N956" s="1175">
        <v>1</v>
      </c>
      <c r="O956" s="1175">
        <v>2</v>
      </c>
      <c r="AA956"/>
      <c r="AB956"/>
    </row>
    <row r="957" spans="3:28" ht="13.5">
      <c r="C957" s="1181" t="s">
        <v>5637</v>
      </c>
      <c r="D957" s="1178">
        <v>1</v>
      </c>
      <c r="E957" s="1178">
        <v>0</v>
      </c>
      <c r="F957" s="1179">
        <v>1</v>
      </c>
      <c r="G957" s="1189" t="s">
        <v>5637</v>
      </c>
      <c r="H957" s="1176">
        <v>1</v>
      </c>
      <c r="I957" s="1176">
        <v>0</v>
      </c>
      <c r="J957" s="1190">
        <v>1</v>
      </c>
      <c r="K957" s="1180"/>
      <c r="L957" s="1174">
        <v>13089021805</v>
      </c>
      <c r="M957" s="1175">
        <v>1</v>
      </c>
      <c r="N957" s="1175">
        <v>0</v>
      </c>
      <c r="O957" s="1175">
        <v>1</v>
      </c>
      <c r="AA957"/>
      <c r="AB957"/>
    </row>
    <row r="958" spans="3:28" ht="13.5">
      <c r="C958" s="1181" t="s">
        <v>5638</v>
      </c>
      <c r="D958" s="1178">
        <v>1</v>
      </c>
      <c r="E958" s="1178">
        <v>0</v>
      </c>
      <c r="F958" s="1179">
        <v>1</v>
      </c>
      <c r="G958" s="1189" t="s">
        <v>5638</v>
      </c>
      <c r="H958" s="1176">
        <v>1</v>
      </c>
      <c r="I958" s="1176">
        <v>0</v>
      </c>
      <c r="J958" s="1190">
        <v>1</v>
      </c>
      <c r="K958" s="1180"/>
      <c r="L958" s="1174">
        <v>13089021806</v>
      </c>
      <c r="M958" s="1175">
        <v>1</v>
      </c>
      <c r="N958" s="1175">
        <v>0</v>
      </c>
      <c r="O958" s="1175">
        <v>1</v>
      </c>
      <c r="AA958"/>
      <c r="AB958"/>
    </row>
    <row r="959" spans="3:28" ht="13.5">
      <c r="C959" s="1181" t="s">
        <v>5639</v>
      </c>
      <c r="D959" s="1178">
        <v>1</v>
      </c>
      <c r="E959" s="1178">
        <v>1</v>
      </c>
      <c r="F959" s="1179">
        <v>2</v>
      </c>
      <c r="G959" s="1189" t="s">
        <v>5639</v>
      </c>
      <c r="H959" s="1176">
        <v>1</v>
      </c>
      <c r="I959" s="1176">
        <v>1</v>
      </c>
      <c r="J959" s="1190">
        <v>2</v>
      </c>
      <c r="K959" s="1180"/>
      <c r="L959" s="1174">
        <v>13089021808</v>
      </c>
      <c r="M959" s="1175">
        <v>1</v>
      </c>
      <c r="N959" s="1175">
        <v>1</v>
      </c>
      <c r="O959" s="1175">
        <v>2</v>
      </c>
      <c r="AA959"/>
      <c r="AB959"/>
    </row>
    <row r="960" spans="3:28" ht="13.5">
      <c r="C960" s="1181" t="s">
        <v>5640</v>
      </c>
      <c r="D960" s="1178">
        <v>1</v>
      </c>
      <c r="E960" s="1178">
        <v>1</v>
      </c>
      <c r="F960" s="1179">
        <v>2</v>
      </c>
      <c r="G960" s="1189" t="s">
        <v>5640</v>
      </c>
      <c r="H960" s="1176">
        <v>1</v>
      </c>
      <c r="I960" s="1176">
        <v>1</v>
      </c>
      <c r="J960" s="1190">
        <v>2</v>
      </c>
      <c r="K960" s="1180"/>
      <c r="L960" s="1174">
        <v>13089021809</v>
      </c>
      <c r="M960" s="1175">
        <v>1</v>
      </c>
      <c r="N960" s="1175">
        <v>1</v>
      </c>
      <c r="O960" s="1175">
        <v>2</v>
      </c>
      <c r="AA960"/>
      <c r="AB960"/>
    </row>
    <row r="961" spans="3:28" ht="13.5">
      <c r="C961" s="1181" t="s">
        <v>5641</v>
      </c>
      <c r="D961" s="1178">
        <v>1</v>
      </c>
      <c r="E961" s="1178">
        <v>1</v>
      </c>
      <c r="F961" s="1179">
        <v>2</v>
      </c>
      <c r="G961" s="1189" t="s">
        <v>5641</v>
      </c>
      <c r="H961" s="1176">
        <v>1</v>
      </c>
      <c r="I961" s="1176">
        <v>1</v>
      </c>
      <c r="J961" s="1190">
        <v>2</v>
      </c>
      <c r="K961" s="1180"/>
      <c r="L961" s="1174">
        <v>13089021810</v>
      </c>
      <c r="M961" s="1175">
        <v>1</v>
      </c>
      <c r="N961" s="1175">
        <v>1</v>
      </c>
      <c r="O961" s="1175">
        <v>2</v>
      </c>
      <c r="AA961"/>
      <c r="AB961"/>
    </row>
    <row r="962" spans="3:28" ht="13.5">
      <c r="C962" s="1181" t="s">
        <v>5642</v>
      </c>
      <c r="D962" s="1178">
        <v>1</v>
      </c>
      <c r="E962" s="1178">
        <v>0</v>
      </c>
      <c r="F962" s="1179">
        <v>1</v>
      </c>
      <c r="G962" s="1189" t="s">
        <v>5642</v>
      </c>
      <c r="H962" s="1176">
        <v>1</v>
      </c>
      <c r="I962" s="1176">
        <v>1</v>
      </c>
      <c r="J962" s="1190">
        <v>2</v>
      </c>
      <c r="K962" s="1180"/>
      <c r="L962" s="1174">
        <v>13089021812</v>
      </c>
      <c r="M962" s="1175">
        <v>1</v>
      </c>
      <c r="N962" s="1175">
        <v>1</v>
      </c>
      <c r="O962" s="1175">
        <v>2</v>
      </c>
      <c r="AA962"/>
      <c r="AB962"/>
    </row>
    <row r="963" spans="3:28" ht="13.5">
      <c r="C963" s="1181" t="s">
        <v>5643</v>
      </c>
      <c r="D963" s="1178">
        <v>0</v>
      </c>
      <c r="E963" s="1178">
        <v>0</v>
      </c>
      <c r="F963" s="1179">
        <v>0</v>
      </c>
      <c r="G963" s="1189" t="s">
        <v>5643</v>
      </c>
      <c r="H963" s="1176">
        <v>0</v>
      </c>
      <c r="I963" s="1176" t="s">
        <v>4455</v>
      </c>
      <c r="J963" s="1190">
        <v>0</v>
      </c>
      <c r="K963" s="1180"/>
      <c r="L963" s="1174">
        <v>13089021813</v>
      </c>
      <c r="M963" s="1175">
        <v>0</v>
      </c>
      <c r="N963" s="1175">
        <v>0</v>
      </c>
      <c r="O963" s="1175">
        <v>0</v>
      </c>
      <c r="AA963"/>
      <c r="AB963"/>
    </row>
    <row r="964" spans="3:28" ht="13.5">
      <c r="C964" s="1181" t="s">
        <v>5644</v>
      </c>
      <c r="D964" s="1178">
        <v>0</v>
      </c>
      <c r="E964" s="1178">
        <v>0</v>
      </c>
      <c r="F964" s="1179">
        <v>0</v>
      </c>
      <c r="G964" s="1189" t="s">
        <v>5644</v>
      </c>
      <c r="H964" s="1176">
        <v>0</v>
      </c>
      <c r="I964" s="1176">
        <v>0</v>
      </c>
      <c r="J964" s="1190">
        <v>0</v>
      </c>
      <c r="K964" s="1180"/>
      <c r="L964" s="1174">
        <v>13089021814</v>
      </c>
      <c r="M964" s="1175">
        <v>0</v>
      </c>
      <c r="N964" s="1175">
        <v>0</v>
      </c>
      <c r="O964" s="1175">
        <v>0</v>
      </c>
      <c r="AA964"/>
      <c r="AB964"/>
    </row>
    <row r="965" spans="3:28" ht="13.5">
      <c r="C965" s="1181" t="s">
        <v>5645</v>
      </c>
      <c r="D965" s="1178">
        <v>0</v>
      </c>
      <c r="E965" s="1178">
        <v>0</v>
      </c>
      <c r="F965" s="1179">
        <v>0</v>
      </c>
      <c r="G965" s="1189" t="s">
        <v>5645</v>
      </c>
      <c r="H965" s="1176">
        <v>0</v>
      </c>
      <c r="I965" s="1176">
        <v>0</v>
      </c>
      <c r="J965" s="1190">
        <v>0</v>
      </c>
      <c r="K965" s="1180"/>
      <c r="L965" s="1174">
        <v>13089021906</v>
      </c>
      <c r="M965" s="1175">
        <v>0</v>
      </c>
      <c r="N965" s="1175">
        <v>0</v>
      </c>
      <c r="O965" s="1175">
        <v>0</v>
      </c>
      <c r="AA965"/>
      <c r="AB965"/>
    </row>
    <row r="966" spans="3:28" ht="13.5">
      <c r="C966" s="1181" t="s">
        <v>5646</v>
      </c>
      <c r="D966" s="1178">
        <v>0</v>
      </c>
      <c r="E966" s="1178">
        <v>0</v>
      </c>
      <c r="F966" s="1179">
        <v>0</v>
      </c>
      <c r="G966" s="1189" t="s">
        <v>5646</v>
      </c>
      <c r="H966" s="1176">
        <v>0</v>
      </c>
      <c r="I966" s="1176">
        <v>1</v>
      </c>
      <c r="J966" s="1190">
        <v>1</v>
      </c>
      <c r="K966" s="1180"/>
      <c r="L966" s="1174">
        <v>13089021907</v>
      </c>
      <c r="M966" s="1175">
        <v>0</v>
      </c>
      <c r="N966" s="1175">
        <v>1</v>
      </c>
      <c r="O966" s="1175">
        <v>1</v>
      </c>
      <c r="AA966"/>
      <c r="AB966"/>
    </row>
    <row r="967" spans="3:28" ht="13.5">
      <c r="C967" s="1181" t="s">
        <v>5647</v>
      </c>
      <c r="D967" s="1178">
        <v>0</v>
      </c>
      <c r="E967" s="1178">
        <v>0</v>
      </c>
      <c r="F967" s="1179">
        <v>0</v>
      </c>
      <c r="G967" s="1189" t="s">
        <v>5647</v>
      </c>
      <c r="H967" s="1176">
        <v>0</v>
      </c>
      <c r="I967" s="1176">
        <v>0</v>
      </c>
      <c r="J967" s="1190">
        <v>0</v>
      </c>
      <c r="K967" s="1180"/>
      <c r="L967" s="1174">
        <v>13089021908</v>
      </c>
      <c r="M967" s="1175">
        <v>0</v>
      </c>
      <c r="N967" s="1175">
        <v>0</v>
      </c>
      <c r="O967" s="1175">
        <v>0</v>
      </c>
      <c r="AA967"/>
      <c r="AB967"/>
    </row>
    <row r="968" spans="3:28" ht="13.5">
      <c r="C968" s="1181" t="s">
        <v>5648</v>
      </c>
      <c r="D968" s="1178">
        <v>0</v>
      </c>
      <c r="E968" s="1178">
        <v>0</v>
      </c>
      <c r="F968" s="1179">
        <v>0</v>
      </c>
      <c r="G968" s="1189" t="s">
        <v>5648</v>
      </c>
      <c r="H968" s="1176">
        <v>0</v>
      </c>
      <c r="I968" s="1176">
        <v>0</v>
      </c>
      <c r="J968" s="1190">
        <v>0</v>
      </c>
      <c r="K968" s="1180"/>
      <c r="L968" s="1174">
        <v>13089021909</v>
      </c>
      <c r="M968" s="1175">
        <v>0</v>
      </c>
      <c r="N968" s="1175">
        <v>0</v>
      </c>
      <c r="O968" s="1175">
        <v>0</v>
      </c>
      <c r="AA968"/>
      <c r="AB968"/>
    </row>
    <row r="969" spans="3:28" ht="13.5">
      <c r="C969" s="1181" t="s">
        <v>5649</v>
      </c>
      <c r="D969" s="1178">
        <v>0</v>
      </c>
      <c r="E969" s="1178">
        <v>0</v>
      </c>
      <c r="F969" s="1179">
        <v>0</v>
      </c>
      <c r="G969" s="1189" t="s">
        <v>5649</v>
      </c>
      <c r="H969" s="1176">
        <v>0</v>
      </c>
      <c r="I969" s="1176">
        <v>0</v>
      </c>
      <c r="J969" s="1190">
        <v>0</v>
      </c>
      <c r="K969" s="1180"/>
      <c r="L969" s="1174">
        <v>13089021910</v>
      </c>
      <c r="M969" s="1175">
        <v>0</v>
      </c>
      <c r="N969" s="1175">
        <v>0</v>
      </c>
      <c r="O969" s="1175">
        <v>0</v>
      </c>
      <c r="AA969"/>
      <c r="AB969"/>
    </row>
    <row r="970" spans="3:28" ht="13.5">
      <c r="C970" s="1181" t="s">
        <v>5650</v>
      </c>
      <c r="D970" s="1178">
        <v>0</v>
      </c>
      <c r="E970" s="1178">
        <v>0</v>
      </c>
      <c r="F970" s="1179">
        <v>0</v>
      </c>
      <c r="G970" s="1189" t="s">
        <v>5650</v>
      </c>
      <c r="H970" s="1176">
        <v>0</v>
      </c>
      <c r="I970" s="1176" t="s">
        <v>4455</v>
      </c>
      <c r="J970" s="1190">
        <v>0</v>
      </c>
      <c r="K970" s="1180"/>
      <c r="L970" s="1174">
        <v>13089021911</v>
      </c>
      <c r="M970" s="1175">
        <v>0</v>
      </c>
      <c r="N970" s="1175">
        <v>0</v>
      </c>
      <c r="O970" s="1175">
        <v>0</v>
      </c>
      <c r="AA970"/>
      <c r="AB970"/>
    </row>
    <row r="971" spans="3:28" ht="13.5">
      <c r="C971" s="1181" t="s">
        <v>5651</v>
      </c>
      <c r="D971" s="1178">
        <v>1</v>
      </c>
      <c r="E971" s="1178">
        <v>1</v>
      </c>
      <c r="F971" s="1179">
        <v>2</v>
      </c>
      <c r="G971" s="1189" t="s">
        <v>5651</v>
      </c>
      <c r="H971" s="1176">
        <v>1</v>
      </c>
      <c r="I971" s="1176">
        <v>1</v>
      </c>
      <c r="J971" s="1190">
        <v>2</v>
      </c>
      <c r="K971" s="1180"/>
      <c r="L971" s="1174">
        <v>13089021912</v>
      </c>
      <c r="M971" s="1175">
        <v>1</v>
      </c>
      <c r="N971" s="1175">
        <v>1</v>
      </c>
      <c r="O971" s="1175">
        <v>2</v>
      </c>
      <c r="AA971"/>
      <c r="AB971"/>
    </row>
    <row r="972" spans="3:28" ht="13.5">
      <c r="C972" s="1181" t="s">
        <v>5652</v>
      </c>
      <c r="D972" s="1178">
        <v>0</v>
      </c>
      <c r="E972" s="1178">
        <v>0</v>
      </c>
      <c r="F972" s="1179">
        <v>0</v>
      </c>
      <c r="G972" s="1189" t="s">
        <v>5652</v>
      </c>
      <c r="H972" s="1176">
        <v>0</v>
      </c>
      <c r="I972" s="1176">
        <v>0</v>
      </c>
      <c r="J972" s="1190">
        <v>0</v>
      </c>
      <c r="K972" s="1180"/>
      <c r="L972" s="1174">
        <v>13089021913</v>
      </c>
      <c r="M972" s="1175">
        <v>0</v>
      </c>
      <c r="N972" s="1175">
        <v>0</v>
      </c>
      <c r="O972" s="1175">
        <v>0</v>
      </c>
      <c r="AA972"/>
      <c r="AB972"/>
    </row>
    <row r="973" spans="3:28" ht="13.5">
      <c r="C973" s="1181" t="s">
        <v>5653</v>
      </c>
      <c r="D973" s="1178">
        <v>1</v>
      </c>
      <c r="E973" s="1178">
        <v>1</v>
      </c>
      <c r="F973" s="1179">
        <v>2</v>
      </c>
      <c r="G973" s="1189" t="s">
        <v>5653</v>
      </c>
      <c r="H973" s="1176">
        <v>1</v>
      </c>
      <c r="I973" s="1176">
        <v>1</v>
      </c>
      <c r="J973" s="1190">
        <v>2</v>
      </c>
      <c r="K973" s="1180"/>
      <c r="L973" s="1174">
        <v>13089022001</v>
      </c>
      <c r="M973" s="1175">
        <v>1</v>
      </c>
      <c r="N973" s="1175">
        <v>1</v>
      </c>
      <c r="O973" s="1175">
        <v>2</v>
      </c>
      <c r="AA973"/>
      <c r="AB973"/>
    </row>
    <row r="974" spans="3:28" ht="13.5">
      <c r="C974" s="1181" t="s">
        <v>5654</v>
      </c>
      <c r="D974" s="1178">
        <v>0</v>
      </c>
      <c r="E974" s="1178">
        <v>0</v>
      </c>
      <c r="F974" s="1179">
        <v>0</v>
      </c>
      <c r="G974" s="1189" t="s">
        <v>5654</v>
      </c>
      <c r="H974" s="1176">
        <v>0</v>
      </c>
      <c r="I974" s="1176">
        <v>1</v>
      </c>
      <c r="J974" s="1190">
        <v>1</v>
      </c>
      <c r="K974" s="1180"/>
      <c r="L974" s="1174">
        <v>13089022004</v>
      </c>
      <c r="M974" s="1175">
        <v>0</v>
      </c>
      <c r="N974" s="1175">
        <v>1</v>
      </c>
      <c r="O974" s="1175">
        <v>1</v>
      </c>
      <c r="AA974"/>
      <c r="AB974"/>
    </row>
    <row r="975" spans="3:28" ht="13.5">
      <c r="C975" s="1181" t="s">
        <v>5655</v>
      </c>
      <c r="D975" s="1178">
        <v>0</v>
      </c>
      <c r="E975" s="1178">
        <v>0</v>
      </c>
      <c r="F975" s="1179">
        <v>0</v>
      </c>
      <c r="G975" s="1189" t="s">
        <v>5655</v>
      </c>
      <c r="H975" s="1176">
        <v>0</v>
      </c>
      <c r="I975" s="1176">
        <v>0</v>
      </c>
      <c r="J975" s="1190">
        <v>0</v>
      </c>
      <c r="K975" s="1180"/>
      <c r="L975" s="1174">
        <v>13089022005</v>
      </c>
      <c r="M975" s="1175">
        <v>0</v>
      </c>
      <c r="N975" s="1175">
        <v>0</v>
      </c>
      <c r="O975" s="1175">
        <v>0</v>
      </c>
      <c r="AA975"/>
      <c r="AB975"/>
    </row>
    <row r="976" spans="3:28" ht="13.5">
      <c r="C976" s="1181" t="s">
        <v>5656</v>
      </c>
      <c r="D976" s="1178">
        <v>0</v>
      </c>
      <c r="E976" s="1178">
        <v>0</v>
      </c>
      <c r="F976" s="1179">
        <v>0</v>
      </c>
      <c r="G976" s="1189" t="s">
        <v>5656</v>
      </c>
      <c r="H976" s="1176">
        <v>0</v>
      </c>
      <c r="I976" s="1176">
        <v>0</v>
      </c>
      <c r="J976" s="1190">
        <v>0</v>
      </c>
      <c r="K976" s="1180"/>
      <c r="L976" s="1174">
        <v>13089022007</v>
      </c>
      <c r="M976" s="1175">
        <v>0</v>
      </c>
      <c r="N976" s="1175">
        <v>0</v>
      </c>
      <c r="O976" s="1175">
        <v>0</v>
      </c>
      <c r="AA976"/>
      <c r="AB976"/>
    </row>
    <row r="977" spans="3:28" ht="13.5">
      <c r="C977" s="1181" t="s">
        <v>5657</v>
      </c>
      <c r="D977" s="1178">
        <v>0</v>
      </c>
      <c r="E977" s="1178">
        <v>0</v>
      </c>
      <c r="F977" s="1179">
        <v>0</v>
      </c>
      <c r="G977" s="1189" t="s">
        <v>5657</v>
      </c>
      <c r="H977" s="1176">
        <v>0</v>
      </c>
      <c r="I977" s="1176">
        <v>0</v>
      </c>
      <c r="J977" s="1190">
        <v>0</v>
      </c>
      <c r="K977" s="1180"/>
      <c r="L977" s="1174">
        <v>13089022008</v>
      </c>
      <c r="M977" s="1175">
        <v>0</v>
      </c>
      <c r="N977" s="1175">
        <v>0</v>
      </c>
      <c r="O977" s="1175">
        <v>0</v>
      </c>
      <c r="AA977"/>
      <c r="AB977"/>
    </row>
    <row r="978" spans="3:28" ht="13.5">
      <c r="C978" s="1181" t="s">
        <v>5658</v>
      </c>
      <c r="D978" s="1178">
        <v>0</v>
      </c>
      <c r="E978" s="1178">
        <v>0</v>
      </c>
      <c r="F978" s="1179">
        <v>0</v>
      </c>
      <c r="G978" s="1189" t="s">
        <v>5658</v>
      </c>
      <c r="H978" s="1176">
        <v>0</v>
      </c>
      <c r="I978" s="1176" t="s">
        <v>4455</v>
      </c>
      <c r="J978" s="1190">
        <v>0</v>
      </c>
      <c r="K978" s="1180"/>
      <c r="L978" s="1174">
        <v>13089022009</v>
      </c>
      <c r="M978" s="1175">
        <v>0</v>
      </c>
      <c r="N978" s="1175">
        <v>0</v>
      </c>
      <c r="O978" s="1175">
        <v>0</v>
      </c>
      <c r="AA978"/>
      <c r="AB978"/>
    </row>
    <row r="979" spans="3:28" ht="13.5">
      <c r="C979" s="1181" t="s">
        <v>5659</v>
      </c>
      <c r="D979" s="1178">
        <v>0</v>
      </c>
      <c r="E979" s="1178">
        <v>0</v>
      </c>
      <c r="F979" s="1179">
        <v>0</v>
      </c>
      <c r="G979" s="1189" t="s">
        <v>5659</v>
      </c>
      <c r="H979" s="1176">
        <v>0</v>
      </c>
      <c r="I979" s="1176">
        <v>0</v>
      </c>
      <c r="J979" s="1190">
        <v>0</v>
      </c>
      <c r="K979" s="1180"/>
      <c r="L979" s="1174">
        <v>13089022010</v>
      </c>
      <c r="M979" s="1175">
        <v>0</v>
      </c>
      <c r="N979" s="1175">
        <v>0</v>
      </c>
      <c r="O979" s="1175">
        <v>0</v>
      </c>
      <c r="AA979"/>
      <c r="AB979"/>
    </row>
    <row r="980" spans="3:28" ht="13.5">
      <c r="C980" s="1181" t="s">
        <v>5660</v>
      </c>
      <c r="D980" s="1178">
        <v>0</v>
      </c>
      <c r="E980" s="1178">
        <v>0</v>
      </c>
      <c r="F980" s="1179">
        <v>0</v>
      </c>
      <c r="G980" s="1189" t="s">
        <v>5660</v>
      </c>
      <c r="H980" s="1176">
        <v>0</v>
      </c>
      <c r="I980" s="1176">
        <v>0</v>
      </c>
      <c r="J980" s="1190">
        <v>0</v>
      </c>
      <c r="K980" s="1180"/>
      <c r="L980" s="1174">
        <v>13089022100</v>
      </c>
      <c r="M980" s="1175">
        <v>0</v>
      </c>
      <c r="N980" s="1175">
        <v>0</v>
      </c>
      <c r="O980" s="1175">
        <v>0</v>
      </c>
      <c r="AA980"/>
      <c r="AB980"/>
    </row>
    <row r="981" spans="3:28" ht="13.5">
      <c r="C981" s="1181" t="s">
        <v>5661</v>
      </c>
      <c r="D981" s="1178">
        <v>0</v>
      </c>
      <c r="E981" s="1178">
        <v>0</v>
      </c>
      <c r="F981" s="1179">
        <v>0</v>
      </c>
      <c r="G981" s="1189" t="s">
        <v>5661</v>
      </c>
      <c r="H981" s="1176">
        <v>1</v>
      </c>
      <c r="I981" s="1176">
        <v>0</v>
      </c>
      <c r="J981" s="1190">
        <v>1</v>
      </c>
      <c r="K981" s="1180"/>
      <c r="L981" s="1174">
        <v>13089022203</v>
      </c>
      <c r="M981" s="1175">
        <v>1</v>
      </c>
      <c r="N981" s="1175">
        <v>0</v>
      </c>
      <c r="O981" s="1175">
        <v>1</v>
      </c>
      <c r="AA981"/>
      <c r="AB981"/>
    </row>
    <row r="982" spans="3:28" ht="13.5">
      <c r="C982" s="1181" t="s">
        <v>5662</v>
      </c>
      <c r="D982" s="1178">
        <v>0</v>
      </c>
      <c r="E982" s="1178">
        <v>0</v>
      </c>
      <c r="F982" s="1179">
        <v>0</v>
      </c>
      <c r="G982" s="1189" t="s">
        <v>5662</v>
      </c>
      <c r="H982" s="1176">
        <v>1</v>
      </c>
      <c r="I982" s="1176">
        <v>0</v>
      </c>
      <c r="J982" s="1190">
        <v>1</v>
      </c>
      <c r="K982" s="1180"/>
      <c r="L982" s="1174">
        <v>13089022204</v>
      </c>
      <c r="M982" s="1175">
        <v>1</v>
      </c>
      <c r="N982" s="1175">
        <v>0</v>
      </c>
      <c r="O982" s="1175">
        <v>1</v>
      </c>
      <c r="AA982"/>
      <c r="AB982"/>
    </row>
    <row r="983" spans="3:28" ht="13.5">
      <c r="C983" s="1181" t="s">
        <v>5663</v>
      </c>
      <c r="D983" s="1178">
        <v>1</v>
      </c>
      <c r="E983" s="1178">
        <v>1</v>
      </c>
      <c r="F983" s="1179">
        <v>2</v>
      </c>
      <c r="G983" s="1189" t="s">
        <v>5663</v>
      </c>
      <c r="H983" s="1176">
        <v>1</v>
      </c>
      <c r="I983" s="1176">
        <v>1</v>
      </c>
      <c r="J983" s="1190">
        <v>2</v>
      </c>
      <c r="K983" s="1180"/>
      <c r="L983" s="1174">
        <v>13089022301</v>
      </c>
      <c r="M983" s="1175">
        <v>1</v>
      </c>
      <c r="N983" s="1175">
        <v>1</v>
      </c>
      <c r="O983" s="1175">
        <v>2</v>
      </c>
      <c r="AA983"/>
      <c r="AB983"/>
    </row>
    <row r="984" spans="3:28" ht="13.5">
      <c r="C984" s="1181" t="s">
        <v>5664</v>
      </c>
      <c r="D984" s="1178">
        <v>1</v>
      </c>
      <c r="E984" s="1178">
        <v>1</v>
      </c>
      <c r="F984" s="1179">
        <v>2</v>
      </c>
      <c r="G984" s="1189" t="s">
        <v>5664</v>
      </c>
      <c r="H984" s="1176">
        <v>1</v>
      </c>
      <c r="I984" s="1176">
        <v>1</v>
      </c>
      <c r="J984" s="1190">
        <v>2</v>
      </c>
      <c r="K984" s="1180"/>
      <c r="L984" s="1174">
        <v>13089022302</v>
      </c>
      <c r="M984" s="1175">
        <v>1</v>
      </c>
      <c r="N984" s="1175">
        <v>1</v>
      </c>
      <c r="O984" s="1175">
        <v>2</v>
      </c>
      <c r="AA984"/>
      <c r="AB984"/>
    </row>
    <row r="985" spans="3:28" ht="13.5">
      <c r="C985" s="1181" t="s">
        <v>5665</v>
      </c>
      <c r="D985" s="1178">
        <v>1</v>
      </c>
      <c r="E985" s="1178">
        <v>1</v>
      </c>
      <c r="F985" s="1179">
        <v>2</v>
      </c>
      <c r="G985" s="1189" t="s">
        <v>5665</v>
      </c>
      <c r="H985" s="1176">
        <v>1</v>
      </c>
      <c r="I985" s="1176">
        <v>1</v>
      </c>
      <c r="J985" s="1190">
        <v>2</v>
      </c>
      <c r="K985" s="1180"/>
      <c r="L985" s="1174">
        <v>13089022401</v>
      </c>
      <c r="M985" s="1175">
        <v>1</v>
      </c>
      <c r="N985" s="1175">
        <v>1</v>
      </c>
      <c r="O985" s="1175">
        <v>2</v>
      </c>
      <c r="AA985"/>
      <c r="AB985"/>
    </row>
    <row r="986" spans="3:28" ht="13.5">
      <c r="C986" s="1181" t="s">
        <v>5666</v>
      </c>
      <c r="D986" s="1178">
        <v>0</v>
      </c>
      <c r="E986" s="1178">
        <v>0</v>
      </c>
      <c r="F986" s="1179">
        <v>0</v>
      </c>
      <c r="G986" s="1189" t="s">
        <v>5666</v>
      </c>
      <c r="H986" s="1176">
        <v>0</v>
      </c>
      <c r="I986" s="1176" t="s">
        <v>4455</v>
      </c>
      <c r="J986" s="1190">
        <v>0</v>
      </c>
      <c r="K986" s="1180"/>
      <c r="L986" s="1174">
        <v>13089022402</v>
      </c>
      <c r="M986" s="1175">
        <v>0</v>
      </c>
      <c r="N986" s="1175">
        <v>0</v>
      </c>
      <c r="O986" s="1175">
        <v>0</v>
      </c>
      <c r="AA986"/>
      <c r="AB986"/>
    </row>
    <row r="987" spans="3:28" ht="13.5">
      <c r="C987" s="1181" t="s">
        <v>5667</v>
      </c>
      <c r="D987" s="1178">
        <v>1</v>
      </c>
      <c r="E987" s="1178">
        <v>1</v>
      </c>
      <c r="F987" s="1179">
        <v>2</v>
      </c>
      <c r="G987" s="1189" t="s">
        <v>5667</v>
      </c>
      <c r="H987" s="1176">
        <v>1</v>
      </c>
      <c r="I987" s="1176">
        <v>1</v>
      </c>
      <c r="J987" s="1190">
        <v>2</v>
      </c>
      <c r="K987" s="1180"/>
      <c r="L987" s="1174">
        <v>13089022403</v>
      </c>
      <c r="M987" s="1175">
        <v>1</v>
      </c>
      <c r="N987" s="1175">
        <v>1</v>
      </c>
      <c r="O987" s="1175">
        <v>2</v>
      </c>
      <c r="AA987"/>
      <c r="AB987"/>
    </row>
    <row r="988" spans="3:28" ht="13.5">
      <c r="C988" s="1181" t="s">
        <v>5668</v>
      </c>
      <c r="D988" s="1178">
        <v>1</v>
      </c>
      <c r="E988" s="1178">
        <v>1</v>
      </c>
      <c r="F988" s="1179">
        <v>2</v>
      </c>
      <c r="G988" s="1189" t="s">
        <v>5668</v>
      </c>
      <c r="H988" s="1176">
        <v>1</v>
      </c>
      <c r="I988" s="1176">
        <v>1</v>
      </c>
      <c r="J988" s="1190">
        <v>2</v>
      </c>
      <c r="K988" s="1180"/>
      <c r="L988" s="1174">
        <v>13089022500</v>
      </c>
      <c r="M988" s="1175">
        <v>1</v>
      </c>
      <c r="N988" s="1175">
        <v>1</v>
      </c>
      <c r="O988" s="1175">
        <v>2</v>
      </c>
      <c r="AA988"/>
      <c r="AB988"/>
    </row>
    <row r="989" spans="3:28" ht="13.5">
      <c r="C989" s="1181" t="s">
        <v>5669</v>
      </c>
      <c r="D989" s="1178">
        <v>1</v>
      </c>
      <c r="E989" s="1178">
        <v>1</v>
      </c>
      <c r="F989" s="1179">
        <v>2</v>
      </c>
      <c r="G989" s="1189" t="s">
        <v>5669</v>
      </c>
      <c r="H989" s="1176">
        <v>1</v>
      </c>
      <c r="I989" s="1176">
        <v>1</v>
      </c>
      <c r="J989" s="1190">
        <v>2</v>
      </c>
      <c r="K989" s="1180"/>
      <c r="L989" s="1174">
        <v>13089022600</v>
      </c>
      <c r="M989" s="1175">
        <v>1</v>
      </c>
      <c r="N989" s="1175">
        <v>1</v>
      </c>
      <c r="O989" s="1175">
        <v>2</v>
      </c>
      <c r="AA989"/>
      <c r="AB989"/>
    </row>
    <row r="990" spans="3:28" ht="13.5">
      <c r="C990" s="1181" t="s">
        <v>5670</v>
      </c>
      <c r="D990" s="1178">
        <v>1</v>
      </c>
      <c r="E990" s="1178">
        <v>1</v>
      </c>
      <c r="F990" s="1179">
        <v>2</v>
      </c>
      <c r="G990" s="1189" t="s">
        <v>5670</v>
      </c>
      <c r="H990" s="1176">
        <v>1</v>
      </c>
      <c r="I990" s="1176">
        <v>1</v>
      </c>
      <c r="J990" s="1190">
        <v>2</v>
      </c>
      <c r="K990" s="1180"/>
      <c r="L990" s="1174">
        <v>13089022700</v>
      </c>
      <c r="M990" s="1175">
        <v>1</v>
      </c>
      <c r="N990" s="1175">
        <v>1</v>
      </c>
      <c r="O990" s="1175">
        <v>2</v>
      </c>
      <c r="AA990"/>
      <c r="AB990"/>
    </row>
    <row r="991" spans="3:28" ht="13.5">
      <c r="C991" s="1181" t="s">
        <v>5671</v>
      </c>
      <c r="D991" s="1178">
        <v>1</v>
      </c>
      <c r="E991" s="1178">
        <v>1</v>
      </c>
      <c r="F991" s="1179">
        <v>2</v>
      </c>
      <c r="G991" s="1189" t="s">
        <v>5671</v>
      </c>
      <c r="H991" s="1176">
        <v>1</v>
      </c>
      <c r="I991" s="1176">
        <v>1</v>
      </c>
      <c r="J991" s="1190">
        <v>2</v>
      </c>
      <c r="K991" s="1180"/>
      <c r="L991" s="1174">
        <v>13089022800</v>
      </c>
      <c r="M991" s="1175">
        <v>1</v>
      </c>
      <c r="N991" s="1175">
        <v>1</v>
      </c>
      <c r="O991" s="1175">
        <v>2</v>
      </c>
      <c r="AA991"/>
      <c r="AB991"/>
    </row>
    <row r="992" spans="3:28" ht="13.5">
      <c r="C992" s="1181" t="s">
        <v>5672</v>
      </c>
      <c r="D992" s="1178">
        <v>1</v>
      </c>
      <c r="E992" s="1178">
        <v>1</v>
      </c>
      <c r="F992" s="1179">
        <v>2</v>
      </c>
      <c r="G992" s="1189" t="s">
        <v>5672</v>
      </c>
      <c r="H992" s="1176">
        <v>1</v>
      </c>
      <c r="I992" s="1176">
        <v>1</v>
      </c>
      <c r="J992" s="1190">
        <v>2</v>
      </c>
      <c r="K992" s="1180"/>
      <c r="L992" s="1174">
        <v>13089022900</v>
      </c>
      <c r="M992" s="1175">
        <v>1</v>
      </c>
      <c r="N992" s="1175">
        <v>1</v>
      </c>
      <c r="O992" s="1175">
        <v>2</v>
      </c>
      <c r="AA992"/>
      <c r="AB992"/>
    </row>
    <row r="993" spans="3:28" ht="13.5">
      <c r="C993" s="1181" t="s">
        <v>5673</v>
      </c>
      <c r="D993" s="1178">
        <v>1</v>
      </c>
      <c r="E993" s="1178">
        <v>1</v>
      </c>
      <c r="F993" s="1179">
        <v>2</v>
      </c>
      <c r="G993" s="1189" t="s">
        <v>5673</v>
      </c>
      <c r="H993" s="1176">
        <v>1</v>
      </c>
      <c r="I993" s="1176">
        <v>1</v>
      </c>
      <c r="J993" s="1190">
        <v>2</v>
      </c>
      <c r="K993" s="1180"/>
      <c r="L993" s="1174">
        <v>13089023000</v>
      </c>
      <c r="M993" s="1175">
        <v>1</v>
      </c>
      <c r="N993" s="1175">
        <v>1</v>
      </c>
      <c r="O993" s="1175">
        <v>2</v>
      </c>
      <c r="AA993"/>
      <c r="AB993"/>
    </row>
    <row r="994" spans="3:28" ht="13.5">
      <c r="C994" s="1181" t="s">
        <v>5674</v>
      </c>
      <c r="D994" s="1178">
        <v>0</v>
      </c>
      <c r="E994" s="1178">
        <v>0</v>
      </c>
      <c r="F994" s="1179">
        <v>0</v>
      </c>
      <c r="G994" s="1189" t="s">
        <v>5674</v>
      </c>
      <c r="H994" s="1176">
        <v>0</v>
      </c>
      <c r="I994" s="1176">
        <v>0</v>
      </c>
      <c r="J994" s="1190">
        <v>0</v>
      </c>
      <c r="K994" s="1180"/>
      <c r="L994" s="1174">
        <v>13089023101</v>
      </c>
      <c r="M994" s="1175">
        <v>0</v>
      </c>
      <c r="N994" s="1175">
        <v>0</v>
      </c>
      <c r="O994" s="1175">
        <v>0</v>
      </c>
      <c r="AA994"/>
      <c r="AB994"/>
    </row>
    <row r="995" spans="3:28" ht="13.5">
      <c r="C995" s="1181" t="s">
        <v>5675</v>
      </c>
      <c r="D995" s="1178">
        <v>0</v>
      </c>
      <c r="E995" s="1178">
        <v>0</v>
      </c>
      <c r="F995" s="1179">
        <v>0</v>
      </c>
      <c r="G995" s="1189" t="s">
        <v>5675</v>
      </c>
      <c r="H995" s="1176">
        <v>1</v>
      </c>
      <c r="I995" s="1176">
        <v>0</v>
      </c>
      <c r="J995" s="1190">
        <v>1</v>
      </c>
      <c r="K995" s="1180"/>
      <c r="L995" s="1174">
        <v>13089023102</v>
      </c>
      <c r="M995" s="1175">
        <v>1</v>
      </c>
      <c r="N995" s="1175">
        <v>0</v>
      </c>
      <c r="O995" s="1175">
        <v>1</v>
      </c>
      <c r="AA995"/>
      <c r="AB995"/>
    </row>
    <row r="996" spans="3:28" ht="13.5">
      <c r="C996" s="1181" t="s">
        <v>5676</v>
      </c>
      <c r="D996" s="1178">
        <v>0</v>
      </c>
      <c r="E996" s="1178">
        <v>0</v>
      </c>
      <c r="F996" s="1179">
        <v>0</v>
      </c>
      <c r="G996" s="1189" t="s">
        <v>5676</v>
      </c>
      <c r="H996" s="1176">
        <v>0</v>
      </c>
      <c r="I996" s="1176">
        <v>0</v>
      </c>
      <c r="J996" s="1190">
        <v>0</v>
      </c>
      <c r="K996" s="1180"/>
      <c r="L996" s="1174">
        <v>13089023107</v>
      </c>
      <c r="M996" s="1175">
        <v>0</v>
      </c>
      <c r="N996" s="1175">
        <v>0</v>
      </c>
      <c r="O996" s="1175">
        <v>0</v>
      </c>
      <c r="AA996"/>
      <c r="AB996"/>
    </row>
    <row r="997" spans="3:28" ht="13.5">
      <c r="C997" s="1181" t="s">
        <v>5677</v>
      </c>
      <c r="D997" s="1178">
        <v>0</v>
      </c>
      <c r="E997" s="1178">
        <v>0</v>
      </c>
      <c r="F997" s="1179">
        <v>0</v>
      </c>
      <c r="G997" s="1189" t="s">
        <v>5677</v>
      </c>
      <c r="H997" s="1176">
        <v>0</v>
      </c>
      <c r="I997" s="1176">
        <v>0</v>
      </c>
      <c r="J997" s="1190">
        <v>0</v>
      </c>
      <c r="K997" s="1180"/>
      <c r="L997" s="1174">
        <v>13089023108</v>
      </c>
      <c r="M997" s="1175">
        <v>0</v>
      </c>
      <c r="N997" s="1175">
        <v>0</v>
      </c>
      <c r="O997" s="1175">
        <v>0</v>
      </c>
      <c r="AA997"/>
      <c r="AB997"/>
    </row>
    <row r="998" spans="3:28" ht="13.5">
      <c r="C998" s="1181" t="s">
        <v>5678</v>
      </c>
      <c r="D998" s="1178">
        <v>0</v>
      </c>
      <c r="E998" s="1178">
        <v>0</v>
      </c>
      <c r="F998" s="1179">
        <v>0</v>
      </c>
      <c r="G998" s="1189" t="s">
        <v>5678</v>
      </c>
      <c r="H998" s="1176">
        <v>0</v>
      </c>
      <c r="I998" s="1176">
        <v>0</v>
      </c>
      <c r="J998" s="1190">
        <v>0</v>
      </c>
      <c r="K998" s="1180"/>
      <c r="L998" s="1174">
        <v>13089023111</v>
      </c>
      <c r="M998" s="1175">
        <v>0</v>
      </c>
      <c r="N998" s="1175">
        <v>0</v>
      </c>
      <c r="O998" s="1175">
        <v>0</v>
      </c>
      <c r="AA998"/>
      <c r="AB998"/>
    </row>
    <row r="999" spans="3:28" ht="13.5">
      <c r="C999" s="1181" t="s">
        <v>5679</v>
      </c>
      <c r="D999" s="1178">
        <v>0</v>
      </c>
      <c r="E999" s="1178">
        <v>0</v>
      </c>
      <c r="F999" s="1179">
        <v>0</v>
      </c>
      <c r="G999" s="1189" t="s">
        <v>5679</v>
      </c>
      <c r="H999" s="1176">
        <v>0</v>
      </c>
      <c r="I999" s="1176" t="s">
        <v>4455</v>
      </c>
      <c r="J999" s="1190">
        <v>0</v>
      </c>
      <c r="K999" s="1180"/>
      <c r="L999" s="1174">
        <v>13089023112</v>
      </c>
      <c r="M999" s="1175">
        <v>0</v>
      </c>
      <c r="N999" s="1175">
        <v>0</v>
      </c>
      <c r="O999" s="1175">
        <v>0</v>
      </c>
      <c r="AA999"/>
      <c r="AB999"/>
    </row>
    <row r="1000" spans="3:28" ht="13.5">
      <c r="C1000" s="1181" t="s">
        <v>5680</v>
      </c>
      <c r="D1000" s="1178">
        <v>0</v>
      </c>
      <c r="E1000" s="1178">
        <v>0</v>
      </c>
      <c r="F1000" s="1179">
        <v>0</v>
      </c>
      <c r="G1000" s="1189" t="s">
        <v>5680</v>
      </c>
      <c r="H1000" s="1176">
        <v>0</v>
      </c>
      <c r="I1000" s="1176">
        <v>0</v>
      </c>
      <c r="J1000" s="1190">
        <v>0</v>
      </c>
      <c r="K1000" s="1180"/>
      <c r="L1000" s="1174">
        <v>13089023113</v>
      </c>
      <c r="M1000" s="1175">
        <v>0</v>
      </c>
      <c r="N1000" s="1175">
        <v>0</v>
      </c>
      <c r="O1000" s="1175">
        <v>0</v>
      </c>
      <c r="AA1000"/>
      <c r="AB1000"/>
    </row>
    <row r="1001" spans="3:28" ht="13.5">
      <c r="C1001" s="1181" t="s">
        <v>5681</v>
      </c>
      <c r="D1001" s="1178">
        <v>0</v>
      </c>
      <c r="E1001" s="1178">
        <v>0</v>
      </c>
      <c r="F1001" s="1179">
        <v>0</v>
      </c>
      <c r="G1001" s="1189" t="s">
        <v>5681</v>
      </c>
      <c r="H1001" s="1176">
        <v>0</v>
      </c>
      <c r="I1001" s="1176">
        <v>0</v>
      </c>
      <c r="J1001" s="1190">
        <v>0</v>
      </c>
      <c r="K1001" s="1180"/>
      <c r="L1001" s="1174">
        <v>13089023114</v>
      </c>
      <c r="M1001" s="1175">
        <v>0</v>
      </c>
      <c r="N1001" s="1175">
        <v>0</v>
      </c>
      <c r="O1001" s="1175">
        <v>0</v>
      </c>
      <c r="AA1001"/>
      <c r="AB1001"/>
    </row>
    <row r="1002" spans="3:28" ht="13.5">
      <c r="C1002" s="1181" t="s">
        <v>5682</v>
      </c>
      <c r="D1002" s="1178" t="s">
        <v>4455</v>
      </c>
      <c r="E1002" s="1178" t="s">
        <v>4455</v>
      </c>
      <c r="F1002" s="1179">
        <v>0</v>
      </c>
      <c r="G1002" s="1189" t="s">
        <v>5682</v>
      </c>
      <c r="H1002" s="1176" t="s">
        <v>4455</v>
      </c>
      <c r="I1002" s="1176" t="s">
        <v>4455</v>
      </c>
      <c r="J1002" s="1190">
        <v>0</v>
      </c>
      <c r="K1002" s="1180"/>
      <c r="L1002" s="1174">
        <v>13089023115</v>
      </c>
      <c r="M1002" s="1175">
        <v>0</v>
      </c>
      <c r="N1002" s="1175">
        <v>0</v>
      </c>
      <c r="O1002" s="1175">
        <v>0</v>
      </c>
      <c r="AA1002"/>
      <c r="AB1002"/>
    </row>
    <row r="1003" spans="3:28" ht="13.5">
      <c r="C1003" s="1181" t="s">
        <v>5683</v>
      </c>
      <c r="D1003" s="1178">
        <v>0</v>
      </c>
      <c r="E1003" s="1178">
        <v>0</v>
      </c>
      <c r="F1003" s="1179">
        <v>0</v>
      </c>
      <c r="G1003" s="1189" t="s">
        <v>5683</v>
      </c>
      <c r="H1003" s="1176">
        <v>0</v>
      </c>
      <c r="I1003" s="1176">
        <v>0</v>
      </c>
      <c r="J1003" s="1190">
        <v>0</v>
      </c>
      <c r="K1003" s="1180"/>
      <c r="L1003" s="1174">
        <v>13089023204</v>
      </c>
      <c r="M1003" s="1175">
        <v>0</v>
      </c>
      <c r="N1003" s="1175">
        <v>0</v>
      </c>
      <c r="O1003" s="1175">
        <v>0</v>
      </c>
      <c r="AA1003"/>
      <c r="AB1003"/>
    </row>
    <row r="1004" spans="3:28" ht="13.5">
      <c r="C1004" s="1181" t="s">
        <v>5684</v>
      </c>
      <c r="D1004" s="1178">
        <v>0</v>
      </c>
      <c r="E1004" s="1178">
        <v>0</v>
      </c>
      <c r="F1004" s="1179">
        <v>0</v>
      </c>
      <c r="G1004" s="1189" t="s">
        <v>5684</v>
      </c>
      <c r="H1004" s="1176">
        <v>0</v>
      </c>
      <c r="I1004" s="1176">
        <v>1</v>
      </c>
      <c r="J1004" s="1190">
        <v>1</v>
      </c>
      <c r="K1004" s="1180"/>
      <c r="L1004" s="1174">
        <v>13089023206</v>
      </c>
      <c r="M1004" s="1175">
        <v>0</v>
      </c>
      <c r="N1004" s="1175">
        <v>1</v>
      </c>
      <c r="O1004" s="1175">
        <v>1</v>
      </c>
      <c r="AA1004"/>
      <c r="AB1004"/>
    </row>
    <row r="1005" spans="3:28" ht="13.5">
      <c r="C1005" s="1181" t="s">
        <v>5685</v>
      </c>
      <c r="D1005" s="1178">
        <v>0</v>
      </c>
      <c r="E1005" s="1178">
        <v>0</v>
      </c>
      <c r="F1005" s="1179">
        <v>0</v>
      </c>
      <c r="G1005" s="1189" t="s">
        <v>5685</v>
      </c>
      <c r="H1005" s="1176">
        <v>0</v>
      </c>
      <c r="I1005" s="1176">
        <v>0</v>
      </c>
      <c r="J1005" s="1190">
        <v>0</v>
      </c>
      <c r="K1005" s="1180"/>
      <c r="L1005" s="1174">
        <v>13089023208</v>
      </c>
      <c r="M1005" s="1175">
        <v>0</v>
      </c>
      <c r="N1005" s="1175">
        <v>0</v>
      </c>
      <c r="O1005" s="1175">
        <v>0</v>
      </c>
      <c r="AA1005"/>
      <c r="AB1005"/>
    </row>
    <row r="1006" spans="3:28" ht="13.5">
      <c r="C1006" s="1181" t="s">
        <v>5686</v>
      </c>
      <c r="D1006" s="1178">
        <v>0</v>
      </c>
      <c r="E1006" s="1178">
        <v>0</v>
      </c>
      <c r="F1006" s="1179">
        <v>0</v>
      </c>
      <c r="G1006" s="1189" t="s">
        <v>5686</v>
      </c>
      <c r="H1006" s="1176">
        <v>0</v>
      </c>
      <c r="I1006" s="1176">
        <v>0</v>
      </c>
      <c r="J1006" s="1190">
        <v>0</v>
      </c>
      <c r="K1006" s="1180"/>
      <c r="L1006" s="1174">
        <v>13089023209</v>
      </c>
      <c r="M1006" s="1175">
        <v>0</v>
      </c>
      <c r="N1006" s="1175">
        <v>0</v>
      </c>
      <c r="O1006" s="1175">
        <v>0</v>
      </c>
      <c r="AA1006"/>
      <c r="AB1006"/>
    </row>
    <row r="1007" spans="3:28" ht="13.5">
      <c r="C1007" s="1181" t="s">
        <v>5687</v>
      </c>
      <c r="D1007" s="1178">
        <v>0</v>
      </c>
      <c r="E1007" s="1178">
        <v>0</v>
      </c>
      <c r="F1007" s="1179">
        <v>0</v>
      </c>
      <c r="G1007" s="1189" t="s">
        <v>5687</v>
      </c>
      <c r="H1007" s="1176">
        <v>0</v>
      </c>
      <c r="I1007" s="1176">
        <v>0</v>
      </c>
      <c r="J1007" s="1190">
        <v>0</v>
      </c>
      <c r="K1007" s="1180"/>
      <c r="L1007" s="1174">
        <v>13089023210</v>
      </c>
      <c r="M1007" s="1175">
        <v>0</v>
      </c>
      <c r="N1007" s="1175">
        <v>0</v>
      </c>
      <c r="O1007" s="1175">
        <v>0</v>
      </c>
      <c r="AA1007"/>
      <c r="AB1007"/>
    </row>
    <row r="1008" spans="3:28" ht="13.5">
      <c r="C1008" s="1181" t="s">
        <v>5688</v>
      </c>
      <c r="D1008" s="1178">
        <v>0</v>
      </c>
      <c r="E1008" s="1178">
        <v>0</v>
      </c>
      <c r="F1008" s="1179">
        <v>0</v>
      </c>
      <c r="G1008" s="1189" t="s">
        <v>5688</v>
      </c>
      <c r="H1008" s="1176">
        <v>0</v>
      </c>
      <c r="I1008" s="1176">
        <v>0</v>
      </c>
      <c r="J1008" s="1190">
        <v>0</v>
      </c>
      <c r="K1008" s="1180"/>
      <c r="L1008" s="1174">
        <v>13089023211</v>
      </c>
      <c r="M1008" s="1175">
        <v>0</v>
      </c>
      <c r="N1008" s="1175">
        <v>0</v>
      </c>
      <c r="O1008" s="1175">
        <v>0</v>
      </c>
      <c r="AA1008"/>
      <c r="AB1008"/>
    </row>
    <row r="1009" spans="3:28" ht="13.5">
      <c r="C1009" s="1181" t="s">
        <v>5689</v>
      </c>
      <c r="D1009" s="1178">
        <v>0</v>
      </c>
      <c r="E1009" s="1178">
        <v>0</v>
      </c>
      <c r="F1009" s="1179">
        <v>0</v>
      </c>
      <c r="G1009" s="1189" t="s">
        <v>5689</v>
      </c>
      <c r="H1009" s="1176">
        <v>0</v>
      </c>
      <c r="I1009" s="1176">
        <v>0</v>
      </c>
      <c r="J1009" s="1190">
        <v>0</v>
      </c>
      <c r="K1009" s="1180"/>
      <c r="L1009" s="1174">
        <v>13089023212</v>
      </c>
      <c r="M1009" s="1175">
        <v>0</v>
      </c>
      <c r="N1009" s="1175">
        <v>0</v>
      </c>
      <c r="O1009" s="1175">
        <v>0</v>
      </c>
      <c r="AA1009"/>
      <c r="AB1009"/>
    </row>
    <row r="1010" spans="3:28" ht="13.5">
      <c r="C1010" s="1181" t="s">
        <v>5690</v>
      </c>
      <c r="D1010" s="1178">
        <v>0</v>
      </c>
      <c r="E1010" s="1178">
        <v>0</v>
      </c>
      <c r="F1010" s="1179">
        <v>0</v>
      </c>
      <c r="G1010" s="1189" t="s">
        <v>5690</v>
      </c>
      <c r="H1010" s="1176">
        <v>0</v>
      </c>
      <c r="I1010" s="1176">
        <v>0</v>
      </c>
      <c r="J1010" s="1190">
        <v>0</v>
      </c>
      <c r="K1010" s="1180"/>
      <c r="L1010" s="1174">
        <v>13089023213</v>
      </c>
      <c r="M1010" s="1175">
        <v>0</v>
      </c>
      <c r="N1010" s="1175">
        <v>0</v>
      </c>
      <c r="O1010" s="1175">
        <v>0</v>
      </c>
      <c r="AA1010"/>
      <c r="AB1010"/>
    </row>
    <row r="1011" spans="3:28" ht="13.5">
      <c r="C1011" s="1181" t="s">
        <v>5691</v>
      </c>
      <c r="D1011" s="1178">
        <v>0</v>
      </c>
      <c r="E1011" s="1178">
        <v>0</v>
      </c>
      <c r="F1011" s="1179">
        <v>0</v>
      </c>
      <c r="G1011" s="1189" t="s">
        <v>5691</v>
      </c>
      <c r="H1011" s="1176">
        <v>0</v>
      </c>
      <c r="I1011" s="1176" t="s">
        <v>4455</v>
      </c>
      <c r="J1011" s="1190">
        <v>0</v>
      </c>
      <c r="K1011" s="1180"/>
      <c r="L1011" s="1174">
        <v>13089023214</v>
      </c>
      <c r="M1011" s="1175">
        <v>0</v>
      </c>
      <c r="N1011" s="1175">
        <v>0</v>
      </c>
      <c r="O1011" s="1175">
        <v>0</v>
      </c>
      <c r="AA1011"/>
      <c r="AB1011"/>
    </row>
    <row r="1012" spans="3:28" ht="13.5">
      <c r="C1012" s="1181" t="s">
        <v>5692</v>
      </c>
      <c r="D1012" s="1178">
        <v>0</v>
      </c>
      <c r="E1012" s="1178">
        <v>0</v>
      </c>
      <c r="F1012" s="1179">
        <v>0</v>
      </c>
      <c r="G1012" s="1189" t="s">
        <v>5692</v>
      </c>
      <c r="H1012" s="1176">
        <v>0</v>
      </c>
      <c r="I1012" s="1176">
        <v>0</v>
      </c>
      <c r="J1012" s="1190">
        <v>0</v>
      </c>
      <c r="K1012" s="1180"/>
      <c r="L1012" s="1174">
        <v>13089023303</v>
      </c>
      <c r="M1012" s="1175">
        <v>0</v>
      </c>
      <c r="N1012" s="1175">
        <v>0</v>
      </c>
      <c r="O1012" s="1175">
        <v>0</v>
      </c>
      <c r="AA1012"/>
      <c r="AB1012"/>
    </row>
    <row r="1013" spans="3:28" ht="13.5">
      <c r="C1013" s="1181" t="s">
        <v>5693</v>
      </c>
      <c r="D1013" s="1178">
        <v>1</v>
      </c>
      <c r="E1013" s="1178">
        <v>1</v>
      </c>
      <c r="F1013" s="1179">
        <v>2</v>
      </c>
      <c r="G1013" s="1189" t="s">
        <v>5693</v>
      </c>
      <c r="H1013" s="1176">
        <v>0</v>
      </c>
      <c r="I1013" s="1176">
        <v>1</v>
      </c>
      <c r="J1013" s="1190">
        <v>1</v>
      </c>
      <c r="K1013" s="1180"/>
      <c r="L1013" s="1174">
        <v>13089023306</v>
      </c>
      <c r="M1013" s="1175">
        <v>1</v>
      </c>
      <c r="N1013" s="1175">
        <v>1</v>
      </c>
      <c r="O1013" s="1175">
        <v>2</v>
      </c>
      <c r="AA1013"/>
      <c r="AB1013"/>
    </row>
    <row r="1014" spans="3:28" ht="13.5">
      <c r="C1014" s="1181" t="s">
        <v>5694</v>
      </c>
      <c r="D1014" s="1178">
        <v>0</v>
      </c>
      <c r="E1014" s="1178">
        <v>0</v>
      </c>
      <c r="F1014" s="1179">
        <v>0</v>
      </c>
      <c r="G1014" s="1189" t="s">
        <v>5694</v>
      </c>
      <c r="H1014" s="1176">
        <v>0</v>
      </c>
      <c r="I1014" s="1176">
        <v>0</v>
      </c>
      <c r="J1014" s="1190">
        <v>0</v>
      </c>
      <c r="K1014" s="1180"/>
      <c r="L1014" s="1174">
        <v>13089023309</v>
      </c>
      <c r="M1014" s="1175">
        <v>0</v>
      </c>
      <c r="N1014" s="1175">
        <v>0</v>
      </c>
      <c r="O1014" s="1175">
        <v>0</v>
      </c>
      <c r="AA1014"/>
      <c r="AB1014"/>
    </row>
    <row r="1015" spans="3:28" ht="13.5">
      <c r="C1015" s="1181" t="s">
        <v>5695</v>
      </c>
      <c r="D1015" s="1178">
        <v>0</v>
      </c>
      <c r="E1015" s="1178">
        <v>0</v>
      </c>
      <c r="F1015" s="1179">
        <v>0</v>
      </c>
      <c r="G1015" s="1189" t="s">
        <v>5695</v>
      </c>
      <c r="H1015" s="1176">
        <v>0</v>
      </c>
      <c r="I1015" s="1176">
        <v>0</v>
      </c>
      <c r="J1015" s="1190">
        <v>0</v>
      </c>
      <c r="K1015" s="1180"/>
      <c r="L1015" s="1174">
        <v>13089023310</v>
      </c>
      <c r="M1015" s="1175">
        <v>0</v>
      </c>
      <c r="N1015" s="1175">
        <v>0</v>
      </c>
      <c r="O1015" s="1175">
        <v>0</v>
      </c>
      <c r="AA1015"/>
      <c r="AB1015"/>
    </row>
    <row r="1016" spans="3:28" ht="13.5">
      <c r="C1016" s="1181" t="s">
        <v>5696</v>
      </c>
      <c r="D1016" s="1178">
        <v>1</v>
      </c>
      <c r="E1016" s="1178">
        <v>0</v>
      </c>
      <c r="F1016" s="1179">
        <v>1</v>
      </c>
      <c r="G1016" s="1189" t="s">
        <v>5696</v>
      </c>
      <c r="H1016" s="1176">
        <v>1</v>
      </c>
      <c r="I1016" s="1176">
        <v>0</v>
      </c>
      <c r="J1016" s="1190">
        <v>1</v>
      </c>
      <c r="K1016" s="1180"/>
      <c r="L1016" s="1174">
        <v>13089023311</v>
      </c>
      <c r="M1016" s="1175">
        <v>1</v>
      </c>
      <c r="N1016" s="1175">
        <v>0</v>
      </c>
      <c r="O1016" s="1175">
        <v>1</v>
      </c>
      <c r="AA1016"/>
      <c r="AB1016"/>
    </row>
    <row r="1017" spans="3:28" ht="13.5">
      <c r="C1017" s="1181" t="s">
        <v>5697</v>
      </c>
      <c r="D1017" s="1178">
        <v>0</v>
      </c>
      <c r="E1017" s="1178">
        <v>0</v>
      </c>
      <c r="F1017" s="1179">
        <v>0</v>
      </c>
      <c r="G1017" s="1189" t="s">
        <v>5697</v>
      </c>
      <c r="H1017" s="1176">
        <v>0</v>
      </c>
      <c r="I1017" s="1176">
        <v>0</v>
      </c>
      <c r="J1017" s="1190">
        <v>0</v>
      </c>
      <c r="K1017" s="1180"/>
      <c r="L1017" s="1174">
        <v>13089023312</v>
      </c>
      <c r="M1017" s="1175">
        <v>0</v>
      </c>
      <c r="N1017" s="1175">
        <v>0</v>
      </c>
      <c r="O1017" s="1175">
        <v>0</v>
      </c>
      <c r="AA1017"/>
      <c r="AB1017"/>
    </row>
    <row r="1018" spans="3:28" ht="13.5">
      <c r="C1018" s="1181" t="s">
        <v>5698</v>
      </c>
      <c r="D1018" s="1178">
        <v>0</v>
      </c>
      <c r="E1018" s="1178">
        <v>0</v>
      </c>
      <c r="F1018" s="1179">
        <v>0</v>
      </c>
      <c r="G1018" s="1189" t="s">
        <v>5698</v>
      </c>
      <c r="H1018" s="1176">
        <v>0</v>
      </c>
      <c r="I1018" s="1176">
        <v>0</v>
      </c>
      <c r="J1018" s="1190">
        <v>0</v>
      </c>
      <c r="K1018" s="1180"/>
      <c r="L1018" s="1174">
        <v>13089023313</v>
      </c>
      <c r="M1018" s="1175">
        <v>0</v>
      </c>
      <c r="N1018" s="1175">
        <v>0</v>
      </c>
      <c r="O1018" s="1175">
        <v>0</v>
      </c>
      <c r="AA1018"/>
      <c r="AB1018"/>
    </row>
    <row r="1019" spans="3:28" ht="13.5">
      <c r="C1019" s="1181" t="s">
        <v>5699</v>
      </c>
      <c r="D1019" s="1178">
        <v>0</v>
      </c>
      <c r="E1019" s="1178">
        <v>0</v>
      </c>
      <c r="F1019" s="1179">
        <v>0</v>
      </c>
      <c r="G1019" s="1189" t="s">
        <v>5699</v>
      </c>
      <c r="H1019" s="1176">
        <v>0</v>
      </c>
      <c r="I1019" s="1176">
        <v>0</v>
      </c>
      <c r="J1019" s="1190">
        <v>0</v>
      </c>
      <c r="K1019" s="1180"/>
      <c r="L1019" s="1174">
        <v>13089023314</v>
      </c>
      <c r="M1019" s="1175">
        <v>0</v>
      </c>
      <c r="N1019" s="1175">
        <v>0</v>
      </c>
      <c r="O1019" s="1175">
        <v>0</v>
      </c>
      <c r="AA1019"/>
      <c r="AB1019"/>
    </row>
    <row r="1020" spans="3:28" ht="13.5">
      <c r="C1020" s="1181" t="s">
        <v>5700</v>
      </c>
      <c r="D1020" s="1178">
        <v>1</v>
      </c>
      <c r="E1020" s="1178">
        <v>1</v>
      </c>
      <c r="F1020" s="1179">
        <v>2</v>
      </c>
      <c r="G1020" s="1189" t="s">
        <v>5700</v>
      </c>
      <c r="H1020" s="1176">
        <v>1</v>
      </c>
      <c r="I1020" s="1176">
        <v>0</v>
      </c>
      <c r="J1020" s="1190">
        <v>1</v>
      </c>
      <c r="K1020" s="1180"/>
      <c r="L1020" s="1174">
        <v>13089023315</v>
      </c>
      <c r="M1020" s="1175">
        <v>1</v>
      </c>
      <c r="N1020" s="1175">
        <v>1</v>
      </c>
      <c r="O1020" s="1175">
        <v>2</v>
      </c>
      <c r="AA1020"/>
      <c r="AB1020"/>
    </row>
    <row r="1021" spans="3:28" ht="13.5">
      <c r="C1021" s="1181" t="s">
        <v>5701</v>
      </c>
      <c r="D1021" s="1178">
        <v>0</v>
      </c>
      <c r="E1021" s="1178">
        <v>0</v>
      </c>
      <c r="F1021" s="1179">
        <v>0</v>
      </c>
      <c r="G1021" s="1189" t="s">
        <v>5701</v>
      </c>
      <c r="H1021" s="1176">
        <v>1</v>
      </c>
      <c r="I1021" s="1176">
        <v>1</v>
      </c>
      <c r="J1021" s="1190">
        <v>1</v>
      </c>
      <c r="K1021" s="1180"/>
      <c r="L1021" s="1174">
        <v>13089023316</v>
      </c>
      <c r="M1021" s="1175">
        <v>1</v>
      </c>
      <c r="N1021" s="1175">
        <v>1</v>
      </c>
      <c r="O1021" s="1175">
        <v>1</v>
      </c>
      <c r="AA1021"/>
      <c r="AB1021"/>
    </row>
    <row r="1022" spans="3:28" ht="13.5">
      <c r="C1022" s="1181" t="s">
        <v>5702</v>
      </c>
      <c r="D1022" s="1178">
        <v>0</v>
      </c>
      <c r="E1022" s="1178">
        <v>0</v>
      </c>
      <c r="F1022" s="1179">
        <v>0</v>
      </c>
      <c r="G1022" s="1189" t="s">
        <v>5702</v>
      </c>
      <c r="H1022" s="1176">
        <v>0</v>
      </c>
      <c r="I1022" s="1176">
        <v>0</v>
      </c>
      <c r="J1022" s="1190">
        <v>0</v>
      </c>
      <c r="K1022" s="1180"/>
      <c r="L1022" s="1174">
        <v>13089023410</v>
      </c>
      <c r="M1022" s="1175">
        <v>0</v>
      </c>
      <c r="N1022" s="1175">
        <v>0</v>
      </c>
      <c r="O1022" s="1175">
        <v>0</v>
      </c>
      <c r="AA1022"/>
      <c r="AB1022"/>
    </row>
    <row r="1023" spans="3:28" ht="13.5">
      <c r="C1023" s="1181" t="s">
        <v>5703</v>
      </c>
      <c r="D1023" s="1178">
        <v>0</v>
      </c>
      <c r="E1023" s="1178">
        <v>0</v>
      </c>
      <c r="F1023" s="1179">
        <v>0</v>
      </c>
      <c r="G1023" s="1189" t="s">
        <v>5703</v>
      </c>
      <c r="H1023" s="1176">
        <v>0</v>
      </c>
      <c r="I1023" s="1176" t="s">
        <v>4455</v>
      </c>
      <c r="J1023" s="1190">
        <v>0</v>
      </c>
      <c r="K1023" s="1180"/>
      <c r="L1023" s="1174">
        <v>13089023411</v>
      </c>
      <c r="M1023" s="1175">
        <v>0</v>
      </c>
      <c r="N1023" s="1175">
        <v>0</v>
      </c>
      <c r="O1023" s="1175">
        <v>0</v>
      </c>
      <c r="AA1023"/>
      <c r="AB1023"/>
    </row>
    <row r="1024" spans="3:28" ht="13.5">
      <c r="C1024" s="1181" t="s">
        <v>5704</v>
      </c>
      <c r="D1024" s="1178">
        <v>0</v>
      </c>
      <c r="E1024" s="1178">
        <v>0</v>
      </c>
      <c r="F1024" s="1179">
        <v>0</v>
      </c>
      <c r="G1024" s="1189" t="s">
        <v>5704</v>
      </c>
      <c r="H1024" s="1176">
        <v>0</v>
      </c>
      <c r="I1024" s="1176">
        <v>0</v>
      </c>
      <c r="J1024" s="1190">
        <v>0</v>
      </c>
      <c r="K1024" s="1180"/>
      <c r="L1024" s="1174">
        <v>13089023412</v>
      </c>
      <c r="M1024" s="1175">
        <v>0</v>
      </c>
      <c r="N1024" s="1175">
        <v>0</v>
      </c>
      <c r="O1024" s="1175">
        <v>0</v>
      </c>
      <c r="AA1024"/>
      <c r="AB1024"/>
    </row>
    <row r="1025" spans="3:28" ht="13.5">
      <c r="C1025" s="1181" t="s">
        <v>5705</v>
      </c>
      <c r="D1025" s="1178">
        <v>0</v>
      </c>
      <c r="E1025" s="1178">
        <v>0</v>
      </c>
      <c r="F1025" s="1179">
        <v>0</v>
      </c>
      <c r="G1025" s="1189" t="s">
        <v>5705</v>
      </c>
      <c r="H1025" s="1176">
        <v>0</v>
      </c>
      <c r="I1025" s="1176">
        <v>1</v>
      </c>
      <c r="J1025" s="1190">
        <v>0</v>
      </c>
      <c r="K1025" s="1180"/>
      <c r="L1025" s="1174">
        <v>13089023413</v>
      </c>
      <c r="M1025" s="1175">
        <v>0</v>
      </c>
      <c r="N1025" s="1175">
        <v>1</v>
      </c>
      <c r="O1025" s="1175">
        <v>0</v>
      </c>
      <c r="AA1025"/>
      <c r="AB1025"/>
    </row>
    <row r="1026" spans="3:28" ht="13.5">
      <c r="C1026" s="1181" t="s">
        <v>5706</v>
      </c>
      <c r="D1026" s="1178">
        <v>0</v>
      </c>
      <c r="E1026" s="1178">
        <v>0</v>
      </c>
      <c r="F1026" s="1179">
        <v>0</v>
      </c>
      <c r="G1026" s="1189" t="s">
        <v>5706</v>
      </c>
      <c r="H1026" s="1176">
        <v>1</v>
      </c>
      <c r="I1026" s="1176">
        <v>1</v>
      </c>
      <c r="J1026" s="1190">
        <v>2</v>
      </c>
      <c r="K1026" s="1180"/>
      <c r="L1026" s="1174">
        <v>13089023414</v>
      </c>
      <c r="M1026" s="1175">
        <v>1</v>
      </c>
      <c r="N1026" s="1175">
        <v>1</v>
      </c>
      <c r="O1026" s="1175">
        <v>2</v>
      </c>
      <c r="AA1026"/>
      <c r="AB1026"/>
    </row>
    <row r="1027" spans="3:28" ht="13.5">
      <c r="C1027" s="1181" t="s">
        <v>5707</v>
      </c>
      <c r="D1027" s="1178">
        <v>0</v>
      </c>
      <c r="E1027" s="1178">
        <v>0</v>
      </c>
      <c r="F1027" s="1179">
        <v>0</v>
      </c>
      <c r="G1027" s="1189" t="s">
        <v>5707</v>
      </c>
      <c r="H1027" s="1176">
        <v>0</v>
      </c>
      <c r="I1027" s="1176">
        <v>1</v>
      </c>
      <c r="J1027" s="1190">
        <v>1</v>
      </c>
      <c r="K1027" s="1180"/>
      <c r="L1027" s="1174">
        <v>13089023416</v>
      </c>
      <c r="M1027" s="1175">
        <v>0</v>
      </c>
      <c r="N1027" s="1175">
        <v>1</v>
      </c>
      <c r="O1027" s="1175">
        <v>1</v>
      </c>
      <c r="AA1027"/>
      <c r="AB1027"/>
    </row>
    <row r="1028" spans="3:28" ht="13.5">
      <c r="C1028" s="1181" t="s">
        <v>5708</v>
      </c>
      <c r="D1028" s="1178">
        <v>0</v>
      </c>
      <c r="E1028" s="1178">
        <v>0</v>
      </c>
      <c r="F1028" s="1179">
        <v>0</v>
      </c>
      <c r="G1028" s="1189" t="s">
        <v>5708</v>
      </c>
      <c r="H1028" s="1176">
        <v>0</v>
      </c>
      <c r="I1028" s="1176">
        <v>0</v>
      </c>
      <c r="J1028" s="1190">
        <v>0</v>
      </c>
      <c r="K1028" s="1180"/>
      <c r="L1028" s="1174">
        <v>13089023418</v>
      </c>
      <c r="M1028" s="1175">
        <v>0</v>
      </c>
      <c r="N1028" s="1175">
        <v>0</v>
      </c>
      <c r="O1028" s="1175">
        <v>0</v>
      </c>
      <c r="AA1028"/>
      <c r="AB1028"/>
    </row>
    <row r="1029" spans="3:28" ht="13.5">
      <c r="C1029" s="1181" t="s">
        <v>5709</v>
      </c>
      <c r="D1029" s="1178">
        <v>0</v>
      </c>
      <c r="E1029" s="1178">
        <v>0</v>
      </c>
      <c r="F1029" s="1179">
        <v>0</v>
      </c>
      <c r="G1029" s="1189" t="s">
        <v>5709</v>
      </c>
      <c r="H1029" s="1176">
        <v>1</v>
      </c>
      <c r="I1029" s="1176">
        <v>1</v>
      </c>
      <c r="J1029" s="1190">
        <v>2</v>
      </c>
      <c r="K1029" s="1180"/>
      <c r="L1029" s="1174">
        <v>13089023419</v>
      </c>
      <c r="M1029" s="1175">
        <v>1</v>
      </c>
      <c r="N1029" s="1175">
        <v>1</v>
      </c>
      <c r="O1029" s="1175">
        <v>2</v>
      </c>
      <c r="AA1029"/>
      <c r="AB1029"/>
    </row>
    <row r="1030" spans="3:28" ht="13.5">
      <c r="C1030" s="1181" t="s">
        <v>5710</v>
      </c>
      <c r="D1030" s="1178">
        <v>0</v>
      </c>
      <c r="E1030" s="1178">
        <v>0</v>
      </c>
      <c r="F1030" s="1179">
        <v>0</v>
      </c>
      <c r="G1030" s="1189" t="s">
        <v>5710</v>
      </c>
      <c r="H1030" s="1176">
        <v>0</v>
      </c>
      <c r="I1030" s="1176">
        <v>0</v>
      </c>
      <c r="J1030" s="1190">
        <v>0</v>
      </c>
      <c r="K1030" s="1180"/>
      <c r="L1030" s="1174">
        <v>13089023421</v>
      </c>
      <c r="M1030" s="1175">
        <v>0</v>
      </c>
      <c r="N1030" s="1175">
        <v>0</v>
      </c>
      <c r="O1030" s="1175">
        <v>0</v>
      </c>
      <c r="AA1030"/>
      <c r="AB1030"/>
    </row>
    <row r="1031" spans="3:28" ht="13.5">
      <c r="C1031" s="1181" t="s">
        <v>5711</v>
      </c>
      <c r="D1031" s="1178">
        <v>0</v>
      </c>
      <c r="E1031" s="1178">
        <v>0</v>
      </c>
      <c r="F1031" s="1179">
        <v>0</v>
      </c>
      <c r="G1031" s="1189" t="s">
        <v>5711</v>
      </c>
      <c r="H1031" s="1176">
        <v>0</v>
      </c>
      <c r="I1031" s="1176">
        <v>0</v>
      </c>
      <c r="J1031" s="1190">
        <v>0</v>
      </c>
      <c r="K1031" s="1180"/>
      <c r="L1031" s="1174">
        <v>13089023422</v>
      </c>
      <c r="M1031" s="1175">
        <v>0</v>
      </c>
      <c r="N1031" s="1175">
        <v>0</v>
      </c>
      <c r="O1031" s="1175">
        <v>0</v>
      </c>
      <c r="AA1031"/>
      <c r="AB1031"/>
    </row>
    <row r="1032" spans="3:28" ht="13.5">
      <c r="C1032" s="1181" t="s">
        <v>5712</v>
      </c>
      <c r="D1032" s="1178">
        <v>0</v>
      </c>
      <c r="E1032" s="1178">
        <v>0</v>
      </c>
      <c r="F1032" s="1179">
        <v>0</v>
      </c>
      <c r="G1032" s="1189" t="s">
        <v>5712</v>
      </c>
      <c r="H1032" s="1176">
        <v>1</v>
      </c>
      <c r="I1032" s="1176">
        <v>0</v>
      </c>
      <c r="J1032" s="1190">
        <v>1</v>
      </c>
      <c r="K1032" s="1180"/>
      <c r="L1032" s="1174">
        <v>13089023423</v>
      </c>
      <c r="M1032" s="1175">
        <v>1</v>
      </c>
      <c r="N1032" s="1175">
        <v>0</v>
      </c>
      <c r="O1032" s="1175">
        <v>1</v>
      </c>
      <c r="AA1032"/>
      <c r="AB1032"/>
    </row>
    <row r="1033" spans="3:28" ht="13.5">
      <c r="C1033" s="1181" t="s">
        <v>5713</v>
      </c>
      <c r="D1033" s="1178">
        <v>0</v>
      </c>
      <c r="E1033" s="1178">
        <v>0</v>
      </c>
      <c r="F1033" s="1179">
        <v>0</v>
      </c>
      <c r="G1033" s="1189" t="s">
        <v>5713</v>
      </c>
      <c r="H1033" s="1176">
        <v>0</v>
      </c>
      <c r="I1033" s="1176">
        <v>1</v>
      </c>
      <c r="J1033" s="1190">
        <v>1</v>
      </c>
      <c r="K1033" s="1180"/>
      <c r="L1033" s="1174">
        <v>13089023424</v>
      </c>
      <c r="M1033" s="1175">
        <v>0</v>
      </c>
      <c r="N1033" s="1175">
        <v>1</v>
      </c>
      <c r="O1033" s="1175">
        <v>1</v>
      </c>
      <c r="AA1033"/>
      <c r="AB1033"/>
    </row>
    <row r="1034" spans="3:28" ht="13.5">
      <c r="C1034" s="1181" t="s">
        <v>5714</v>
      </c>
      <c r="D1034" s="1178">
        <v>0</v>
      </c>
      <c r="E1034" s="1178">
        <v>0</v>
      </c>
      <c r="F1034" s="1179">
        <v>0</v>
      </c>
      <c r="G1034" s="1189" t="s">
        <v>5714</v>
      </c>
      <c r="H1034" s="1176">
        <v>0</v>
      </c>
      <c r="I1034" s="1176">
        <v>1</v>
      </c>
      <c r="J1034" s="1190">
        <v>1</v>
      </c>
      <c r="K1034" s="1180"/>
      <c r="L1034" s="1174">
        <v>13089023425</v>
      </c>
      <c r="M1034" s="1175">
        <v>0</v>
      </c>
      <c r="N1034" s="1175">
        <v>1</v>
      </c>
      <c r="O1034" s="1175">
        <v>1</v>
      </c>
      <c r="AA1034"/>
      <c r="AB1034"/>
    </row>
    <row r="1035" spans="3:28" ht="13.5">
      <c r="C1035" s="1181" t="s">
        <v>5715</v>
      </c>
      <c r="D1035" s="1178">
        <v>1</v>
      </c>
      <c r="E1035" s="1178">
        <v>0</v>
      </c>
      <c r="F1035" s="1179">
        <v>1</v>
      </c>
      <c r="G1035" s="1189" t="s">
        <v>5715</v>
      </c>
      <c r="H1035" s="1176">
        <v>1</v>
      </c>
      <c r="I1035" s="1176">
        <v>1</v>
      </c>
      <c r="J1035" s="1190">
        <v>2</v>
      </c>
      <c r="K1035" s="1180"/>
      <c r="L1035" s="1174">
        <v>13089023426</v>
      </c>
      <c r="M1035" s="1175">
        <v>1</v>
      </c>
      <c r="N1035" s="1175">
        <v>1</v>
      </c>
      <c r="O1035" s="1175">
        <v>2</v>
      </c>
      <c r="AA1035"/>
      <c r="AB1035"/>
    </row>
    <row r="1036" spans="3:28" ht="13.5">
      <c r="C1036" s="1181" t="s">
        <v>5716</v>
      </c>
      <c r="D1036" s="1178">
        <v>1</v>
      </c>
      <c r="E1036" s="1178">
        <v>0</v>
      </c>
      <c r="F1036" s="1179">
        <v>1</v>
      </c>
      <c r="G1036" s="1189" t="s">
        <v>5716</v>
      </c>
      <c r="H1036" s="1176">
        <v>1</v>
      </c>
      <c r="I1036" s="1176">
        <v>0</v>
      </c>
      <c r="J1036" s="1190">
        <v>1</v>
      </c>
      <c r="K1036" s="1180"/>
      <c r="L1036" s="1174">
        <v>13089023427</v>
      </c>
      <c r="M1036" s="1175">
        <v>1</v>
      </c>
      <c r="N1036" s="1175">
        <v>0</v>
      </c>
      <c r="O1036" s="1175">
        <v>1</v>
      </c>
      <c r="AA1036"/>
      <c r="AB1036"/>
    </row>
    <row r="1037" spans="3:28" ht="13.5">
      <c r="C1037" s="1181" t="s">
        <v>5717</v>
      </c>
      <c r="D1037" s="1178">
        <v>0</v>
      </c>
      <c r="E1037" s="1178">
        <v>0</v>
      </c>
      <c r="F1037" s="1179">
        <v>0</v>
      </c>
      <c r="G1037" s="1189" t="s">
        <v>5717</v>
      </c>
      <c r="H1037" s="1176">
        <v>0</v>
      </c>
      <c r="I1037" s="1176">
        <v>0</v>
      </c>
      <c r="J1037" s="1190">
        <v>0</v>
      </c>
      <c r="K1037" s="1180"/>
      <c r="L1037" s="1174">
        <v>13089023428</v>
      </c>
      <c r="M1037" s="1175">
        <v>0</v>
      </c>
      <c r="N1037" s="1175">
        <v>0</v>
      </c>
      <c r="O1037" s="1175">
        <v>0</v>
      </c>
      <c r="AA1037"/>
      <c r="AB1037"/>
    </row>
    <row r="1038" spans="3:28" ht="13.5">
      <c r="C1038" s="1181" t="s">
        <v>5718</v>
      </c>
      <c r="D1038" s="1178">
        <v>0</v>
      </c>
      <c r="E1038" s="1178">
        <v>0</v>
      </c>
      <c r="F1038" s="1179">
        <v>0</v>
      </c>
      <c r="G1038" s="1189" t="s">
        <v>5718</v>
      </c>
      <c r="H1038" s="1176">
        <v>0</v>
      </c>
      <c r="I1038" s="1176">
        <v>0</v>
      </c>
      <c r="J1038" s="1190">
        <v>0</v>
      </c>
      <c r="K1038" s="1180"/>
      <c r="L1038" s="1174">
        <v>13089023501</v>
      </c>
      <c r="M1038" s="1175">
        <v>0</v>
      </c>
      <c r="N1038" s="1175">
        <v>0</v>
      </c>
      <c r="O1038" s="1175">
        <v>0</v>
      </c>
      <c r="AA1038"/>
      <c r="AB1038"/>
    </row>
    <row r="1039" spans="3:28" ht="13.5">
      <c r="C1039" s="1181" t="s">
        <v>5719</v>
      </c>
      <c r="D1039" s="1178">
        <v>0</v>
      </c>
      <c r="E1039" s="1178">
        <v>0</v>
      </c>
      <c r="F1039" s="1179">
        <v>0</v>
      </c>
      <c r="G1039" s="1189" t="s">
        <v>5719</v>
      </c>
      <c r="H1039" s="1176">
        <v>0</v>
      </c>
      <c r="I1039" s="1176">
        <v>0</v>
      </c>
      <c r="J1039" s="1190">
        <v>0</v>
      </c>
      <c r="K1039" s="1180"/>
      <c r="L1039" s="1174">
        <v>13089023504</v>
      </c>
      <c r="M1039" s="1175">
        <v>0</v>
      </c>
      <c r="N1039" s="1175">
        <v>0</v>
      </c>
      <c r="O1039" s="1175">
        <v>0</v>
      </c>
      <c r="AA1039"/>
      <c r="AB1039"/>
    </row>
    <row r="1040" spans="3:28" ht="13.5">
      <c r="C1040" s="1181" t="s">
        <v>5720</v>
      </c>
      <c r="D1040" s="1178">
        <v>0</v>
      </c>
      <c r="E1040" s="1178">
        <v>0</v>
      </c>
      <c r="F1040" s="1179">
        <v>0</v>
      </c>
      <c r="G1040" s="1189" t="s">
        <v>5720</v>
      </c>
      <c r="H1040" s="1176">
        <v>0</v>
      </c>
      <c r="I1040" s="1176">
        <v>0</v>
      </c>
      <c r="J1040" s="1190">
        <v>0</v>
      </c>
      <c r="K1040" s="1180"/>
      <c r="L1040" s="1174">
        <v>13089023505</v>
      </c>
      <c r="M1040" s="1175">
        <v>0</v>
      </c>
      <c r="N1040" s="1175">
        <v>0</v>
      </c>
      <c r="O1040" s="1175">
        <v>0</v>
      </c>
      <c r="AA1040"/>
      <c r="AB1040"/>
    </row>
    <row r="1041" spans="3:28" ht="13.5">
      <c r="C1041" s="1181" t="s">
        <v>5721</v>
      </c>
      <c r="D1041" s="1178">
        <v>0</v>
      </c>
      <c r="E1041" s="1178">
        <v>0</v>
      </c>
      <c r="F1041" s="1179">
        <v>0</v>
      </c>
      <c r="G1041" s="1189" t="s">
        <v>5721</v>
      </c>
      <c r="H1041" s="1176">
        <v>0</v>
      </c>
      <c r="I1041" s="1176">
        <v>0</v>
      </c>
      <c r="J1041" s="1190">
        <v>0</v>
      </c>
      <c r="K1041" s="1180"/>
      <c r="L1041" s="1174">
        <v>13089023506</v>
      </c>
      <c r="M1041" s="1175">
        <v>0</v>
      </c>
      <c r="N1041" s="1175">
        <v>0</v>
      </c>
      <c r="O1041" s="1175">
        <v>0</v>
      </c>
      <c r="AA1041"/>
      <c r="AB1041"/>
    </row>
    <row r="1042" spans="3:28" ht="13.5">
      <c r="C1042" s="1181" t="s">
        <v>5722</v>
      </c>
      <c r="D1042" s="1178">
        <v>0</v>
      </c>
      <c r="E1042" s="1178">
        <v>0</v>
      </c>
      <c r="F1042" s="1179">
        <v>0</v>
      </c>
      <c r="G1042" s="1189" t="s">
        <v>5722</v>
      </c>
      <c r="H1042" s="1176">
        <v>0</v>
      </c>
      <c r="I1042" s="1176">
        <v>1</v>
      </c>
      <c r="J1042" s="1190">
        <v>1</v>
      </c>
      <c r="K1042" s="1180"/>
      <c r="L1042" s="1174">
        <v>13089023507</v>
      </c>
      <c r="M1042" s="1175">
        <v>0</v>
      </c>
      <c r="N1042" s="1175">
        <v>1</v>
      </c>
      <c r="O1042" s="1175">
        <v>1</v>
      </c>
      <c r="AA1042"/>
      <c r="AB1042"/>
    </row>
    <row r="1043" spans="3:28" ht="13.5">
      <c r="C1043" s="1181" t="s">
        <v>5723</v>
      </c>
      <c r="D1043" s="1178">
        <v>0</v>
      </c>
      <c r="E1043" s="1178">
        <v>0</v>
      </c>
      <c r="F1043" s="1179">
        <v>0</v>
      </c>
      <c r="G1043" s="1189" t="s">
        <v>5723</v>
      </c>
      <c r="H1043" s="1176">
        <v>0</v>
      </c>
      <c r="I1043" s="1176">
        <v>0</v>
      </c>
      <c r="J1043" s="1190">
        <v>0</v>
      </c>
      <c r="K1043" s="1180"/>
      <c r="L1043" s="1174">
        <v>13089023601</v>
      </c>
      <c r="M1043" s="1175">
        <v>0</v>
      </c>
      <c r="N1043" s="1175">
        <v>0</v>
      </c>
      <c r="O1043" s="1175">
        <v>0</v>
      </c>
      <c r="AA1043"/>
      <c r="AB1043"/>
    </row>
    <row r="1044" spans="3:28" ht="13.5">
      <c r="C1044" s="1181" t="s">
        <v>5724</v>
      </c>
      <c r="D1044" s="1178">
        <v>0</v>
      </c>
      <c r="E1044" s="1178">
        <v>0</v>
      </c>
      <c r="F1044" s="1179">
        <v>0</v>
      </c>
      <c r="G1044" s="1189" t="s">
        <v>5724</v>
      </c>
      <c r="H1044" s="1176">
        <v>0</v>
      </c>
      <c r="I1044" s="1176">
        <v>0</v>
      </c>
      <c r="J1044" s="1190">
        <v>0</v>
      </c>
      <c r="K1044" s="1180"/>
      <c r="L1044" s="1174">
        <v>13089023602</v>
      </c>
      <c r="M1044" s="1175">
        <v>0</v>
      </c>
      <c r="N1044" s="1175">
        <v>0</v>
      </c>
      <c r="O1044" s="1175">
        <v>0</v>
      </c>
      <c r="AA1044"/>
      <c r="AB1044"/>
    </row>
    <row r="1045" spans="3:28" ht="13.5">
      <c r="C1045" s="1181" t="s">
        <v>5725</v>
      </c>
      <c r="D1045" s="1178">
        <v>0</v>
      </c>
      <c r="E1045" s="1178">
        <v>0</v>
      </c>
      <c r="F1045" s="1179">
        <v>0</v>
      </c>
      <c r="G1045" s="1189" t="s">
        <v>5725</v>
      </c>
      <c r="H1045" s="1176">
        <v>0</v>
      </c>
      <c r="I1045" s="1176">
        <v>0</v>
      </c>
      <c r="J1045" s="1190">
        <v>0</v>
      </c>
      <c r="K1045" s="1180"/>
      <c r="L1045" s="1174">
        <v>13089023603</v>
      </c>
      <c r="M1045" s="1175">
        <v>0</v>
      </c>
      <c r="N1045" s="1175">
        <v>0</v>
      </c>
      <c r="O1045" s="1175">
        <v>0</v>
      </c>
      <c r="AA1045"/>
      <c r="AB1045"/>
    </row>
    <row r="1046" spans="3:28" ht="13.5">
      <c r="C1046" s="1181" t="s">
        <v>5726</v>
      </c>
      <c r="D1046" s="1178">
        <v>0</v>
      </c>
      <c r="E1046" s="1178">
        <v>0</v>
      </c>
      <c r="F1046" s="1179">
        <v>0</v>
      </c>
      <c r="G1046" s="1189" t="s">
        <v>5726</v>
      </c>
      <c r="H1046" s="1176">
        <v>0</v>
      </c>
      <c r="I1046" s="1176" t="s">
        <v>4455</v>
      </c>
      <c r="J1046" s="1190">
        <v>0</v>
      </c>
      <c r="K1046" s="1180"/>
      <c r="L1046" s="1174">
        <v>13089023700</v>
      </c>
      <c r="M1046" s="1175">
        <v>0</v>
      </c>
      <c r="N1046" s="1175">
        <v>0</v>
      </c>
      <c r="O1046" s="1175">
        <v>0</v>
      </c>
      <c r="AA1046"/>
      <c r="AB1046"/>
    </row>
    <row r="1047" spans="3:28" ht="13.5">
      <c r="C1047" s="1181" t="s">
        <v>5727</v>
      </c>
      <c r="D1047" s="1178">
        <v>1</v>
      </c>
      <c r="E1047" s="1178">
        <v>0</v>
      </c>
      <c r="F1047" s="1179">
        <v>1</v>
      </c>
      <c r="G1047" s="1189" t="s">
        <v>5727</v>
      </c>
      <c r="H1047" s="1176">
        <v>1</v>
      </c>
      <c r="I1047" s="1176">
        <v>0</v>
      </c>
      <c r="J1047" s="1190">
        <v>1</v>
      </c>
      <c r="K1047" s="1180"/>
      <c r="L1047" s="1174">
        <v>13089023801</v>
      </c>
      <c r="M1047" s="1175">
        <v>1</v>
      </c>
      <c r="N1047" s="1175">
        <v>0</v>
      </c>
      <c r="O1047" s="1175">
        <v>1</v>
      </c>
      <c r="AA1047"/>
      <c r="AB1047"/>
    </row>
    <row r="1048" spans="3:28" ht="13.5">
      <c r="C1048" s="1181" t="s">
        <v>5728</v>
      </c>
      <c r="D1048" s="1178">
        <v>0</v>
      </c>
      <c r="E1048" s="1178">
        <v>0</v>
      </c>
      <c r="F1048" s="1179">
        <v>0</v>
      </c>
      <c r="G1048" s="1189" t="s">
        <v>5728</v>
      </c>
      <c r="H1048" s="1176">
        <v>0</v>
      </c>
      <c r="I1048" s="1176">
        <v>0</v>
      </c>
      <c r="J1048" s="1190">
        <v>0</v>
      </c>
      <c r="K1048" s="1180"/>
      <c r="L1048" s="1174">
        <v>13089023802</v>
      </c>
      <c r="M1048" s="1175">
        <v>0</v>
      </c>
      <c r="N1048" s="1175">
        <v>0</v>
      </c>
      <c r="O1048" s="1175">
        <v>0</v>
      </c>
      <c r="AA1048"/>
      <c r="AB1048"/>
    </row>
    <row r="1049" spans="3:28" ht="13.5">
      <c r="C1049" s="1181" t="s">
        <v>5729</v>
      </c>
      <c r="D1049" s="1178">
        <v>0</v>
      </c>
      <c r="E1049" s="1178">
        <v>0</v>
      </c>
      <c r="F1049" s="1179">
        <v>0</v>
      </c>
      <c r="G1049" s="1189" t="s">
        <v>5729</v>
      </c>
      <c r="H1049" s="1176">
        <v>0</v>
      </c>
      <c r="I1049" s="1176">
        <v>0</v>
      </c>
      <c r="J1049" s="1190">
        <v>0</v>
      </c>
      <c r="K1049" s="1180"/>
      <c r="L1049" s="1174">
        <v>13089023803</v>
      </c>
      <c r="M1049" s="1175">
        <v>0</v>
      </c>
      <c r="N1049" s="1175">
        <v>0</v>
      </c>
      <c r="O1049" s="1175">
        <v>0</v>
      </c>
      <c r="AA1049"/>
      <c r="AB1049"/>
    </row>
    <row r="1050" spans="3:28" ht="13.5">
      <c r="C1050" s="1181" t="s">
        <v>5730</v>
      </c>
      <c r="D1050" s="1178" t="s">
        <v>4455</v>
      </c>
      <c r="E1050" s="1178" t="s">
        <v>4455</v>
      </c>
      <c r="F1050" s="1179">
        <v>0</v>
      </c>
      <c r="G1050" s="1189" t="s">
        <v>5730</v>
      </c>
      <c r="H1050" s="1176" t="s">
        <v>4455</v>
      </c>
      <c r="I1050" s="1176" t="s">
        <v>4455</v>
      </c>
      <c r="J1050" s="1190">
        <v>0</v>
      </c>
      <c r="K1050" s="1180"/>
      <c r="L1050" s="1174">
        <v>13089980000</v>
      </c>
      <c r="M1050" s="1175">
        <v>0</v>
      </c>
      <c r="N1050" s="1175">
        <v>0</v>
      </c>
      <c r="O1050" s="1175">
        <v>0</v>
      </c>
      <c r="AA1050"/>
      <c r="AB1050"/>
    </row>
    <row r="1051" spans="3:28" ht="13.5">
      <c r="C1051" s="1181" t="s">
        <v>5731</v>
      </c>
      <c r="D1051" s="1178">
        <v>0</v>
      </c>
      <c r="E1051" s="1178">
        <v>0</v>
      </c>
      <c r="F1051" s="1179">
        <v>0</v>
      </c>
      <c r="G1051" s="1189" t="s">
        <v>5731</v>
      </c>
      <c r="H1051" s="1176">
        <v>0</v>
      </c>
      <c r="I1051" s="1176">
        <v>1</v>
      </c>
      <c r="J1051" s="1190">
        <v>1</v>
      </c>
      <c r="K1051" s="1180"/>
      <c r="L1051" s="1174">
        <v>13091960100</v>
      </c>
      <c r="M1051" s="1175">
        <v>0</v>
      </c>
      <c r="N1051" s="1175">
        <v>1</v>
      </c>
      <c r="O1051" s="1175">
        <v>1</v>
      </c>
      <c r="AA1051"/>
      <c r="AB1051"/>
    </row>
    <row r="1052" spans="3:28" ht="13.5">
      <c r="C1052" s="1181" t="s">
        <v>5732</v>
      </c>
      <c r="D1052" s="1178">
        <v>0</v>
      </c>
      <c r="E1052" s="1178">
        <v>0</v>
      </c>
      <c r="F1052" s="1179">
        <v>0</v>
      </c>
      <c r="G1052" s="1189" t="s">
        <v>5732</v>
      </c>
      <c r="H1052" s="1176">
        <v>0</v>
      </c>
      <c r="I1052" s="1176">
        <v>0</v>
      </c>
      <c r="J1052" s="1190">
        <v>0</v>
      </c>
      <c r="K1052" s="1180"/>
      <c r="L1052" s="1174">
        <v>13091960200</v>
      </c>
      <c r="M1052" s="1175">
        <v>0</v>
      </c>
      <c r="N1052" s="1175">
        <v>0</v>
      </c>
      <c r="O1052" s="1175">
        <v>0</v>
      </c>
      <c r="AA1052"/>
      <c r="AB1052"/>
    </row>
    <row r="1053" spans="3:28" ht="13.5">
      <c r="C1053" s="1181" t="s">
        <v>5733</v>
      </c>
      <c r="D1053" s="1178">
        <v>0</v>
      </c>
      <c r="E1053" s="1178">
        <v>1</v>
      </c>
      <c r="F1053" s="1179">
        <v>1</v>
      </c>
      <c r="G1053" s="1189" t="s">
        <v>5733</v>
      </c>
      <c r="H1053" s="1176">
        <v>0</v>
      </c>
      <c r="I1053" s="1176">
        <v>1</v>
      </c>
      <c r="J1053" s="1190">
        <v>1</v>
      </c>
      <c r="K1053" s="1180"/>
      <c r="L1053" s="1174">
        <v>13091960300</v>
      </c>
      <c r="M1053" s="1175">
        <v>0</v>
      </c>
      <c r="N1053" s="1175">
        <v>1</v>
      </c>
      <c r="O1053" s="1175">
        <v>1</v>
      </c>
      <c r="AA1053"/>
      <c r="AB1053"/>
    </row>
    <row r="1054" spans="3:28" ht="13.5">
      <c r="C1054" s="1181" t="s">
        <v>5734</v>
      </c>
      <c r="D1054" s="1178">
        <v>0</v>
      </c>
      <c r="E1054" s="1178">
        <v>0</v>
      </c>
      <c r="F1054" s="1179">
        <v>0</v>
      </c>
      <c r="G1054" s="1189" t="s">
        <v>5734</v>
      </c>
      <c r="H1054" s="1176">
        <v>0</v>
      </c>
      <c r="I1054" s="1176">
        <v>0</v>
      </c>
      <c r="J1054" s="1190">
        <v>0</v>
      </c>
      <c r="K1054" s="1180"/>
      <c r="L1054" s="1174">
        <v>13091960400</v>
      </c>
      <c r="M1054" s="1175">
        <v>0</v>
      </c>
      <c r="N1054" s="1175">
        <v>0</v>
      </c>
      <c r="O1054" s="1175">
        <v>0</v>
      </c>
      <c r="AA1054"/>
      <c r="AB1054"/>
    </row>
    <row r="1055" spans="3:28" ht="13.5">
      <c r="C1055" s="1181" t="s">
        <v>5735</v>
      </c>
      <c r="D1055" s="1178">
        <v>0</v>
      </c>
      <c r="E1055" s="1178">
        <v>0</v>
      </c>
      <c r="F1055" s="1179">
        <v>0</v>
      </c>
      <c r="G1055" s="1189" t="s">
        <v>5735</v>
      </c>
      <c r="H1055" s="1176">
        <v>0</v>
      </c>
      <c r="I1055" s="1176" t="s">
        <v>4455</v>
      </c>
      <c r="J1055" s="1190">
        <v>0</v>
      </c>
      <c r="K1055" s="1180"/>
      <c r="L1055" s="1174">
        <v>13091960500</v>
      </c>
      <c r="M1055" s="1175">
        <v>0</v>
      </c>
      <c r="N1055" s="1175">
        <v>0</v>
      </c>
      <c r="O1055" s="1175">
        <v>0</v>
      </c>
      <c r="AA1055"/>
      <c r="AB1055"/>
    </row>
    <row r="1056" spans="3:28" ht="13.5">
      <c r="C1056" s="1181" t="s">
        <v>5736</v>
      </c>
      <c r="D1056" s="1178">
        <v>0</v>
      </c>
      <c r="E1056" s="1178">
        <v>0</v>
      </c>
      <c r="F1056" s="1179">
        <v>0</v>
      </c>
      <c r="G1056" s="1189" t="s">
        <v>5736</v>
      </c>
      <c r="H1056" s="1176">
        <v>0</v>
      </c>
      <c r="I1056" s="1176">
        <v>0</v>
      </c>
      <c r="J1056" s="1190">
        <v>0</v>
      </c>
      <c r="K1056" s="1180"/>
      <c r="L1056" s="1174">
        <v>13091960600</v>
      </c>
      <c r="M1056" s="1175">
        <v>0</v>
      </c>
      <c r="N1056" s="1175">
        <v>0</v>
      </c>
      <c r="O1056" s="1175">
        <v>0</v>
      </c>
      <c r="AA1056"/>
      <c r="AB1056"/>
    </row>
    <row r="1057" spans="3:28" ht="13.5">
      <c r="C1057" s="1181" t="s">
        <v>5737</v>
      </c>
      <c r="D1057" s="1178">
        <v>0</v>
      </c>
      <c r="E1057" s="1178">
        <v>0</v>
      </c>
      <c r="F1057" s="1179">
        <v>0</v>
      </c>
      <c r="G1057" s="1189" t="s">
        <v>5737</v>
      </c>
      <c r="H1057" s="1176">
        <v>0</v>
      </c>
      <c r="I1057" s="1176">
        <v>1</v>
      </c>
      <c r="J1057" s="1190">
        <v>1</v>
      </c>
      <c r="K1057" s="1180"/>
      <c r="L1057" s="1174">
        <v>13093970100</v>
      </c>
      <c r="M1057" s="1175">
        <v>0</v>
      </c>
      <c r="N1057" s="1175">
        <v>1</v>
      </c>
      <c r="O1057" s="1175">
        <v>1</v>
      </c>
      <c r="AA1057"/>
      <c r="AB1057"/>
    </row>
    <row r="1058" spans="3:28" ht="13.5">
      <c r="C1058" s="1181" t="s">
        <v>5738</v>
      </c>
      <c r="D1058" s="1178">
        <v>0</v>
      </c>
      <c r="E1058" s="1178">
        <v>0</v>
      </c>
      <c r="F1058" s="1179">
        <v>0</v>
      </c>
      <c r="G1058" s="1189" t="s">
        <v>5738</v>
      </c>
      <c r="H1058" s="1176">
        <v>0</v>
      </c>
      <c r="I1058" s="1176">
        <v>0</v>
      </c>
      <c r="J1058" s="1190">
        <v>0</v>
      </c>
      <c r="K1058" s="1180"/>
      <c r="L1058" s="1174">
        <v>13093970200</v>
      </c>
      <c r="M1058" s="1175">
        <v>0</v>
      </c>
      <c r="N1058" s="1175">
        <v>0</v>
      </c>
      <c r="O1058" s="1175">
        <v>0</v>
      </c>
      <c r="AA1058"/>
      <c r="AB1058"/>
    </row>
    <row r="1059" spans="3:28" ht="13.5">
      <c r="C1059" s="1181" t="s">
        <v>5739</v>
      </c>
      <c r="D1059" s="1178">
        <v>0</v>
      </c>
      <c r="E1059" s="1178">
        <v>0</v>
      </c>
      <c r="F1059" s="1179">
        <v>0</v>
      </c>
      <c r="G1059" s="1189" t="s">
        <v>5739</v>
      </c>
      <c r="H1059" s="1176">
        <v>0</v>
      </c>
      <c r="I1059" s="1176">
        <v>1</v>
      </c>
      <c r="J1059" s="1190">
        <v>1</v>
      </c>
      <c r="K1059" s="1180"/>
      <c r="L1059" s="1174">
        <v>13093970300</v>
      </c>
      <c r="M1059" s="1175">
        <v>0</v>
      </c>
      <c r="N1059" s="1175">
        <v>1</v>
      </c>
      <c r="O1059" s="1175">
        <v>1</v>
      </c>
      <c r="AA1059"/>
      <c r="AB1059"/>
    </row>
    <row r="1060" spans="3:28" ht="13.5">
      <c r="C1060" s="1181" t="s">
        <v>5740</v>
      </c>
      <c r="D1060" s="1178">
        <v>0</v>
      </c>
      <c r="E1060" s="1178">
        <v>0</v>
      </c>
      <c r="F1060" s="1179">
        <v>0</v>
      </c>
      <c r="G1060" s="1189" t="s">
        <v>5740</v>
      </c>
      <c r="H1060" s="1176">
        <v>0</v>
      </c>
      <c r="I1060" s="1176">
        <v>0</v>
      </c>
      <c r="J1060" s="1190">
        <v>0</v>
      </c>
      <c r="K1060" s="1180"/>
      <c r="L1060" s="1174">
        <v>13095000100</v>
      </c>
      <c r="M1060" s="1175">
        <v>0</v>
      </c>
      <c r="N1060" s="1175">
        <v>0</v>
      </c>
      <c r="O1060" s="1175">
        <v>0</v>
      </c>
      <c r="AA1060"/>
      <c r="AB1060"/>
    </row>
    <row r="1061" spans="3:28" ht="13.5">
      <c r="C1061" s="1181" t="s">
        <v>5741</v>
      </c>
      <c r="D1061" s="1178">
        <v>0</v>
      </c>
      <c r="E1061" s="1178">
        <v>0</v>
      </c>
      <c r="F1061" s="1179">
        <v>0</v>
      </c>
      <c r="G1061" s="1189" t="s">
        <v>5741</v>
      </c>
      <c r="H1061" s="1176">
        <v>0</v>
      </c>
      <c r="I1061" s="1176">
        <v>0</v>
      </c>
      <c r="J1061" s="1190">
        <v>0</v>
      </c>
      <c r="K1061" s="1180"/>
      <c r="L1061" s="1174">
        <v>13095000200</v>
      </c>
      <c r="M1061" s="1175">
        <v>0</v>
      </c>
      <c r="N1061" s="1175">
        <v>0</v>
      </c>
      <c r="O1061" s="1175">
        <v>0</v>
      </c>
      <c r="AA1061"/>
      <c r="AB1061"/>
    </row>
    <row r="1062" spans="3:28" ht="13.5">
      <c r="C1062" s="1181" t="s">
        <v>5742</v>
      </c>
      <c r="D1062" s="1178">
        <v>0</v>
      </c>
      <c r="E1062" s="1178">
        <v>0</v>
      </c>
      <c r="F1062" s="1179">
        <v>0</v>
      </c>
      <c r="G1062" s="1189" t="s">
        <v>5742</v>
      </c>
      <c r="H1062" s="1176">
        <v>0</v>
      </c>
      <c r="I1062" s="1176">
        <v>1</v>
      </c>
      <c r="J1062" s="1190">
        <v>1</v>
      </c>
      <c r="K1062" s="1180"/>
      <c r="L1062" s="1174">
        <v>13095000400</v>
      </c>
      <c r="M1062" s="1175">
        <v>0</v>
      </c>
      <c r="N1062" s="1175">
        <v>1</v>
      </c>
      <c r="O1062" s="1175">
        <v>1</v>
      </c>
      <c r="AA1062"/>
      <c r="AB1062"/>
    </row>
    <row r="1063" spans="3:28" ht="13.5">
      <c r="C1063" s="1181" t="s">
        <v>5743</v>
      </c>
      <c r="D1063" s="1178">
        <v>1</v>
      </c>
      <c r="E1063" s="1178">
        <v>0</v>
      </c>
      <c r="F1063" s="1179">
        <v>1</v>
      </c>
      <c r="G1063" s="1189" t="s">
        <v>5743</v>
      </c>
      <c r="H1063" s="1176">
        <v>1</v>
      </c>
      <c r="I1063" s="1176">
        <v>1</v>
      </c>
      <c r="J1063" s="1190">
        <v>2</v>
      </c>
      <c r="K1063" s="1180"/>
      <c r="L1063" s="1174">
        <v>13095000501</v>
      </c>
      <c r="M1063" s="1175">
        <v>1</v>
      </c>
      <c r="N1063" s="1175">
        <v>1</v>
      </c>
      <c r="O1063" s="1175">
        <v>2</v>
      </c>
      <c r="AA1063"/>
      <c r="AB1063"/>
    </row>
    <row r="1064" spans="3:28" ht="13.5">
      <c r="C1064" s="1181" t="s">
        <v>5744</v>
      </c>
      <c r="D1064" s="1178">
        <v>1</v>
      </c>
      <c r="E1064" s="1178">
        <v>1</v>
      </c>
      <c r="F1064" s="1179">
        <v>2</v>
      </c>
      <c r="G1064" s="1189" t="s">
        <v>5744</v>
      </c>
      <c r="H1064" s="1176">
        <v>1</v>
      </c>
      <c r="I1064" s="1176">
        <v>1</v>
      </c>
      <c r="J1064" s="1190">
        <v>2</v>
      </c>
      <c r="K1064" s="1180"/>
      <c r="L1064" s="1174">
        <v>13095000502</v>
      </c>
      <c r="M1064" s="1175">
        <v>1</v>
      </c>
      <c r="N1064" s="1175">
        <v>1</v>
      </c>
      <c r="O1064" s="1175">
        <v>2</v>
      </c>
      <c r="AA1064"/>
      <c r="AB1064"/>
    </row>
    <row r="1065" spans="3:28" ht="13.5">
      <c r="C1065" s="1181" t="s">
        <v>5745</v>
      </c>
      <c r="D1065" s="1178">
        <v>0</v>
      </c>
      <c r="E1065" s="1178">
        <v>0</v>
      </c>
      <c r="F1065" s="1179">
        <v>0</v>
      </c>
      <c r="G1065" s="1189" t="s">
        <v>5745</v>
      </c>
      <c r="H1065" s="1176">
        <v>0</v>
      </c>
      <c r="I1065" s="1176">
        <v>0</v>
      </c>
      <c r="J1065" s="1190">
        <v>0</v>
      </c>
      <c r="K1065" s="1180"/>
      <c r="L1065" s="1174">
        <v>13095000600</v>
      </c>
      <c r="M1065" s="1175">
        <v>0</v>
      </c>
      <c r="N1065" s="1175">
        <v>0</v>
      </c>
      <c r="O1065" s="1175">
        <v>0</v>
      </c>
      <c r="AA1065"/>
      <c r="AB1065"/>
    </row>
    <row r="1066" spans="3:28" ht="13.5">
      <c r="C1066" s="1181" t="s">
        <v>5746</v>
      </c>
      <c r="D1066" s="1178">
        <v>0</v>
      </c>
      <c r="E1066" s="1178">
        <v>0</v>
      </c>
      <c r="F1066" s="1179">
        <v>0</v>
      </c>
      <c r="G1066" s="1189" t="s">
        <v>5746</v>
      </c>
      <c r="H1066" s="1176">
        <v>1</v>
      </c>
      <c r="I1066" s="1176">
        <v>0</v>
      </c>
      <c r="J1066" s="1190">
        <v>1</v>
      </c>
      <c r="K1066" s="1180"/>
      <c r="L1066" s="1174">
        <v>13095000700</v>
      </c>
      <c r="M1066" s="1175">
        <v>1</v>
      </c>
      <c r="N1066" s="1175">
        <v>0</v>
      </c>
      <c r="O1066" s="1175">
        <v>1</v>
      </c>
      <c r="AA1066"/>
      <c r="AB1066"/>
    </row>
    <row r="1067" spans="3:28" ht="13.5">
      <c r="C1067" s="1181" t="s">
        <v>5747</v>
      </c>
      <c r="D1067" s="1178">
        <v>0</v>
      </c>
      <c r="E1067" s="1178">
        <v>0</v>
      </c>
      <c r="F1067" s="1179">
        <v>0</v>
      </c>
      <c r="G1067" s="1189" t="s">
        <v>5747</v>
      </c>
      <c r="H1067" s="1176">
        <v>0</v>
      </c>
      <c r="I1067" s="1176">
        <v>0</v>
      </c>
      <c r="J1067" s="1190">
        <v>0</v>
      </c>
      <c r="K1067" s="1180"/>
      <c r="L1067" s="1174">
        <v>13095000800</v>
      </c>
      <c r="M1067" s="1175">
        <v>0</v>
      </c>
      <c r="N1067" s="1175">
        <v>0</v>
      </c>
      <c r="O1067" s="1175">
        <v>0</v>
      </c>
      <c r="AA1067"/>
      <c r="AB1067"/>
    </row>
    <row r="1068" spans="3:28" ht="13.5">
      <c r="C1068" s="1181" t="s">
        <v>5748</v>
      </c>
      <c r="D1068" s="1178">
        <v>0</v>
      </c>
      <c r="E1068" s="1178">
        <v>0</v>
      </c>
      <c r="F1068" s="1179">
        <v>0</v>
      </c>
      <c r="G1068" s="1189" t="s">
        <v>5748</v>
      </c>
      <c r="H1068" s="1176">
        <v>0</v>
      </c>
      <c r="I1068" s="1176">
        <v>0</v>
      </c>
      <c r="J1068" s="1190">
        <v>0</v>
      </c>
      <c r="K1068" s="1180"/>
      <c r="L1068" s="1174">
        <v>13095000900</v>
      </c>
      <c r="M1068" s="1175">
        <v>0</v>
      </c>
      <c r="N1068" s="1175">
        <v>0</v>
      </c>
      <c r="O1068" s="1175">
        <v>0</v>
      </c>
      <c r="AA1068"/>
      <c r="AB1068"/>
    </row>
    <row r="1069" spans="3:28" ht="13.5">
      <c r="C1069" s="1181" t="s">
        <v>5749</v>
      </c>
      <c r="D1069" s="1178">
        <v>0</v>
      </c>
      <c r="E1069" s="1178">
        <v>0</v>
      </c>
      <c r="F1069" s="1179">
        <v>0</v>
      </c>
      <c r="G1069" s="1189" t="s">
        <v>5749</v>
      </c>
      <c r="H1069" s="1176">
        <v>0</v>
      </c>
      <c r="I1069" s="1176">
        <v>0</v>
      </c>
      <c r="J1069" s="1190">
        <v>0</v>
      </c>
      <c r="K1069" s="1180"/>
      <c r="L1069" s="1174">
        <v>13095001000</v>
      </c>
      <c r="M1069" s="1175">
        <v>0</v>
      </c>
      <c r="N1069" s="1175">
        <v>0</v>
      </c>
      <c r="O1069" s="1175">
        <v>0</v>
      </c>
      <c r="AA1069"/>
      <c r="AB1069"/>
    </row>
    <row r="1070" spans="3:28" ht="13.5">
      <c r="C1070" s="1181" t="s">
        <v>5750</v>
      </c>
      <c r="D1070" s="1178">
        <v>0</v>
      </c>
      <c r="E1070" s="1178">
        <v>0</v>
      </c>
      <c r="F1070" s="1179">
        <v>0</v>
      </c>
      <c r="G1070" s="1189" t="s">
        <v>5750</v>
      </c>
      <c r="H1070" s="1176">
        <v>0</v>
      </c>
      <c r="I1070" s="1176">
        <v>0</v>
      </c>
      <c r="J1070" s="1190">
        <v>0</v>
      </c>
      <c r="K1070" s="1180"/>
      <c r="L1070" s="1174">
        <v>13095001100</v>
      </c>
      <c r="M1070" s="1175">
        <v>0</v>
      </c>
      <c r="N1070" s="1175">
        <v>0</v>
      </c>
      <c r="O1070" s="1175">
        <v>0</v>
      </c>
      <c r="AA1070"/>
      <c r="AB1070"/>
    </row>
    <row r="1071" spans="3:28" ht="13.5">
      <c r="C1071" s="1181" t="s">
        <v>5751</v>
      </c>
      <c r="D1071" s="1178">
        <v>0</v>
      </c>
      <c r="E1071" s="1178">
        <v>0</v>
      </c>
      <c r="F1071" s="1179">
        <v>0</v>
      </c>
      <c r="G1071" s="1189" t="s">
        <v>5751</v>
      </c>
      <c r="H1071" s="1176">
        <v>0</v>
      </c>
      <c r="I1071" s="1176" t="s">
        <v>4455</v>
      </c>
      <c r="J1071" s="1190">
        <v>0</v>
      </c>
      <c r="K1071" s="1180"/>
      <c r="L1071" s="1174">
        <v>13095001403</v>
      </c>
      <c r="M1071" s="1175">
        <v>0</v>
      </c>
      <c r="N1071" s="1175">
        <v>0</v>
      </c>
      <c r="O1071" s="1175">
        <v>0</v>
      </c>
      <c r="AA1071"/>
      <c r="AB1071"/>
    </row>
    <row r="1072" spans="3:28" ht="13.5">
      <c r="C1072" s="1181" t="s">
        <v>5752</v>
      </c>
      <c r="D1072" s="1178">
        <v>0</v>
      </c>
      <c r="E1072" s="1178">
        <v>0</v>
      </c>
      <c r="F1072" s="1179">
        <v>0</v>
      </c>
      <c r="G1072" s="1189" t="s">
        <v>5752</v>
      </c>
      <c r="H1072" s="1176">
        <v>0</v>
      </c>
      <c r="I1072" s="1176">
        <v>0</v>
      </c>
      <c r="J1072" s="1190">
        <v>0</v>
      </c>
      <c r="K1072" s="1180"/>
      <c r="L1072" s="1174">
        <v>13095001500</v>
      </c>
      <c r="M1072" s="1175">
        <v>0</v>
      </c>
      <c r="N1072" s="1175">
        <v>0</v>
      </c>
      <c r="O1072" s="1175">
        <v>0</v>
      </c>
      <c r="AA1072"/>
      <c r="AB1072"/>
    </row>
    <row r="1073" spans="3:28" ht="13.5">
      <c r="C1073" s="1181" t="s">
        <v>5753</v>
      </c>
      <c r="D1073" s="1178">
        <v>0</v>
      </c>
      <c r="E1073" s="1178">
        <v>0</v>
      </c>
      <c r="F1073" s="1179">
        <v>0</v>
      </c>
      <c r="G1073" s="1189" t="s">
        <v>5753</v>
      </c>
      <c r="H1073" s="1176">
        <v>0</v>
      </c>
      <c r="I1073" s="1176">
        <v>0</v>
      </c>
      <c r="J1073" s="1190">
        <v>0</v>
      </c>
      <c r="K1073" s="1180"/>
      <c r="L1073" s="1174">
        <v>13095010302</v>
      </c>
      <c r="M1073" s="1175">
        <v>0</v>
      </c>
      <c r="N1073" s="1175">
        <v>0</v>
      </c>
      <c r="O1073" s="1175">
        <v>0</v>
      </c>
      <c r="AA1073"/>
      <c r="AB1073"/>
    </row>
    <row r="1074" spans="3:28" ht="13.5">
      <c r="C1074" s="1181" t="s">
        <v>5754</v>
      </c>
      <c r="D1074" s="1178">
        <v>1</v>
      </c>
      <c r="E1074" s="1178">
        <v>1</v>
      </c>
      <c r="F1074" s="1179">
        <v>2</v>
      </c>
      <c r="G1074" s="1189" t="s">
        <v>5754</v>
      </c>
      <c r="H1074" s="1176">
        <v>1</v>
      </c>
      <c r="I1074" s="1176">
        <v>1</v>
      </c>
      <c r="J1074" s="1190">
        <v>2</v>
      </c>
      <c r="K1074" s="1180"/>
      <c r="L1074" s="1174">
        <v>13095010401</v>
      </c>
      <c r="M1074" s="1175">
        <v>1</v>
      </c>
      <c r="N1074" s="1175">
        <v>1</v>
      </c>
      <c r="O1074" s="1175">
        <v>2</v>
      </c>
      <c r="AA1074"/>
      <c r="AB1074"/>
    </row>
    <row r="1075" spans="3:28" ht="13.5">
      <c r="C1075" s="1181" t="s">
        <v>5755</v>
      </c>
      <c r="D1075" s="1178">
        <v>0</v>
      </c>
      <c r="E1075" s="1178">
        <v>0</v>
      </c>
      <c r="F1075" s="1179">
        <v>0</v>
      </c>
      <c r="G1075" s="1189" t="s">
        <v>5755</v>
      </c>
      <c r="H1075" s="1176">
        <v>0</v>
      </c>
      <c r="I1075" s="1176">
        <v>1</v>
      </c>
      <c r="J1075" s="1190">
        <v>1</v>
      </c>
      <c r="K1075" s="1180"/>
      <c r="L1075" s="1174">
        <v>13095010402</v>
      </c>
      <c r="M1075" s="1175">
        <v>0</v>
      </c>
      <c r="N1075" s="1175">
        <v>1</v>
      </c>
      <c r="O1075" s="1175">
        <v>1</v>
      </c>
      <c r="AA1075"/>
      <c r="AB1075"/>
    </row>
    <row r="1076" spans="3:28" ht="13.5">
      <c r="C1076" s="1181" t="s">
        <v>5756</v>
      </c>
      <c r="D1076" s="1178">
        <v>1</v>
      </c>
      <c r="E1076" s="1178">
        <v>1</v>
      </c>
      <c r="F1076" s="1179">
        <v>2</v>
      </c>
      <c r="G1076" s="1189" t="s">
        <v>5756</v>
      </c>
      <c r="H1076" s="1176">
        <v>1</v>
      </c>
      <c r="I1076" s="1176">
        <v>0</v>
      </c>
      <c r="J1076" s="1190">
        <v>1</v>
      </c>
      <c r="K1076" s="1180"/>
      <c r="L1076" s="1174">
        <v>13095010403</v>
      </c>
      <c r="M1076" s="1175">
        <v>1</v>
      </c>
      <c r="N1076" s="1175">
        <v>1</v>
      </c>
      <c r="O1076" s="1175">
        <v>2</v>
      </c>
      <c r="AA1076"/>
      <c r="AB1076"/>
    </row>
    <row r="1077" spans="3:28" ht="13.5">
      <c r="C1077" s="1181" t="s">
        <v>5757</v>
      </c>
      <c r="D1077" s="1178">
        <v>0</v>
      </c>
      <c r="E1077" s="1178">
        <v>0</v>
      </c>
      <c r="F1077" s="1179">
        <v>0</v>
      </c>
      <c r="G1077" s="1189" t="s">
        <v>5757</v>
      </c>
      <c r="H1077" s="1176">
        <v>0</v>
      </c>
      <c r="I1077" s="1176">
        <v>0</v>
      </c>
      <c r="J1077" s="1190">
        <v>0</v>
      </c>
      <c r="K1077" s="1180"/>
      <c r="L1077" s="1174">
        <v>13095010500</v>
      </c>
      <c r="M1077" s="1175">
        <v>0</v>
      </c>
      <c r="N1077" s="1175">
        <v>0</v>
      </c>
      <c r="O1077" s="1175">
        <v>0</v>
      </c>
      <c r="AA1077"/>
      <c r="AB1077"/>
    </row>
    <row r="1078" spans="3:28" ht="13.5">
      <c r="C1078" s="1181" t="s">
        <v>5758</v>
      </c>
      <c r="D1078" s="1178">
        <v>0</v>
      </c>
      <c r="E1078" s="1178">
        <v>0</v>
      </c>
      <c r="F1078" s="1179">
        <v>0</v>
      </c>
      <c r="G1078" s="1189" t="s">
        <v>5758</v>
      </c>
      <c r="H1078" s="1176">
        <v>0</v>
      </c>
      <c r="I1078" s="1176">
        <v>0</v>
      </c>
      <c r="J1078" s="1190">
        <v>0</v>
      </c>
      <c r="K1078" s="1180"/>
      <c r="L1078" s="1174">
        <v>13095010601</v>
      </c>
      <c r="M1078" s="1175">
        <v>0</v>
      </c>
      <c r="N1078" s="1175">
        <v>0</v>
      </c>
      <c r="O1078" s="1175">
        <v>0</v>
      </c>
      <c r="AA1078"/>
      <c r="AB1078"/>
    </row>
    <row r="1079" spans="3:28" ht="13.5">
      <c r="C1079" s="1181" t="s">
        <v>5759</v>
      </c>
      <c r="D1079" s="1178">
        <v>0</v>
      </c>
      <c r="E1079" s="1178">
        <v>0</v>
      </c>
      <c r="F1079" s="1179">
        <v>0</v>
      </c>
      <c r="G1079" s="1189" t="s">
        <v>5759</v>
      </c>
      <c r="H1079" s="1176">
        <v>0</v>
      </c>
      <c r="I1079" s="1176">
        <v>0</v>
      </c>
      <c r="J1079" s="1190">
        <v>0</v>
      </c>
      <c r="K1079" s="1180"/>
      <c r="L1079" s="1174">
        <v>13095010602</v>
      </c>
      <c r="M1079" s="1175">
        <v>0</v>
      </c>
      <c r="N1079" s="1175">
        <v>0</v>
      </c>
      <c r="O1079" s="1175">
        <v>0</v>
      </c>
      <c r="AA1079"/>
      <c r="AB1079"/>
    </row>
    <row r="1080" spans="3:28" ht="13.5">
      <c r="C1080" s="1181" t="s">
        <v>5760</v>
      </c>
      <c r="D1080" s="1178">
        <v>0</v>
      </c>
      <c r="E1080" s="1178">
        <v>0</v>
      </c>
      <c r="F1080" s="1179">
        <v>0</v>
      </c>
      <c r="G1080" s="1189" t="s">
        <v>5760</v>
      </c>
      <c r="H1080" s="1176">
        <v>0</v>
      </c>
      <c r="I1080" s="1176">
        <v>0</v>
      </c>
      <c r="J1080" s="1190">
        <v>0</v>
      </c>
      <c r="K1080" s="1180"/>
      <c r="L1080" s="1174">
        <v>13095010700</v>
      </c>
      <c r="M1080" s="1175">
        <v>0</v>
      </c>
      <c r="N1080" s="1175">
        <v>0</v>
      </c>
      <c r="O1080" s="1175">
        <v>0</v>
      </c>
      <c r="AA1080"/>
      <c r="AB1080"/>
    </row>
    <row r="1081" spans="3:28" ht="13.5">
      <c r="C1081" s="1181" t="s">
        <v>5761</v>
      </c>
      <c r="D1081" s="1178">
        <v>0</v>
      </c>
      <c r="E1081" s="1178">
        <v>0</v>
      </c>
      <c r="F1081" s="1179">
        <v>0</v>
      </c>
      <c r="G1081" s="1189" t="s">
        <v>5761</v>
      </c>
      <c r="H1081" s="1176">
        <v>0</v>
      </c>
      <c r="I1081" s="1176">
        <v>1</v>
      </c>
      <c r="J1081" s="1190">
        <v>1</v>
      </c>
      <c r="K1081" s="1180"/>
      <c r="L1081" s="1174">
        <v>13095010900</v>
      </c>
      <c r="M1081" s="1175">
        <v>0</v>
      </c>
      <c r="N1081" s="1175">
        <v>1</v>
      </c>
      <c r="O1081" s="1175">
        <v>1</v>
      </c>
      <c r="AA1081"/>
      <c r="AB1081"/>
    </row>
    <row r="1082" spans="3:28" ht="13.5">
      <c r="C1082" s="1181" t="s">
        <v>5762</v>
      </c>
      <c r="D1082" s="1178">
        <v>0</v>
      </c>
      <c r="E1082" s="1178">
        <v>0</v>
      </c>
      <c r="F1082" s="1179">
        <v>0</v>
      </c>
      <c r="G1082" s="1189" t="s">
        <v>5762</v>
      </c>
      <c r="H1082" s="1176">
        <v>0</v>
      </c>
      <c r="I1082" s="1176">
        <v>0</v>
      </c>
      <c r="J1082" s="1190">
        <v>0</v>
      </c>
      <c r="K1082" s="1180"/>
      <c r="L1082" s="1174">
        <v>13095011000</v>
      </c>
      <c r="M1082" s="1175">
        <v>0</v>
      </c>
      <c r="N1082" s="1175">
        <v>0</v>
      </c>
      <c r="O1082" s="1175">
        <v>0</v>
      </c>
      <c r="AA1082"/>
      <c r="AB1082"/>
    </row>
    <row r="1083" spans="3:28" ht="13.5">
      <c r="C1083" s="1181" t="s">
        <v>5763</v>
      </c>
      <c r="D1083" s="1178">
        <v>0</v>
      </c>
      <c r="E1083" s="1178">
        <v>0</v>
      </c>
      <c r="F1083" s="1179">
        <v>0</v>
      </c>
      <c r="G1083" s="1189" t="s">
        <v>5763</v>
      </c>
      <c r="H1083" s="1176">
        <v>0</v>
      </c>
      <c r="I1083" s="1176">
        <v>0</v>
      </c>
      <c r="J1083" s="1190">
        <v>0</v>
      </c>
      <c r="K1083" s="1180"/>
      <c r="L1083" s="1174">
        <v>13095011200</v>
      </c>
      <c r="M1083" s="1175">
        <v>0</v>
      </c>
      <c r="N1083" s="1175">
        <v>0</v>
      </c>
      <c r="O1083" s="1175">
        <v>0</v>
      </c>
      <c r="AA1083"/>
      <c r="AB1083"/>
    </row>
    <row r="1084" spans="3:28" ht="13.5">
      <c r="C1084" s="1181" t="s">
        <v>5764</v>
      </c>
      <c r="D1084" s="1178">
        <v>0</v>
      </c>
      <c r="E1084" s="1178">
        <v>0</v>
      </c>
      <c r="F1084" s="1179">
        <v>0</v>
      </c>
      <c r="G1084" s="1189" t="s">
        <v>5764</v>
      </c>
      <c r="H1084" s="1176">
        <v>0</v>
      </c>
      <c r="I1084" s="1176">
        <v>0</v>
      </c>
      <c r="J1084" s="1190">
        <v>0</v>
      </c>
      <c r="K1084" s="1180"/>
      <c r="L1084" s="1174">
        <v>13095011300</v>
      </c>
      <c r="M1084" s="1175">
        <v>0</v>
      </c>
      <c r="N1084" s="1175">
        <v>0</v>
      </c>
      <c r="O1084" s="1175">
        <v>0</v>
      </c>
      <c r="AA1084"/>
      <c r="AB1084"/>
    </row>
    <row r="1085" spans="3:28" ht="13.5">
      <c r="C1085" s="1181" t="s">
        <v>5765</v>
      </c>
      <c r="D1085" s="1178">
        <v>0</v>
      </c>
      <c r="E1085" s="1178">
        <v>0</v>
      </c>
      <c r="F1085" s="1179">
        <v>0</v>
      </c>
      <c r="G1085" s="1189" t="s">
        <v>5765</v>
      </c>
      <c r="H1085" s="1176">
        <v>0</v>
      </c>
      <c r="I1085" s="1176">
        <v>0</v>
      </c>
      <c r="J1085" s="1190">
        <v>0</v>
      </c>
      <c r="K1085" s="1180"/>
      <c r="L1085" s="1174">
        <v>13095011400</v>
      </c>
      <c r="M1085" s="1175">
        <v>0</v>
      </c>
      <c r="N1085" s="1175">
        <v>0</v>
      </c>
      <c r="O1085" s="1175">
        <v>0</v>
      </c>
      <c r="AA1085"/>
      <c r="AB1085"/>
    </row>
    <row r="1086" spans="3:28" ht="13.5">
      <c r="C1086" s="1181" t="s">
        <v>5766</v>
      </c>
      <c r="D1086" s="1178">
        <v>0</v>
      </c>
      <c r="E1086" s="1178">
        <v>1</v>
      </c>
      <c r="F1086" s="1179">
        <v>1</v>
      </c>
      <c r="G1086" s="1189" t="s">
        <v>5766</v>
      </c>
      <c r="H1086" s="1176">
        <v>0</v>
      </c>
      <c r="I1086" s="1176">
        <v>0</v>
      </c>
      <c r="J1086" s="1190">
        <v>0</v>
      </c>
      <c r="K1086" s="1180"/>
      <c r="L1086" s="1174">
        <v>13095011600</v>
      </c>
      <c r="M1086" s="1175">
        <v>0</v>
      </c>
      <c r="N1086" s="1175">
        <v>1</v>
      </c>
      <c r="O1086" s="1175">
        <v>1</v>
      </c>
      <c r="AA1086"/>
      <c r="AB1086"/>
    </row>
    <row r="1087" spans="3:28" ht="13.5">
      <c r="C1087" s="1181" t="s">
        <v>5767</v>
      </c>
      <c r="D1087" s="1178">
        <v>0</v>
      </c>
      <c r="E1087" s="1178">
        <v>1</v>
      </c>
      <c r="F1087" s="1179">
        <v>1</v>
      </c>
      <c r="G1087" s="1189" t="s">
        <v>5767</v>
      </c>
      <c r="H1087" s="1176">
        <v>1</v>
      </c>
      <c r="I1087" s="1176">
        <v>1</v>
      </c>
      <c r="J1087" s="1190">
        <v>2</v>
      </c>
      <c r="K1087" s="1180"/>
      <c r="L1087" s="1174">
        <v>13097080102</v>
      </c>
      <c r="M1087" s="1175">
        <v>1</v>
      </c>
      <c r="N1087" s="1175">
        <v>1</v>
      </c>
      <c r="O1087" s="1175">
        <v>2</v>
      </c>
      <c r="AA1087"/>
      <c r="AB1087"/>
    </row>
    <row r="1088" spans="3:28" ht="13.5">
      <c r="C1088" s="1181" t="s">
        <v>5768</v>
      </c>
      <c r="D1088" s="1178">
        <v>0</v>
      </c>
      <c r="E1088" s="1178">
        <v>0</v>
      </c>
      <c r="F1088" s="1179">
        <v>0</v>
      </c>
      <c r="G1088" s="1189" t="s">
        <v>5768</v>
      </c>
      <c r="H1088" s="1176">
        <v>1</v>
      </c>
      <c r="I1088" s="1176">
        <v>0</v>
      </c>
      <c r="J1088" s="1190">
        <v>1</v>
      </c>
      <c r="K1088" s="1180"/>
      <c r="L1088" s="1174">
        <v>13097080103</v>
      </c>
      <c r="M1088" s="1175">
        <v>1</v>
      </c>
      <c r="N1088" s="1175">
        <v>0</v>
      </c>
      <c r="O1088" s="1175">
        <v>1</v>
      </c>
      <c r="AA1088"/>
      <c r="AB1088"/>
    </row>
    <row r="1089" spans="3:28" ht="13.5">
      <c r="C1089" s="1181" t="s">
        <v>5769</v>
      </c>
      <c r="D1089" s="1178">
        <v>0</v>
      </c>
      <c r="E1089" s="1178">
        <v>1</v>
      </c>
      <c r="F1089" s="1179">
        <v>1</v>
      </c>
      <c r="G1089" s="1189" t="s">
        <v>5769</v>
      </c>
      <c r="H1089" s="1176">
        <v>0</v>
      </c>
      <c r="I1089" s="1176">
        <v>0</v>
      </c>
      <c r="J1089" s="1190">
        <v>0</v>
      </c>
      <c r="K1089" s="1180"/>
      <c r="L1089" s="1174">
        <v>13097080201</v>
      </c>
      <c r="M1089" s="1175">
        <v>0</v>
      </c>
      <c r="N1089" s="1175">
        <v>1</v>
      </c>
      <c r="O1089" s="1175">
        <v>1</v>
      </c>
      <c r="AA1089"/>
      <c r="AB1089"/>
    </row>
    <row r="1090" spans="3:28" ht="13.5">
      <c r="C1090" s="1181" t="s">
        <v>5770</v>
      </c>
      <c r="D1090" s="1178">
        <v>0</v>
      </c>
      <c r="E1090" s="1178">
        <v>0</v>
      </c>
      <c r="F1090" s="1179">
        <v>0</v>
      </c>
      <c r="G1090" s="1189" t="s">
        <v>5770</v>
      </c>
      <c r="H1090" s="1176">
        <v>0</v>
      </c>
      <c r="I1090" s="1176">
        <v>0</v>
      </c>
      <c r="J1090" s="1190">
        <v>0</v>
      </c>
      <c r="K1090" s="1180"/>
      <c r="L1090" s="1174">
        <v>13097080202</v>
      </c>
      <c r="M1090" s="1175">
        <v>0</v>
      </c>
      <c r="N1090" s="1175">
        <v>0</v>
      </c>
      <c r="O1090" s="1175">
        <v>0</v>
      </c>
      <c r="AA1090"/>
      <c r="AB1090"/>
    </row>
    <row r="1091" spans="3:28" ht="13.5">
      <c r="C1091" s="1181" t="s">
        <v>5771</v>
      </c>
      <c r="D1091" s="1178">
        <v>0</v>
      </c>
      <c r="E1091" s="1178">
        <v>0</v>
      </c>
      <c r="F1091" s="1179">
        <v>0</v>
      </c>
      <c r="G1091" s="1189" t="s">
        <v>5771</v>
      </c>
      <c r="H1091" s="1176">
        <v>0</v>
      </c>
      <c r="I1091" s="1176">
        <v>0</v>
      </c>
      <c r="J1091" s="1190">
        <v>0</v>
      </c>
      <c r="K1091" s="1180"/>
      <c r="L1091" s="1174">
        <v>13097080301</v>
      </c>
      <c r="M1091" s="1175">
        <v>0</v>
      </c>
      <c r="N1091" s="1175">
        <v>0</v>
      </c>
      <c r="O1091" s="1175">
        <v>0</v>
      </c>
      <c r="AA1091"/>
      <c r="AB1091"/>
    </row>
    <row r="1092" spans="3:28" ht="13.5">
      <c r="C1092" s="1181" t="s">
        <v>5772</v>
      </c>
      <c r="D1092" s="1178">
        <v>0</v>
      </c>
      <c r="E1092" s="1178">
        <v>0</v>
      </c>
      <c r="F1092" s="1179">
        <v>0</v>
      </c>
      <c r="G1092" s="1189" t="s">
        <v>5772</v>
      </c>
      <c r="H1092" s="1176">
        <v>1</v>
      </c>
      <c r="I1092" s="1176">
        <v>0</v>
      </c>
      <c r="J1092" s="1190">
        <v>1</v>
      </c>
      <c r="K1092" s="1180"/>
      <c r="L1092" s="1174">
        <v>13097080303</v>
      </c>
      <c r="M1092" s="1175">
        <v>1</v>
      </c>
      <c r="N1092" s="1175">
        <v>0</v>
      </c>
      <c r="O1092" s="1175">
        <v>1</v>
      </c>
      <c r="AA1092"/>
      <c r="AB1092"/>
    </row>
    <row r="1093" spans="3:28" ht="13.5">
      <c r="C1093" s="1181" t="s">
        <v>5773</v>
      </c>
      <c r="D1093" s="1178">
        <v>0</v>
      </c>
      <c r="E1093" s="1178">
        <v>0</v>
      </c>
      <c r="F1093" s="1179">
        <v>0</v>
      </c>
      <c r="G1093" s="1189" t="s">
        <v>5773</v>
      </c>
      <c r="H1093" s="1176">
        <v>0</v>
      </c>
      <c r="I1093" s="1176">
        <v>0</v>
      </c>
      <c r="J1093" s="1190">
        <v>0</v>
      </c>
      <c r="K1093" s="1180"/>
      <c r="L1093" s="1174">
        <v>13097080304</v>
      </c>
      <c r="M1093" s="1175">
        <v>0</v>
      </c>
      <c r="N1093" s="1175">
        <v>0</v>
      </c>
      <c r="O1093" s="1175">
        <v>0</v>
      </c>
      <c r="AA1093"/>
      <c r="AB1093"/>
    </row>
    <row r="1094" spans="3:28" ht="13.5">
      <c r="C1094" s="1181" t="s">
        <v>5774</v>
      </c>
      <c r="D1094" s="1178">
        <v>1</v>
      </c>
      <c r="E1094" s="1178">
        <v>1</v>
      </c>
      <c r="F1094" s="1179">
        <v>2</v>
      </c>
      <c r="G1094" s="1189" t="s">
        <v>5774</v>
      </c>
      <c r="H1094" s="1176">
        <v>1</v>
      </c>
      <c r="I1094" s="1176">
        <v>1</v>
      </c>
      <c r="J1094" s="1190">
        <v>2</v>
      </c>
      <c r="K1094" s="1180"/>
      <c r="L1094" s="1174">
        <v>13097080402</v>
      </c>
      <c r="M1094" s="1175">
        <v>1</v>
      </c>
      <c r="N1094" s="1175">
        <v>1</v>
      </c>
      <c r="O1094" s="1175">
        <v>2</v>
      </c>
      <c r="AA1094"/>
      <c r="AB1094"/>
    </row>
    <row r="1095" spans="3:28" ht="13.5">
      <c r="C1095" s="1181" t="s">
        <v>5775</v>
      </c>
      <c r="D1095" s="1178">
        <v>1</v>
      </c>
      <c r="E1095" s="1178">
        <v>1</v>
      </c>
      <c r="F1095" s="1179">
        <v>2</v>
      </c>
      <c r="G1095" s="1189" t="s">
        <v>5775</v>
      </c>
      <c r="H1095" s="1176">
        <v>1</v>
      </c>
      <c r="I1095" s="1176">
        <v>1</v>
      </c>
      <c r="J1095" s="1190">
        <v>2</v>
      </c>
      <c r="K1095" s="1180"/>
      <c r="L1095" s="1174">
        <v>13097080403</v>
      </c>
      <c r="M1095" s="1175">
        <v>1</v>
      </c>
      <c r="N1095" s="1175">
        <v>1</v>
      </c>
      <c r="O1095" s="1175">
        <v>2</v>
      </c>
      <c r="AA1095"/>
      <c r="AB1095"/>
    </row>
    <row r="1096" spans="3:28" ht="13.5">
      <c r="C1096" s="1181" t="s">
        <v>5776</v>
      </c>
      <c r="D1096" s="1178">
        <v>0</v>
      </c>
      <c r="E1096" s="1178">
        <v>0</v>
      </c>
      <c r="F1096" s="1179">
        <v>0</v>
      </c>
      <c r="G1096" s="1189" t="s">
        <v>5776</v>
      </c>
      <c r="H1096" s="1176">
        <v>0</v>
      </c>
      <c r="I1096" s="1176">
        <v>0</v>
      </c>
      <c r="J1096" s="1190">
        <v>0</v>
      </c>
      <c r="K1096" s="1180"/>
      <c r="L1096" s="1174">
        <v>13097080404</v>
      </c>
      <c r="M1096" s="1175">
        <v>0</v>
      </c>
      <c r="N1096" s="1175">
        <v>0</v>
      </c>
      <c r="O1096" s="1175">
        <v>0</v>
      </c>
      <c r="AA1096"/>
      <c r="AB1096"/>
    </row>
    <row r="1097" spans="3:28" ht="13.5">
      <c r="C1097" s="1181" t="s">
        <v>5777</v>
      </c>
      <c r="D1097" s="1178">
        <v>0</v>
      </c>
      <c r="E1097" s="1178">
        <v>1</v>
      </c>
      <c r="F1097" s="1179">
        <v>1</v>
      </c>
      <c r="G1097" s="1189" t="s">
        <v>5777</v>
      </c>
      <c r="H1097" s="1176">
        <v>0</v>
      </c>
      <c r="I1097" s="1176">
        <v>0</v>
      </c>
      <c r="J1097" s="1190">
        <v>0</v>
      </c>
      <c r="K1097" s="1180"/>
      <c r="L1097" s="1174">
        <v>13097080505</v>
      </c>
      <c r="M1097" s="1175">
        <v>0</v>
      </c>
      <c r="N1097" s="1175">
        <v>1</v>
      </c>
      <c r="O1097" s="1175">
        <v>1</v>
      </c>
      <c r="AA1097"/>
      <c r="AB1097"/>
    </row>
    <row r="1098" spans="3:28" ht="13.5">
      <c r="C1098" s="1181" t="s">
        <v>5778</v>
      </c>
      <c r="D1098" s="1178">
        <v>1</v>
      </c>
      <c r="E1098" s="1178">
        <v>1</v>
      </c>
      <c r="F1098" s="1179">
        <v>2</v>
      </c>
      <c r="G1098" s="1189" t="s">
        <v>5778</v>
      </c>
      <c r="H1098" s="1176">
        <v>0</v>
      </c>
      <c r="I1098" s="1176">
        <v>0</v>
      </c>
      <c r="J1098" s="1190">
        <v>0</v>
      </c>
      <c r="K1098" s="1180"/>
      <c r="L1098" s="1174">
        <v>13097080506</v>
      </c>
      <c r="M1098" s="1175">
        <v>1</v>
      </c>
      <c r="N1098" s="1175">
        <v>1</v>
      </c>
      <c r="O1098" s="1175">
        <v>2</v>
      </c>
      <c r="AA1098"/>
      <c r="AB1098"/>
    </row>
    <row r="1099" spans="3:28" ht="13.5">
      <c r="C1099" s="1181" t="s">
        <v>5779</v>
      </c>
      <c r="D1099" s="1178">
        <v>1</v>
      </c>
      <c r="E1099" s="1178">
        <v>1</v>
      </c>
      <c r="F1099" s="1179">
        <v>2</v>
      </c>
      <c r="G1099" s="1189" t="s">
        <v>5779</v>
      </c>
      <c r="H1099" s="1176">
        <v>1</v>
      </c>
      <c r="I1099" s="1176">
        <v>0</v>
      </c>
      <c r="J1099" s="1190">
        <v>1</v>
      </c>
      <c r="K1099" s="1180"/>
      <c r="L1099" s="1174">
        <v>13097080507</v>
      </c>
      <c r="M1099" s="1175">
        <v>1</v>
      </c>
      <c r="N1099" s="1175">
        <v>1</v>
      </c>
      <c r="O1099" s="1175">
        <v>2</v>
      </c>
      <c r="AA1099"/>
      <c r="AB1099"/>
    </row>
    <row r="1100" spans="3:28" ht="13.5">
      <c r="C1100" s="1181" t="s">
        <v>5780</v>
      </c>
      <c r="D1100" s="1178">
        <v>0</v>
      </c>
      <c r="E1100" s="1178">
        <v>1</v>
      </c>
      <c r="F1100" s="1179">
        <v>1</v>
      </c>
      <c r="G1100" s="1189" t="s">
        <v>5780</v>
      </c>
      <c r="H1100" s="1176">
        <v>0</v>
      </c>
      <c r="I1100" s="1176">
        <v>0</v>
      </c>
      <c r="J1100" s="1190">
        <v>0</v>
      </c>
      <c r="K1100" s="1180"/>
      <c r="L1100" s="1174">
        <v>13097080508</v>
      </c>
      <c r="M1100" s="1175">
        <v>0</v>
      </c>
      <c r="N1100" s="1175">
        <v>1</v>
      </c>
      <c r="O1100" s="1175">
        <v>1</v>
      </c>
      <c r="AA1100"/>
      <c r="AB1100"/>
    </row>
    <row r="1101" spans="3:28" ht="13.5">
      <c r="C1101" s="1181" t="s">
        <v>5781</v>
      </c>
      <c r="D1101" s="1178">
        <v>1</v>
      </c>
      <c r="E1101" s="1178">
        <v>1</v>
      </c>
      <c r="F1101" s="1179">
        <v>2</v>
      </c>
      <c r="G1101" s="1189" t="s">
        <v>5781</v>
      </c>
      <c r="H1101" s="1176">
        <v>1</v>
      </c>
      <c r="I1101" s="1176">
        <v>1</v>
      </c>
      <c r="J1101" s="1190">
        <v>2</v>
      </c>
      <c r="K1101" s="1180"/>
      <c r="L1101" s="1174">
        <v>13097080509</v>
      </c>
      <c r="M1101" s="1175">
        <v>1</v>
      </c>
      <c r="N1101" s="1175">
        <v>1</v>
      </c>
      <c r="O1101" s="1175">
        <v>2</v>
      </c>
      <c r="AA1101"/>
      <c r="AB1101"/>
    </row>
    <row r="1102" spans="3:28" ht="13.5">
      <c r="C1102" s="1181" t="s">
        <v>5782</v>
      </c>
      <c r="D1102" s="1178">
        <v>1</v>
      </c>
      <c r="E1102" s="1178">
        <v>1</v>
      </c>
      <c r="F1102" s="1179">
        <v>2</v>
      </c>
      <c r="G1102" s="1189" t="s">
        <v>5782</v>
      </c>
      <c r="H1102" s="1176">
        <v>0</v>
      </c>
      <c r="I1102" s="1176">
        <v>1</v>
      </c>
      <c r="J1102" s="1190">
        <v>1</v>
      </c>
      <c r="K1102" s="1180"/>
      <c r="L1102" s="1174">
        <v>13097080510</v>
      </c>
      <c r="M1102" s="1175">
        <v>1</v>
      </c>
      <c r="N1102" s="1175">
        <v>1</v>
      </c>
      <c r="O1102" s="1175">
        <v>2</v>
      </c>
      <c r="AA1102"/>
      <c r="AB1102"/>
    </row>
    <row r="1103" spans="3:28" ht="13.5">
      <c r="C1103" s="1181" t="s">
        <v>5783</v>
      </c>
      <c r="D1103" s="1178">
        <v>1</v>
      </c>
      <c r="E1103" s="1178">
        <v>1</v>
      </c>
      <c r="F1103" s="1179">
        <v>2</v>
      </c>
      <c r="G1103" s="1189" t="s">
        <v>5783</v>
      </c>
      <c r="H1103" s="1176">
        <v>1</v>
      </c>
      <c r="I1103" s="1176">
        <v>1</v>
      </c>
      <c r="J1103" s="1190">
        <v>2</v>
      </c>
      <c r="K1103" s="1180"/>
      <c r="L1103" s="1174">
        <v>13097080511</v>
      </c>
      <c r="M1103" s="1175">
        <v>1</v>
      </c>
      <c r="N1103" s="1175">
        <v>1</v>
      </c>
      <c r="O1103" s="1175">
        <v>2</v>
      </c>
      <c r="AA1103"/>
      <c r="AB1103"/>
    </row>
    <row r="1104" spans="3:28" ht="13.5">
      <c r="C1104" s="1181" t="s">
        <v>5784</v>
      </c>
      <c r="D1104" s="1178">
        <v>1</v>
      </c>
      <c r="E1104" s="1178">
        <v>1</v>
      </c>
      <c r="F1104" s="1179">
        <v>2</v>
      </c>
      <c r="G1104" s="1189" t="s">
        <v>5784</v>
      </c>
      <c r="H1104" s="1176">
        <v>1</v>
      </c>
      <c r="I1104" s="1176">
        <v>1</v>
      </c>
      <c r="J1104" s="1190">
        <v>1</v>
      </c>
      <c r="K1104" s="1180"/>
      <c r="L1104" s="1174">
        <v>13097080602</v>
      </c>
      <c r="M1104" s="1175">
        <v>1</v>
      </c>
      <c r="N1104" s="1175">
        <v>1</v>
      </c>
      <c r="O1104" s="1175">
        <v>2</v>
      </c>
      <c r="AA1104"/>
      <c r="AB1104"/>
    </row>
    <row r="1105" spans="3:28" ht="13.5">
      <c r="C1105" s="1181" t="s">
        <v>5785</v>
      </c>
      <c r="D1105" s="1178">
        <v>1</v>
      </c>
      <c r="E1105" s="1178">
        <v>1</v>
      </c>
      <c r="F1105" s="1179">
        <v>2</v>
      </c>
      <c r="G1105" s="1189" t="s">
        <v>5785</v>
      </c>
      <c r="H1105" s="1176">
        <v>1</v>
      </c>
      <c r="I1105" s="1176">
        <v>0</v>
      </c>
      <c r="J1105" s="1190">
        <v>1</v>
      </c>
      <c r="K1105" s="1180"/>
      <c r="L1105" s="1174">
        <v>13097080603</v>
      </c>
      <c r="M1105" s="1175">
        <v>1</v>
      </c>
      <c r="N1105" s="1175">
        <v>1</v>
      </c>
      <c r="O1105" s="1175">
        <v>2</v>
      </c>
      <c r="AA1105"/>
      <c r="AB1105"/>
    </row>
    <row r="1106" spans="3:28" ht="13.5">
      <c r="C1106" s="1181" t="s">
        <v>5786</v>
      </c>
      <c r="D1106" s="1178">
        <v>1</v>
      </c>
      <c r="E1106" s="1178">
        <v>1</v>
      </c>
      <c r="F1106" s="1179">
        <v>2</v>
      </c>
      <c r="G1106" s="1189" t="s">
        <v>5786</v>
      </c>
      <c r="H1106" s="1176">
        <v>1</v>
      </c>
      <c r="I1106" s="1176">
        <v>0</v>
      </c>
      <c r="J1106" s="1190">
        <v>1</v>
      </c>
      <c r="K1106" s="1180"/>
      <c r="L1106" s="1174">
        <v>13097080604</v>
      </c>
      <c r="M1106" s="1175">
        <v>1</v>
      </c>
      <c r="N1106" s="1175">
        <v>1</v>
      </c>
      <c r="O1106" s="1175">
        <v>2</v>
      </c>
      <c r="AA1106"/>
      <c r="AB1106"/>
    </row>
    <row r="1107" spans="3:28" ht="13.5">
      <c r="C1107" s="1181" t="s">
        <v>5787</v>
      </c>
      <c r="D1107" s="1178">
        <v>0</v>
      </c>
      <c r="E1107" s="1178">
        <v>0</v>
      </c>
      <c r="F1107" s="1179">
        <v>0</v>
      </c>
      <c r="G1107" s="1189" t="s">
        <v>5787</v>
      </c>
      <c r="H1107" s="1176">
        <v>0</v>
      </c>
      <c r="I1107" s="1176">
        <v>0</v>
      </c>
      <c r="J1107" s="1190">
        <v>0</v>
      </c>
      <c r="K1107" s="1180"/>
      <c r="L1107" s="1174">
        <v>13099090100</v>
      </c>
      <c r="M1107" s="1175">
        <v>0</v>
      </c>
      <c r="N1107" s="1175">
        <v>0</v>
      </c>
      <c r="O1107" s="1175">
        <v>0</v>
      </c>
      <c r="AA1107"/>
      <c r="AB1107"/>
    </row>
    <row r="1108" spans="3:28" ht="13.5">
      <c r="C1108" s="1181" t="s">
        <v>5788</v>
      </c>
      <c r="D1108" s="1178">
        <v>0</v>
      </c>
      <c r="E1108" s="1178">
        <v>0</v>
      </c>
      <c r="F1108" s="1179">
        <v>0</v>
      </c>
      <c r="G1108" s="1189" t="s">
        <v>5788</v>
      </c>
      <c r="H1108" s="1176">
        <v>0</v>
      </c>
      <c r="I1108" s="1176">
        <v>0</v>
      </c>
      <c r="J1108" s="1190">
        <v>0</v>
      </c>
      <c r="K1108" s="1180"/>
      <c r="L1108" s="1174">
        <v>13099090200</v>
      </c>
      <c r="M1108" s="1175">
        <v>0</v>
      </c>
      <c r="N1108" s="1175">
        <v>0</v>
      </c>
      <c r="O1108" s="1175">
        <v>0</v>
      </c>
      <c r="AA1108"/>
      <c r="AB1108"/>
    </row>
    <row r="1109" spans="3:28" ht="13.5">
      <c r="C1109" s="1181" t="s">
        <v>5789</v>
      </c>
      <c r="D1109" s="1178">
        <v>1</v>
      </c>
      <c r="E1109" s="1178">
        <v>0</v>
      </c>
      <c r="F1109" s="1179">
        <v>1</v>
      </c>
      <c r="G1109" s="1189" t="s">
        <v>5789</v>
      </c>
      <c r="H1109" s="1176">
        <v>0</v>
      </c>
      <c r="I1109" s="1176">
        <v>0</v>
      </c>
      <c r="J1109" s="1190">
        <v>0</v>
      </c>
      <c r="K1109" s="1180"/>
      <c r="L1109" s="1174">
        <v>13099090300</v>
      </c>
      <c r="M1109" s="1175">
        <v>1</v>
      </c>
      <c r="N1109" s="1175">
        <v>0</v>
      </c>
      <c r="O1109" s="1175">
        <v>1</v>
      </c>
      <c r="AA1109"/>
      <c r="AB1109"/>
    </row>
    <row r="1110" spans="3:28" ht="13.5">
      <c r="C1110" s="1181" t="s">
        <v>5790</v>
      </c>
      <c r="D1110" s="1178">
        <v>0</v>
      </c>
      <c r="E1110" s="1178">
        <v>0</v>
      </c>
      <c r="F1110" s="1179">
        <v>0</v>
      </c>
      <c r="G1110" s="1189" t="s">
        <v>5790</v>
      </c>
      <c r="H1110" s="1176">
        <v>0</v>
      </c>
      <c r="I1110" s="1176">
        <v>0</v>
      </c>
      <c r="J1110" s="1190">
        <v>0</v>
      </c>
      <c r="K1110" s="1180"/>
      <c r="L1110" s="1174">
        <v>13099090400</v>
      </c>
      <c r="M1110" s="1175">
        <v>0</v>
      </c>
      <c r="N1110" s="1175">
        <v>0</v>
      </c>
      <c r="O1110" s="1175">
        <v>0</v>
      </c>
      <c r="AA1110"/>
      <c r="AB1110"/>
    </row>
    <row r="1111" spans="3:28" ht="13.5">
      <c r="C1111" s="1181" t="s">
        <v>5791</v>
      </c>
      <c r="D1111" s="1178">
        <v>0</v>
      </c>
      <c r="E1111" s="1178">
        <v>0</v>
      </c>
      <c r="F1111" s="1179">
        <v>0</v>
      </c>
      <c r="G1111" s="1189" t="s">
        <v>5791</v>
      </c>
      <c r="H1111" s="1176">
        <v>0</v>
      </c>
      <c r="I1111" s="1176">
        <v>0</v>
      </c>
      <c r="J1111" s="1190">
        <v>0</v>
      </c>
      <c r="K1111" s="1180"/>
      <c r="L1111" s="1174">
        <v>13099090500</v>
      </c>
      <c r="M1111" s="1175">
        <v>0</v>
      </c>
      <c r="N1111" s="1175">
        <v>0</v>
      </c>
      <c r="O1111" s="1175">
        <v>0</v>
      </c>
      <c r="AA1111"/>
      <c r="AB1111"/>
    </row>
    <row r="1112" spans="3:28" ht="13.5">
      <c r="C1112" s="1181" t="s">
        <v>5792</v>
      </c>
      <c r="D1112" s="1178">
        <v>0</v>
      </c>
      <c r="E1112" s="1178">
        <v>0</v>
      </c>
      <c r="F1112" s="1179">
        <v>0</v>
      </c>
      <c r="G1112" s="1189" t="s">
        <v>5792</v>
      </c>
      <c r="H1112" s="1176">
        <v>0</v>
      </c>
      <c r="I1112" s="1176">
        <v>0</v>
      </c>
      <c r="J1112" s="1190">
        <v>0</v>
      </c>
      <c r="K1112" s="1180"/>
      <c r="L1112" s="1174">
        <v>13101880100</v>
      </c>
      <c r="M1112" s="1175">
        <v>0</v>
      </c>
      <c r="N1112" s="1175">
        <v>0</v>
      </c>
      <c r="O1112" s="1175">
        <v>0</v>
      </c>
      <c r="AA1112"/>
      <c r="AB1112"/>
    </row>
    <row r="1113" spans="3:28" ht="13.5">
      <c r="C1113" s="1181" t="s">
        <v>5793</v>
      </c>
      <c r="D1113" s="1178">
        <v>0</v>
      </c>
      <c r="E1113" s="1178">
        <v>0</v>
      </c>
      <c r="F1113" s="1179">
        <v>0</v>
      </c>
      <c r="G1113" s="1189" t="s">
        <v>5793</v>
      </c>
      <c r="H1113" s="1176">
        <v>0</v>
      </c>
      <c r="I1113" s="1176">
        <v>0</v>
      </c>
      <c r="J1113" s="1190">
        <v>0</v>
      </c>
      <c r="K1113" s="1180"/>
      <c r="L1113" s="1174">
        <v>13101880200</v>
      </c>
      <c r="M1113" s="1175">
        <v>0</v>
      </c>
      <c r="N1113" s="1175">
        <v>0</v>
      </c>
      <c r="O1113" s="1175">
        <v>0</v>
      </c>
      <c r="AA1113"/>
      <c r="AB1113"/>
    </row>
    <row r="1114" spans="3:28" ht="13.5">
      <c r="C1114" s="1181" t="s">
        <v>5794</v>
      </c>
      <c r="D1114" s="1178">
        <v>1</v>
      </c>
      <c r="E1114" s="1178">
        <v>1</v>
      </c>
      <c r="F1114" s="1179">
        <v>2</v>
      </c>
      <c r="G1114" s="1189" t="s">
        <v>5794</v>
      </c>
      <c r="H1114" s="1176">
        <v>0</v>
      </c>
      <c r="I1114" s="1176">
        <v>0</v>
      </c>
      <c r="J1114" s="1190">
        <v>0</v>
      </c>
      <c r="K1114" s="1180"/>
      <c r="L1114" s="1174">
        <v>13103030100</v>
      </c>
      <c r="M1114" s="1175">
        <v>1</v>
      </c>
      <c r="N1114" s="1175">
        <v>1</v>
      </c>
      <c r="O1114" s="1175">
        <v>2</v>
      </c>
      <c r="AA1114"/>
      <c r="AB1114"/>
    </row>
    <row r="1115" spans="3:28" ht="13.5">
      <c r="C1115" s="1181" t="s">
        <v>5795</v>
      </c>
      <c r="D1115" s="1178">
        <v>1</v>
      </c>
      <c r="E1115" s="1178">
        <v>1</v>
      </c>
      <c r="F1115" s="1179">
        <v>2</v>
      </c>
      <c r="G1115" s="1189" t="s">
        <v>5795</v>
      </c>
      <c r="H1115" s="1176">
        <v>1</v>
      </c>
      <c r="I1115" s="1176">
        <v>0</v>
      </c>
      <c r="J1115" s="1190">
        <v>1</v>
      </c>
      <c r="K1115" s="1180"/>
      <c r="L1115" s="1174">
        <v>13103030202</v>
      </c>
      <c r="M1115" s="1175">
        <v>1</v>
      </c>
      <c r="N1115" s="1175">
        <v>1</v>
      </c>
      <c r="O1115" s="1175">
        <v>2</v>
      </c>
      <c r="AA1115"/>
      <c r="AB1115"/>
    </row>
    <row r="1116" spans="3:28" ht="13.5">
      <c r="C1116" s="1181" t="s">
        <v>5796</v>
      </c>
      <c r="D1116" s="1178">
        <v>1</v>
      </c>
      <c r="E1116" s="1178">
        <v>1</v>
      </c>
      <c r="F1116" s="1179">
        <v>2</v>
      </c>
      <c r="G1116" s="1189" t="s">
        <v>5796</v>
      </c>
      <c r="H1116" s="1176">
        <v>1</v>
      </c>
      <c r="I1116" s="1176">
        <v>0</v>
      </c>
      <c r="J1116" s="1190">
        <v>1</v>
      </c>
      <c r="K1116" s="1180"/>
      <c r="L1116" s="1174">
        <v>13103030203</v>
      </c>
      <c r="M1116" s="1175">
        <v>1</v>
      </c>
      <c r="N1116" s="1175">
        <v>1</v>
      </c>
      <c r="O1116" s="1175">
        <v>2</v>
      </c>
      <c r="AA1116"/>
      <c r="AB1116"/>
    </row>
    <row r="1117" spans="3:28" ht="13.5">
      <c r="C1117" s="1181" t="s">
        <v>5797</v>
      </c>
      <c r="D1117" s="1178">
        <v>0</v>
      </c>
      <c r="E1117" s="1178">
        <v>0</v>
      </c>
      <c r="F1117" s="1179">
        <v>0</v>
      </c>
      <c r="G1117" s="1189" t="s">
        <v>5797</v>
      </c>
      <c r="H1117" s="1176">
        <v>0</v>
      </c>
      <c r="I1117" s="1176">
        <v>1</v>
      </c>
      <c r="J1117" s="1190">
        <v>1</v>
      </c>
      <c r="K1117" s="1180"/>
      <c r="L1117" s="1174">
        <v>13103030204</v>
      </c>
      <c r="M1117" s="1175">
        <v>0</v>
      </c>
      <c r="N1117" s="1175">
        <v>1</v>
      </c>
      <c r="O1117" s="1175">
        <v>1</v>
      </c>
      <c r="AA1117"/>
      <c r="AB1117"/>
    </row>
    <row r="1118" spans="3:28" ht="13.5">
      <c r="C1118" s="1181" t="s">
        <v>5798</v>
      </c>
      <c r="D1118" s="1178">
        <v>1</v>
      </c>
      <c r="E1118" s="1178">
        <v>1</v>
      </c>
      <c r="F1118" s="1179">
        <v>2</v>
      </c>
      <c r="G1118" s="1189" t="s">
        <v>5798</v>
      </c>
      <c r="H1118" s="1176">
        <v>1</v>
      </c>
      <c r="I1118" s="1176">
        <v>1</v>
      </c>
      <c r="J1118" s="1190">
        <v>2</v>
      </c>
      <c r="K1118" s="1180"/>
      <c r="L1118" s="1174">
        <v>13103030301</v>
      </c>
      <c r="M1118" s="1175">
        <v>1</v>
      </c>
      <c r="N1118" s="1175">
        <v>1</v>
      </c>
      <c r="O1118" s="1175">
        <v>2</v>
      </c>
      <c r="AA1118"/>
      <c r="AB1118"/>
    </row>
    <row r="1119" spans="3:28" ht="13.5">
      <c r="C1119" s="1181" t="s">
        <v>5799</v>
      </c>
      <c r="D1119" s="1178">
        <v>0</v>
      </c>
      <c r="E1119" s="1178">
        <v>1</v>
      </c>
      <c r="F1119" s="1179">
        <v>1</v>
      </c>
      <c r="G1119" s="1189" t="s">
        <v>5799</v>
      </c>
      <c r="H1119" s="1176">
        <v>1</v>
      </c>
      <c r="I1119" s="1176">
        <v>0</v>
      </c>
      <c r="J1119" s="1190">
        <v>1</v>
      </c>
      <c r="K1119" s="1180"/>
      <c r="L1119" s="1174">
        <v>13103030303</v>
      </c>
      <c r="M1119" s="1175">
        <v>1</v>
      </c>
      <c r="N1119" s="1175">
        <v>1</v>
      </c>
      <c r="O1119" s="1175">
        <v>1</v>
      </c>
      <c r="AA1119"/>
      <c r="AB1119"/>
    </row>
    <row r="1120" spans="3:28" ht="13.5">
      <c r="C1120" s="1181" t="s">
        <v>5800</v>
      </c>
      <c r="D1120" s="1178">
        <v>1</v>
      </c>
      <c r="E1120" s="1178">
        <v>1</v>
      </c>
      <c r="F1120" s="1179">
        <v>2</v>
      </c>
      <c r="G1120" s="1189" t="s">
        <v>5800</v>
      </c>
      <c r="H1120" s="1176">
        <v>1</v>
      </c>
      <c r="I1120" s="1176">
        <v>0</v>
      </c>
      <c r="J1120" s="1190">
        <v>1</v>
      </c>
      <c r="K1120" s="1180"/>
      <c r="L1120" s="1174">
        <v>13103030304</v>
      </c>
      <c r="M1120" s="1175">
        <v>1</v>
      </c>
      <c r="N1120" s="1175">
        <v>1</v>
      </c>
      <c r="O1120" s="1175">
        <v>2</v>
      </c>
      <c r="AA1120"/>
      <c r="AB1120"/>
    </row>
    <row r="1121" spans="3:28" ht="13.5">
      <c r="C1121" s="1181" t="s">
        <v>5801</v>
      </c>
      <c r="D1121" s="1178">
        <v>1</v>
      </c>
      <c r="E1121" s="1178">
        <v>1</v>
      </c>
      <c r="F1121" s="1179">
        <v>2</v>
      </c>
      <c r="G1121" s="1189" t="s">
        <v>5801</v>
      </c>
      <c r="H1121" s="1176">
        <v>1</v>
      </c>
      <c r="I1121" s="1176">
        <v>1</v>
      </c>
      <c r="J1121" s="1190">
        <v>2</v>
      </c>
      <c r="K1121" s="1180"/>
      <c r="L1121" s="1174">
        <v>13103030305</v>
      </c>
      <c r="M1121" s="1175">
        <v>1</v>
      </c>
      <c r="N1121" s="1175">
        <v>1</v>
      </c>
      <c r="O1121" s="1175">
        <v>2</v>
      </c>
      <c r="AA1121"/>
      <c r="AB1121"/>
    </row>
    <row r="1122" spans="3:28" ht="13.5">
      <c r="C1122" s="1181" t="s">
        <v>5802</v>
      </c>
      <c r="D1122" s="1178">
        <v>1</v>
      </c>
      <c r="E1122" s="1178">
        <v>1</v>
      </c>
      <c r="F1122" s="1179">
        <v>2</v>
      </c>
      <c r="G1122" s="1189" t="s">
        <v>5802</v>
      </c>
      <c r="H1122" s="1176">
        <v>1</v>
      </c>
      <c r="I1122" s="1176">
        <v>1</v>
      </c>
      <c r="J1122" s="1190">
        <v>2</v>
      </c>
      <c r="K1122" s="1180"/>
      <c r="L1122" s="1174">
        <v>13103030401</v>
      </c>
      <c r="M1122" s="1175">
        <v>1</v>
      </c>
      <c r="N1122" s="1175">
        <v>1</v>
      </c>
      <c r="O1122" s="1175">
        <v>2</v>
      </c>
      <c r="AA1122"/>
      <c r="AB1122"/>
    </row>
    <row r="1123" spans="3:28" ht="13.5">
      <c r="C1123" s="1181" t="s">
        <v>5803</v>
      </c>
      <c r="D1123" s="1178">
        <v>1</v>
      </c>
      <c r="E1123" s="1178">
        <v>1</v>
      </c>
      <c r="F1123" s="1179">
        <v>2</v>
      </c>
      <c r="G1123" s="1189" t="s">
        <v>5803</v>
      </c>
      <c r="H1123" s="1176">
        <v>1</v>
      </c>
      <c r="I1123" s="1176">
        <v>1</v>
      </c>
      <c r="J1123" s="1190">
        <v>2</v>
      </c>
      <c r="K1123" s="1180"/>
      <c r="L1123" s="1174">
        <v>13103030402</v>
      </c>
      <c r="M1123" s="1175">
        <v>1</v>
      </c>
      <c r="N1123" s="1175">
        <v>1</v>
      </c>
      <c r="O1123" s="1175">
        <v>2</v>
      </c>
      <c r="AA1123"/>
      <c r="AB1123"/>
    </row>
    <row r="1124" spans="3:28" ht="13.5">
      <c r="C1124" s="1181" t="s">
        <v>5804</v>
      </c>
      <c r="D1124" s="1178">
        <v>0</v>
      </c>
      <c r="E1124" s="1178">
        <v>0</v>
      </c>
      <c r="F1124" s="1179">
        <v>0</v>
      </c>
      <c r="G1124" s="1189" t="s">
        <v>5804</v>
      </c>
      <c r="H1124" s="1176">
        <v>0</v>
      </c>
      <c r="I1124" s="1176">
        <v>0</v>
      </c>
      <c r="J1124" s="1190">
        <v>0</v>
      </c>
      <c r="K1124" s="1180"/>
      <c r="L1124" s="1174">
        <v>13105000100</v>
      </c>
      <c r="M1124" s="1175">
        <v>0</v>
      </c>
      <c r="N1124" s="1175">
        <v>0</v>
      </c>
      <c r="O1124" s="1175">
        <v>0</v>
      </c>
      <c r="AA1124"/>
      <c r="AB1124"/>
    </row>
    <row r="1125" spans="3:28" ht="13.5">
      <c r="C1125" s="1181" t="s">
        <v>5805</v>
      </c>
      <c r="D1125" s="1178">
        <v>0</v>
      </c>
      <c r="E1125" s="1178">
        <v>0</v>
      </c>
      <c r="F1125" s="1179">
        <v>0</v>
      </c>
      <c r="G1125" s="1189" t="s">
        <v>5805</v>
      </c>
      <c r="H1125" s="1176">
        <v>0</v>
      </c>
      <c r="I1125" s="1176">
        <v>0</v>
      </c>
      <c r="J1125" s="1190">
        <v>0</v>
      </c>
      <c r="K1125" s="1180"/>
      <c r="L1125" s="1174">
        <v>13105000200</v>
      </c>
      <c r="M1125" s="1175">
        <v>0</v>
      </c>
      <c r="N1125" s="1175">
        <v>0</v>
      </c>
      <c r="O1125" s="1175">
        <v>0</v>
      </c>
      <c r="AA1125"/>
      <c r="AB1125"/>
    </row>
    <row r="1126" spans="3:28" ht="13.5">
      <c r="C1126" s="1181" t="s">
        <v>5806</v>
      </c>
      <c r="D1126" s="1178">
        <v>0</v>
      </c>
      <c r="E1126" s="1178">
        <v>0</v>
      </c>
      <c r="F1126" s="1179">
        <v>0</v>
      </c>
      <c r="G1126" s="1189" t="s">
        <v>5806</v>
      </c>
      <c r="H1126" s="1176">
        <v>0</v>
      </c>
      <c r="I1126" s="1176">
        <v>0</v>
      </c>
      <c r="J1126" s="1190">
        <v>0</v>
      </c>
      <c r="K1126" s="1180"/>
      <c r="L1126" s="1174">
        <v>13105000300</v>
      </c>
      <c r="M1126" s="1175">
        <v>0</v>
      </c>
      <c r="N1126" s="1175">
        <v>0</v>
      </c>
      <c r="O1126" s="1175">
        <v>0</v>
      </c>
      <c r="AA1126"/>
      <c r="AB1126"/>
    </row>
    <row r="1127" spans="3:28" ht="13.5">
      <c r="C1127" s="1181" t="s">
        <v>5807</v>
      </c>
      <c r="D1127" s="1178">
        <v>0</v>
      </c>
      <c r="E1127" s="1178">
        <v>0</v>
      </c>
      <c r="F1127" s="1179">
        <v>0</v>
      </c>
      <c r="G1127" s="1189" t="s">
        <v>5807</v>
      </c>
      <c r="H1127" s="1176">
        <v>0</v>
      </c>
      <c r="I1127" s="1176">
        <v>0</v>
      </c>
      <c r="J1127" s="1190">
        <v>0</v>
      </c>
      <c r="K1127" s="1180"/>
      <c r="L1127" s="1174">
        <v>13105000400</v>
      </c>
      <c r="M1127" s="1175">
        <v>0</v>
      </c>
      <c r="N1127" s="1175">
        <v>0</v>
      </c>
      <c r="O1127" s="1175">
        <v>0</v>
      </c>
      <c r="AA1127"/>
      <c r="AB1127"/>
    </row>
    <row r="1128" spans="3:28" ht="13.5">
      <c r="C1128" s="1181" t="s">
        <v>5808</v>
      </c>
      <c r="D1128" s="1178">
        <v>0</v>
      </c>
      <c r="E1128" s="1178">
        <v>0</v>
      </c>
      <c r="F1128" s="1179">
        <v>0</v>
      </c>
      <c r="G1128" s="1189" t="s">
        <v>5808</v>
      </c>
      <c r="H1128" s="1176">
        <v>0</v>
      </c>
      <c r="I1128" s="1176">
        <v>1</v>
      </c>
      <c r="J1128" s="1190">
        <v>1</v>
      </c>
      <c r="K1128" s="1180"/>
      <c r="L1128" s="1174">
        <v>13105000500</v>
      </c>
      <c r="M1128" s="1175">
        <v>0</v>
      </c>
      <c r="N1128" s="1175">
        <v>1</v>
      </c>
      <c r="O1128" s="1175">
        <v>1</v>
      </c>
      <c r="AA1128"/>
      <c r="AB1128"/>
    </row>
    <row r="1129" spans="3:28" ht="13.5">
      <c r="C1129" s="1181" t="s">
        <v>5809</v>
      </c>
      <c r="D1129" s="1178">
        <v>0</v>
      </c>
      <c r="E1129" s="1178">
        <v>0</v>
      </c>
      <c r="F1129" s="1179">
        <v>0</v>
      </c>
      <c r="G1129" s="1189" t="s">
        <v>5809</v>
      </c>
      <c r="H1129" s="1176">
        <v>0</v>
      </c>
      <c r="I1129" s="1176">
        <v>0</v>
      </c>
      <c r="J1129" s="1190">
        <v>0</v>
      </c>
      <c r="K1129" s="1180"/>
      <c r="L1129" s="1174">
        <v>13107970100</v>
      </c>
      <c r="M1129" s="1175">
        <v>0</v>
      </c>
      <c r="N1129" s="1175">
        <v>0</v>
      </c>
      <c r="O1129" s="1175">
        <v>0</v>
      </c>
      <c r="AA1129"/>
      <c r="AB1129"/>
    </row>
    <row r="1130" spans="3:28" ht="13.5">
      <c r="C1130" s="1181" t="s">
        <v>5810</v>
      </c>
      <c r="D1130" s="1178">
        <v>0</v>
      </c>
      <c r="E1130" s="1178">
        <v>0</v>
      </c>
      <c r="F1130" s="1179">
        <v>0</v>
      </c>
      <c r="G1130" s="1189" t="s">
        <v>5810</v>
      </c>
      <c r="H1130" s="1176">
        <v>0</v>
      </c>
      <c r="I1130" s="1176">
        <v>0</v>
      </c>
      <c r="J1130" s="1190">
        <v>0</v>
      </c>
      <c r="K1130" s="1180"/>
      <c r="L1130" s="1174">
        <v>13107970200</v>
      </c>
      <c r="M1130" s="1175">
        <v>0</v>
      </c>
      <c r="N1130" s="1175">
        <v>0</v>
      </c>
      <c r="O1130" s="1175">
        <v>0</v>
      </c>
      <c r="AA1130"/>
      <c r="AB1130"/>
    </row>
    <row r="1131" spans="3:28" ht="13.5">
      <c r="C1131" s="1181" t="s">
        <v>5811</v>
      </c>
      <c r="D1131" s="1178">
        <v>0</v>
      </c>
      <c r="E1131" s="1178">
        <v>0</v>
      </c>
      <c r="F1131" s="1179">
        <v>0</v>
      </c>
      <c r="G1131" s="1189" t="s">
        <v>5811</v>
      </c>
      <c r="H1131" s="1176">
        <v>0</v>
      </c>
      <c r="I1131" s="1176">
        <v>0</v>
      </c>
      <c r="J1131" s="1190">
        <v>0</v>
      </c>
      <c r="K1131" s="1180"/>
      <c r="L1131" s="1174">
        <v>13107970300</v>
      </c>
      <c r="M1131" s="1175">
        <v>0</v>
      </c>
      <c r="N1131" s="1175">
        <v>0</v>
      </c>
      <c r="O1131" s="1175">
        <v>0</v>
      </c>
      <c r="AA1131"/>
      <c r="AB1131"/>
    </row>
    <row r="1132" spans="3:28" ht="13.5">
      <c r="C1132" s="1181" t="s">
        <v>5812</v>
      </c>
      <c r="D1132" s="1178">
        <v>0</v>
      </c>
      <c r="E1132" s="1178">
        <v>0</v>
      </c>
      <c r="F1132" s="1179">
        <v>0</v>
      </c>
      <c r="G1132" s="1189" t="s">
        <v>5812</v>
      </c>
      <c r="H1132" s="1176">
        <v>0</v>
      </c>
      <c r="I1132" s="1176">
        <v>0</v>
      </c>
      <c r="J1132" s="1190">
        <v>0</v>
      </c>
      <c r="K1132" s="1180"/>
      <c r="L1132" s="1174">
        <v>13107970400</v>
      </c>
      <c r="M1132" s="1175">
        <v>0</v>
      </c>
      <c r="N1132" s="1175">
        <v>0</v>
      </c>
      <c r="O1132" s="1175">
        <v>0</v>
      </c>
      <c r="AA1132"/>
      <c r="AB1132"/>
    </row>
    <row r="1133" spans="3:28" ht="13.5">
      <c r="C1133" s="1181" t="s">
        <v>5813</v>
      </c>
      <c r="D1133" s="1178">
        <v>0</v>
      </c>
      <c r="E1133" s="1178">
        <v>0</v>
      </c>
      <c r="F1133" s="1179">
        <v>0</v>
      </c>
      <c r="G1133" s="1189" t="s">
        <v>5813</v>
      </c>
      <c r="H1133" s="1176">
        <v>0</v>
      </c>
      <c r="I1133" s="1176">
        <v>0</v>
      </c>
      <c r="J1133" s="1190">
        <v>0</v>
      </c>
      <c r="K1133" s="1180"/>
      <c r="L1133" s="1174">
        <v>13107970500</v>
      </c>
      <c r="M1133" s="1175">
        <v>0</v>
      </c>
      <c r="N1133" s="1175">
        <v>0</v>
      </c>
      <c r="O1133" s="1175">
        <v>0</v>
      </c>
      <c r="AA1133"/>
      <c r="AB1133"/>
    </row>
    <row r="1134" spans="3:28" ht="13.5">
      <c r="C1134" s="1181" t="s">
        <v>5814</v>
      </c>
      <c r="D1134" s="1178">
        <v>0</v>
      </c>
      <c r="E1134" s="1178">
        <v>0</v>
      </c>
      <c r="F1134" s="1179">
        <v>0</v>
      </c>
      <c r="G1134" s="1189" t="s">
        <v>5814</v>
      </c>
      <c r="H1134" s="1176">
        <v>0</v>
      </c>
      <c r="I1134" s="1176">
        <v>0</v>
      </c>
      <c r="J1134" s="1190">
        <v>0</v>
      </c>
      <c r="K1134" s="1180"/>
      <c r="L1134" s="1174">
        <v>13107970600</v>
      </c>
      <c r="M1134" s="1175">
        <v>0</v>
      </c>
      <c r="N1134" s="1175">
        <v>0</v>
      </c>
      <c r="O1134" s="1175">
        <v>0</v>
      </c>
      <c r="AA1134"/>
      <c r="AB1134"/>
    </row>
    <row r="1135" spans="3:28" ht="13.5">
      <c r="C1135" s="1181" t="s">
        <v>5815</v>
      </c>
      <c r="D1135" s="1178">
        <v>0</v>
      </c>
      <c r="E1135" s="1178">
        <v>0</v>
      </c>
      <c r="F1135" s="1179">
        <v>0</v>
      </c>
      <c r="G1135" s="1189" t="s">
        <v>5815</v>
      </c>
      <c r="H1135" s="1176">
        <v>0</v>
      </c>
      <c r="I1135" s="1176">
        <v>0</v>
      </c>
      <c r="J1135" s="1190">
        <v>0</v>
      </c>
      <c r="K1135" s="1180"/>
      <c r="L1135" s="1174">
        <v>13109970100</v>
      </c>
      <c r="M1135" s="1175">
        <v>0</v>
      </c>
      <c r="N1135" s="1175">
        <v>0</v>
      </c>
      <c r="O1135" s="1175">
        <v>0</v>
      </c>
      <c r="AA1135"/>
      <c r="AB1135"/>
    </row>
    <row r="1136" spans="3:28" ht="13.5">
      <c r="C1136" s="1181" t="s">
        <v>5816</v>
      </c>
      <c r="D1136" s="1178">
        <v>0</v>
      </c>
      <c r="E1136" s="1178">
        <v>0</v>
      </c>
      <c r="F1136" s="1179">
        <v>0</v>
      </c>
      <c r="G1136" s="1189" t="s">
        <v>5816</v>
      </c>
      <c r="H1136" s="1176">
        <v>0</v>
      </c>
      <c r="I1136" s="1176">
        <v>0</v>
      </c>
      <c r="J1136" s="1190">
        <v>0</v>
      </c>
      <c r="K1136" s="1180"/>
      <c r="L1136" s="1174">
        <v>13109970200</v>
      </c>
      <c r="M1136" s="1175">
        <v>0</v>
      </c>
      <c r="N1136" s="1175">
        <v>0</v>
      </c>
      <c r="O1136" s="1175">
        <v>0</v>
      </c>
      <c r="AA1136"/>
      <c r="AB1136"/>
    </row>
    <row r="1137" spans="3:28" ht="13.5">
      <c r="C1137" s="1181" t="s">
        <v>5817</v>
      </c>
      <c r="D1137" s="1178">
        <v>0</v>
      </c>
      <c r="E1137" s="1178">
        <v>0</v>
      </c>
      <c r="F1137" s="1179">
        <v>0</v>
      </c>
      <c r="G1137" s="1189" t="s">
        <v>5817</v>
      </c>
      <c r="H1137" s="1176">
        <v>0</v>
      </c>
      <c r="I1137" s="1176">
        <v>0</v>
      </c>
      <c r="J1137" s="1190">
        <v>0</v>
      </c>
      <c r="K1137" s="1180"/>
      <c r="L1137" s="1174">
        <v>13109970300</v>
      </c>
      <c r="M1137" s="1175">
        <v>0</v>
      </c>
      <c r="N1137" s="1175">
        <v>0</v>
      </c>
      <c r="O1137" s="1175">
        <v>0</v>
      </c>
      <c r="AA1137"/>
      <c r="AB1137"/>
    </row>
    <row r="1138" spans="3:28" ht="13.5">
      <c r="C1138" s="1181" t="s">
        <v>5818</v>
      </c>
      <c r="D1138" s="1178">
        <v>0</v>
      </c>
      <c r="E1138" s="1178">
        <v>0</v>
      </c>
      <c r="F1138" s="1179">
        <v>0</v>
      </c>
      <c r="G1138" s="1189" t="s">
        <v>5818</v>
      </c>
      <c r="H1138" s="1176">
        <v>0</v>
      </c>
      <c r="I1138" s="1176">
        <v>0</v>
      </c>
      <c r="J1138" s="1190">
        <v>0</v>
      </c>
      <c r="K1138" s="1180"/>
      <c r="L1138" s="1174">
        <v>13111050100</v>
      </c>
      <c r="M1138" s="1175">
        <v>0</v>
      </c>
      <c r="N1138" s="1175">
        <v>0</v>
      </c>
      <c r="O1138" s="1175">
        <v>0</v>
      </c>
      <c r="AA1138"/>
      <c r="AB1138"/>
    </row>
    <row r="1139" spans="3:28" ht="13.5">
      <c r="C1139" s="1181" t="s">
        <v>5819</v>
      </c>
      <c r="D1139" s="1178">
        <v>0</v>
      </c>
      <c r="E1139" s="1178">
        <v>0</v>
      </c>
      <c r="F1139" s="1179">
        <v>0</v>
      </c>
      <c r="G1139" s="1189" t="s">
        <v>5819</v>
      </c>
      <c r="H1139" s="1176">
        <v>0</v>
      </c>
      <c r="I1139" s="1176">
        <v>0</v>
      </c>
      <c r="J1139" s="1190">
        <v>0</v>
      </c>
      <c r="K1139" s="1180"/>
      <c r="L1139" s="1174">
        <v>13111050200</v>
      </c>
      <c r="M1139" s="1175">
        <v>0</v>
      </c>
      <c r="N1139" s="1175">
        <v>0</v>
      </c>
      <c r="O1139" s="1175">
        <v>0</v>
      </c>
      <c r="AA1139"/>
      <c r="AB1139"/>
    </row>
    <row r="1140" spans="3:28" ht="13.5">
      <c r="C1140" s="1181" t="s">
        <v>5820</v>
      </c>
      <c r="D1140" s="1178">
        <v>0</v>
      </c>
      <c r="E1140" s="1178">
        <v>0</v>
      </c>
      <c r="F1140" s="1179">
        <v>0</v>
      </c>
      <c r="G1140" s="1189" t="s">
        <v>5820</v>
      </c>
      <c r="H1140" s="1176">
        <v>0</v>
      </c>
      <c r="I1140" s="1176" t="s">
        <v>4455</v>
      </c>
      <c r="J1140" s="1190">
        <v>0</v>
      </c>
      <c r="K1140" s="1180"/>
      <c r="L1140" s="1174">
        <v>13111050300</v>
      </c>
      <c r="M1140" s="1175">
        <v>0</v>
      </c>
      <c r="N1140" s="1175">
        <v>0</v>
      </c>
      <c r="O1140" s="1175">
        <v>0</v>
      </c>
      <c r="AA1140"/>
      <c r="AB1140"/>
    </row>
    <row r="1141" spans="3:28" ht="13.5">
      <c r="C1141" s="1181" t="s">
        <v>5821</v>
      </c>
      <c r="D1141" s="1178">
        <v>0</v>
      </c>
      <c r="E1141" s="1178">
        <v>0</v>
      </c>
      <c r="F1141" s="1179">
        <v>0</v>
      </c>
      <c r="G1141" s="1189" t="s">
        <v>5821</v>
      </c>
      <c r="H1141" s="1176">
        <v>0</v>
      </c>
      <c r="I1141" s="1176">
        <v>1</v>
      </c>
      <c r="J1141" s="1190">
        <v>1</v>
      </c>
      <c r="K1141" s="1180"/>
      <c r="L1141" s="1174">
        <v>13111050400</v>
      </c>
      <c r="M1141" s="1175">
        <v>0</v>
      </c>
      <c r="N1141" s="1175">
        <v>1</v>
      </c>
      <c r="O1141" s="1175">
        <v>1</v>
      </c>
      <c r="AA1141"/>
      <c r="AB1141"/>
    </row>
    <row r="1142" spans="3:28" ht="13.5">
      <c r="C1142" s="1181" t="s">
        <v>5822</v>
      </c>
      <c r="D1142" s="1178">
        <v>0</v>
      </c>
      <c r="E1142" s="1178">
        <v>0</v>
      </c>
      <c r="F1142" s="1179">
        <v>0</v>
      </c>
      <c r="G1142" s="1189" t="s">
        <v>5822</v>
      </c>
      <c r="H1142" s="1176">
        <v>1</v>
      </c>
      <c r="I1142" s="1176">
        <v>0</v>
      </c>
      <c r="J1142" s="1190">
        <v>1</v>
      </c>
      <c r="K1142" s="1180"/>
      <c r="L1142" s="1174">
        <v>13111050500</v>
      </c>
      <c r="M1142" s="1175">
        <v>1</v>
      </c>
      <c r="N1142" s="1175">
        <v>0</v>
      </c>
      <c r="O1142" s="1175">
        <v>1</v>
      </c>
      <c r="AA1142"/>
      <c r="AB1142"/>
    </row>
    <row r="1143" spans="3:28" ht="13.5">
      <c r="C1143" s="1181" t="s">
        <v>5823</v>
      </c>
      <c r="D1143" s="1178">
        <v>1</v>
      </c>
      <c r="E1143" s="1178">
        <v>0</v>
      </c>
      <c r="F1143" s="1179">
        <v>1</v>
      </c>
      <c r="G1143" s="1189" t="s">
        <v>5823</v>
      </c>
      <c r="H1143" s="1176">
        <v>1</v>
      </c>
      <c r="I1143" s="1176">
        <v>1</v>
      </c>
      <c r="J1143" s="1190">
        <v>2</v>
      </c>
      <c r="K1143" s="1180"/>
      <c r="L1143" s="1174">
        <v>13113140101</v>
      </c>
      <c r="M1143" s="1175">
        <v>1</v>
      </c>
      <c r="N1143" s="1175">
        <v>1</v>
      </c>
      <c r="O1143" s="1175">
        <v>2</v>
      </c>
      <c r="AA1143"/>
      <c r="AB1143"/>
    </row>
    <row r="1144" spans="3:28" ht="13.5">
      <c r="C1144" s="1181" t="s">
        <v>5824</v>
      </c>
      <c r="D1144" s="1178">
        <v>1</v>
      </c>
      <c r="E1144" s="1178">
        <v>1</v>
      </c>
      <c r="F1144" s="1179">
        <v>2</v>
      </c>
      <c r="G1144" s="1189" t="s">
        <v>5824</v>
      </c>
      <c r="H1144" s="1176">
        <v>1</v>
      </c>
      <c r="I1144" s="1176">
        <v>1</v>
      </c>
      <c r="J1144" s="1190">
        <v>2</v>
      </c>
      <c r="K1144" s="1180"/>
      <c r="L1144" s="1174">
        <v>13113140102</v>
      </c>
      <c r="M1144" s="1175">
        <v>1</v>
      </c>
      <c r="N1144" s="1175">
        <v>1</v>
      </c>
      <c r="O1144" s="1175">
        <v>2</v>
      </c>
      <c r="AA1144"/>
      <c r="AB1144"/>
    </row>
    <row r="1145" spans="3:28" ht="13.5">
      <c r="C1145" s="1181" t="s">
        <v>5825</v>
      </c>
      <c r="D1145" s="1178">
        <v>1</v>
      </c>
      <c r="E1145" s="1178">
        <v>1</v>
      </c>
      <c r="F1145" s="1179">
        <v>2</v>
      </c>
      <c r="G1145" s="1189" t="s">
        <v>5825</v>
      </c>
      <c r="H1145" s="1176">
        <v>1</v>
      </c>
      <c r="I1145" s="1176">
        <v>1</v>
      </c>
      <c r="J1145" s="1190">
        <v>2</v>
      </c>
      <c r="K1145" s="1180"/>
      <c r="L1145" s="1174">
        <v>13113140203</v>
      </c>
      <c r="M1145" s="1175">
        <v>1</v>
      </c>
      <c r="N1145" s="1175">
        <v>1</v>
      </c>
      <c r="O1145" s="1175">
        <v>2</v>
      </c>
      <c r="AA1145"/>
      <c r="AB1145"/>
    </row>
    <row r="1146" spans="3:28" ht="13.5">
      <c r="C1146" s="1181" t="s">
        <v>5826</v>
      </c>
      <c r="D1146" s="1178">
        <v>1</v>
      </c>
      <c r="E1146" s="1178">
        <v>1</v>
      </c>
      <c r="F1146" s="1179">
        <v>2</v>
      </c>
      <c r="G1146" s="1189" t="s">
        <v>5826</v>
      </c>
      <c r="H1146" s="1176">
        <v>1</v>
      </c>
      <c r="I1146" s="1176">
        <v>1</v>
      </c>
      <c r="J1146" s="1190">
        <v>2</v>
      </c>
      <c r="K1146" s="1180"/>
      <c r="L1146" s="1174">
        <v>13113140204</v>
      </c>
      <c r="M1146" s="1175">
        <v>1</v>
      </c>
      <c r="N1146" s="1175">
        <v>1</v>
      </c>
      <c r="O1146" s="1175">
        <v>2</v>
      </c>
      <c r="AA1146"/>
      <c r="AB1146"/>
    </row>
    <row r="1147" spans="3:28" ht="13.5">
      <c r="C1147" s="1181" t="s">
        <v>5827</v>
      </c>
      <c r="D1147" s="1178">
        <v>1</v>
      </c>
      <c r="E1147" s="1178">
        <v>1</v>
      </c>
      <c r="F1147" s="1179">
        <v>2</v>
      </c>
      <c r="G1147" s="1189" t="s">
        <v>5827</v>
      </c>
      <c r="H1147" s="1176">
        <v>1</v>
      </c>
      <c r="I1147" s="1176">
        <v>1</v>
      </c>
      <c r="J1147" s="1190">
        <v>2</v>
      </c>
      <c r="K1147" s="1180"/>
      <c r="L1147" s="1174">
        <v>13113140206</v>
      </c>
      <c r="M1147" s="1175">
        <v>1</v>
      </c>
      <c r="N1147" s="1175">
        <v>1</v>
      </c>
      <c r="O1147" s="1175">
        <v>2</v>
      </c>
      <c r="AA1147"/>
      <c r="AB1147"/>
    </row>
    <row r="1148" spans="3:28" ht="13.5">
      <c r="C1148" s="1181" t="s">
        <v>5828</v>
      </c>
      <c r="D1148" s="1178">
        <v>1</v>
      </c>
      <c r="E1148" s="1178">
        <v>1</v>
      </c>
      <c r="F1148" s="1179">
        <v>2</v>
      </c>
      <c r="G1148" s="1189" t="s">
        <v>5828</v>
      </c>
      <c r="H1148" s="1176">
        <v>1</v>
      </c>
      <c r="I1148" s="1176">
        <v>1</v>
      </c>
      <c r="J1148" s="1190">
        <v>2</v>
      </c>
      <c r="K1148" s="1180"/>
      <c r="L1148" s="1174">
        <v>13113140207</v>
      </c>
      <c r="M1148" s="1175">
        <v>1</v>
      </c>
      <c r="N1148" s="1175">
        <v>1</v>
      </c>
      <c r="O1148" s="1175">
        <v>2</v>
      </c>
      <c r="AA1148"/>
      <c r="AB1148"/>
    </row>
    <row r="1149" spans="3:28" ht="13.5">
      <c r="C1149" s="1181" t="s">
        <v>5829</v>
      </c>
      <c r="D1149" s="1178">
        <v>1</v>
      </c>
      <c r="E1149" s="1178">
        <v>1</v>
      </c>
      <c r="F1149" s="1179">
        <v>2</v>
      </c>
      <c r="G1149" s="1189" t="s">
        <v>5829</v>
      </c>
      <c r="H1149" s="1176">
        <v>1</v>
      </c>
      <c r="I1149" s="1176">
        <v>1</v>
      </c>
      <c r="J1149" s="1190">
        <v>2</v>
      </c>
      <c r="K1149" s="1180"/>
      <c r="L1149" s="1174">
        <v>13113140208</v>
      </c>
      <c r="M1149" s="1175">
        <v>1</v>
      </c>
      <c r="N1149" s="1175">
        <v>1</v>
      </c>
      <c r="O1149" s="1175">
        <v>2</v>
      </c>
      <c r="AA1149"/>
      <c r="AB1149"/>
    </row>
    <row r="1150" spans="3:28" ht="13.5">
      <c r="C1150" s="1181" t="s">
        <v>5830</v>
      </c>
      <c r="D1150" s="1178">
        <v>1</v>
      </c>
      <c r="E1150" s="1178">
        <v>1</v>
      </c>
      <c r="F1150" s="1179">
        <v>2</v>
      </c>
      <c r="G1150" s="1189" t="s">
        <v>5830</v>
      </c>
      <c r="H1150" s="1176">
        <v>1</v>
      </c>
      <c r="I1150" s="1176">
        <v>1</v>
      </c>
      <c r="J1150" s="1190">
        <v>2</v>
      </c>
      <c r="K1150" s="1180"/>
      <c r="L1150" s="1174">
        <v>13113140303</v>
      </c>
      <c r="M1150" s="1175">
        <v>1</v>
      </c>
      <c r="N1150" s="1175">
        <v>1</v>
      </c>
      <c r="O1150" s="1175">
        <v>2</v>
      </c>
      <c r="AA1150"/>
      <c r="AB1150"/>
    </row>
    <row r="1151" spans="3:28" ht="13.5">
      <c r="C1151" s="1181" t="s">
        <v>5831</v>
      </c>
      <c r="D1151" s="1178">
        <v>1</v>
      </c>
      <c r="E1151" s="1178">
        <v>1</v>
      </c>
      <c r="F1151" s="1179">
        <v>2</v>
      </c>
      <c r="G1151" s="1189" t="s">
        <v>5831</v>
      </c>
      <c r="H1151" s="1176">
        <v>1</v>
      </c>
      <c r="I1151" s="1176">
        <v>1</v>
      </c>
      <c r="J1151" s="1190">
        <v>2</v>
      </c>
      <c r="K1151" s="1180"/>
      <c r="L1151" s="1174">
        <v>13113140304</v>
      </c>
      <c r="M1151" s="1175">
        <v>1</v>
      </c>
      <c r="N1151" s="1175">
        <v>1</v>
      </c>
      <c r="O1151" s="1175">
        <v>2</v>
      </c>
      <c r="AA1151"/>
      <c r="AB1151"/>
    </row>
    <row r="1152" spans="3:28" ht="13.5">
      <c r="C1152" s="1181" t="s">
        <v>5832</v>
      </c>
      <c r="D1152" s="1178">
        <v>1</v>
      </c>
      <c r="E1152" s="1178">
        <v>1</v>
      </c>
      <c r="F1152" s="1179">
        <v>2</v>
      </c>
      <c r="G1152" s="1189" t="s">
        <v>5832</v>
      </c>
      <c r="H1152" s="1176">
        <v>1</v>
      </c>
      <c r="I1152" s="1176">
        <v>1</v>
      </c>
      <c r="J1152" s="1190">
        <v>2</v>
      </c>
      <c r="K1152" s="1180"/>
      <c r="L1152" s="1174">
        <v>13113140305</v>
      </c>
      <c r="M1152" s="1175">
        <v>1</v>
      </c>
      <c r="N1152" s="1175">
        <v>1</v>
      </c>
      <c r="O1152" s="1175">
        <v>2</v>
      </c>
      <c r="AA1152"/>
      <c r="AB1152"/>
    </row>
    <row r="1153" spans="3:28" ht="13.5">
      <c r="C1153" s="1181" t="s">
        <v>5833</v>
      </c>
      <c r="D1153" s="1178">
        <v>1</v>
      </c>
      <c r="E1153" s="1178">
        <v>1</v>
      </c>
      <c r="F1153" s="1179">
        <v>2</v>
      </c>
      <c r="G1153" s="1189" t="s">
        <v>5833</v>
      </c>
      <c r="H1153" s="1176">
        <v>1</v>
      </c>
      <c r="I1153" s="1176">
        <v>1</v>
      </c>
      <c r="J1153" s="1190">
        <v>2</v>
      </c>
      <c r="K1153" s="1180"/>
      <c r="L1153" s="1174">
        <v>13113140306</v>
      </c>
      <c r="M1153" s="1175">
        <v>1</v>
      </c>
      <c r="N1153" s="1175">
        <v>1</v>
      </c>
      <c r="O1153" s="1175">
        <v>2</v>
      </c>
      <c r="AA1153"/>
      <c r="AB1153"/>
    </row>
    <row r="1154" spans="3:28" ht="13.5">
      <c r="C1154" s="1181" t="s">
        <v>5834</v>
      </c>
      <c r="D1154" s="1178">
        <v>1</v>
      </c>
      <c r="E1154" s="1178">
        <v>1</v>
      </c>
      <c r="F1154" s="1179">
        <v>2</v>
      </c>
      <c r="G1154" s="1189" t="s">
        <v>5834</v>
      </c>
      <c r="H1154" s="1176">
        <v>1</v>
      </c>
      <c r="I1154" s="1176">
        <v>1</v>
      </c>
      <c r="J1154" s="1190">
        <v>2</v>
      </c>
      <c r="K1154" s="1180"/>
      <c r="L1154" s="1174">
        <v>13113140307</v>
      </c>
      <c r="M1154" s="1175">
        <v>1</v>
      </c>
      <c r="N1154" s="1175">
        <v>1</v>
      </c>
      <c r="O1154" s="1175">
        <v>2</v>
      </c>
      <c r="AA1154"/>
      <c r="AB1154"/>
    </row>
    <row r="1155" spans="3:28" ht="13.5">
      <c r="C1155" s="1181" t="s">
        <v>5835</v>
      </c>
      <c r="D1155" s="1178">
        <v>1</v>
      </c>
      <c r="E1155" s="1178">
        <v>1</v>
      </c>
      <c r="F1155" s="1179">
        <v>2</v>
      </c>
      <c r="G1155" s="1189" t="s">
        <v>5835</v>
      </c>
      <c r="H1155" s="1176">
        <v>1</v>
      </c>
      <c r="I1155" s="1176">
        <v>1</v>
      </c>
      <c r="J1155" s="1190">
        <v>2</v>
      </c>
      <c r="K1155" s="1180"/>
      <c r="L1155" s="1174">
        <v>13113140403</v>
      </c>
      <c r="M1155" s="1175">
        <v>1</v>
      </c>
      <c r="N1155" s="1175">
        <v>1</v>
      </c>
      <c r="O1155" s="1175">
        <v>2</v>
      </c>
      <c r="AA1155"/>
      <c r="AB1155"/>
    </row>
    <row r="1156" spans="3:28" ht="13.5">
      <c r="C1156" s="1181" t="s">
        <v>5836</v>
      </c>
      <c r="D1156" s="1178">
        <v>1</v>
      </c>
      <c r="E1156" s="1178">
        <v>1</v>
      </c>
      <c r="F1156" s="1179">
        <v>2</v>
      </c>
      <c r="G1156" s="1189" t="s">
        <v>5836</v>
      </c>
      <c r="H1156" s="1176">
        <v>1</v>
      </c>
      <c r="I1156" s="1176">
        <v>1</v>
      </c>
      <c r="J1156" s="1190">
        <v>2</v>
      </c>
      <c r="K1156" s="1180"/>
      <c r="L1156" s="1174">
        <v>13113140404</v>
      </c>
      <c r="M1156" s="1175">
        <v>1</v>
      </c>
      <c r="N1156" s="1175">
        <v>1</v>
      </c>
      <c r="O1156" s="1175">
        <v>2</v>
      </c>
      <c r="AA1156"/>
      <c r="AB1156"/>
    </row>
    <row r="1157" spans="3:28" ht="13.5">
      <c r="C1157" s="1181" t="s">
        <v>5837</v>
      </c>
      <c r="D1157" s="1178">
        <v>1</v>
      </c>
      <c r="E1157" s="1178">
        <v>1</v>
      </c>
      <c r="F1157" s="1179">
        <v>2</v>
      </c>
      <c r="G1157" s="1189" t="s">
        <v>5837</v>
      </c>
      <c r="H1157" s="1176">
        <v>1</v>
      </c>
      <c r="I1157" s="1176">
        <v>1</v>
      </c>
      <c r="J1157" s="1190">
        <v>2</v>
      </c>
      <c r="K1157" s="1180"/>
      <c r="L1157" s="1174">
        <v>13113140405</v>
      </c>
      <c r="M1157" s="1175">
        <v>1</v>
      </c>
      <c r="N1157" s="1175">
        <v>1</v>
      </c>
      <c r="O1157" s="1175">
        <v>2</v>
      </c>
      <c r="AA1157"/>
      <c r="AB1157"/>
    </row>
    <row r="1158" spans="3:28" ht="13.5">
      <c r="C1158" s="1181" t="s">
        <v>5838</v>
      </c>
      <c r="D1158" s="1178">
        <v>0</v>
      </c>
      <c r="E1158" s="1178">
        <v>1</v>
      </c>
      <c r="F1158" s="1179">
        <v>1</v>
      </c>
      <c r="G1158" s="1189" t="s">
        <v>5838</v>
      </c>
      <c r="H1158" s="1176">
        <v>0</v>
      </c>
      <c r="I1158" s="1176">
        <v>1</v>
      </c>
      <c r="J1158" s="1190">
        <v>1</v>
      </c>
      <c r="K1158" s="1180"/>
      <c r="L1158" s="1174">
        <v>13113140406</v>
      </c>
      <c r="M1158" s="1175">
        <v>0</v>
      </c>
      <c r="N1158" s="1175">
        <v>1</v>
      </c>
      <c r="O1158" s="1175">
        <v>1</v>
      </c>
      <c r="AA1158"/>
      <c r="AB1158"/>
    </row>
    <row r="1159" spans="3:28" ht="13.5">
      <c r="C1159" s="1181" t="s">
        <v>5839</v>
      </c>
      <c r="D1159" s="1178">
        <v>1</v>
      </c>
      <c r="E1159" s="1178">
        <v>1</v>
      </c>
      <c r="F1159" s="1179">
        <v>2</v>
      </c>
      <c r="G1159" s="1189" t="s">
        <v>5839</v>
      </c>
      <c r="H1159" s="1176">
        <v>1</v>
      </c>
      <c r="I1159" s="1176">
        <v>1</v>
      </c>
      <c r="J1159" s="1190">
        <v>2</v>
      </c>
      <c r="K1159" s="1180"/>
      <c r="L1159" s="1174">
        <v>13113140407</v>
      </c>
      <c r="M1159" s="1175">
        <v>1</v>
      </c>
      <c r="N1159" s="1175">
        <v>1</v>
      </c>
      <c r="O1159" s="1175">
        <v>2</v>
      </c>
      <c r="AA1159"/>
      <c r="AB1159"/>
    </row>
    <row r="1160" spans="3:28" ht="13.5">
      <c r="C1160" s="1181" t="s">
        <v>5840</v>
      </c>
      <c r="D1160" s="1178">
        <v>1</v>
      </c>
      <c r="E1160" s="1178">
        <v>1</v>
      </c>
      <c r="F1160" s="1179">
        <v>2</v>
      </c>
      <c r="G1160" s="1189" t="s">
        <v>5840</v>
      </c>
      <c r="H1160" s="1176">
        <v>1</v>
      </c>
      <c r="I1160" s="1176">
        <v>1</v>
      </c>
      <c r="J1160" s="1190">
        <v>2</v>
      </c>
      <c r="K1160" s="1180"/>
      <c r="L1160" s="1174">
        <v>13113140408</v>
      </c>
      <c r="M1160" s="1175">
        <v>1</v>
      </c>
      <c r="N1160" s="1175">
        <v>1</v>
      </c>
      <c r="O1160" s="1175">
        <v>2</v>
      </c>
      <c r="AA1160"/>
      <c r="AB1160"/>
    </row>
    <row r="1161" spans="3:28" ht="13.5">
      <c r="C1161" s="1181" t="s">
        <v>5841</v>
      </c>
      <c r="D1161" s="1178">
        <v>1</v>
      </c>
      <c r="E1161" s="1178">
        <v>1</v>
      </c>
      <c r="F1161" s="1179">
        <v>2</v>
      </c>
      <c r="G1161" s="1189" t="s">
        <v>5841</v>
      </c>
      <c r="H1161" s="1176">
        <v>1</v>
      </c>
      <c r="I1161" s="1176">
        <v>1</v>
      </c>
      <c r="J1161" s="1190">
        <v>2</v>
      </c>
      <c r="K1161" s="1180"/>
      <c r="L1161" s="1174">
        <v>13113140501</v>
      </c>
      <c r="M1161" s="1175">
        <v>1</v>
      </c>
      <c r="N1161" s="1175">
        <v>1</v>
      </c>
      <c r="O1161" s="1175">
        <v>2</v>
      </c>
      <c r="AA1161"/>
      <c r="AB1161"/>
    </row>
    <row r="1162" spans="3:28" ht="13.5">
      <c r="C1162" s="1181" t="s">
        <v>5842</v>
      </c>
      <c r="D1162" s="1178">
        <v>1</v>
      </c>
      <c r="E1162" s="1178">
        <v>1</v>
      </c>
      <c r="F1162" s="1179">
        <v>2</v>
      </c>
      <c r="G1162" s="1189" t="s">
        <v>5842</v>
      </c>
      <c r="H1162" s="1176">
        <v>1</v>
      </c>
      <c r="I1162" s="1176">
        <v>1</v>
      </c>
      <c r="J1162" s="1190">
        <v>2</v>
      </c>
      <c r="K1162" s="1180"/>
      <c r="L1162" s="1174">
        <v>13113140502</v>
      </c>
      <c r="M1162" s="1175">
        <v>1</v>
      </c>
      <c r="N1162" s="1175">
        <v>1</v>
      </c>
      <c r="O1162" s="1175">
        <v>2</v>
      </c>
      <c r="AA1162"/>
      <c r="AB1162"/>
    </row>
    <row r="1163" spans="3:28" ht="13.5">
      <c r="C1163" s="1181" t="s">
        <v>5843</v>
      </c>
      <c r="D1163" s="1178">
        <v>0</v>
      </c>
      <c r="E1163" s="1178">
        <v>0</v>
      </c>
      <c r="F1163" s="1179">
        <v>0</v>
      </c>
      <c r="G1163" s="1189" t="s">
        <v>5843</v>
      </c>
      <c r="H1163" s="1176">
        <v>0</v>
      </c>
      <c r="I1163" s="1176">
        <v>1</v>
      </c>
      <c r="J1163" s="1190">
        <v>1</v>
      </c>
      <c r="K1163" s="1180"/>
      <c r="L1163" s="1174">
        <v>13115000100</v>
      </c>
      <c r="M1163" s="1175">
        <v>0</v>
      </c>
      <c r="N1163" s="1175">
        <v>1</v>
      </c>
      <c r="O1163" s="1175">
        <v>1</v>
      </c>
      <c r="AA1163"/>
      <c r="AB1163"/>
    </row>
    <row r="1164" spans="3:28" ht="13.5">
      <c r="C1164" s="1181" t="s">
        <v>5844</v>
      </c>
      <c r="D1164" s="1178">
        <v>1</v>
      </c>
      <c r="E1164" s="1178">
        <v>1</v>
      </c>
      <c r="F1164" s="1179">
        <v>2</v>
      </c>
      <c r="G1164" s="1189" t="s">
        <v>5844</v>
      </c>
      <c r="H1164" s="1176">
        <v>1</v>
      </c>
      <c r="I1164" s="1176">
        <v>0</v>
      </c>
      <c r="J1164" s="1190">
        <v>1</v>
      </c>
      <c r="K1164" s="1180"/>
      <c r="L1164" s="1174">
        <v>13115000201</v>
      </c>
      <c r="M1164" s="1175">
        <v>1</v>
      </c>
      <c r="N1164" s="1175">
        <v>1</v>
      </c>
      <c r="O1164" s="1175">
        <v>2</v>
      </c>
      <c r="AA1164"/>
      <c r="AB1164"/>
    </row>
    <row r="1165" spans="3:28" ht="13.5">
      <c r="C1165" s="1181" t="s">
        <v>5845</v>
      </c>
      <c r="D1165" s="1178">
        <v>1</v>
      </c>
      <c r="E1165" s="1178">
        <v>1</v>
      </c>
      <c r="F1165" s="1179">
        <v>2</v>
      </c>
      <c r="G1165" s="1189" t="s">
        <v>5845</v>
      </c>
      <c r="H1165" s="1176">
        <v>1</v>
      </c>
      <c r="I1165" s="1176">
        <v>1</v>
      </c>
      <c r="J1165" s="1190">
        <v>2</v>
      </c>
      <c r="K1165" s="1180"/>
      <c r="L1165" s="1174">
        <v>13115000202</v>
      </c>
      <c r="M1165" s="1175">
        <v>1</v>
      </c>
      <c r="N1165" s="1175">
        <v>1</v>
      </c>
      <c r="O1165" s="1176">
        <v>2</v>
      </c>
      <c r="AA1165"/>
      <c r="AB1165"/>
    </row>
    <row r="1166" spans="3:28" ht="13.5">
      <c r="C1166" s="1181" t="s">
        <v>5846</v>
      </c>
      <c r="D1166" s="1178">
        <v>1</v>
      </c>
      <c r="E1166" s="1178">
        <v>1</v>
      </c>
      <c r="F1166" s="1179">
        <v>2</v>
      </c>
      <c r="G1166" s="1189" t="s">
        <v>5846</v>
      </c>
      <c r="H1166" s="1176">
        <v>1</v>
      </c>
      <c r="I1166" s="1176">
        <v>1</v>
      </c>
      <c r="J1166" s="1190">
        <v>2</v>
      </c>
      <c r="K1166" s="1180"/>
      <c r="L1166" s="1174">
        <v>13115000300</v>
      </c>
      <c r="M1166" s="1175">
        <v>1</v>
      </c>
      <c r="N1166" s="1175">
        <v>1</v>
      </c>
      <c r="O1166" s="1176">
        <v>2</v>
      </c>
      <c r="AA1166"/>
      <c r="AB1166"/>
    </row>
    <row r="1167" spans="3:28" ht="13.5">
      <c r="C1167" s="1181" t="s">
        <v>5847</v>
      </c>
      <c r="D1167" s="1178">
        <v>0</v>
      </c>
      <c r="E1167" s="1178">
        <v>0</v>
      </c>
      <c r="F1167" s="1179">
        <v>0</v>
      </c>
      <c r="G1167" s="1189" t="s">
        <v>5847</v>
      </c>
      <c r="H1167" s="1176">
        <v>0</v>
      </c>
      <c r="I1167" s="1176">
        <v>1</v>
      </c>
      <c r="J1167" s="1190">
        <v>1</v>
      </c>
      <c r="K1167" s="1180"/>
      <c r="L1167" s="1174">
        <v>13115000400</v>
      </c>
      <c r="M1167" s="1175">
        <v>0</v>
      </c>
      <c r="N1167" s="1175">
        <v>1</v>
      </c>
      <c r="O1167" s="1176">
        <v>1</v>
      </c>
      <c r="AA1167"/>
      <c r="AB1167"/>
    </row>
    <row r="1168" spans="3:28" ht="13.5">
      <c r="C1168" s="1181" t="s">
        <v>5848</v>
      </c>
      <c r="D1168" s="1178">
        <v>0</v>
      </c>
      <c r="E1168" s="1178">
        <v>0</v>
      </c>
      <c r="F1168" s="1179">
        <v>0</v>
      </c>
      <c r="G1168" s="1189" t="s">
        <v>5848</v>
      </c>
      <c r="H1168" s="1176">
        <v>0</v>
      </c>
      <c r="I1168" s="1176">
        <v>0</v>
      </c>
      <c r="J1168" s="1190">
        <v>0</v>
      </c>
      <c r="K1168" s="1180"/>
      <c r="L1168" s="1174">
        <v>13115000500</v>
      </c>
      <c r="M1168" s="1175">
        <v>0</v>
      </c>
      <c r="N1168" s="1175">
        <v>0</v>
      </c>
      <c r="O1168" s="1176">
        <v>0</v>
      </c>
      <c r="AA1168"/>
      <c r="AB1168"/>
    </row>
    <row r="1169" spans="3:28" ht="13.5">
      <c r="C1169" s="1181" t="s">
        <v>5849</v>
      </c>
      <c r="D1169" s="1178">
        <v>0</v>
      </c>
      <c r="E1169" s="1178">
        <v>0</v>
      </c>
      <c r="F1169" s="1179">
        <v>0</v>
      </c>
      <c r="G1169" s="1189" t="s">
        <v>5849</v>
      </c>
      <c r="H1169" s="1176">
        <v>0</v>
      </c>
      <c r="I1169" s="1176">
        <v>0</v>
      </c>
      <c r="J1169" s="1190">
        <v>0</v>
      </c>
      <c r="K1169" s="1180"/>
      <c r="L1169" s="1174">
        <v>13115000600</v>
      </c>
      <c r="M1169" s="1175">
        <v>0</v>
      </c>
      <c r="N1169" s="1175">
        <v>0</v>
      </c>
      <c r="O1169" s="1176">
        <v>0</v>
      </c>
      <c r="AA1169"/>
      <c r="AB1169"/>
    </row>
    <row r="1170" spans="3:28" ht="13.5">
      <c r="C1170" s="1181" t="s">
        <v>5850</v>
      </c>
      <c r="D1170" s="1178">
        <v>1</v>
      </c>
      <c r="E1170" s="1178">
        <v>1</v>
      </c>
      <c r="F1170" s="1179">
        <v>2</v>
      </c>
      <c r="G1170" s="1189" t="s">
        <v>5850</v>
      </c>
      <c r="H1170" s="1176">
        <v>0</v>
      </c>
      <c r="I1170" s="1176">
        <v>1</v>
      </c>
      <c r="J1170" s="1190">
        <v>1</v>
      </c>
      <c r="K1170" s="1180"/>
      <c r="L1170" s="1174">
        <v>13115000700</v>
      </c>
      <c r="M1170" s="1175">
        <v>1</v>
      </c>
      <c r="N1170" s="1175">
        <v>1</v>
      </c>
      <c r="O1170" s="1176">
        <v>2</v>
      </c>
      <c r="AA1170"/>
      <c r="AB1170"/>
    </row>
    <row r="1171" spans="3:28" ht="13.5">
      <c r="C1171" s="1181" t="s">
        <v>5851</v>
      </c>
      <c r="D1171" s="1178">
        <v>1</v>
      </c>
      <c r="E1171" s="1178">
        <v>1</v>
      </c>
      <c r="F1171" s="1179">
        <v>2</v>
      </c>
      <c r="G1171" s="1189" t="s">
        <v>5851</v>
      </c>
      <c r="H1171" s="1176">
        <v>1</v>
      </c>
      <c r="I1171" s="1176">
        <v>1</v>
      </c>
      <c r="J1171" s="1190">
        <v>2</v>
      </c>
      <c r="K1171" s="1180"/>
      <c r="L1171" s="1174">
        <v>13115000800</v>
      </c>
      <c r="M1171" s="1175">
        <v>1</v>
      </c>
      <c r="N1171" s="1175">
        <v>1</v>
      </c>
      <c r="O1171" s="1176">
        <v>2</v>
      </c>
      <c r="AA1171"/>
      <c r="AB1171"/>
    </row>
    <row r="1172" spans="3:28" ht="13.5">
      <c r="C1172" s="1181" t="s">
        <v>5852</v>
      </c>
      <c r="D1172" s="1178">
        <v>0</v>
      </c>
      <c r="E1172" s="1178">
        <v>1</v>
      </c>
      <c r="F1172" s="1179">
        <v>1</v>
      </c>
      <c r="G1172" s="1189" t="s">
        <v>5852</v>
      </c>
      <c r="H1172" s="1176">
        <v>0</v>
      </c>
      <c r="I1172" s="1176">
        <v>1</v>
      </c>
      <c r="J1172" s="1190">
        <v>1</v>
      </c>
      <c r="K1172" s="1180"/>
      <c r="L1172" s="1174">
        <v>13115000900</v>
      </c>
      <c r="M1172" s="1175">
        <v>0</v>
      </c>
      <c r="N1172" s="1175">
        <v>1</v>
      </c>
      <c r="O1172" s="1176">
        <v>1</v>
      </c>
      <c r="AA1172"/>
      <c r="AB1172"/>
    </row>
    <row r="1173" spans="3:28" ht="13.5">
      <c r="C1173" s="1181" t="s">
        <v>5853</v>
      </c>
      <c r="D1173" s="1178">
        <v>0</v>
      </c>
      <c r="E1173" s="1178">
        <v>0</v>
      </c>
      <c r="F1173" s="1179">
        <v>0</v>
      </c>
      <c r="G1173" s="1189" t="s">
        <v>5853</v>
      </c>
      <c r="H1173" s="1176">
        <v>0</v>
      </c>
      <c r="I1173" s="1176">
        <v>0</v>
      </c>
      <c r="J1173" s="1190">
        <v>0</v>
      </c>
      <c r="K1173" s="1180"/>
      <c r="L1173" s="1174">
        <v>13115001100</v>
      </c>
      <c r="M1173" s="1175">
        <v>0</v>
      </c>
      <c r="N1173" s="1175">
        <v>0</v>
      </c>
      <c r="O1173" s="1176">
        <v>0</v>
      </c>
      <c r="AA1173"/>
      <c r="AB1173"/>
    </row>
    <row r="1174" spans="3:28" ht="13.5">
      <c r="C1174" s="1181" t="s">
        <v>5854</v>
      </c>
      <c r="D1174" s="1178">
        <v>0</v>
      </c>
      <c r="E1174" s="1178">
        <v>0</v>
      </c>
      <c r="F1174" s="1179">
        <v>0</v>
      </c>
      <c r="G1174" s="1189" t="s">
        <v>5854</v>
      </c>
      <c r="H1174" s="1176">
        <v>0</v>
      </c>
      <c r="I1174" s="1176">
        <v>0</v>
      </c>
      <c r="J1174" s="1190">
        <v>0</v>
      </c>
      <c r="K1174" s="1180"/>
      <c r="L1174" s="1174">
        <v>13115001200</v>
      </c>
      <c r="M1174" s="1175">
        <v>0</v>
      </c>
      <c r="N1174" s="1175">
        <v>0</v>
      </c>
      <c r="O1174" s="1176">
        <v>0</v>
      </c>
      <c r="AA1174"/>
      <c r="AB1174"/>
    </row>
    <row r="1175" spans="3:28" ht="13.5">
      <c r="C1175" s="1181" t="s">
        <v>5855</v>
      </c>
      <c r="D1175" s="1178">
        <v>0</v>
      </c>
      <c r="E1175" s="1178">
        <v>0</v>
      </c>
      <c r="F1175" s="1179">
        <v>0</v>
      </c>
      <c r="G1175" s="1189" t="s">
        <v>5855</v>
      </c>
      <c r="H1175" s="1176">
        <v>0</v>
      </c>
      <c r="I1175" s="1176">
        <v>0</v>
      </c>
      <c r="J1175" s="1190">
        <v>0</v>
      </c>
      <c r="K1175" s="1180"/>
      <c r="L1175" s="1174">
        <v>13115001300</v>
      </c>
      <c r="M1175" s="1175">
        <v>0</v>
      </c>
      <c r="N1175" s="1175">
        <v>0</v>
      </c>
      <c r="O1175" s="1176">
        <v>0</v>
      </c>
      <c r="AA1175"/>
      <c r="AB1175"/>
    </row>
    <row r="1176" spans="3:28" ht="13.5">
      <c r="C1176" s="1181" t="s">
        <v>5856</v>
      </c>
      <c r="D1176" s="1178">
        <v>1</v>
      </c>
      <c r="E1176" s="1178">
        <v>1</v>
      </c>
      <c r="F1176" s="1179">
        <v>2</v>
      </c>
      <c r="G1176" s="1189" t="s">
        <v>5856</v>
      </c>
      <c r="H1176" s="1176">
        <v>0</v>
      </c>
      <c r="I1176" s="1176">
        <v>1</v>
      </c>
      <c r="J1176" s="1190">
        <v>1</v>
      </c>
      <c r="K1176" s="1180"/>
      <c r="L1176" s="1174">
        <v>13115001400</v>
      </c>
      <c r="M1176" s="1175">
        <v>1</v>
      </c>
      <c r="N1176" s="1175">
        <v>1</v>
      </c>
      <c r="O1176" s="1176">
        <v>2</v>
      </c>
      <c r="AA1176"/>
      <c r="AB1176"/>
    </row>
    <row r="1177" spans="3:28" ht="13.5">
      <c r="C1177" s="1181" t="s">
        <v>5857</v>
      </c>
      <c r="D1177" s="1178">
        <v>0</v>
      </c>
      <c r="E1177" s="1178">
        <v>0</v>
      </c>
      <c r="F1177" s="1179">
        <v>0</v>
      </c>
      <c r="G1177" s="1189" t="s">
        <v>5857</v>
      </c>
      <c r="H1177" s="1176">
        <v>0</v>
      </c>
      <c r="I1177" s="1176">
        <v>0</v>
      </c>
      <c r="J1177" s="1190">
        <v>0</v>
      </c>
      <c r="K1177" s="1180"/>
      <c r="L1177" s="1174">
        <v>13115001600</v>
      </c>
      <c r="M1177" s="1175">
        <v>0</v>
      </c>
      <c r="N1177" s="1175">
        <v>0</v>
      </c>
      <c r="O1177" s="1176">
        <v>0</v>
      </c>
      <c r="AA1177"/>
      <c r="AB1177"/>
    </row>
    <row r="1178" spans="3:28" ht="13.5">
      <c r="C1178" s="1181" t="s">
        <v>5858</v>
      </c>
      <c r="D1178" s="1178">
        <v>1</v>
      </c>
      <c r="E1178" s="1178">
        <v>0</v>
      </c>
      <c r="F1178" s="1179">
        <v>1</v>
      </c>
      <c r="G1178" s="1189" t="s">
        <v>5858</v>
      </c>
      <c r="H1178" s="1176">
        <v>1</v>
      </c>
      <c r="I1178" s="1176">
        <v>1</v>
      </c>
      <c r="J1178" s="1190">
        <v>2</v>
      </c>
      <c r="K1178" s="1180"/>
      <c r="L1178" s="1174">
        <v>13115001701</v>
      </c>
      <c r="M1178" s="1175">
        <v>1</v>
      </c>
      <c r="N1178" s="1175">
        <v>1</v>
      </c>
      <c r="O1178" s="1176">
        <v>2</v>
      </c>
      <c r="AA1178"/>
      <c r="AB1178"/>
    </row>
    <row r="1179" spans="3:28" ht="13.5">
      <c r="C1179" s="1181" t="s">
        <v>5859</v>
      </c>
      <c r="D1179" s="1178">
        <v>1</v>
      </c>
      <c r="E1179" s="1178">
        <v>1</v>
      </c>
      <c r="F1179" s="1179">
        <v>2</v>
      </c>
      <c r="G1179" s="1189" t="s">
        <v>5859</v>
      </c>
      <c r="H1179" s="1176">
        <v>0</v>
      </c>
      <c r="I1179" s="1176">
        <v>0</v>
      </c>
      <c r="J1179" s="1190">
        <v>0</v>
      </c>
      <c r="K1179" s="1180"/>
      <c r="L1179" s="1174">
        <v>13115001702</v>
      </c>
      <c r="M1179" s="1175">
        <v>1</v>
      </c>
      <c r="N1179" s="1175">
        <v>1</v>
      </c>
      <c r="O1179" s="1176">
        <v>2</v>
      </c>
      <c r="AA1179"/>
      <c r="AB1179"/>
    </row>
    <row r="1180" spans="3:28" ht="13.5">
      <c r="C1180" s="1181" t="s">
        <v>5860</v>
      </c>
      <c r="D1180" s="1178">
        <v>0</v>
      </c>
      <c r="E1180" s="1178">
        <v>0</v>
      </c>
      <c r="F1180" s="1179">
        <v>0</v>
      </c>
      <c r="G1180" s="1189" t="s">
        <v>5860</v>
      </c>
      <c r="H1180" s="1176">
        <v>0</v>
      </c>
      <c r="I1180" s="1176">
        <v>0</v>
      </c>
      <c r="J1180" s="1190">
        <v>0</v>
      </c>
      <c r="K1180" s="1180"/>
      <c r="L1180" s="1174">
        <v>13115001800</v>
      </c>
      <c r="M1180" s="1175">
        <v>0</v>
      </c>
      <c r="N1180" s="1175">
        <v>0</v>
      </c>
      <c r="O1180" s="1176">
        <v>0</v>
      </c>
      <c r="AA1180"/>
      <c r="AB1180"/>
    </row>
    <row r="1181" spans="3:28" ht="13.5">
      <c r="C1181" s="1181" t="s">
        <v>5861</v>
      </c>
      <c r="D1181" s="1178">
        <v>0</v>
      </c>
      <c r="E1181" s="1178">
        <v>0</v>
      </c>
      <c r="F1181" s="1179">
        <v>0</v>
      </c>
      <c r="G1181" s="1189" t="s">
        <v>5861</v>
      </c>
      <c r="H1181" s="1176">
        <v>0</v>
      </c>
      <c r="I1181" s="1176">
        <v>0</v>
      </c>
      <c r="J1181" s="1190">
        <v>0</v>
      </c>
      <c r="K1181" s="1180"/>
      <c r="L1181" s="1174">
        <v>13115002000</v>
      </c>
      <c r="M1181" s="1175">
        <v>0</v>
      </c>
      <c r="N1181" s="1175">
        <v>0</v>
      </c>
      <c r="O1181" s="1176">
        <v>0</v>
      </c>
      <c r="AA1181"/>
      <c r="AB1181"/>
    </row>
    <row r="1182" spans="3:28" ht="13.5">
      <c r="C1182" s="1181" t="s">
        <v>5862</v>
      </c>
      <c r="D1182" s="1178">
        <v>0</v>
      </c>
      <c r="E1182" s="1178">
        <v>0</v>
      </c>
      <c r="F1182" s="1179">
        <v>0</v>
      </c>
      <c r="G1182" s="1189" t="s">
        <v>5862</v>
      </c>
      <c r="H1182" s="1176">
        <v>0</v>
      </c>
      <c r="I1182" s="1176">
        <v>0</v>
      </c>
      <c r="J1182" s="1190">
        <v>0</v>
      </c>
      <c r="K1182" s="1180"/>
      <c r="L1182" s="1174">
        <v>13115002100</v>
      </c>
      <c r="M1182" s="1175">
        <v>0</v>
      </c>
      <c r="N1182" s="1175">
        <v>0</v>
      </c>
      <c r="O1182" s="1176">
        <v>0</v>
      </c>
      <c r="AA1182"/>
      <c r="AB1182"/>
    </row>
    <row r="1183" spans="3:28" ht="13.5">
      <c r="C1183" s="1181" t="s">
        <v>5863</v>
      </c>
      <c r="D1183" s="1178">
        <v>1</v>
      </c>
      <c r="E1183" s="1178">
        <v>1</v>
      </c>
      <c r="F1183" s="1179">
        <v>2</v>
      </c>
      <c r="G1183" s="1189" t="s">
        <v>5863</v>
      </c>
      <c r="H1183" s="1176">
        <v>1</v>
      </c>
      <c r="I1183" s="1176">
        <v>1</v>
      </c>
      <c r="J1183" s="1190">
        <v>2</v>
      </c>
      <c r="K1183" s="1180"/>
      <c r="L1183" s="1174">
        <v>13117130101</v>
      </c>
      <c r="M1183" s="1175">
        <v>1</v>
      </c>
      <c r="N1183" s="1175">
        <v>1</v>
      </c>
      <c r="O1183" s="1176">
        <v>2</v>
      </c>
      <c r="AA1183"/>
      <c r="AB1183"/>
    </row>
    <row r="1184" spans="3:28" ht="13.5">
      <c r="C1184" s="1181" t="s">
        <v>5864</v>
      </c>
      <c r="D1184" s="1178">
        <v>1</v>
      </c>
      <c r="E1184" s="1178">
        <v>1</v>
      </c>
      <c r="F1184" s="1179">
        <v>2</v>
      </c>
      <c r="G1184" s="1189" t="s">
        <v>5864</v>
      </c>
      <c r="H1184" s="1176">
        <v>1</v>
      </c>
      <c r="I1184" s="1176">
        <v>1</v>
      </c>
      <c r="J1184" s="1190">
        <v>2</v>
      </c>
      <c r="K1184" s="1180"/>
      <c r="L1184" s="1174">
        <v>13117130102</v>
      </c>
      <c r="M1184" s="1175">
        <v>1</v>
      </c>
      <c r="N1184" s="1175">
        <v>1</v>
      </c>
      <c r="O1184" s="1176">
        <v>2</v>
      </c>
      <c r="AA1184"/>
      <c r="AB1184"/>
    </row>
    <row r="1185" spans="3:28" ht="13.5">
      <c r="C1185" s="1181" t="s">
        <v>5865</v>
      </c>
      <c r="D1185" s="1178">
        <v>1</v>
      </c>
      <c r="E1185" s="1178">
        <v>1</v>
      </c>
      <c r="F1185" s="1179">
        <v>2</v>
      </c>
      <c r="G1185" s="1189" t="s">
        <v>5865</v>
      </c>
      <c r="H1185" s="1176">
        <v>1</v>
      </c>
      <c r="I1185" s="1176">
        <v>0</v>
      </c>
      <c r="J1185" s="1190">
        <v>1</v>
      </c>
      <c r="K1185" s="1180"/>
      <c r="L1185" s="1174">
        <v>13117130103</v>
      </c>
      <c r="M1185" s="1175">
        <v>1</v>
      </c>
      <c r="N1185" s="1175">
        <v>1</v>
      </c>
      <c r="O1185" s="1176">
        <v>2</v>
      </c>
      <c r="AA1185"/>
      <c r="AB1185"/>
    </row>
    <row r="1186" spans="3:28" ht="13.5">
      <c r="C1186" s="1181" t="s">
        <v>5866</v>
      </c>
      <c r="D1186" s="1178">
        <v>1</v>
      </c>
      <c r="E1186" s="1178">
        <v>1</v>
      </c>
      <c r="F1186" s="1179">
        <v>2</v>
      </c>
      <c r="G1186" s="1189" t="s">
        <v>5866</v>
      </c>
      <c r="H1186" s="1176">
        <v>1</v>
      </c>
      <c r="I1186" s="1176">
        <v>1</v>
      </c>
      <c r="J1186" s="1190">
        <v>2</v>
      </c>
      <c r="K1186" s="1180"/>
      <c r="L1186" s="1174">
        <v>13117130104</v>
      </c>
      <c r="M1186" s="1175">
        <v>1</v>
      </c>
      <c r="N1186" s="1175">
        <v>1</v>
      </c>
      <c r="O1186" s="1176">
        <v>2</v>
      </c>
      <c r="AA1186"/>
      <c r="AB1186"/>
    </row>
    <row r="1187" spans="3:28" ht="13.5">
      <c r="C1187" s="1181" t="s">
        <v>5867</v>
      </c>
      <c r="D1187" s="1178">
        <v>0</v>
      </c>
      <c r="E1187" s="1178">
        <v>0</v>
      </c>
      <c r="F1187" s="1179">
        <v>0</v>
      </c>
      <c r="G1187" s="1189" t="s">
        <v>5867</v>
      </c>
      <c r="H1187" s="1176">
        <v>0</v>
      </c>
      <c r="I1187" s="1176">
        <v>1</v>
      </c>
      <c r="J1187" s="1190">
        <v>1</v>
      </c>
      <c r="K1187" s="1180"/>
      <c r="L1187" s="1174">
        <v>13117130105</v>
      </c>
      <c r="M1187" s="1175">
        <v>0</v>
      </c>
      <c r="N1187" s="1175">
        <v>1</v>
      </c>
      <c r="O1187" s="1176">
        <v>1</v>
      </c>
      <c r="AA1187"/>
      <c r="AB1187"/>
    </row>
    <row r="1188" spans="3:28" ht="13.5">
      <c r="C1188" s="1181" t="s">
        <v>5868</v>
      </c>
      <c r="D1188" s="1178">
        <v>1</v>
      </c>
      <c r="E1188" s="1178">
        <v>1</v>
      </c>
      <c r="F1188" s="1179">
        <v>2</v>
      </c>
      <c r="G1188" s="1189" t="s">
        <v>5868</v>
      </c>
      <c r="H1188" s="1176">
        <v>1</v>
      </c>
      <c r="I1188" s="1176">
        <v>1</v>
      </c>
      <c r="J1188" s="1190">
        <v>2</v>
      </c>
      <c r="K1188" s="1180"/>
      <c r="L1188" s="1174">
        <v>13117130201</v>
      </c>
      <c r="M1188" s="1175">
        <v>1</v>
      </c>
      <c r="N1188" s="1175">
        <v>1</v>
      </c>
      <c r="O1188" s="1176">
        <v>2</v>
      </c>
      <c r="AA1188"/>
      <c r="AB1188"/>
    </row>
    <row r="1189" spans="3:28" ht="13.5">
      <c r="C1189" s="1181" t="s">
        <v>5869</v>
      </c>
      <c r="D1189" s="1178">
        <v>1</v>
      </c>
      <c r="E1189" s="1178">
        <v>1</v>
      </c>
      <c r="F1189" s="1179">
        <v>2</v>
      </c>
      <c r="G1189" s="1189" t="s">
        <v>5869</v>
      </c>
      <c r="H1189" s="1176">
        <v>1</v>
      </c>
      <c r="I1189" s="1176" t="s">
        <v>4455</v>
      </c>
      <c r="J1189" s="1190">
        <v>1</v>
      </c>
      <c r="K1189" s="1180"/>
      <c r="L1189" s="1174">
        <v>13117130202</v>
      </c>
      <c r="M1189" s="1175">
        <v>1</v>
      </c>
      <c r="N1189" s="1175">
        <v>1</v>
      </c>
      <c r="O1189" s="1176">
        <v>2</v>
      </c>
      <c r="AA1189"/>
      <c r="AB1189"/>
    </row>
    <row r="1190" spans="3:28" ht="13.5">
      <c r="C1190" s="1181" t="s">
        <v>5870</v>
      </c>
      <c r="D1190" s="1178">
        <v>1</v>
      </c>
      <c r="E1190" s="1178">
        <v>1</v>
      </c>
      <c r="F1190" s="1179">
        <v>2</v>
      </c>
      <c r="G1190" s="1189" t="s">
        <v>5870</v>
      </c>
      <c r="H1190" s="1176">
        <v>1</v>
      </c>
      <c r="I1190" s="1176">
        <v>1</v>
      </c>
      <c r="J1190" s="1190">
        <v>2</v>
      </c>
      <c r="K1190" s="1180"/>
      <c r="L1190" s="1174">
        <v>13117130203</v>
      </c>
      <c r="M1190" s="1175">
        <v>1</v>
      </c>
      <c r="N1190" s="1175">
        <v>1</v>
      </c>
      <c r="O1190" s="1176">
        <v>2</v>
      </c>
      <c r="AA1190"/>
      <c r="AB1190"/>
    </row>
    <row r="1191" spans="3:28" ht="13.5">
      <c r="C1191" s="1181" t="s">
        <v>5871</v>
      </c>
      <c r="D1191" s="1178">
        <v>1</v>
      </c>
      <c r="E1191" s="1178">
        <v>0</v>
      </c>
      <c r="F1191" s="1179">
        <v>1</v>
      </c>
      <c r="G1191" s="1189" t="s">
        <v>5871</v>
      </c>
      <c r="H1191" s="1176">
        <v>1</v>
      </c>
      <c r="I1191" s="1176">
        <v>0</v>
      </c>
      <c r="J1191" s="1190">
        <v>1</v>
      </c>
      <c r="K1191" s="1180"/>
      <c r="L1191" s="1174">
        <v>13117130204</v>
      </c>
      <c r="M1191" s="1175">
        <v>1</v>
      </c>
      <c r="N1191" s="1175">
        <v>0</v>
      </c>
      <c r="O1191" s="1176">
        <v>1</v>
      </c>
      <c r="AA1191"/>
      <c r="AB1191"/>
    </row>
    <row r="1192" spans="3:28" ht="13.5">
      <c r="C1192" s="1181" t="s">
        <v>5872</v>
      </c>
      <c r="D1192" s="1178">
        <v>1</v>
      </c>
      <c r="E1192" s="1178">
        <v>1</v>
      </c>
      <c r="F1192" s="1179">
        <v>2</v>
      </c>
      <c r="G1192" s="1189" t="s">
        <v>5872</v>
      </c>
      <c r="H1192" s="1176">
        <v>1</v>
      </c>
      <c r="I1192" s="1176" t="s">
        <v>4455</v>
      </c>
      <c r="J1192" s="1190">
        <v>1</v>
      </c>
      <c r="K1192" s="1180"/>
      <c r="L1192" s="1174">
        <v>13117130205</v>
      </c>
      <c r="M1192" s="1175">
        <v>1</v>
      </c>
      <c r="N1192" s="1175">
        <v>1</v>
      </c>
      <c r="O1192" s="1176">
        <v>2</v>
      </c>
      <c r="AA1192"/>
      <c r="AB1192"/>
    </row>
    <row r="1193" spans="3:28" ht="13.5">
      <c r="C1193" s="1181" t="s">
        <v>5873</v>
      </c>
      <c r="D1193" s="1178">
        <v>1</v>
      </c>
      <c r="E1193" s="1178">
        <v>1</v>
      </c>
      <c r="F1193" s="1179">
        <v>2</v>
      </c>
      <c r="G1193" s="1189" t="s">
        <v>5873</v>
      </c>
      <c r="H1193" s="1176">
        <v>1</v>
      </c>
      <c r="I1193" s="1176">
        <v>1</v>
      </c>
      <c r="J1193" s="1190">
        <v>2</v>
      </c>
      <c r="K1193" s="1180"/>
      <c r="L1193" s="1174">
        <v>13117130301</v>
      </c>
      <c r="M1193" s="1175">
        <v>1</v>
      </c>
      <c r="N1193" s="1175">
        <v>1</v>
      </c>
      <c r="O1193" s="1176">
        <v>2</v>
      </c>
      <c r="AA1193"/>
      <c r="AB1193"/>
    </row>
    <row r="1194" spans="3:28" ht="13.5">
      <c r="C1194" s="1181" t="s">
        <v>5874</v>
      </c>
      <c r="D1194" s="1178">
        <v>1</v>
      </c>
      <c r="E1194" s="1178">
        <v>1</v>
      </c>
      <c r="F1194" s="1179">
        <v>2</v>
      </c>
      <c r="G1194" s="1189" t="s">
        <v>5874</v>
      </c>
      <c r="H1194" s="1176">
        <v>1</v>
      </c>
      <c r="I1194" s="1176">
        <v>1</v>
      </c>
      <c r="J1194" s="1190">
        <v>2</v>
      </c>
      <c r="K1194" s="1180"/>
      <c r="L1194" s="1174">
        <v>13117130302</v>
      </c>
      <c r="M1194" s="1175">
        <v>1</v>
      </c>
      <c r="N1194" s="1175">
        <v>1</v>
      </c>
      <c r="O1194" s="1176">
        <v>2</v>
      </c>
      <c r="AA1194"/>
      <c r="AB1194"/>
    </row>
    <row r="1195" spans="3:28" ht="13.5">
      <c r="C1195" s="1181" t="s">
        <v>5875</v>
      </c>
      <c r="D1195" s="1178">
        <v>1</v>
      </c>
      <c r="E1195" s="1178">
        <v>1</v>
      </c>
      <c r="F1195" s="1179">
        <v>2</v>
      </c>
      <c r="G1195" s="1189" t="s">
        <v>5875</v>
      </c>
      <c r="H1195" s="1176">
        <v>1</v>
      </c>
      <c r="I1195" s="1176">
        <v>1</v>
      </c>
      <c r="J1195" s="1190">
        <v>2</v>
      </c>
      <c r="K1195" s="1180"/>
      <c r="L1195" s="1174">
        <v>13117130303</v>
      </c>
      <c r="M1195" s="1175">
        <v>1</v>
      </c>
      <c r="N1195" s="1175">
        <v>1</v>
      </c>
      <c r="O1195" s="1176">
        <v>2</v>
      </c>
      <c r="AA1195"/>
      <c r="AB1195"/>
    </row>
    <row r="1196" spans="3:28" ht="13.5">
      <c r="C1196" s="1181" t="s">
        <v>5876</v>
      </c>
      <c r="D1196" s="1178">
        <v>1</v>
      </c>
      <c r="E1196" s="1178">
        <v>1</v>
      </c>
      <c r="F1196" s="1179">
        <v>2</v>
      </c>
      <c r="G1196" s="1189" t="s">
        <v>5876</v>
      </c>
      <c r="H1196" s="1176">
        <v>1</v>
      </c>
      <c r="I1196" s="1176">
        <v>1</v>
      </c>
      <c r="J1196" s="1190">
        <v>2</v>
      </c>
      <c r="K1196" s="1180"/>
      <c r="L1196" s="1174">
        <v>13117130304</v>
      </c>
      <c r="M1196" s="1175">
        <v>1</v>
      </c>
      <c r="N1196" s="1175">
        <v>1</v>
      </c>
      <c r="O1196" s="1176">
        <v>2</v>
      </c>
      <c r="AA1196"/>
      <c r="AB1196"/>
    </row>
    <row r="1197" spans="3:28" ht="13.5">
      <c r="C1197" s="1181" t="s">
        <v>5877</v>
      </c>
      <c r="D1197" s="1178">
        <v>1</v>
      </c>
      <c r="E1197" s="1178">
        <v>1</v>
      </c>
      <c r="F1197" s="1179">
        <v>2</v>
      </c>
      <c r="G1197" s="1189" t="s">
        <v>5877</v>
      </c>
      <c r="H1197" s="1176">
        <v>1</v>
      </c>
      <c r="I1197" s="1176">
        <v>1</v>
      </c>
      <c r="J1197" s="1190">
        <v>2</v>
      </c>
      <c r="K1197" s="1180"/>
      <c r="L1197" s="1174">
        <v>13117130305</v>
      </c>
      <c r="M1197" s="1175">
        <v>1</v>
      </c>
      <c r="N1197" s="1175">
        <v>1</v>
      </c>
      <c r="O1197" s="1176">
        <v>2</v>
      </c>
      <c r="AA1197"/>
      <c r="AB1197"/>
    </row>
    <row r="1198" spans="3:28" ht="13.5">
      <c r="C1198" s="1181" t="s">
        <v>5878</v>
      </c>
      <c r="D1198" s="1178">
        <v>1</v>
      </c>
      <c r="E1198" s="1178">
        <v>1</v>
      </c>
      <c r="F1198" s="1179">
        <v>2</v>
      </c>
      <c r="G1198" s="1189" t="s">
        <v>5878</v>
      </c>
      <c r="H1198" s="1176">
        <v>1</v>
      </c>
      <c r="I1198" s="1176">
        <v>1</v>
      </c>
      <c r="J1198" s="1190">
        <v>2</v>
      </c>
      <c r="K1198" s="1180"/>
      <c r="L1198" s="1174">
        <v>13117130306</v>
      </c>
      <c r="M1198" s="1175">
        <v>1</v>
      </c>
      <c r="N1198" s="1175">
        <v>1</v>
      </c>
      <c r="O1198" s="1176">
        <v>2</v>
      </c>
      <c r="AA1198"/>
      <c r="AB1198"/>
    </row>
    <row r="1199" spans="3:28" ht="13.5">
      <c r="C1199" s="1181" t="s">
        <v>5879</v>
      </c>
      <c r="D1199" s="1178">
        <v>1</v>
      </c>
      <c r="E1199" s="1178">
        <v>1</v>
      </c>
      <c r="F1199" s="1179">
        <v>2</v>
      </c>
      <c r="G1199" s="1189" t="s">
        <v>5879</v>
      </c>
      <c r="H1199" s="1176">
        <v>1</v>
      </c>
      <c r="I1199" s="1176">
        <v>1</v>
      </c>
      <c r="J1199" s="1190">
        <v>2</v>
      </c>
      <c r="K1199" s="1180"/>
      <c r="L1199" s="1174">
        <v>13117130307</v>
      </c>
      <c r="M1199" s="1175">
        <v>1</v>
      </c>
      <c r="N1199" s="1175">
        <v>1</v>
      </c>
      <c r="O1199" s="1176">
        <v>2</v>
      </c>
      <c r="AA1199"/>
      <c r="AB1199"/>
    </row>
    <row r="1200" spans="3:28" ht="13.5">
      <c r="C1200" s="1181" t="s">
        <v>5880</v>
      </c>
      <c r="D1200" s="1178">
        <v>1</v>
      </c>
      <c r="E1200" s="1178">
        <v>1</v>
      </c>
      <c r="F1200" s="1179">
        <v>2</v>
      </c>
      <c r="G1200" s="1189" t="s">
        <v>5880</v>
      </c>
      <c r="H1200" s="1176">
        <v>1</v>
      </c>
      <c r="I1200" s="1176">
        <v>1</v>
      </c>
      <c r="J1200" s="1190">
        <v>2</v>
      </c>
      <c r="K1200" s="1180"/>
      <c r="L1200" s="1174">
        <v>13117130403</v>
      </c>
      <c r="M1200" s="1175">
        <v>1</v>
      </c>
      <c r="N1200" s="1175">
        <v>1</v>
      </c>
      <c r="O1200" s="1176">
        <v>2</v>
      </c>
      <c r="AA1200"/>
      <c r="AB1200"/>
    </row>
    <row r="1201" spans="3:28" ht="13.5">
      <c r="C1201" s="1181" t="s">
        <v>5881</v>
      </c>
      <c r="D1201" s="1178">
        <v>1</v>
      </c>
      <c r="E1201" s="1178">
        <v>1</v>
      </c>
      <c r="F1201" s="1179">
        <v>2</v>
      </c>
      <c r="G1201" s="1189" t="s">
        <v>5881</v>
      </c>
      <c r="H1201" s="1176">
        <v>1</v>
      </c>
      <c r="I1201" s="1176">
        <v>1</v>
      </c>
      <c r="J1201" s="1190">
        <v>2</v>
      </c>
      <c r="K1201" s="1180"/>
      <c r="L1201" s="1174">
        <v>13117130404</v>
      </c>
      <c r="M1201" s="1175">
        <v>1</v>
      </c>
      <c r="N1201" s="1175">
        <v>1</v>
      </c>
      <c r="O1201" s="1176">
        <v>2</v>
      </c>
      <c r="AA1201"/>
      <c r="AB1201"/>
    </row>
    <row r="1202" spans="3:28" ht="13.5">
      <c r="C1202" s="1181" t="s">
        <v>5882</v>
      </c>
      <c r="D1202" s="1178">
        <v>1</v>
      </c>
      <c r="E1202" s="1178">
        <v>1</v>
      </c>
      <c r="F1202" s="1179">
        <v>2</v>
      </c>
      <c r="G1202" s="1189" t="s">
        <v>5882</v>
      </c>
      <c r="H1202" s="1176">
        <v>1</v>
      </c>
      <c r="I1202" s="1176">
        <v>1</v>
      </c>
      <c r="J1202" s="1190">
        <v>2</v>
      </c>
      <c r="K1202" s="1180"/>
      <c r="L1202" s="1174">
        <v>13117130405</v>
      </c>
      <c r="M1202" s="1175">
        <v>1</v>
      </c>
      <c r="N1202" s="1175">
        <v>1</v>
      </c>
      <c r="O1202" s="1176">
        <v>2</v>
      </c>
      <c r="AA1202"/>
      <c r="AB1202"/>
    </row>
    <row r="1203" spans="3:28" ht="13.5">
      <c r="C1203" s="1181" t="s">
        <v>5883</v>
      </c>
      <c r="D1203" s="1178">
        <v>1</v>
      </c>
      <c r="E1203" s="1178">
        <v>0</v>
      </c>
      <c r="F1203" s="1179">
        <v>1</v>
      </c>
      <c r="G1203" s="1189" t="s">
        <v>5883</v>
      </c>
      <c r="H1203" s="1176">
        <v>1</v>
      </c>
      <c r="I1203" s="1176">
        <v>0</v>
      </c>
      <c r="J1203" s="1190">
        <v>1</v>
      </c>
      <c r="K1203" s="1180"/>
      <c r="L1203" s="1174">
        <v>13117130406</v>
      </c>
      <c r="M1203" s="1175">
        <v>1</v>
      </c>
      <c r="N1203" s="1175">
        <v>0</v>
      </c>
      <c r="O1203" s="1176">
        <v>1</v>
      </c>
      <c r="AA1203"/>
      <c r="AB1203"/>
    </row>
    <row r="1204" spans="3:28" ht="13.5">
      <c r="C1204" s="1181" t="s">
        <v>5884</v>
      </c>
      <c r="D1204" s="1178">
        <v>1</v>
      </c>
      <c r="E1204" s="1178">
        <v>0</v>
      </c>
      <c r="F1204" s="1179">
        <v>1</v>
      </c>
      <c r="G1204" s="1189" t="s">
        <v>5884</v>
      </c>
      <c r="H1204" s="1176">
        <v>0</v>
      </c>
      <c r="I1204" s="1176">
        <v>0</v>
      </c>
      <c r="J1204" s="1190">
        <v>0</v>
      </c>
      <c r="K1204" s="1180"/>
      <c r="L1204" s="1174">
        <v>13117130408</v>
      </c>
      <c r="M1204" s="1175">
        <v>1</v>
      </c>
      <c r="N1204" s="1175">
        <v>0</v>
      </c>
      <c r="O1204" s="1176">
        <v>1</v>
      </c>
      <c r="AA1204"/>
      <c r="AB1204"/>
    </row>
    <row r="1205" spans="3:28" ht="13.5">
      <c r="C1205" s="1181" t="s">
        <v>5885</v>
      </c>
      <c r="D1205" s="1178">
        <v>1</v>
      </c>
      <c r="E1205" s="1178">
        <v>1</v>
      </c>
      <c r="F1205" s="1179">
        <v>2</v>
      </c>
      <c r="G1205" s="1189" t="s">
        <v>5885</v>
      </c>
      <c r="H1205" s="1176">
        <v>1</v>
      </c>
      <c r="I1205" s="1176">
        <v>0</v>
      </c>
      <c r="J1205" s="1190">
        <v>1</v>
      </c>
      <c r="K1205" s="1180"/>
      <c r="L1205" s="1174">
        <v>13117130409</v>
      </c>
      <c r="M1205" s="1175">
        <v>1</v>
      </c>
      <c r="N1205" s="1175">
        <v>1</v>
      </c>
      <c r="O1205" s="1176">
        <v>2</v>
      </c>
      <c r="AA1205"/>
      <c r="AB1205"/>
    </row>
    <row r="1206" spans="3:28" ht="13.5">
      <c r="C1206" s="1181" t="s">
        <v>5886</v>
      </c>
      <c r="D1206" s="1178">
        <v>1</v>
      </c>
      <c r="E1206" s="1178">
        <v>1</v>
      </c>
      <c r="F1206" s="1179">
        <v>2</v>
      </c>
      <c r="G1206" s="1189" t="s">
        <v>5886</v>
      </c>
      <c r="H1206" s="1176">
        <v>1</v>
      </c>
      <c r="I1206" s="1176">
        <v>1</v>
      </c>
      <c r="J1206" s="1190">
        <v>1</v>
      </c>
      <c r="K1206" s="1180"/>
      <c r="L1206" s="1174">
        <v>13117130410</v>
      </c>
      <c r="M1206" s="1175">
        <v>1</v>
      </c>
      <c r="N1206" s="1175">
        <v>1</v>
      </c>
      <c r="O1206" s="1176">
        <v>2</v>
      </c>
      <c r="AA1206"/>
      <c r="AB1206"/>
    </row>
    <row r="1207" spans="3:28" ht="13.5">
      <c r="C1207" s="1181" t="s">
        <v>5887</v>
      </c>
      <c r="D1207" s="1178">
        <v>1</v>
      </c>
      <c r="E1207" s="1178">
        <v>1</v>
      </c>
      <c r="F1207" s="1179">
        <v>2</v>
      </c>
      <c r="G1207" s="1189" t="s">
        <v>5887</v>
      </c>
      <c r="H1207" s="1176">
        <v>1</v>
      </c>
      <c r="I1207" s="1176">
        <v>0</v>
      </c>
      <c r="J1207" s="1190">
        <v>1</v>
      </c>
      <c r="K1207" s="1180"/>
      <c r="L1207" s="1174">
        <v>13117130503</v>
      </c>
      <c r="M1207" s="1175">
        <v>1</v>
      </c>
      <c r="N1207" s="1175">
        <v>1</v>
      </c>
      <c r="O1207" s="1176">
        <v>2</v>
      </c>
      <c r="AA1207"/>
      <c r="AB1207"/>
    </row>
    <row r="1208" spans="3:28" ht="13.5">
      <c r="C1208" s="1181" t="s">
        <v>5888</v>
      </c>
      <c r="D1208" s="1178">
        <v>1</v>
      </c>
      <c r="E1208" s="1178">
        <v>1</v>
      </c>
      <c r="F1208" s="1179">
        <v>2</v>
      </c>
      <c r="G1208" s="1189" t="s">
        <v>5888</v>
      </c>
      <c r="H1208" s="1176">
        <v>1</v>
      </c>
      <c r="I1208" s="1176">
        <v>0</v>
      </c>
      <c r="J1208" s="1190">
        <v>1</v>
      </c>
      <c r="K1208" s="1180"/>
      <c r="L1208" s="1174">
        <v>13117130504</v>
      </c>
      <c r="M1208" s="1175">
        <v>1</v>
      </c>
      <c r="N1208" s="1175">
        <v>1</v>
      </c>
      <c r="O1208" s="1176">
        <v>2</v>
      </c>
      <c r="AA1208"/>
      <c r="AB1208"/>
    </row>
    <row r="1209" spans="3:28" ht="13.5">
      <c r="C1209" s="1181" t="s">
        <v>5889</v>
      </c>
      <c r="D1209" s="1178">
        <v>1</v>
      </c>
      <c r="E1209" s="1178">
        <v>1</v>
      </c>
      <c r="F1209" s="1179">
        <v>2</v>
      </c>
      <c r="G1209" s="1189" t="s">
        <v>5889</v>
      </c>
      <c r="H1209" s="1176">
        <v>1</v>
      </c>
      <c r="I1209" s="1176" t="s">
        <v>4455</v>
      </c>
      <c r="J1209" s="1190">
        <v>1</v>
      </c>
      <c r="K1209" s="1180"/>
      <c r="L1209" s="1174">
        <v>13117130505</v>
      </c>
      <c r="M1209" s="1175">
        <v>1</v>
      </c>
      <c r="N1209" s="1175">
        <v>1</v>
      </c>
      <c r="O1209" s="1176">
        <v>2</v>
      </c>
      <c r="AA1209"/>
      <c r="AB1209"/>
    </row>
    <row r="1210" spans="3:28" ht="13.5">
      <c r="C1210" s="1181" t="s">
        <v>5890</v>
      </c>
      <c r="D1210" s="1178">
        <v>1</v>
      </c>
      <c r="E1210" s="1178">
        <v>1</v>
      </c>
      <c r="F1210" s="1179">
        <v>2</v>
      </c>
      <c r="G1210" s="1189" t="s">
        <v>5890</v>
      </c>
      <c r="H1210" s="1176">
        <v>1</v>
      </c>
      <c r="I1210" s="1176">
        <v>1</v>
      </c>
      <c r="J1210" s="1190">
        <v>2</v>
      </c>
      <c r="K1210" s="1180"/>
      <c r="L1210" s="1174">
        <v>13117130506</v>
      </c>
      <c r="M1210" s="1175">
        <v>1</v>
      </c>
      <c r="N1210" s="1175">
        <v>1</v>
      </c>
      <c r="O1210" s="1176">
        <v>2</v>
      </c>
      <c r="AA1210"/>
      <c r="AB1210"/>
    </row>
    <row r="1211" spans="3:28" ht="13.5">
      <c r="C1211" s="1181" t="s">
        <v>5891</v>
      </c>
      <c r="D1211" s="1178">
        <v>1</v>
      </c>
      <c r="E1211" s="1178">
        <v>1</v>
      </c>
      <c r="F1211" s="1179">
        <v>2</v>
      </c>
      <c r="G1211" s="1189" t="s">
        <v>5891</v>
      </c>
      <c r="H1211" s="1176">
        <v>1</v>
      </c>
      <c r="I1211" s="1176">
        <v>1</v>
      </c>
      <c r="J1211" s="1190">
        <v>2</v>
      </c>
      <c r="K1211" s="1180"/>
      <c r="L1211" s="1174">
        <v>13117130507</v>
      </c>
      <c r="M1211" s="1175">
        <v>1</v>
      </c>
      <c r="N1211" s="1175">
        <v>1</v>
      </c>
      <c r="O1211" s="1176">
        <v>2</v>
      </c>
      <c r="AA1211"/>
      <c r="AB1211"/>
    </row>
    <row r="1212" spans="3:28" ht="13.5">
      <c r="C1212" s="1181" t="s">
        <v>5892</v>
      </c>
      <c r="D1212" s="1178">
        <v>1</v>
      </c>
      <c r="E1212" s="1178">
        <v>1</v>
      </c>
      <c r="F1212" s="1179">
        <v>2</v>
      </c>
      <c r="G1212" s="1189" t="s">
        <v>5892</v>
      </c>
      <c r="H1212" s="1176">
        <v>1</v>
      </c>
      <c r="I1212" s="1176">
        <v>1</v>
      </c>
      <c r="J1212" s="1190">
        <v>2</v>
      </c>
      <c r="K1212" s="1180"/>
      <c r="L1212" s="1174">
        <v>13117130508</v>
      </c>
      <c r="M1212" s="1175">
        <v>1</v>
      </c>
      <c r="N1212" s="1175">
        <v>1</v>
      </c>
      <c r="O1212" s="1176">
        <v>2</v>
      </c>
      <c r="AA1212"/>
      <c r="AB1212"/>
    </row>
    <row r="1213" spans="3:28" ht="13.5">
      <c r="C1213" s="1181" t="s">
        <v>5893</v>
      </c>
      <c r="D1213" s="1178">
        <v>1</v>
      </c>
      <c r="E1213" s="1178">
        <v>1</v>
      </c>
      <c r="F1213" s="1179">
        <v>2</v>
      </c>
      <c r="G1213" s="1189" t="s">
        <v>5893</v>
      </c>
      <c r="H1213" s="1176">
        <v>1</v>
      </c>
      <c r="I1213" s="1176">
        <v>1</v>
      </c>
      <c r="J1213" s="1190">
        <v>2</v>
      </c>
      <c r="K1213" s="1180"/>
      <c r="L1213" s="1174">
        <v>13117130509</v>
      </c>
      <c r="M1213" s="1175">
        <v>1</v>
      </c>
      <c r="N1213" s="1175">
        <v>1</v>
      </c>
      <c r="O1213" s="1176">
        <v>2</v>
      </c>
      <c r="AA1213"/>
      <c r="AB1213"/>
    </row>
    <row r="1214" spans="3:28" ht="13.5">
      <c r="C1214" s="1181" t="s">
        <v>5894</v>
      </c>
      <c r="D1214" s="1178">
        <v>1</v>
      </c>
      <c r="E1214" s="1178">
        <v>1</v>
      </c>
      <c r="F1214" s="1179">
        <v>2</v>
      </c>
      <c r="G1214" s="1189" t="s">
        <v>5894</v>
      </c>
      <c r="H1214" s="1176">
        <v>1</v>
      </c>
      <c r="I1214" s="1176">
        <v>1</v>
      </c>
      <c r="J1214" s="1190">
        <v>2</v>
      </c>
      <c r="K1214" s="1180"/>
      <c r="L1214" s="1174">
        <v>13117130510</v>
      </c>
      <c r="M1214" s="1175">
        <v>1</v>
      </c>
      <c r="N1214" s="1175">
        <v>1</v>
      </c>
      <c r="O1214" s="1176">
        <v>2</v>
      </c>
      <c r="AA1214"/>
      <c r="AB1214"/>
    </row>
    <row r="1215" spans="3:28" ht="13.5">
      <c r="C1215" s="1181" t="s">
        <v>5895</v>
      </c>
      <c r="D1215" s="1178">
        <v>1</v>
      </c>
      <c r="E1215" s="1178">
        <v>1</v>
      </c>
      <c r="F1215" s="1179">
        <v>2</v>
      </c>
      <c r="G1215" s="1189" t="s">
        <v>5895</v>
      </c>
      <c r="H1215" s="1176">
        <v>1</v>
      </c>
      <c r="I1215" s="1176">
        <v>1</v>
      </c>
      <c r="J1215" s="1190">
        <v>2</v>
      </c>
      <c r="K1215" s="1180"/>
      <c r="L1215" s="1174">
        <v>13117130601</v>
      </c>
      <c r="M1215" s="1175">
        <v>1</v>
      </c>
      <c r="N1215" s="1175">
        <v>1</v>
      </c>
      <c r="O1215" s="1176">
        <v>2</v>
      </c>
      <c r="AA1215"/>
      <c r="AB1215"/>
    </row>
    <row r="1216" spans="3:28" ht="13.5">
      <c r="C1216" s="1181" t="s">
        <v>5896</v>
      </c>
      <c r="D1216" s="1178">
        <v>1</v>
      </c>
      <c r="E1216" s="1178">
        <v>1</v>
      </c>
      <c r="F1216" s="1179">
        <v>2</v>
      </c>
      <c r="G1216" s="1189" t="s">
        <v>5896</v>
      </c>
      <c r="H1216" s="1176">
        <v>1</v>
      </c>
      <c r="I1216" s="1176">
        <v>0</v>
      </c>
      <c r="J1216" s="1190">
        <v>1</v>
      </c>
      <c r="K1216" s="1180"/>
      <c r="L1216" s="1174">
        <v>13117130602</v>
      </c>
      <c r="M1216" s="1175">
        <v>1</v>
      </c>
      <c r="N1216" s="1175">
        <v>1</v>
      </c>
      <c r="O1216" s="1176">
        <v>2</v>
      </c>
      <c r="AA1216"/>
      <c r="AB1216"/>
    </row>
    <row r="1217" spans="3:28" ht="13.5">
      <c r="C1217" s="1181" t="s">
        <v>5897</v>
      </c>
      <c r="D1217" s="1178">
        <v>1</v>
      </c>
      <c r="E1217" s="1178">
        <v>1</v>
      </c>
      <c r="F1217" s="1179">
        <v>2</v>
      </c>
      <c r="G1217" s="1189" t="s">
        <v>5897</v>
      </c>
      <c r="H1217" s="1176">
        <v>1</v>
      </c>
      <c r="I1217" s="1176" t="s">
        <v>4455</v>
      </c>
      <c r="J1217" s="1190">
        <v>1</v>
      </c>
      <c r="K1217" s="1180"/>
      <c r="L1217" s="1174">
        <v>13117130603</v>
      </c>
      <c r="M1217" s="1175">
        <v>1</v>
      </c>
      <c r="N1217" s="1175">
        <v>1</v>
      </c>
      <c r="O1217" s="1176">
        <v>2</v>
      </c>
      <c r="AA1217"/>
      <c r="AB1217"/>
    </row>
    <row r="1218" spans="3:28" ht="13.5">
      <c r="C1218" s="1181" t="s">
        <v>5898</v>
      </c>
      <c r="D1218" s="1178">
        <v>1</v>
      </c>
      <c r="E1218" s="1178">
        <v>1</v>
      </c>
      <c r="F1218" s="1179">
        <v>2</v>
      </c>
      <c r="G1218" s="1189" t="s">
        <v>5898</v>
      </c>
      <c r="H1218" s="1176">
        <v>1</v>
      </c>
      <c r="I1218" s="1176">
        <v>1</v>
      </c>
      <c r="J1218" s="1190">
        <v>2</v>
      </c>
      <c r="K1218" s="1180"/>
      <c r="L1218" s="1174">
        <v>13117130604</v>
      </c>
      <c r="M1218" s="1175">
        <v>1</v>
      </c>
      <c r="N1218" s="1175">
        <v>1</v>
      </c>
      <c r="O1218" s="1176">
        <v>2</v>
      </c>
      <c r="AA1218"/>
      <c r="AB1218"/>
    </row>
    <row r="1219" spans="3:28" ht="13.5">
      <c r="C1219" s="1181" t="s">
        <v>5899</v>
      </c>
      <c r="D1219" s="1178">
        <v>1</v>
      </c>
      <c r="E1219" s="1178">
        <v>1</v>
      </c>
      <c r="F1219" s="1179">
        <v>2</v>
      </c>
      <c r="G1219" s="1189" t="s">
        <v>5899</v>
      </c>
      <c r="H1219" s="1176">
        <v>1</v>
      </c>
      <c r="I1219" s="1176">
        <v>1</v>
      </c>
      <c r="J1219" s="1190">
        <v>2</v>
      </c>
      <c r="K1219" s="1180"/>
      <c r="L1219" s="1174">
        <v>13117130605</v>
      </c>
      <c r="M1219" s="1175">
        <v>1</v>
      </c>
      <c r="N1219" s="1175">
        <v>1</v>
      </c>
      <c r="O1219" s="1176">
        <v>2</v>
      </c>
      <c r="AA1219"/>
      <c r="AB1219"/>
    </row>
    <row r="1220" spans="3:28" ht="13.5">
      <c r="C1220" s="1181" t="s">
        <v>5900</v>
      </c>
      <c r="D1220" s="1178">
        <v>1</v>
      </c>
      <c r="E1220" s="1178">
        <v>1</v>
      </c>
      <c r="F1220" s="1179">
        <v>2</v>
      </c>
      <c r="G1220" s="1189" t="s">
        <v>5900</v>
      </c>
      <c r="H1220" s="1176">
        <v>1</v>
      </c>
      <c r="I1220" s="1176">
        <v>1</v>
      </c>
      <c r="J1220" s="1190">
        <v>2</v>
      </c>
      <c r="K1220" s="1180"/>
      <c r="L1220" s="1174">
        <v>13117130606</v>
      </c>
      <c r="M1220" s="1175">
        <v>1</v>
      </c>
      <c r="N1220" s="1175">
        <v>1</v>
      </c>
      <c r="O1220" s="1176">
        <v>2</v>
      </c>
      <c r="AA1220"/>
      <c r="AB1220"/>
    </row>
    <row r="1221" spans="3:28" ht="13.5">
      <c r="C1221" s="1181" t="s">
        <v>5901</v>
      </c>
      <c r="D1221" s="1178">
        <v>1</v>
      </c>
      <c r="E1221" s="1178">
        <v>1</v>
      </c>
      <c r="F1221" s="1179">
        <v>2</v>
      </c>
      <c r="G1221" s="1189" t="s">
        <v>5901</v>
      </c>
      <c r="H1221" s="1176">
        <v>1</v>
      </c>
      <c r="I1221" s="1176">
        <v>1</v>
      </c>
      <c r="J1221" s="1190">
        <v>2</v>
      </c>
      <c r="K1221" s="1180"/>
      <c r="L1221" s="1174">
        <v>13117130607</v>
      </c>
      <c r="M1221" s="1175">
        <v>1</v>
      </c>
      <c r="N1221" s="1175">
        <v>1</v>
      </c>
      <c r="O1221" s="1176">
        <v>2</v>
      </c>
      <c r="AA1221"/>
      <c r="AB1221"/>
    </row>
    <row r="1222" spans="3:28" ht="13.5">
      <c r="C1222" s="1181" t="s">
        <v>5902</v>
      </c>
      <c r="D1222" s="1178">
        <v>1</v>
      </c>
      <c r="E1222" s="1178">
        <v>1</v>
      </c>
      <c r="F1222" s="1179">
        <v>2</v>
      </c>
      <c r="G1222" s="1189" t="s">
        <v>5902</v>
      </c>
      <c r="H1222" s="1176">
        <v>1</v>
      </c>
      <c r="I1222" s="1176">
        <v>1</v>
      </c>
      <c r="J1222" s="1190">
        <v>2</v>
      </c>
      <c r="K1222" s="1180"/>
      <c r="L1222" s="1174">
        <v>13117130608</v>
      </c>
      <c r="M1222" s="1175">
        <v>1</v>
      </c>
      <c r="N1222" s="1175">
        <v>1</v>
      </c>
      <c r="O1222" s="1176">
        <v>2</v>
      </c>
      <c r="AA1222"/>
      <c r="AB1222"/>
    </row>
    <row r="1223" spans="3:28" ht="13.5">
      <c r="C1223" s="1181" t="s">
        <v>5903</v>
      </c>
      <c r="D1223" s="1178">
        <v>1</v>
      </c>
      <c r="E1223" s="1178">
        <v>1</v>
      </c>
      <c r="F1223" s="1179">
        <v>2</v>
      </c>
      <c r="G1223" s="1189" t="s">
        <v>5903</v>
      </c>
      <c r="H1223" s="1176">
        <v>1</v>
      </c>
      <c r="I1223" s="1176">
        <v>1</v>
      </c>
      <c r="J1223" s="1190">
        <v>2</v>
      </c>
      <c r="K1223" s="1180"/>
      <c r="L1223" s="1174">
        <v>13117130609</v>
      </c>
      <c r="M1223" s="1175">
        <v>1</v>
      </c>
      <c r="N1223" s="1175">
        <v>1</v>
      </c>
      <c r="O1223" s="1176">
        <v>2</v>
      </c>
      <c r="AA1223"/>
      <c r="AB1223"/>
    </row>
    <row r="1224" spans="3:28" ht="13.5">
      <c r="C1224" s="1181" t="s">
        <v>5904</v>
      </c>
      <c r="D1224" s="1178">
        <v>1</v>
      </c>
      <c r="E1224" s="1178">
        <v>1</v>
      </c>
      <c r="F1224" s="1179">
        <v>2</v>
      </c>
      <c r="G1224" s="1189" t="s">
        <v>5904</v>
      </c>
      <c r="H1224" s="1176">
        <v>1</v>
      </c>
      <c r="I1224" s="1176">
        <v>1</v>
      </c>
      <c r="J1224" s="1190">
        <v>2</v>
      </c>
      <c r="K1224" s="1180"/>
      <c r="L1224" s="1174">
        <v>13117130610</v>
      </c>
      <c r="M1224" s="1175">
        <v>1</v>
      </c>
      <c r="N1224" s="1175">
        <v>1</v>
      </c>
      <c r="O1224" s="1176">
        <v>2</v>
      </c>
      <c r="AA1224"/>
      <c r="AB1224"/>
    </row>
    <row r="1225" spans="3:28" ht="13.5">
      <c r="C1225" s="1181" t="s">
        <v>5905</v>
      </c>
      <c r="D1225" s="1178">
        <v>1</v>
      </c>
      <c r="E1225" s="1178">
        <v>1</v>
      </c>
      <c r="F1225" s="1179">
        <v>2</v>
      </c>
      <c r="G1225" s="1189" t="s">
        <v>5905</v>
      </c>
      <c r="H1225" s="1176">
        <v>1</v>
      </c>
      <c r="I1225" s="1176">
        <v>1</v>
      </c>
      <c r="J1225" s="1190">
        <v>2</v>
      </c>
      <c r="K1225" s="1180"/>
      <c r="L1225" s="1174">
        <v>13117130611</v>
      </c>
      <c r="M1225" s="1175">
        <v>1</v>
      </c>
      <c r="N1225" s="1175">
        <v>1</v>
      </c>
      <c r="O1225" s="1176">
        <v>2</v>
      </c>
      <c r="AA1225"/>
      <c r="AB1225"/>
    </row>
    <row r="1226" spans="3:28" ht="13.5">
      <c r="C1226" s="1181" t="s">
        <v>5906</v>
      </c>
      <c r="D1226" s="1178">
        <v>1</v>
      </c>
      <c r="E1226" s="1178">
        <v>1</v>
      </c>
      <c r="F1226" s="1179">
        <v>2</v>
      </c>
      <c r="G1226" s="1189" t="s">
        <v>5906</v>
      </c>
      <c r="H1226" s="1176">
        <v>1</v>
      </c>
      <c r="I1226" s="1176">
        <v>1</v>
      </c>
      <c r="J1226" s="1190">
        <v>2</v>
      </c>
      <c r="K1226" s="1180"/>
      <c r="L1226" s="1174">
        <v>13117130612</v>
      </c>
      <c r="M1226" s="1175">
        <v>1</v>
      </c>
      <c r="N1226" s="1175">
        <v>1</v>
      </c>
      <c r="O1226" s="1176">
        <v>2</v>
      </c>
      <c r="AA1226"/>
      <c r="AB1226"/>
    </row>
    <row r="1227" spans="3:28" ht="13.5">
      <c r="C1227" s="1181" t="s">
        <v>5907</v>
      </c>
      <c r="D1227" s="1178">
        <v>1</v>
      </c>
      <c r="E1227" s="1178">
        <v>1</v>
      </c>
      <c r="F1227" s="1179">
        <v>2</v>
      </c>
      <c r="G1227" s="1189" t="s">
        <v>5907</v>
      </c>
      <c r="H1227" s="1176">
        <v>1</v>
      </c>
      <c r="I1227" s="1176" t="s">
        <v>4455</v>
      </c>
      <c r="J1227" s="1190">
        <v>1</v>
      </c>
      <c r="K1227" s="1180"/>
      <c r="L1227" s="1174">
        <v>13117130613</v>
      </c>
      <c r="M1227" s="1175">
        <v>1</v>
      </c>
      <c r="N1227" s="1175">
        <v>1</v>
      </c>
      <c r="O1227" s="1176">
        <v>2</v>
      </c>
      <c r="AA1227"/>
      <c r="AB1227"/>
    </row>
    <row r="1228" spans="3:28" ht="13.5">
      <c r="C1228" s="1181" t="s">
        <v>5908</v>
      </c>
      <c r="D1228" s="1178">
        <v>0</v>
      </c>
      <c r="E1228" s="1178">
        <v>0</v>
      </c>
      <c r="F1228" s="1179">
        <v>0</v>
      </c>
      <c r="G1228" s="1189" t="s">
        <v>5908</v>
      </c>
      <c r="H1228" s="1176">
        <v>0</v>
      </c>
      <c r="I1228" s="1176">
        <v>0</v>
      </c>
      <c r="J1228" s="1190">
        <v>0</v>
      </c>
      <c r="K1228" s="1180"/>
      <c r="L1228" s="1174">
        <v>13119890101</v>
      </c>
      <c r="M1228" s="1175">
        <v>0</v>
      </c>
      <c r="N1228" s="1175">
        <v>0</v>
      </c>
      <c r="O1228" s="1176">
        <v>0</v>
      </c>
      <c r="AA1228"/>
      <c r="AB1228"/>
    </row>
    <row r="1229" spans="3:28" ht="13.5">
      <c r="C1229" s="1181" t="s">
        <v>5909</v>
      </c>
      <c r="D1229" s="1178">
        <v>0</v>
      </c>
      <c r="E1229" s="1178">
        <v>1</v>
      </c>
      <c r="F1229" s="1179">
        <v>1</v>
      </c>
      <c r="G1229" s="1189" t="s">
        <v>5909</v>
      </c>
      <c r="H1229" s="1176">
        <v>0</v>
      </c>
      <c r="I1229" s="1176">
        <v>0</v>
      </c>
      <c r="J1229" s="1190">
        <v>0</v>
      </c>
      <c r="K1229" s="1180"/>
      <c r="L1229" s="1174">
        <v>13119890102</v>
      </c>
      <c r="M1229" s="1175">
        <v>0</v>
      </c>
      <c r="N1229" s="1175">
        <v>1</v>
      </c>
      <c r="O1229" s="1176">
        <v>1</v>
      </c>
      <c r="AA1229"/>
      <c r="AB1229"/>
    </row>
    <row r="1230" spans="3:28" ht="13.5">
      <c r="C1230" s="1181" t="s">
        <v>5910</v>
      </c>
      <c r="D1230" s="1178">
        <v>0</v>
      </c>
      <c r="E1230" s="1178">
        <v>0</v>
      </c>
      <c r="F1230" s="1179">
        <v>0</v>
      </c>
      <c r="G1230" s="1189" t="s">
        <v>5910</v>
      </c>
      <c r="H1230" s="1176">
        <v>0</v>
      </c>
      <c r="I1230" s="1176">
        <v>0</v>
      </c>
      <c r="J1230" s="1190">
        <v>0</v>
      </c>
      <c r="K1230" s="1180"/>
      <c r="L1230" s="1174">
        <v>13119890200</v>
      </c>
      <c r="M1230" s="1175">
        <v>0</v>
      </c>
      <c r="N1230" s="1175">
        <v>0</v>
      </c>
      <c r="O1230" s="1176">
        <v>0</v>
      </c>
      <c r="AA1230"/>
      <c r="AB1230"/>
    </row>
    <row r="1231" spans="3:28" ht="13.5">
      <c r="C1231" s="1181" t="s">
        <v>5911</v>
      </c>
      <c r="D1231" s="1178">
        <v>0</v>
      </c>
      <c r="E1231" s="1178">
        <v>0</v>
      </c>
      <c r="F1231" s="1179">
        <v>0</v>
      </c>
      <c r="G1231" s="1189" t="s">
        <v>5911</v>
      </c>
      <c r="H1231" s="1176">
        <v>0</v>
      </c>
      <c r="I1231" s="1176">
        <v>0</v>
      </c>
      <c r="J1231" s="1190">
        <v>0</v>
      </c>
      <c r="K1231" s="1180"/>
      <c r="L1231" s="1174">
        <v>13119890300</v>
      </c>
      <c r="M1231" s="1175">
        <v>0</v>
      </c>
      <c r="N1231" s="1175">
        <v>0</v>
      </c>
      <c r="O1231" s="1176">
        <v>0</v>
      </c>
      <c r="AA1231"/>
      <c r="AB1231"/>
    </row>
    <row r="1232" spans="3:28" ht="13.5">
      <c r="C1232" s="1181" t="s">
        <v>5912</v>
      </c>
      <c r="D1232" s="1178">
        <v>0</v>
      </c>
      <c r="E1232" s="1178">
        <v>0</v>
      </c>
      <c r="F1232" s="1179">
        <v>0</v>
      </c>
      <c r="G1232" s="1189" t="s">
        <v>5912</v>
      </c>
      <c r="H1232" s="1176">
        <v>0</v>
      </c>
      <c r="I1232" s="1176">
        <v>0</v>
      </c>
      <c r="J1232" s="1190">
        <v>0</v>
      </c>
      <c r="K1232" s="1180"/>
      <c r="L1232" s="1174">
        <v>13119890400</v>
      </c>
      <c r="M1232" s="1175">
        <v>0</v>
      </c>
      <c r="N1232" s="1175">
        <v>0</v>
      </c>
      <c r="O1232" s="1176">
        <v>0</v>
      </c>
      <c r="AA1232"/>
      <c r="AB1232"/>
    </row>
    <row r="1233" spans="3:28" ht="13.5">
      <c r="C1233" s="1181" t="s">
        <v>5913</v>
      </c>
      <c r="D1233" s="1178">
        <v>1</v>
      </c>
      <c r="E1233" s="1178">
        <v>1</v>
      </c>
      <c r="F1233" s="1179">
        <v>2</v>
      </c>
      <c r="G1233" s="1189" t="s">
        <v>5913</v>
      </c>
      <c r="H1233" s="1176">
        <v>1</v>
      </c>
      <c r="I1233" s="1176">
        <v>1</v>
      </c>
      <c r="J1233" s="1190">
        <v>2</v>
      </c>
      <c r="K1233" s="1180"/>
      <c r="L1233" s="1174">
        <v>13121000100</v>
      </c>
      <c r="M1233" s="1175">
        <v>1</v>
      </c>
      <c r="N1233" s="1175">
        <v>1</v>
      </c>
      <c r="O1233" s="1176">
        <v>2</v>
      </c>
      <c r="AA1233"/>
      <c r="AB1233"/>
    </row>
    <row r="1234" spans="3:28" ht="13.5">
      <c r="C1234" s="1181" t="s">
        <v>5914</v>
      </c>
      <c r="D1234" s="1178">
        <v>1</v>
      </c>
      <c r="E1234" s="1178">
        <v>1</v>
      </c>
      <c r="F1234" s="1179">
        <v>2</v>
      </c>
      <c r="G1234" s="1189" t="s">
        <v>5914</v>
      </c>
      <c r="H1234" s="1176">
        <v>1</v>
      </c>
      <c r="I1234" s="1176">
        <v>1</v>
      </c>
      <c r="J1234" s="1190">
        <v>2</v>
      </c>
      <c r="K1234" s="1180"/>
      <c r="L1234" s="1174">
        <v>13121000200</v>
      </c>
      <c r="M1234" s="1175">
        <v>1</v>
      </c>
      <c r="N1234" s="1175">
        <v>1</v>
      </c>
      <c r="O1234" s="1176">
        <v>2</v>
      </c>
      <c r="AA1234"/>
      <c r="AB1234"/>
    </row>
    <row r="1235" spans="3:28" ht="13.5">
      <c r="C1235" s="1181" t="s">
        <v>5915</v>
      </c>
      <c r="D1235" s="1178">
        <v>1</v>
      </c>
      <c r="E1235" s="1178">
        <v>1</v>
      </c>
      <c r="F1235" s="1179">
        <v>2</v>
      </c>
      <c r="G1235" s="1189" t="s">
        <v>5915</v>
      </c>
      <c r="H1235" s="1176">
        <v>1</v>
      </c>
      <c r="I1235" s="1176">
        <v>1</v>
      </c>
      <c r="J1235" s="1190">
        <v>2</v>
      </c>
      <c r="K1235" s="1180"/>
      <c r="L1235" s="1174">
        <v>13121000400</v>
      </c>
      <c r="M1235" s="1175">
        <v>1</v>
      </c>
      <c r="N1235" s="1175">
        <v>1</v>
      </c>
      <c r="O1235" s="1176">
        <v>2</v>
      </c>
      <c r="AA1235"/>
      <c r="AB1235"/>
    </row>
    <row r="1236" spans="3:28" ht="13.5">
      <c r="C1236" s="1181" t="s">
        <v>5916</v>
      </c>
      <c r="D1236" s="1178">
        <v>1</v>
      </c>
      <c r="E1236" s="1178">
        <v>1</v>
      </c>
      <c r="F1236" s="1179">
        <v>2</v>
      </c>
      <c r="G1236" s="1189" t="s">
        <v>5916</v>
      </c>
      <c r="H1236" s="1176">
        <v>1</v>
      </c>
      <c r="I1236" s="1176" t="s">
        <v>4455</v>
      </c>
      <c r="J1236" s="1190">
        <v>1</v>
      </c>
      <c r="K1236" s="1180"/>
      <c r="L1236" s="1174">
        <v>13121000500</v>
      </c>
      <c r="M1236" s="1175">
        <v>1</v>
      </c>
      <c r="N1236" s="1175">
        <v>1</v>
      </c>
      <c r="O1236" s="1176">
        <v>2</v>
      </c>
      <c r="AA1236"/>
      <c r="AB1236"/>
    </row>
    <row r="1237" spans="3:28" ht="13.5">
      <c r="C1237" s="1181" t="s">
        <v>5917</v>
      </c>
      <c r="D1237" s="1178">
        <v>0</v>
      </c>
      <c r="E1237" s="1178">
        <v>1</v>
      </c>
      <c r="F1237" s="1179">
        <v>1</v>
      </c>
      <c r="G1237" s="1189" t="s">
        <v>5917</v>
      </c>
      <c r="H1237" s="1176">
        <v>0</v>
      </c>
      <c r="I1237" s="1176" t="s">
        <v>4455</v>
      </c>
      <c r="J1237" s="1190">
        <v>0</v>
      </c>
      <c r="K1237" s="1180"/>
      <c r="L1237" s="1174">
        <v>13121000600</v>
      </c>
      <c r="M1237" s="1175">
        <v>0</v>
      </c>
      <c r="N1237" s="1175">
        <v>1</v>
      </c>
      <c r="O1237" s="1176">
        <v>1</v>
      </c>
      <c r="AA1237"/>
      <c r="AB1237"/>
    </row>
    <row r="1238" spans="3:28" ht="13.5">
      <c r="C1238" s="1181" t="s">
        <v>5918</v>
      </c>
      <c r="D1238" s="1178">
        <v>0</v>
      </c>
      <c r="E1238" s="1178">
        <v>0</v>
      </c>
      <c r="F1238" s="1179">
        <v>0</v>
      </c>
      <c r="G1238" s="1189" t="s">
        <v>5918</v>
      </c>
      <c r="H1238" s="1176">
        <v>0</v>
      </c>
      <c r="I1238" s="1176" t="s">
        <v>4455</v>
      </c>
      <c r="J1238" s="1190">
        <v>0</v>
      </c>
      <c r="K1238" s="1180"/>
      <c r="L1238" s="1174">
        <v>13121000700</v>
      </c>
      <c r="M1238" s="1175">
        <v>0</v>
      </c>
      <c r="N1238" s="1175">
        <v>0</v>
      </c>
      <c r="O1238" s="1176">
        <v>0</v>
      </c>
      <c r="AA1238"/>
      <c r="AB1238"/>
    </row>
    <row r="1239" spans="3:28" ht="13.5">
      <c r="C1239" s="1181" t="s">
        <v>5919</v>
      </c>
      <c r="D1239" s="1178">
        <v>1</v>
      </c>
      <c r="E1239" s="1178">
        <v>1</v>
      </c>
      <c r="F1239" s="1179">
        <v>2</v>
      </c>
      <c r="G1239" s="1189" t="s">
        <v>5919</v>
      </c>
      <c r="H1239" s="1176">
        <v>1</v>
      </c>
      <c r="I1239" s="1176" t="s">
        <v>4455</v>
      </c>
      <c r="J1239" s="1190">
        <v>1</v>
      </c>
      <c r="K1239" s="1180"/>
      <c r="L1239" s="1174">
        <v>13121001001</v>
      </c>
      <c r="M1239" s="1175">
        <v>1</v>
      </c>
      <c r="N1239" s="1175">
        <v>1</v>
      </c>
      <c r="O1239" s="1176">
        <v>2</v>
      </c>
      <c r="AA1239"/>
      <c r="AB1239"/>
    </row>
    <row r="1240" spans="3:28" ht="13.5">
      <c r="C1240" s="1181" t="s">
        <v>5920</v>
      </c>
      <c r="D1240" s="1178">
        <v>0</v>
      </c>
      <c r="E1240" s="1178">
        <v>1</v>
      </c>
      <c r="F1240" s="1179">
        <v>1</v>
      </c>
      <c r="G1240" s="1189" t="s">
        <v>5920</v>
      </c>
      <c r="H1240" s="1176">
        <v>0</v>
      </c>
      <c r="I1240" s="1176" t="s">
        <v>4455</v>
      </c>
      <c r="J1240" s="1190">
        <v>0</v>
      </c>
      <c r="K1240" s="1180"/>
      <c r="L1240" s="1174">
        <v>13121001002</v>
      </c>
      <c r="M1240" s="1175">
        <v>0</v>
      </c>
      <c r="N1240" s="1175">
        <v>1</v>
      </c>
      <c r="O1240" s="1176">
        <v>1</v>
      </c>
      <c r="AA1240"/>
      <c r="AB1240"/>
    </row>
    <row r="1241" spans="3:28" ht="13.5">
      <c r="C1241" s="1181" t="s">
        <v>5921</v>
      </c>
      <c r="D1241" s="1178">
        <v>1</v>
      </c>
      <c r="E1241" s="1178">
        <v>1</v>
      </c>
      <c r="F1241" s="1179">
        <v>2</v>
      </c>
      <c r="G1241" s="1189" t="s">
        <v>5921</v>
      </c>
      <c r="H1241" s="1176">
        <v>1</v>
      </c>
      <c r="I1241" s="1176" t="s">
        <v>4455</v>
      </c>
      <c r="J1241" s="1190">
        <v>1</v>
      </c>
      <c r="K1241" s="1180"/>
      <c r="L1241" s="1174">
        <v>13121001100</v>
      </c>
      <c r="M1241" s="1175">
        <v>1</v>
      </c>
      <c r="N1241" s="1175">
        <v>1</v>
      </c>
      <c r="O1241" s="1176">
        <v>2</v>
      </c>
      <c r="AA1241"/>
      <c r="AB1241"/>
    </row>
    <row r="1242" spans="3:28" ht="13.5">
      <c r="C1242" s="1181" t="s">
        <v>5922</v>
      </c>
      <c r="D1242" s="1178">
        <v>1</v>
      </c>
      <c r="E1242" s="1178">
        <v>1</v>
      </c>
      <c r="F1242" s="1179">
        <v>2</v>
      </c>
      <c r="G1242" s="1189" t="s">
        <v>5922</v>
      </c>
      <c r="H1242" s="1176">
        <v>1</v>
      </c>
      <c r="I1242" s="1176">
        <v>1</v>
      </c>
      <c r="J1242" s="1190">
        <v>2</v>
      </c>
      <c r="K1242" s="1180"/>
      <c r="L1242" s="1174">
        <v>13121001201</v>
      </c>
      <c r="M1242" s="1175">
        <v>1</v>
      </c>
      <c r="N1242" s="1175">
        <v>1</v>
      </c>
      <c r="O1242" s="1176">
        <v>2</v>
      </c>
      <c r="AA1242"/>
      <c r="AB1242"/>
    </row>
    <row r="1243" spans="3:28" ht="13.5">
      <c r="C1243" s="1181" t="s">
        <v>5923</v>
      </c>
      <c r="D1243" s="1178">
        <v>1</v>
      </c>
      <c r="E1243" s="1178">
        <v>1</v>
      </c>
      <c r="F1243" s="1179">
        <v>2</v>
      </c>
      <c r="G1243" s="1189" t="s">
        <v>5923</v>
      </c>
      <c r="H1243" s="1176">
        <v>1</v>
      </c>
      <c r="I1243" s="1176" t="s">
        <v>4455</v>
      </c>
      <c r="J1243" s="1190">
        <v>1</v>
      </c>
      <c r="K1243" s="1180"/>
      <c r="L1243" s="1174">
        <v>13121001202</v>
      </c>
      <c r="M1243" s="1175">
        <v>1</v>
      </c>
      <c r="N1243" s="1175">
        <v>1</v>
      </c>
      <c r="O1243" s="1176">
        <v>2</v>
      </c>
      <c r="AA1243"/>
      <c r="AB1243"/>
    </row>
    <row r="1244" spans="3:28" ht="13.5">
      <c r="C1244" s="1181" t="s">
        <v>5924</v>
      </c>
      <c r="D1244" s="1178">
        <v>1</v>
      </c>
      <c r="E1244" s="1178">
        <v>1</v>
      </c>
      <c r="F1244" s="1179">
        <v>2</v>
      </c>
      <c r="G1244" s="1189" t="s">
        <v>5924</v>
      </c>
      <c r="H1244" s="1176">
        <v>1</v>
      </c>
      <c r="I1244" s="1176">
        <v>1</v>
      </c>
      <c r="J1244" s="1190">
        <v>2</v>
      </c>
      <c r="K1244" s="1180"/>
      <c r="L1244" s="1174">
        <v>13121001300</v>
      </c>
      <c r="M1244" s="1175">
        <v>1</v>
      </c>
      <c r="N1244" s="1175">
        <v>1</v>
      </c>
      <c r="O1244" s="1176">
        <v>2</v>
      </c>
      <c r="AA1244"/>
      <c r="AB1244"/>
    </row>
    <row r="1245" spans="3:28" ht="13.5">
      <c r="C1245" s="1181" t="s">
        <v>5925</v>
      </c>
      <c r="D1245" s="1178">
        <v>1</v>
      </c>
      <c r="E1245" s="1178">
        <v>1</v>
      </c>
      <c r="F1245" s="1179">
        <v>2</v>
      </c>
      <c r="G1245" s="1189" t="s">
        <v>5925</v>
      </c>
      <c r="H1245" s="1176">
        <v>1</v>
      </c>
      <c r="I1245" s="1176" t="s">
        <v>4455</v>
      </c>
      <c r="J1245" s="1190">
        <v>1</v>
      </c>
      <c r="K1245" s="1180"/>
      <c r="L1245" s="1174">
        <v>13121001400</v>
      </c>
      <c r="M1245" s="1175">
        <v>1</v>
      </c>
      <c r="N1245" s="1175">
        <v>1</v>
      </c>
      <c r="O1245" s="1176">
        <v>2</v>
      </c>
      <c r="AA1245"/>
      <c r="AB1245"/>
    </row>
    <row r="1246" spans="3:28" ht="13.5">
      <c r="C1246" s="1181" t="s">
        <v>5926</v>
      </c>
      <c r="D1246" s="1178">
        <v>1</v>
      </c>
      <c r="E1246" s="1178">
        <v>1</v>
      </c>
      <c r="F1246" s="1179">
        <v>2</v>
      </c>
      <c r="G1246" s="1189" t="s">
        <v>5926</v>
      </c>
      <c r="H1246" s="1176">
        <v>1</v>
      </c>
      <c r="I1246" s="1176">
        <v>0</v>
      </c>
      <c r="J1246" s="1190">
        <v>1</v>
      </c>
      <c r="K1246" s="1180"/>
      <c r="L1246" s="1174">
        <v>13121001500</v>
      </c>
      <c r="M1246" s="1175">
        <v>1</v>
      </c>
      <c r="N1246" s="1175">
        <v>1</v>
      </c>
      <c r="O1246" s="1176">
        <v>2</v>
      </c>
      <c r="AA1246"/>
      <c r="AB1246"/>
    </row>
    <row r="1247" spans="3:28" ht="13.5">
      <c r="C1247" s="1181" t="s">
        <v>5927</v>
      </c>
      <c r="D1247" s="1178">
        <v>1</v>
      </c>
      <c r="E1247" s="1178">
        <v>1</v>
      </c>
      <c r="F1247" s="1179">
        <v>2</v>
      </c>
      <c r="G1247" s="1189" t="s">
        <v>5927</v>
      </c>
      <c r="H1247" s="1176">
        <v>1</v>
      </c>
      <c r="I1247" s="1176" t="s">
        <v>4455</v>
      </c>
      <c r="J1247" s="1190">
        <v>1</v>
      </c>
      <c r="K1247" s="1180"/>
      <c r="L1247" s="1174">
        <v>13121001600</v>
      </c>
      <c r="M1247" s="1175">
        <v>1</v>
      </c>
      <c r="N1247" s="1175">
        <v>1</v>
      </c>
      <c r="O1247" s="1176">
        <v>2</v>
      </c>
      <c r="AA1247"/>
      <c r="AB1247"/>
    </row>
    <row r="1248" spans="3:28" ht="13.5">
      <c r="C1248" s="1181" t="s">
        <v>5928</v>
      </c>
      <c r="D1248" s="1178">
        <v>1</v>
      </c>
      <c r="E1248" s="1178">
        <v>0</v>
      </c>
      <c r="F1248" s="1179">
        <v>1</v>
      </c>
      <c r="G1248" s="1189" t="s">
        <v>5928</v>
      </c>
      <c r="H1248" s="1176">
        <v>1</v>
      </c>
      <c r="I1248" s="1176">
        <v>1</v>
      </c>
      <c r="J1248" s="1190">
        <v>2</v>
      </c>
      <c r="K1248" s="1180"/>
      <c r="L1248" s="1174">
        <v>13121001700</v>
      </c>
      <c r="M1248" s="1175">
        <v>1</v>
      </c>
      <c r="N1248" s="1175">
        <v>1</v>
      </c>
      <c r="O1248" s="1176">
        <v>2</v>
      </c>
      <c r="AA1248"/>
      <c r="AB1248"/>
    </row>
    <row r="1249" spans="3:28" ht="13.5">
      <c r="C1249" s="1181" t="s">
        <v>5929</v>
      </c>
      <c r="D1249" s="1178">
        <v>0</v>
      </c>
      <c r="E1249" s="1178">
        <v>0</v>
      </c>
      <c r="F1249" s="1179">
        <v>0</v>
      </c>
      <c r="G1249" s="1189" t="s">
        <v>5929</v>
      </c>
      <c r="H1249" s="1176">
        <v>0</v>
      </c>
      <c r="I1249" s="1176">
        <v>1</v>
      </c>
      <c r="J1249" s="1190">
        <v>1</v>
      </c>
      <c r="K1249" s="1180"/>
      <c r="L1249" s="1174">
        <v>13121001800</v>
      </c>
      <c r="M1249" s="1175">
        <v>0</v>
      </c>
      <c r="N1249" s="1175">
        <v>1</v>
      </c>
      <c r="O1249" s="1176">
        <v>1</v>
      </c>
      <c r="AA1249"/>
      <c r="AB1249"/>
    </row>
    <row r="1250" spans="3:28" ht="13.5">
      <c r="C1250" s="1181" t="s">
        <v>5930</v>
      </c>
      <c r="D1250" s="1178">
        <v>0</v>
      </c>
      <c r="E1250" s="1178">
        <v>1</v>
      </c>
      <c r="F1250" s="1179">
        <v>1</v>
      </c>
      <c r="G1250" s="1189" t="s">
        <v>5930</v>
      </c>
      <c r="H1250" s="1176">
        <v>0</v>
      </c>
      <c r="I1250" s="1176" t="s">
        <v>4455</v>
      </c>
      <c r="J1250" s="1190">
        <v>0</v>
      </c>
      <c r="K1250" s="1180"/>
      <c r="L1250" s="1174">
        <v>13121001900</v>
      </c>
      <c r="M1250" s="1175">
        <v>0</v>
      </c>
      <c r="N1250" s="1175">
        <v>1</v>
      </c>
      <c r="O1250" s="1176">
        <v>1</v>
      </c>
      <c r="AA1250"/>
      <c r="AB1250"/>
    </row>
    <row r="1251" spans="3:28" ht="13.5">
      <c r="C1251" s="1181" t="s">
        <v>5931</v>
      </c>
      <c r="D1251" s="1178">
        <v>0</v>
      </c>
      <c r="E1251" s="1178">
        <v>0</v>
      </c>
      <c r="F1251" s="1179">
        <v>0</v>
      </c>
      <c r="G1251" s="1189" t="s">
        <v>5931</v>
      </c>
      <c r="H1251" s="1176">
        <v>0</v>
      </c>
      <c r="I1251" s="1176" t="s">
        <v>4455</v>
      </c>
      <c r="J1251" s="1190">
        <v>0</v>
      </c>
      <c r="K1251" s="1180"/>
      <c r="L1251" s="1174">
        <v>13121002100</v>
      </c>
      <c r="M1251" s="1175">
        <v>0</v>
      </c>
      <c r="N1251" s="1175">
        <v>0</v>
      </c>
      <c r="O1251" s="1176">
        <v>0</v>
      </c>
      <c r="AA1251"/>
      <c r="AB1251"/>
    </row>
    <row r="1252" spans="3:28" ht="13.5">
      <c r="C1252" s="1181" t="s">
        <v>5932</v>
      </c>
      <c r="D1252" s="1178">
        <v>0</v>
      </c>
      <c r="E1252" s="1178">
        <v>0</v>
      </c>
      <c r="F1252" s="1179">
        <v>0</v>
      </c>
      <c r="G1252" s="1189" t="s">
        <v>5932</v>
      </c>
      <c r="H1252" s="1176">
        <v>0</v>
      </c>
      <c r="I1252" s="1176">
        <v>0</v>
      </c>
      <c r="J1252" s="1190">
        <v>0</v>
      </c>
      <c r="K1252" s="1180"/>
      <c r="L1252" s="1174">
        <v>13121002300</v>
      </c>
      <c r="M1252" s="1175">
        <v>0</v>
      </c>
      <c r="N1252" s="1175">
        <v>0</v>
      </c>
      <c r="O1252" s="1176">
        <v>0</v>
      </c>
      <c r="AA1252"/>
      <c r="AB1252"/>
    </row>
    <row r="1253" spans="3:28" ht="13.5">
      <c r="C1253" s="1181" t="s">
        <v>5933</v>
      </c>
      <c r="D1253" s="1178">
        <v>0</v>
      </c>
      <c r="E1253" s="1178">
        <v>0</v>
      </c>
      <c r="F1253" s="1179">
        <v>0</v>
      </c>
      <c r="G1253" s="1189" t="s">
        <v>5933</v>
      </c>
      <c r="H1253" s="1176">
        <v>0</v>
      </c>
      <c r="I1253" s="1176">
        <v>0</v>
      </c>
      <c r="J1253" s="1190">
        <v>0</v>
      </c>
      <c r="K1253" s="1180"/>
      <c r="L1253" s="1174">
        <v>13121002400</v>
      </c>
      <c r="M1253" s="1175">
        <v>0</v>
      </c>
      <c r="N1253" s="1175">
        <v>0</v>
      </c>
      <c r="O1253" s="1176">
        <v>0</v>
      </c>
      <c r="AA1253"/>
      <c r="AB1253"/>
    </row>
    <row r="1254" spans="3:28" ht="13.5">
      <c r="C1254" s="1181" t="s">
        <v>5934</v>
      </c>
      <c r="D1254" s="1178">
        <v>0</v>
      </c>
      <c r="E1254" s="1178">
        <v>0</v>
      </c>
      <c r="F1254" s="1179">
        <v>0</v>
      </c>
      <c r="G1254" s="1189" t="s">
        <v>5934</v>
      </c>
      <c r="H1254" s="1176">
        <v>0</v>
      </c>
      <c r="I1254" s="1176">
        <v>0</v>
      </c>
      <c r="J1254" s="1190">
        <v>0</v>
      </c>
      <c r="K1254" s="1180"/>
      <c r="L1254" s="1174">
        <v>13121002500</v>
      </c>
      <c r="M1254" s="1175">
        <v>0</v>
      </c>
      <c r="N1254" s="1175">
        <v>0</v>
      </c>
      <c r="O1254" s="1176">
        <v>0</v>
      </c>
      <c r="AA1254"/>
      <c r="AB1254"/>
    </row>
    <row r="1255" spans="3:28" ht="13.5">
      <c r="C1255" s="1181" t="s">
        <v>5935</v>
      </c>
      <c r="D1255" s="1178">
        <v>0</v>
      </c>
      <c r="E1255" s="1178">
        <v>0</v>
      </c>
      <c r="F1255" s="1179">
        <v>0</v>
      </c>
      <c r="G1255" s="1189" t="s">
        <v>5935</v>
      </c>
      <c r="H1255" s="1176">
        <v>0</v>
      </c>
      <c r="I1255" s="1176" t="s">
        <v>4455</v>
      </c>
      <c r="J1255" s="1190">
        <v>0</v>
      </c>
      <c r="K1255" s="1180"/>
      <c r="L1255" s="1174">
        <v>13121002600</v>
      </c>
      <c r="M1255" s="1175">
        <v>0</v>
      </c>
      <c r="N1255" s="1175">
        <v>0</v>
      </c>
      <c r="O1255" s="1176">
        <v>0</v>
      </c>
      <c r="AA1255"/>
      <c r="AB1255"/>
    </row>
    <row r="1256" spans="3:28" ht="13.5">
      <c r="C1256" s="1181" t="s">
        <v>5936</v>
      </c>
      <c r="D1256" s="1178">
        <v>0</v>
      </c>
      <c r="E1256" s="1178">
        <v>0</v>
      </c>
      <c r="F1256" s="1179">
        <v>0</v>
      </c>
      <c r="G1256" s="1189" t="s">
        <v>5936</v>
      </c>
      <c r="H1256" s="1176">
        <v>0</v>
      </c>
      <c r="I1256" s="1176" t="s">
        <v>4455</v>
      </c>
      <c r="J1256" s="1190">
        <v>0</v>
      </c>
      <c r="K1256" s="1180"/>
      <c r="L1256" s="1174">
        <v>13121002800</v>
      </c>
      <c r="M1256" s="1175">
        <v>0</v>
      </c>
      <c r="N1256" s="1175">
        <v>0</v>
      </c>
      <c r="O1256" s="1176">
        <v>0</v>
      </c>
      <c r="AA1256"/>
      <c r="AB1256"/>
    </row>
    <row r="1257" spans="3:28" ht="13.5">
      <c r="C1257" s="1181" t="s">
        <v>5937</v>
      </c>
      <c r="D1257" s="1178">
        <v>1</v>
      </c>
      <c r="E1257" s="1178">
        <v>1</v>
      </c>
      <c r="F1257" s="1179">
        <v>2</v>
      </c>
      <c r="G1257" s="1189" t="s">
        <v>5937</v>
      </c>
      <c r="H1257" s="1176">
        <v>1</v>
      </c>
      <c r="I1257" s="1176">
        <v>1</v>
      </c>
      <c r="J1257" s="1190">
        <v>2</v>
      </c>
      <c r="K1257" s="1180"/>
      <c r="L1257" s="1174">
        <v>13121002900</v>
      </c>
      <c r="M1257" s="1175">
        <v>1</v>
      </c>
      <c r="N1257" s="1175">
        <v>1</v>
      </c>
      <c r="O1257" s="1176">
        <v>2</v>
      </c>
      <c r="AA1257"/>
      <c r="AB1257"/>
    </row>
    <row r="1258" spans="3:28" ht="13.5">
      <c r="C1258" s="1181" t="s">
        <v>5938</v>
      </c>
      <c r="D1258" s="1178">
        <v>1</v>
      </c>
      <c r="E1258" s="1178">
        <v>1</v>
      </c>
      <c r="F1258" s="1179">
        <v>2</v>
      </c>
      <c r="G1258" s="1189" t="s">
        <v>5938</v>
      </c>
      <c r="H1258" s="1176">
        <v>1</v>
      </c>
      <c r="I1258" s="1176" t="s">
        <v>4455</v>
      </c>
      <c r="J1258" s="1190">
        <v>1</v>
      </c>
      <c r="K1258" s="1180"/>
      <c r="L1258" s="1174">
        <v>13121003000</v>
      </c>
      <c r="M1258" s="1175">
        <v>1</v>
      </c>
      <c r="N1258" s="1175">
        <v>1</v>
      </c>
      <c r="O1258" s="1176">
        <v>2</v>
      </c>
      <c r="AA1258"/>
      <c r="AB1258"/>
    </row>
    <row r="1259" spans="3:28" ht="13.5">
      <c r="C1259" s="1181" t="s">
        <v>5939</v>
      </c>
      <c r="D1259" s="1178">
        <v>1</v>
      </c>
      <c r="E1259" s="1178">
        <v>0</v>
      </c>
      <c r="F1259" s="1179">
        <v>1</v>
      </c>
      <c r="G1259" s="1189" t="s">
        <v>5939</v>
      </c>
      <c r="H1259" s="1176">
        <v>1</v>
      </c>
      <c r="I1259" s="1176">
        <v>0</v>
      </c>
      <c r="J1259" s="1190">
        <v>1</v>
      </c>
      <c r="K1259" s="1180"/>
      <c r="L1259" s="1174">
        <v>13121003100</v>
      </c>
      <c r="M1259" s="1175">
        <v>1</v>
      </c>
      <c r="N1259" s="1175">
        <v>0</v>
      </c>
      <c r="O1259" s="1176">
        <v>1</v>
      </c>
      <c r="AA1259"/>
      <c r="AB1259"/>
    </row>
    <row r="1260" spans="3:28" ht="13.5">
      <c r="C1260" s="1181" t="s">
        <v>5940</v>
      </c>
      <c r="D1260" s="1178">
        <v>1</v>
      </c>
      <c r="E1260" s="1178">
        <v>1</v>
      </c>
      <c r="F1260" s="1179">
        <v>2</v>
      </c>
      <c r="G1260" s="1189" t="s">
        <v>5940</v>
      </c>
      <c r="H1260" s="1176">
        <v>1</v>
      </c>
      <c r="I1260" s="1176" t="s">
        <v>4455</v>
      </c>
      <c r="J1260" s="1190">
        <v>1</v>
      </c>
      <c r="K1260" s="1180"/>
      <c r="L1260" s="1174">
        <v>13121003200</v>
      </c>
      <c r="M1260" s="1175">
        <v>1</v>
      </c>
      <c r="N1260" s="1175">
        <v>1</v>
      </c>
      <c r="O1260" s="1176">
        <v>2</v>
      </c>
      <c r="AA1260"/>
      <c r="AB1260"/>
    </row>
    <row r="1261" spans="3:28" ht="13.5">
      <c r="C1261" s="1181" t="s">
        <v>5941</v>
      </c>
      <c r="D1261" s="1178">
        <v>0</v>
      </c>
      <c r="E1261" s="1178">
        <v>0</v>
      </c>
      <c r="F1261" s="1179">
        <v>0</v>
      </c>
      <c r="G1261" s="1189" t="s">
        <v>5941</v>
      </c>
      <c r="H1261" s="1176">
        <v>0</v>
      </c>
      <c r="I1261" s="1176" t="s">
        <v>4455</v>
      </c>
      <c r="J1261" s="1190">
        <v>0</v>
      </c>
      <c r="K1261" s="1180"/>
      <c r="L1261" s="1174">
        <v>13121003500</v>
      </c>
      <c r="M1261" s="1175">
        <v>0</v>
      </c>
      <c r="N1261" s="1175">
        <v>0</v>
      </c>
      <c r="O1261" s="1176">
        <v>0</v>
      </c>
      <c r="AA1261"/>
      <c r="AB1261"/>
    </row>
    <row r="1262" spans="3:28" ht="13.5">
      <c r="C1262" s="1181" t="s">
        <v>5942</v>
      </c>
      <c r="D1262" s="1178">
        <v>1</v>
      </c>
      <c r="E1262" s="1178">
        <v>0</v>
      </c>
      <c r="F1262" s="1179">
        <v>1</v>
      </c>
      <c r="G1262" s="1189" t="s">
        <v>5942</v>
      </c>
      <c r="H1262" s="1176">
        <v>0</v>
      </c>
      <c r="I1262" s="1176">
        <v>0</v>
      </c>
      <c r="J1262" s="1190">
        <v>0</v>
      </c>
      <c r="K1262" s="1180"/>
      <c r="L1262" s="1174">
        <v>13121003600</v>
      </c>
      <c r="M1262" s="1175">
        <v>1</v>
      </c>
      <c r="N1262" s="1175">
        <v>0</v>
      </c>
      <c r="O1262" s="1176">
        <v>1</v>
      </c>
      <c r="AA1262"/>
      <c r="AB1262"/>
    </row>
    <row r="1263" spans="3:28" ht="13.5">
      <c r="C1263" s="1181" t="s">
        <v>5943</v>
      </c>
      <c r="D1263" s="1178" t="s">
        <v>4455</v>
      </c>
      <c r="E1263" s="1178" t="s">
        <v>4455</v>
      </c>
      <c r="F1263" s="1179">
        <v>0</v>
      </c>
      <c r="G1263" s="1189" t="s">
        <v>5943</v>
      </c>
      <c r="H1263" s="1176">
        <v>0</v>
      </c>
      <c r="I1263" s="1176" t="s">
        <v>4455</v>
      </c>
      <c r="J1263" s="1190">
        <v>0</v>
      </c>
      <c r="K1263" s="1180"/>
      <c r="L1263" s="1174">
        <v>13121003700</v>
      </c>
      <c r="M1263" s="1175">
        <v>0</v>
      </c>
      <c r="N1263" s="1175">
        <v>0</v>
      </c>
      <c r="O1263" s="1176">
        <v>0</v>
      </c>
      <c r="AA1263"/>
      <c r="AB1263"/>
    </row>
    <row r="1264" spans="3:28" ht="13.5">
      <c r="C1264" s="1181" t="s">
        <v>5944</v>
      </c>
      <c r="D1264" s="1178">
        <v>0</v>
      </c>
      <c r="E1264" s="1178">
        <v>0</v>
      </c>
      <c r="F1264" s="1179">
        <v>0</v>
      </c>
      <c r="G1264" s="1189" t="s">
        <v>5944</v>
      </c>
      <c r="H1264" s="1176">
        <v>0</v>
      </c>
      <c r="I1264" s="1176" t="s">
        <v>4455</v>
      </c>
      <c r="J1264" s="1190">
        <v>0</v>
      </c>
      <c r="K1264" s="1180"/>
      <c r="L1264" s="1174">
        <v>13121003800</v>
      </c>
      <c r="M1264" s="1175">
        <v>0</v>
      </c>
      <c r="N1264" s="1175">
        <v>0</v>
      </c>
      <c r="O1264" s="1176">
        <v>0</v>
      </c>
      <c r="AA1264"/>
      <c r="AB1264"/>
    </row>
    <row r="1265" spans="3:28" ht="13.5">
      <c r="C1265" s="1181" t="s">
        <v>5945</v>
      </c>
      <c r="D1265" s="1178">
        <v>0</v>
      </c>
      <c r="E1265" s="1178">
        <v>0</v>
      </c>
      <c r="F1265" s="1179">
        <v>0</v>
      </c>
      <c r="G1265" s="1189" t="s">
        <v>5945</v>
      </c>
      <c r="H1265" s="1176">
        <v>0</v>
      </c>
      <c r="I1265" s="1176">
        <v>0</v>
      </c>
      <c r="J1265" s="1190">
        <v>0</v>
      </c>
      <c r="K1265" s="1180"/>
      <c r="L1265" s="1174">
        <v>13121003900</v>
      </c>
      <c r="M1265" s="1175">
        <v>0</v>
      </c>
      <c r="N1265" s="1175">
        <v>0</v>
      </c>
      <c r="O1265" s="1176">
        <v>0</v>
      </c>
      <c r="AA1265"/>
      <c r="AB1265"/>
    </row>
    <row r="1266" spans="3:28" ht="13.5">
      <c r="C1266" s="1181" t="s">
        <v>5946</v>
      </c>
      <c r="D1266" s="1178">
        <v>0</v>
      </c>
      <c r="E1266" s="1178">
        <v>0</v>
      </c>
      <c r="F1266" s="1179">
        <v>0</v>
      </c>
      <c r="G1266" s="1189" t="s">
        <v>5946</v>
      </c>
      <c r="H1266" s="1176">
        <v>0</v>
      </c>
      <c r="I1266" s="1176">
        <v>0</v>
      </c>
      <c r="J1266" s="1190">
        <v>0</v>
      </c>
      <c r="K1266" s="1180"/>
      <c r="L1266" s="1174">
        <v>13121004000</v>
      </c>
      <c r="M1266" s="1175">
        <v>0</v>
      </c>
      <c r="N1266" s="1175">
        <v>0</v>
      </c>
      <c r="O1266" s="1176">
        <v>0</v>
      </c>
      <c r="AA1266"/>
      <c r="AB1266"/>
    </row>
    <row r="1267" spans="3:28" ht="13.5">
      <c r="C1267" s="1181" t="s">
        <v>5947</v>
      </c>
      <c r="D1267" s="1178">
        <v>0</v>
      </c>
      <c r="E1267" s="1178">
        <v>0</v>
      </c>
      <c r="F1267" s="1179">
        <v>0</v>
      </c>
      <c r="G1267" s="1189" t="s">
        <v>5947</v>
      </c>
      <c r="H1267" s="1176">
        <v>0</v>
      </c>
      <c r="I1267" s="1176">
        <v>0</v>
      </c>
      <c r="J1267" s="1190">
        <v>0</v>
      </c>
      <c r="K1267" s="1180"/>
      <c r="L1267" s="1174">
        <v>13121004100</v>
      </c>
      <c r="M1267" s="1175">
        <v>0</v>
      </c>
      <c r="N1267" s="1175">
        <v>0</v>
      </c>
      <c r="O1267" s="1176">
        <v>0</v>
      </c>
      <c r="AA1267"/>
      <c r="AB1267"/>
    </row>
    <row r="1268" spans="3:28" ht="13.5">
      <c r="C1268" s="1181" t="s">
        <v>5948</v>
      </c>
      <c r="D1268" s="1178">
        <v>0</v>
      </c>
      <c r="E1268" s="1178">
        <v>0</v>
      </c>
      <c r="F1268" s="1179">
        <v>0</v>
      </c>
      <c r="G1268" s="1189" t="s">
        <v>5948</v>
      </c>
      <c r="H1268" s="1176">
        <v>0</v>
      </c>
      <c r="I1268" s="1176">
        <v>0</v>
      </c>
      <c r="J1268" s="1190">
        <v>0</v>
      </c>
      <c r="K1268" s="1180"/>
      <c r="L1268" s="1174">
        <v>13121004200</v>
      </c>
      <c r="M1268" s="1175">
        <v>0</v>
      </c>
      <c r="N1268" s="1175">
        <v>0</v>
      </c>
      <c r="O1268" s="1176">
        <v>0</v>
      </c>
      <c r="AA1268"/>
      <c r="AB1268"/>
    </row>
    <row r="1269" spans="3:28" ht="13.5">
      <c r="C1269" s="1181" t="s">
        <v>5949</v>
      </c>
      <c r="D1269" s="1178">
        <v>0</v>
      </c>
      <c r="E1269" s="1178">
        <v>0</v>
      </c>
      <c r="F1269" s="1179">
        <v>0</v>
      </c>
      <c r="G1269" s="1189" t="s">
        <v>5949</v>
      </c>
      <c r="H1269" s="1176">
        <v>0</v>
      </c>
      <c r="I1269" s="1176" t="s">
        <v>4455</v>
      </c>
      <c r="J1269" s="1190">
        <v>0</v>
      </c>
      <c r="K1269" s="1180"/>
      <c r="L1269" s="1174">
        <v>13121004300</v>
      </c>
      <c r="M1269" s="1175">
        <v>0</v>
      </c>
      <c r="N1269" s="1175">
        <v>0</v>
      </c>
      <c r="O1269" s="1176">
        <v>0</v>
      </c>
      <c r="AA1269"/>
      <c r="AB1269"/>
    </row>
    <row r="1270" spans="3:28" ht="13.5">
      <c r="C1270" s="1181" t="s">
        <v>5950</v>
      </c>
      <c r="D1270" s="1178">
        <v>0</v>
      </c>
      <c r="E1270" s="1178">
        <v>0</v>
      </c>
      <c r="F1270" s="1179">
        <v>0</v>
      </c>
      <c r="G1270" s="1189" t="s">
        <v>5950</v>
      </c>
      <c r="H1270" s="1176">
        <v>0</v>
      </c>
      <c r="I1270" s="1176">
        <v>0</v>
      </c>
      <c r="J1270" s="1190">
        <v>0</v>
      </c>
      <c r="K1270" s="1180"/>
      <c r="L1270" s="1174">
        <v>13121004400</v>
      </c>
      <c r="M1270" s="1175">
        <v>0</v>
      </c>
      <c r="N1270" s="1175">
        <v>0</v>
      </c>
      <c r="O1270" s="1176">
        <v>0</v>
      </c>
      <c r="AA1270"/>
      <c r="AB1270"/>
    </row>
    <row r="1271" spans="3:28" ht="13.5">
      <c r="C1271" s="1181" t="s">
        <v>5951</v>
      </c>
      <c r="D1271" s="1178">
        <v>0</v>
      </c>
      <c r="E1271" s="1178">
        <v>0</v>
      </c>
      <c r="F1271" s="1179">
        <v>0</v>
      </c>
      <c r="G1271" s="1189" t="s">
        <v>5951</v>
      </c>
      <c r="H1271" s="1176">
        <v>0</v>
      </c>
      <c r="I1271" s="1176" t="s">
        <v>4455</v>
      </c>
      <c r="J1271" s="1190">
        <v>0</v>
      </c>
      <c r="K1271" s="1180"/>
      <c r="L1271" s="1174">
        <v>13121004800</v>
      </c>
      <c r="M1271" s="1175">
        <v>0</v>
      </c>
      <c r="N1271" s="1175">
        <v>0</v>
      </c>
      <c r="O1271" s="1176">
        <v>0</v>
      </c>
      <c r="AA1271"/>
      <c r="AB1271"/>
    </row>
    <row r="1272" spans="3:28" ht="13.5">
      <c r="C1272" s="1181" t="s">
        <v>5952</v>
      </c>
      <c r="D1272" s="1178">
        <v>1</v>
      </c>
      <c r="E1272" s="1178">
        <v>0</v>
      </c>
      <c r="F1272" s="1179">
        <v>1</v>
      </c>
      <c r="G1272" s="1189" t="s">
        <v>5952</v>
      </c>
      <c r="H1272" s="1176">
        <v>1</v>
      </c>
      <c r="I1272" s="1176" t="s">
        <v>4455</v>
      </c>
      <c r="J1272" s="1190">
        <v>1</v>
      </c>
      <c r="K1272" s="1180"/>
      <c r="L1272" s="1174">
        <v>13121004900</v>
      </c>
      <c r="M1272" s="1175">
        <v>1</v>
      </c>
      <c r="N1272" s="1175">
        <v>0</v>
      </c>
      <c r="O1272" s="1176">
        <v>1</v>
      </c>
      <c r="AA1272"/>
      <c r="AB1272"/>
    </row>
    <row r="1273" spans="3:28" ht="13.5">
      <c r="C1273" s="1181" t="s">
        <v>5953</v>
      </c>
      <c r="D1273" s="1178">
        <v>1</v>
      </c>
      <c r="E1273" s="1178">
        <v>1</v>
      </c>
      <c r="F1273" s="1179">
        <v>2</v>
      </c>
      <c r="G1273" s="1189" t="s">
        <v>5953</v>
      </c>
      <c r="H1273" s="1176">
        <v>1</v>
      </c>
      <c r="I1273" s="1176">
        <v>1</v>
      </c>
      <c r="J1273" s="1190">
        <v>2</v>
      </c>
      <c r="K1273" s="1180"/>
      <c r="L1273" s="1174">
        <v>13121005000</v>
      </c>
      <c r="M1273" s="1175">
        <v>1</v>
      </c>
      <c r="N1273" s="1175">
        <v>1</v>
      </c>
      <c r="O1273" s="1176">
        <v>2</v>
      </c>
      <c r="AA1273"/>
      <c r="AB1273"/>
    </row>
    <row r="1274" spans="3:28" ht="13.5">
      <c r="C1274" s="1181" t="s">
        <v>5954</v>
      </c>
      <c r="D1274" s="1178">
        <v>1</v>
      </c>
      <c r="E1274" s="1178">
        <v>1</v>
      </c>
      <c r="F1274" s="1179">
        <v>2</v>
      </c>
      <c r="G1274" s="1189" t="s">
        <v>5954</v>
      </c>
      <c r="H1274" s="1176">
        <v>1</v>
      </c>
      <c r="I1274" s="1176">
        <v>1</v>
      </c>
      <c r="J1274" s="1190">
        <v>2</v>
      </c>
      <c r="K1274" s="1180"/>
      <c r="L1274" s="1174">
        <v>13121005200</v>
      </c>
      <c r="M1274" s="1175">
        <v>1</v>
      </c>
      <c r="N1274" s="1175">
        <v>1</v>
      </c>
      <c r="O1274" s="1176">
        <v>2</v>
      </c>
      <c r="AA1274"/>
      <c r="AB1274"/>
    </row>
    <row r="1275" spans="3:28" ht="13.5">
      <c r="C1275" s="1181" t="s">
        <v>5955</v>
      </c>
      <c r="D1275" s="1178">
        <v>1</v>
      </c>
      <c r="E1275" s="1178">
        <v>1</v>
      </c>
      <c r="F1275" s="1179">
        <v>2</v>
      </c>
      <c r="G1275" s="1189" t="s">
        <v>5955</v>
      </c>
      <c r="H1275" s="1176">
        <v>1</v>
      </c>
      <c r="I1275" s="1176">
        <v>1</v>
      </c>
      <c r="J1275" s="1190">
        <v>2</v>
      </c>
      <c r="K1275" s="1180"/>
      <c r="L1275" s="1174">
        <v>13121005300</v>
      </c>
      <c r="M1275" s="1175">
        <v>1</v>
      </c>
      <c r="N1275" s="1175">
        <v>1</v>
      </c>
      <c r="O1275" s="1176">
        <v>2</v>
      </c>
      <c r="AA1275"/>
      <c r="AB1275"/>
    </row>
    <row r="1276" spans="3:28" ht="13.5">
      <c r="C1276" s="1181" t="s">
        <v>5956</v>
      </c>
      <c r="D1276" s="1178">
        <v>0</v>
      </c>
      <c r="E1276" s="1178">
        <v>0</v>
      </c>
      <c r="F1276" s="1179">
        <v>0</v>
      </c>
      <c r="G1276" s="1189" t="s">
        <v>5956</v>
      </c>
      <c r="H1276" s="1176">
        <v>0</v>
      </c>
      <c r="I1276" s="1176">
        <v>0</v>
      </c>
      <c r="J1276" s="1190">
        <v>0</v>
      </c>
      <c r="K1276" s="1180"/>
      <c r="L1276" s="1174">
        <v>13121005501</v>
      </c>
      <c r="M1276" s="1175">
        <v>0</v>
      </c>
      <c r="N1276" s="1175">
        <v>0</v>
      </c>
      <c r="O1276" s="1176">
        <v>0</v>
      </c>
      <c r="AA1276"/>
      <c r="AB1276"/>
    </row>
    <row r="1277" spans="3:28" ht="13.5">
      <c r="C1277" s="1181" t="s">
        <v>5957</v>
      </c>
      <c r="D1277" s="1178">
        <v>0</v>
      </c>
      <c r="E1277" s="1178">
        <v>0</v>
      </c>
      <c r="F1277" s="1179">
        <v>0</v>
      </c>
      <c r="G1277" s="1189" t="s">
        <v>5957</v>
      </c>
      <c r="H1277" s="1176">
        <v>0</v>
      </c>
      <c r="I1277" s="1176">
        <v>0</v>
      </c>
      <c r="J1277" s="1190">
        <v>0</v>
      </c>
      <c r="K1277" s="1180"/>
      <c r="L1277" s="1174">
        <v>13121005502</v>
      </c>
      <c r="M1277" s="1175">
        <v>0</v>
      </c>
      <c r="N1277" s="1175">
        <v>0</v>
      </c>
      <c r="O1277" s="1176">
        <v>0</v>
      </c>
      <c r="AA1277"/>
      <c r="AB1277"/>
    </row>
    <row r="1278" spans="3:28" ht="13.5">
      <c r="C1278" s="1181" t="s">
        <v>5958</v>
      </c>
      <c r="D1278" s="1178">
        <v>0</v>
      </c>
      <c r="E1278" s="1178">
        <v>0</v>
      </c>
      <c r="F1278" s="1179">
        <v>0</v>
      </c>
      <c r="G1278" s="1189" t="s">
        <v>5958</v>
      </c>
      <c r="H1278" s="1176">
        <v>0</v>
      </c>
      <c r="I1278" s="1176">
        <v>0</v>
      </c>
      <c r="J1278" s="1190">
        <v>0</v>
      </c>
      <c r="K1278" s="1180"/>
      <c r="L1278" s="1174">
        <v>13121005700</v>
      </c>
      <c r="M1278" s="1175">
        <v>0</v>
      </c>
      <c r="N1278" s="1175">
        <v>0</v>
      </c>
      <c r="O1278" s="1176">
        <v>0</v>
      </c>
      <c r="AA1278"/>
      <c r="AB1278"/>
    </row>
    <row r="1279" spans="3:28" ht="13.5">
      <c r="C1279" s="1181" t="s">
        <v>5959</v>
      </c>
      <c r="D1279" s="1178">
        <v>0</v>
      </c>
      <c r="E1279" s="1178">
        <v>0</v>
      </c>
      <c r="F1279" s="1179">
        <v>0</v>
      </c>
      <c r="G1279" s="1189" t="s">
        <v>5959</v>
      </c>
      <c r="H1279" s="1176">
        <v>0</v>
      </c>
      <c r="I1279" s="1176">
        <v>0</v>
      </c>
      <c r="J1279" s="1190">
        <v>0</v>
      </c>
      <c r="K1279" s="1180"/>
      <c r="L1279" s="1174">
        <v>13121005800</v>
      </c>
      <c r="M1279" s="1175">
        <v>0</v>
      </c>
      <c r="N1279" s="1175">
        <v>0</v>
      </c>
      <c r="O1279" s="1176">
        <v>0</v>
      </c>
      <c r="AA1279"/>
      <c r="AB1279"/>
    </row>
    <row r="1280" spans="3:28" ht="13.5">
      <c r="C1280" s="1181" t="s">
        <v>5960</v>
      </c>
      <c r="D1280" s="1178">
        <v>0</v>
      </c>
      <c r="E1280" s="1178">
        <v>0</v>
      </c>
      <c r="F1280" s="1179">
        <v>0</v>
      </c>
      <c r="G1280" s="1189" t="s">
        <v>5960</v>
      </c>
      <c r="H1280" s="1176">
        <v>0</v>
      </c>
      <c r="I1280" s="1176">
        <v>0</v>
      </c>
      <c r="J1280" s="1190">
        <v>0</v>
      </c>
      <c r="K1280" s="1180"/>
      <c r="L1280" s="1174">
        <v>13121006000</v>
      </c>
      <c r="M1280" s="1175">
        <v>0</v>
      </c>
      <c r="N1280" s="1175">
        <v>0</v>
      </c>
      <c r="O1280" s="1176">
        <v>0</v>
      </c>
      <c r="AA1280"/>
      <c r="AB1280"/>
    </row>
    <row r="1281" spans="3:28" ht="13.5">
      <c r="C1281" s="1181" t="s">
        <v>5961</v>
      </c>
      <c r="D1281" s="1178">
        <v>0</v>
      </c>
      <c r="E1281" s="1178">
        <v>0</v>
      </c>
      <c r="F1281" s="1179">
        <v>0</v>
      </c>
      <c r="G1281" s="1189" t="s">
        <v>5961</v>
      </c>
      <c r="H1281" s="1176">
        <v>0</v>
      </c>
      <c r="I1281" s="1176">
        <v>0</v>
      </c>
      <c r="J1281" s="1190">
        <v>0</v>
      </c>
      <c r="K1281" s="1180"/>
      <c r="L1281" s="1174">
        <v>13121006100</v>
      </c>
      <c r="M1281" s="1175">
        <v>0</v>
      </c>
      <c r="N1281" s="1175">
        <v>0</v>
      </c>
      <c r="O1281" s="1176">
        <v>0</v>
      </c>
      <c r="AA1281"/>
      <c r="AB1281"/>
    </row>
    <row r="1282" spans="3:28" ht="13.5">
      <c r="C1282" s="1181" t="s">
        <v>5962</v>
      </c>
      <c r="D1282" s="1178">
        <v>0</v>
      </c>
      <c r="E1282" s="1178">
        <v>0</v>
      </c>
      <c r="F1282" s="1179">
        <v>0</v>
      </c>
      <c r="G1282" s="1189" t="s">
        <v>5962</v>
      </c>
      <c r="H1282" s="1176">
        <v>0</v>
      </c>
      <c r="I1282" s="1176">
        <v>0</v>
      </c>
      <c r="J1282" s="1190">
        <v>0</v>
      </c>
      <c r="K1282" s="1180"/>
      <c r="L1282" s="1174">
        <v>13121006200</v>
      </c>
      <c r="M1282" s="1175">
        <v>0</v>
      </c>
      <c r="N1282" s="1175">
        <v>0</v>
      </c>
      <c r="O1282" s="1176">
        <v>0</v>
      </c>
      <c r="AA1282"/>
      <c r="AB1282"/>
    </row>
    <row r="1283" spans="3:28" ht="13.5">
      <c r="C1283" s="1181" t="s">
        <v>5963</v>
      </c>
      <c r="D1283" s="1178">
        <v>0</v>
      </c>
      <c r="E1283" s="1178">
        <v>0</v>
      </c>
      <c r="F1283" s="1179">
        <v>0</v>
      </c>
      <c r="G1283" s="1189" t="s">
        <v>5963</v>
      </c>
      <c r="H1283" s="1176">
        <v>0</v>
      </c>
      <c r="I1283" s="1176">
        <v>0</v>
      </c>
      <c r="J1283" s="1190">
        <v>0</v>
      </c>
      <c r="K1283" s="1180"/>
      <c r="L1283" s="1174">
        <v>13121006300</v>
      </c>
      <c r="M1283" s="1175">
        <v>0</v>
      </c>
      <c r="N1283" s="1175">
        <v>0</v>
      </c>
      <c r="O1283" s="1176">
        <v>0</v>
      </c>
      <c r="AA1283"/>
      <c r="AB1283"/>
    </row>
    <row r="1284" spans="3:28" ht="13.5">
      <c r="C1284" s="1181" t="s">
        <v>5964</v>
      </c>
      <c r="D1284" s="1178">
        <v>0</v>
      </c>
      <c r="E1284" s="1178">
        <v>0</v>
      </c>
      <c r="F1284" s="1179">
        <v>0</v>
      </c>
      <c r="G1284" s="1189" t="s">
        <v>5964</v>
      </c>
      <c r="H1284" s="1176">
        <v>0</v>
      </c>
      <c r="I1284" s="1176" t="s">
        <v>4455</v>
      </c>
      <c r="J1284" s="1190">
        <v>0</v>
      </c>
      <c r="K1284" s="1180"/>
      <c r="L1284" s="1174">
        <v>13121006400</v>
      </c>
      <c r="M1284" s="1175">
        <v>0</v>
      </c>
      <c r="N1284" s="1175">
        <v>0</v>
      </c>
      <c r="O1284" s="1176">
        <v>0</v>
      </c>
      <c r="AA1284"/>
      <c r="AB1284"/>
    </row>
    <row r="1285" spans="3:28" ht="13.5">
      <c r="C1285" s="1181" t="s">
        <v>5965</v>
      </c>
      <c r="D1285" s="1178">
        <v>0</v>
      </c>
      <c r="E1285" s="1178">
        <v>0</v>
      </c>
      <c r="F1285" s="1179">
        <v>0</v>
      </c>
      <c r="G1285" s="1189" t="s">
        <v>5965</v>
      </c>
      <c r="H1285" s="1176">
        <v>0</v>
      </c>
      <c r="I1285" s="1176">
        <v>0</v>
      </c>
      <c r="J1285" s="1190">
        <v>0</v>
      </c>
      <c r="K1285" s="1180"/>
      <c r="L1285" s="1174">
        <v>13121006500</v>
      </c>
      <c r="M1285" s="1175">
        <v>0</v>
      </c>
      <c r="N1285" s="1175">
        <v>0</v>
      </c>
      <c r="O1285" s="1176">
        <v>0</v>
      </c>
      <c r="AA1285"/>
      <c r="AB1285"/>
    </row>
    <row r="1286" spans="3:28" ht="13.5">
      <c r="C1286" s="1181" t="s">
        <v>5966</v>
      </c>
      <c r="D1286" s="1178">
        <v>0</v>
      </c>
      <c r="E1286" s="1178">
        <v>0</v>
      </c>
      <c r="F1286" s="1179">
        <v>0</v>
      </c>
      <c r="G1286" s="1189" t="s">
        <v>5966</v>
      </c>
      <c r="H1286" s="1176">
        <v>0</v>
      </c>
      <c r="I1286" s="1176">
        <v>0</v>
      </c>
      <c r="J1286" s="1190">
        <v>0</v>
      </c>
      <c r="K1286" s="1180"/>
      <c r="L1286" s="1174">
        <v>13121006601</v>
      </c>
      <c r="M1286" s="1175">
        <v>0</v>
      </c>
      <c r="N1286" s="1175">
        <v>0</v>
      </c>
      <c r="O1286" s="1176">
        <v>0</v>
      </c>
      <c r="AA1286"/>
      <c r="AB1286"/>
    </row>
    <row r="1287" spans="3:28" ht="13.5">
      <c r="C1287" s="1181" t="s">
        <v>5967</v>
      </c>
      <c r="D1287" s="1178">
        <v>0</v>
      </c>
      <c r="E1287" s="1178">
        <v>0</v>
      </c>
      <c r="F1287" s="1179">
        <v>0</v>
      </c>
      <c r="G1287" s="1189" t="s">
        <v>5967</v>
      </c>
      <c r="H1287" s="1176">
        <v>0</v>
      </c>
      <c r="I1287" s="1176">
        <v>0</v>
      </c>
      <c r="J1287" s="1190">
        <v>0</v>
      </c>
      <c r="K1287" s="1180"/>
      <c r="L1287" s="1174">
        <v>13121006602</v>
      </c>
      <c r="M1287" s="1175">
        <v>0</v>
      </c>
      <c r="N1287" s="1175">
        <v>0</v>
      </c>
      <c r="O1287" s="1176">
        <v>0</v>
      </c>
      <c r="AA1287"/>
      <c r="AB1287"/>
    </row>
    <row r="1288" spans="3:28" ht="13.5">
      <c r="C1288" s="1181" t="s">
        <v>5968</v>
      </c>
      <c r="D1288" s="1178">
        <v>0</v>
      </c>
      <c r="E1288" s="1178">
        <v>0</v>
      </c>
      <c r="F1288" s="1179">
        <v>0</v>
      </c>
      <c r="G1288" s="1189" t="s">
        <v>5968</v>
      </c>
      <c r="H1288" s="1176">
        <v>0</v>
      </c>
      <c r="I1288" s="1176">
        <v>0</v>
      </c>
      <c r="J1288" s="1190">
        <v>0</v>
      </c>
      <c r="K1288" s="1180"/>
      <c r="L1288" s="1174">
        <v>13121006700</v>
      </c>
      <c r="M1288" s="1175">
        <v>0</v>
      </c>
      <c r="N1288" s="1175">
        <v>0</v>
      </c>
      <c r="O1288" s="1176">
        <v>0</v>
      </c>
      <c r="AA1288"/>
      <c r="AB1288"/>
    </row>
    <row r="1289" spans="3:28" ht="13.5">
      <c r="C1289" s="1181" t="s">
        <v>5969</v>
      </c>
      <c r="D1289" s="1178" t="s">
        <v>4455</v>
      </c>
      <c r="E1289" s="1178" t="s">
        <v>4455</v>
      </c>
      <c r="F1289" s="1179">
        <v>0</v>
      </c>
      <c r="G1289" s="1189" t="s">
        <v>5969</v>
      </c>
      <c r="H1289" s="1176" t="s">
        <v>4455</v>
      </c>
      <c r="I1289" s="1176" t="s">
        <v>4455</v>
      </c>
      <c r="J1289" s="1190">
        <v>0</v>
      </c>
      <c r="K1289" s="1180"/>
      <c r="L1289" s="1174">
        <v>13121006801</v>
      </c>
      <c r="M1289" s="1175">
        <v>0</v>
      </c>
      <c r="N1289" s="1175">
        <v>0</v>
      </c>
      <c r="O1289" s="1176">
        <v>0</v>
      </c>
      <c r="AA1289"/>
      <c r="AB1289"/>
    </row>
    <row r="1290" spans="3:28" ht="13.5">
      <c r="C1290" s="1181" t="s">
        <v>5970</v>
      </c>
      <c r="D1290" s="1178">
        <v>0</v>
      </c>
      <c r="E1290" s="1178">
        <v>0</v>
      </c>
      <c r="F1290" s="1179">
        <v>0</v>
      </c>
      <c r="G1290" s="1189" t="s">
        <v>5970</v>
      </c>
      <c r="H1290" s="1176">
        <v>0</v>
      </c>
      <c r="I1290" s="1176">
        <v>0</v>
      </c>
      <c r="J1290" s="1190">
        <v>0</v>
      </c>
      <c r="K1290" s="1180"/>
      <c r="L1290" s="1174">
        <v>13121006802</v>
      </c>
      <c r="M1290" s="1175">
        <v>0</v>
      </c>
      <c r="N1290" s="1175">
        <v>0</v>
      </c>
      <c r="O1290" s="1176">
        <v>0</v>
      </c>
      <c r="AA1290"/>
      <c r="AB1290"/>
    </row>
    <row r="1291" spans="3:28" ht="13.5">
      <c r="C1291" s="1181" t="s">
        <v>5971</v>
      </c>
      <c r="D1291" s="1178">
        <v>0</v>
      </c>
      <c r="E1291" s="1178">
        <v>0</v>
      </c>
      <c r="F1291" s="1179">
        <v>0</v>
      </c>
      <c r="G1291" s="1189" t="s">
        <v>5971</v>
      </c>
      <c r="H1291" s="1176">
        <v>1</v>
      </c>
      <c r="I1291" s="1176">
        <v>0</v>
      </c>
      <c r="J1291" s="1190">
        <v>1</v>
      </c>
      <c r="K1291" s="1180"/>
      <c r="L1291" s="1174">
        <v>13121006900</v>
      </c>
      <c r="M1291" s="1175">
        <v>1</v>
      </c>
      <c r="N1291" s="1175">
        <v>0</v>
      </c>
      <c r="O1291" s="1176">
        <v>1</v>
      </c>
      <c r="AA1291"/>
      <c r="AB1291"/>
    </row>
    <row r="1292" spans="3:28" ht="13.5">
      <c r="C1292" s="1181" t="s">
        <v>5972</v>
      </c>
      <c r="D1292" s="1178">
        <v>0</v>
      </c>
      <c r="E1292" s="1178">
        <v>0</v>
      </c>
      <c r="F1292" s="1179">
        <v>0</v>
      </c>
      <c r="G1292" s="1189" t="s">
        <v>5972</v>
      </c>
      <c r="H1292" s="1176">
        <v>0</v>
      </c>
      <c r="I1292" s="1176">
        <v>0</v>
      </c>
      <c r="J1292" s="1190">
        <v>0</v>
      </c>
      <c r="K1292" s="1180"/>
      <c r="L1292" s="1174">
        <v>13121007001</v>
      </c>
      <c r="M1292" s="1175">
        <v>0</v>
      </c>
      <c r="N1292" s="1175">
        <v>0</v>
      </c>
      <c r="O1292" s="1176">
        <v>0</v>
      </c>
      <c r="AA1292"/>
      <c r="AB1292"/>
    </row>
    <row r="1293" spans="3:28" ht="13.5">
      <c r="C1293" s="1181" t="s">
        <v>5973</v>
      </c>
      <c r="D1293" s="1178">
        <v>0</v>
      </c>
      <c r="E1293" s="1178">
        <v>0</v>
      </c>
      <c r="F1293" s="1179">
        <v>0</v>
      </c>
      <c r="G1293" s="1189" t="s">
        <v>5973</v>
      </c>
      <c r="H1293" s="1176">
        <v>0</v>
      </c>
      <c r="I1293" s="1176">
        <v>0</v>
      </c>
      <c r="J1293" s="1190">
        <v>0</v>
      </c>
      <c r="K1293" s="1180"/>
      <c r="L1293" s="1174">
        <v>13121007002</v>
      </c>
      <c r="M1293" s="1175">
        <v>0</v>
      </c>
      <c r="N1293" s="1175">
        <v>0</v>
      </c>
      <c r="O1293" s="1176">
        <v>0</v>
      </c>
      <c r="AA1293"/>
      <c r="AB1293"/>
    </row>
    <row r="1294" spans="3:28" ht="13.5">
      <c r="C1294" s="1181" t="s">
        <v>5974</v>
      </c>
      <c r="D1294" s="1178">
        <v>0</v>
      </c>
      <c r="E1294" s="1178">
        <v>0</v>
      </c>
      <c r="F1294" s="1179">
        <v>0</v>
      </c>
      <c r="G1294" s="1189" t="s">
        <v>5974</v>
      </c>
      <c r="H1294" s="1176">
        <v>0</v>
      </c>
      <c r="I1294" s="1176">
        <v>0</v>
      </c>
      <c r="J1294" s="1190">
        <v>0</v>
      </c>
      <c r="K1294" s="1180"/>
      <c r="L1294" s="1174">
        <v>13121007100</v>
      </c>
      <c r="M1294" s="1175">
        <v>0</v>
      </c>
      <c r="N1294" s="1175">
        <v>0</v>
      </c>
      <c r="O1294" s="1176">
        <v>0</v>
      </c>
      <c r="AA1294"/>
      <c r="AB1294"/>
    </row>
    <row r="1295" spans="3:28" ht="13.5">
      <c r="C1295" s="1181" t="s">
        <v>5975</v>
      </c>
      <c r="D1295" s="1178">
        <v>0</v>
      </c>
      <c r="E1295" s="1178">
        <v>0</v>
      </c>
      <c r="F1295" s="1179">
        <v>0</v>
      </c>
      <c r="G1295" s="1189" t="s">
        <v>5975</v>
      </c>
      <c r="H1295" s="1176">
        <v>0</v>
      </c>
      <c r="I1295" s="1176">
        <v>0</v>
      </c>
      <c r="J1295" s="1190">
        <v>0</v>
      </c>
      <c r="K1295" s="1180"/>
      <c r="L1295" s="1174">
        <v>13121007200</v>
      </c>
      <c r="M1295" s="1175">
        <v>0</v>
      </c>
      <c r="N1295" s="1175">
        <v>0</v>
      </c>
      <c r="O1295" s="1176">
        <v>0</v>
      </c>
      <c r="AA1295"/>
      <c r="AB1295"/>
    </row>
    <row r="1296" spans="3:28" ht="13.5">
      <c r="C1296" s="1181" t="s">
        <v>5976</v>
      </c>
      <c r="D1296" s="1178">
        <v>0</v>
      </c>
      <c r="E1296" s="1178">
        <v>0</v>
      </c>
      <c r="F1296" s="1179">
        <v>0</v>
      </c>
      <c r="G1296" s="1189" t="s">
        <v>5976</v>
      </c>
      <c r="H1296" s="1176">
        <v>0</v>
      </c>
      <c r="I1296" s="1176">
        <v>0</v>
      </c>
      <c r="J1296" s="1190">
        <v>0</v>
      </c>
      <c r="K1296" s="1180"/>
      <c r="L1296" s="1174">
        <v>13121007300</v>
      </c>
      <c r="M1296" s="1175">
        <v>0</v>
      </c>
      <c r="N1296" s="1175">
        <v>0</v>
      </c>
      <c r="O1296" s="1176">
        <v>0</v>
      </c>
      <c r="AA1296"/>
      <c r="AB1296"/>
    </row>
    <row r="1297" spans="3:28" ht="13.5">
      <c r="C1297" s="1181" t="s">
        <v>5977</v>
      </c>
      <c r="D1297" s="1178">
        <v>0</v>
      </c>
      <c r="E1297" s="1178">
        <v>0</v>
      </c>
      <c r="F1297" s="1179">
        <v>0</v>
      </c>
      <c r="G1297" s="1189" t="s">
        <v>5977</v>
      </c>
      <c r="H1297" s="1176">
        <v>0</v>
      </c>
      <c r="I1297" s="1176">
        <v>0</v>
      </c>
      <c r="J1297" s="1190">
        <v>0</v>
      </c>
      <c r="K1297" s="1180"/>
      <c r="L1297" s="1174">
        <v>13121007400</v>
      </c>
      <c r="M1297" s="1175">
        <v>0</v>
      </c>
      <c r="N1297" s="1175">
        <v>0</v>
      </c>
      <c r="O1297" s="1176">
        <v>0</v>
      </c>
      <c r="AA1297"/>
      <c r="AB1297"/>
    </row>
    <row r="1298" spans="3:28" ht="13.5">
      <c r="C1298" s="1181" t="s">
        <v>5978</v>
      </c>
      <c r="D1298" s="1178">
        <v>0</v>
      </c>
      <c r="E1298" s="1178">
        <v>0</v>
      </c>
      <c r="F1298" s="1179">
        <v>0</v>
      </c>
      <c r="G1298" s="1189" t="s">
        <v>5978</v>
      </c>
      <c r="H1298" s="1176">
        <v>0</v>
      </c>
      <c r="I1298" s="1176">
        <v>0</v>
      </c>
      <c r="J1298" s="1190">
        <v>0</v>
      </c>
      <c r="K1298" s="1180"/>
      <c r="L1298" s="1174">
        <v>13121007500</v>
      </c>
      <c r="M1298" s="1175">
        <v>0</v>
      </c>
      <c r="N1298" s="1175">
        <v>0</v>
      </c>
      <c r="O1298" s="1176">
        <v>0</v>
      </c>
      <c r="AA1298"/>
      <c r="AB1298"/>
    </row>
    <row r="1299" spans="3:28" ht="13.5">
      <c r="C1299" s="1181" t="s">
        <v>5979</v>
      </c>
      <c r="D1299" s="1178">
        <v>0</v>
      </c>
      <c r="E1299" s="1178">
        <v>0</v>
      </c>
      <c r="F1299" s="1179">
        <v>0</v>
      </c>
      <c r="G1299" s="1189" t="s">
        <v>5979</v>
      </c>
      <c r="H1299" s="1176">
        <v>0</v>
      </c>
      <c r="I1299" s="1176">
        <v>0</v>
      </c>
      <c r="J1299" s="1190">
        <v>0</v>
      </c>
      <c r="K1299" s="1180"/>
      <c r="L1299" s="1174">
        <v>13121007602</v>
      </c>
      <c r="M1299" s="1175">
        <v>0</v>
      </c>
      <c r="N1299" s="1175">
        <v>0</v>
      </c>
      <c r="O1299" s="1176">
        <v>0</v>
      </c>
      <c r="AA1299"/>
      <c r="AB1299"/>
    </row>
    <row r="1300" spans="3:28" ht="13.5">
      <c r="C1300" s="1181" t="s">
        <v>5980</v>
      </c>
      <c r="D1300" s="1178">
        <v>0</v>
      </c>
      <c r="E1300" s="1178">
        <v>0</v>
      </c>
      <c r="F1300" s="1179">
        <v>0</v>
      </c>
      <c r="G1300" s="1189" t="s">
        <v>5980</v>
      </c>
      <c r="H1300" s="1176">
        <v>0</v>
      </c>
      <c r="I1300" s="1176">
        <v>0</v>
      </c>
      <c r="J1300" s="1190">
        <v>0</v>
      </c>
      <c r="K1300" s="1180"/>
      <c r="L1300" s="1174">
        <v>13121007603</v>
      </c>
      <c r="M1300" s="1175">
        <v>0</v>
      </c>
      <c r="N1300" s="1175">
        <v>0</v>
      </c>
      <c r="O1300" s="1176">
        <v>0</v>
      </c>
      <c r="AA1300"/>
      <c r="AB1300"/>
    </row>
    <row r="1301" spans="3:28" ht="13.5">
      <c r="C1301" s="1181" t="s">
        <v>5981</v>
      </c>
      <c r="D1301" s="1178">
        <v>0</v>
      </c>
      <c r="E1301" s="1178">
        <v>0</v>
      </c>
      <c r="F1301" s="1179">
        <v>0</v>
      </c>
      <c r="G1301" s="1189" t="s">
        <v>5981</v>
      </c>
      <c r="H1301" s="1176">
        <v>0</v>
      </c>
      <c r="I1301" s="1176" t="s">
        <v>4455</v>
      </c>
      <c r="J1301" s="1190">
        <v>0</v>
      </c>
      <c r="K1301" s="1180"/>
      <c r="L1301" s="1174">
        <v>13121007604</v>
      </c>
      <c r="M1301" s="1175">
        <v>0</v>
      </c>
      <c r="N1301" s="1175">
        <v>0</v>
      </c>
      <c r="O1301" s="1176">
        <v>0</v>
      </c>
      <c r="AA1301"/>
      <c r="AB1301"/>
    </row>
    <row r="1302" spans="3:28" ht="13.5">
      <c r="C1302" s="1181" t="s">
        <v>5982</v>
      </c>
      <c r="D1302" s="1178">
        <v>0</v>
      </c>
      <c r="E1302" s="1178">
        <v>0</v>
      </c>
      <c r="F1302" s="1179">
        <v>0</v>
      </c>
      <c r="G1302" s="1189" t="s">
        <v>5982</v>
      </c>
      <c r="H1302" s="1176">
        <v>0</v>
      </c>
      <c r="I1302" s="1176">
        <v>0</v>
      </c>
      <c r="J1302" s="1190">
        <v>0</v>
      </c>
      <c r="K1302" s="1180"/>
      <c r="L1302" s="1174">
        <v>13121007703</v>
      </c>
      <c r="M1302" s="1175">
        <v>0</v>
      </c>
      <c r="N1302" s="1175">
        <v>0</v>
      </c>
      <c r="O1302" s="1176">
        <v>0</v>
      </c>
      <c r="AA1302"/>
      <c r="AB1302"/>
    </row>
    <row r="1303" spans="3:28" ht="13.5">
      <c r="C1303" s="1181" t="s">
        <v>5983</v>
      </c>
      <c r="D1303" s="1178">
        <v>0</v>
      </c>
      <c r="E1303" s="1178">
        <v>0</v>
      </c>
      <c r="F1303" s="1179">
        <v>0</v>
      </c>
      <c r="G1303" s="1189" t="s">
        <v>5983</v>
      </c>
      <c r="H1303" s="1176">
        <v>0</v>
      </c>
      <c r="I1303" s="1176">
        <v>0</v>
      </c>
      <c r="J1303" s="1190">
        <v>0</v>
      </c>
      <c r="K1303" s="1180"/>
      <c r="L1303" s="1174">
        <v>13121007704</v>
      </c>
      <c r="M1303" s="1175">
        <v>0</v>
      </c>
      <c r="N1303" s="1175">
        <v>0</v>
      </c>
      <c r="O1303" s="1176">
        <v>0</v>
      </c>
      <c r="AA1303"/>
      <c r="AB1303"/>
    </row>
    <row r="1304" spans="3:28" ht="13.5">
      <c r="C1304" s="1181" t="s">
        <v>5984</v>
      </c>
      <c r="D1304" s="1178">
        <v>0</v>
      </c>
      <c r="E1304" s="1178">
        <v>0</v>
      </c>
      <c r="F1304" s="1179">
        <v>0</v>
      </c>
      <c r="G1304" s="1189" t="s">
        <v>5984</v>
      </c>
      <c r="H1304" s="1176">
        <v>0</v>
      </c>
      <c r="I1304" s="1176">
        <v>0</v>
      </c>
      <c r="J1304" s="1190">
        <v>0</v>
      </c>
      <c r="K1304" s="1180"/>
      <c r="L1304" s="1174">
        <v>13121007705</v>
      </c>
      <c r="M1304" s="1175">
        <v>0</v>
      </c>
      <c r="N1304" s="1175">
        <v>0</v>
      </c>
      <c r="O1304" s="1176">
        <v>0</v>
      </c>
      <c r="AA1304"/>
      <c r="AB1304"/>
    </row>
    <row r="1305" spans="3:28" ht="13.5">
      <c r="C1305" s="1181" t="s">
        <v>5985</v>
      </c>
      <c r="D1305" s="1178">
        <v>0</v>
      </c>
      <c r="E1305" s="1178">
        <v>0</v>
      </c>
      <c r="F1305" s="1179">
        <v>0</v>
      </c>
      <c r="G1305" s="1189" t="s">
        <v>5985</v>
      </c>
      <c r="H1305" s="1176">
        <v>0</v>
      </c>
      <c r="I1305" s="1176">
        <v>1</v>
      </c>
      <c r="J1305" s="1190">
        <v>1</v>
      </c>
      <c r="K1305" s="1180"/>
      <c r="L1305" s="1174">
        <v>13121007706</v>
      </c>
      <c r="M1305" s="1175">
        <v>0</v>
      </c>
      <c r="N1305" s="1175">
        <v>1</v>
      </c>
      <c r="O1305" s="1176">
        <v>1</v>
      </c>
      <c r="AA1305"/>
      <c r="AB1305"/>
    </row>
    <row r="1306" spans="3:28" ht="13.5">
      <c r="C1306" s="1181" t="s">
        <v>5986</v>
      </c>
      <c r="D1306" s="1178">
        <v>0</v>
      </c>
      <c r="E1306" s="1178">
        <v>0</v>
      </c>
      <c r="F1306" s="1179">
        <v>0</v>
      </c>
      <c r="G1306" s="1189" t="s">
        <v>5986</v>
      </c>
      <c r="H1306" s="1176">
        <v>0</v>
      </c>
      <c r="I1306" s="1176">
        <v>0</v>
      </c>
      <c r="J1306" s="1190">
        <v>0</v>
      </c>
      <c r="K1306" s="1180"/>
      <c r="L1306" s="1174">
        <v>13121007802</v>
      </c>
      <c r="M1306" s="1175">
        <v>0</v>
      </c>
      <c r="N1306" s="1175">
        <v>0</v>
      </c>
      <c r="O1306" s="1176">
        <v>0</v>
      </c>
      <c r="AA1306"/>
      <c r="AB1306"/>
    </row>
    <row r="1307" spans="3:28" ht="13.5">
      <c r="C1307" s="1181" t="s">
        <v>5987</v>
      </c>
      <c r="D1307" s="1178">
        <v>0</v>
      </c>
      <c r="E1307" s="1178">
        <v>0</v>
      </c>
      <c r="F1307" s="1179">
        <v>0</v>
      </c>
      <c r="G1307" s="1189" t="s">
        <v>5987</v>
      </c>
      <c r="H1307" s="1176">
        <v>0</v>
      </c>
      <c r="I1307" s="1176">
        <v>0</v>
      </c>
      <c r="J1307" s="1190">
        <v>0</v>
      </c>
      <c r="K1307" s="1180"/>
      <c r="L1307" s="1174">
        <v>13121007805</v>
      </c>
      <c r="M1307" s="1175">
        <v>0</v>
      </c>
      <c r="N1307" s="1175">
        <v>0</v>
      </c>
      <c r="O1307" s="1176">
        <v>0</v>
      </c>
      <c r="AA1307"/>
      <c r="AB1307"/>
    </row>
    <row r="1308" spans="3:28" ht="13.5">
      <c r="C1308" s="1181" t="s">
        <v>5988</v>
      </c>
      <c r="D1308" s="1178">
        <v>0</v>
      </c>
      <c r="E1308" s="1178">
        <v>0</v>
      </c>
      <c r="F1308" s="1179">
        <v>0</v>
      </c>
      <c r="G1308" s="1189" t="s">
        <v>5988</v>
      </c>
      <c r="H1308" s="1176">
        <v>0</v>
      </c>
      <c r="I1308" s="1176">
        <v>1</v>
      </c>
      <c r="J1308" s="1190">
        <v>1</v>
      </c>
      <c r="K1308" s="1180"/>
      <c r="L1308" s="1174">
        <v>13121007806</v>
      </c>
      <c r="M1308" s="1175">
        <v>0</v>
      </c>
      <c r="N1308" s="1175">
        <v>1</v>
      </c>
      <c r="O1308" s="1176">
        <v>1</v>
      </c>
      <c r="AA1308"/>
      <c r="AB1308"/>
    </row>
    <row r="1309" spans="3:28" ht="13.5">
      <c r="C1309" s="1181" t="s">
        <v>5989</v>
      </c>
      <c r="D1309" s="1178">
        <v>0</v>
      </c>
      <c r="E1309" s="1178">
        <v>0</v>
      </c>
      <c r="F1309" s="1179">
        <v>0</v>
      </c>
      <c r="G1309" s="1189" t="s">
        <v>5989</v>
      </c>
      <c r="H1309" s="1176">
        <v>0</v>
      </c>
      <c r="I1309" s="1176">
        <v>0</v>
      </c>
      <c r="J1309" s="1190">
        <v>0</v>
      </c>
      <c r="K1309" s="1180"/>
      <c r="L1309" s="1174">
        <v>13121007807</v>
      </c>
      <c r="M1309" s="1175">
        <v>0</v>
      </c>
      <c r="N1309" s="1175">
        <v>0</v>
      </c>
      <c r="O1309" s="1176">
        <v>0</v>
      </c>
      <c r="AA1309"/>
      <c r="AB1309"/>
    </row>
    <row r="1310" spans="3:28" ht="13.5">
      <c r="C1310" s="1181" t="s">
        <v>5990</v>
      </c>
      <c r="D1310" s="1178">
        <v>0</v>
      </c>
      <c r="E1310" s="1178">
        <v>0</v>
      </c>
      <c r="F1310" s="1179">
        <v>0</v>
      </c>
      <c r="G1310" s="1189" t="s">
        <v>5990</v>
      </c>
      <c r="H1310" s="1176">
        <v>0</v>
      </c>
      <c r="I1310" s="1176">
        <v>0</v>
      </c>
      <c r="J1310" s="1190">
        <v>0</v>
      </c>
      <c r="K1310" s="1180"/>
      <c r="L1310" s="1174">
        <v>13121007808</v>
      </c>
      <c r="M1310" s="1175">
        <v>0</v>
      </c>
      <c r="N1310" s="1175">
        <v>0</v>
      </c>
      <c r="O1310" s="1176">
        <v>0</v>
      </c>
      <c r="AA1310"/>
      <c r="AB1310"/>
    </row>
    <row r="1311" spans="3:28" ht="13.5">
      <c r="C1311" s="1181" t="s">
        <v>5991</v>
      </c>
      <c r="D1311" s="1178">
        <v>0</v>
      </c>
      <c r="E1311" s="1178">
        <v>0</v>
      </c>
      <c r="F1311" s="1179">
        <v>0</v>
      </c>
      <c r="G1311" s="1189" t="s">
        <v>5991</v>
      </c>
      <c r="H1311" s="1176">
        <v>1</v>
      </c>
      <c r="I1311" s="1176">
        <v>1</v>
      </c>
      <c r="J1311" s="1190">
        <v>2</v>
      </c>
      <c r="K1311" s="1180"/>
      <c r="L1311" s="1174">
        <v>13121007900</v>
      </c>
      <c r="M1311" s="1175">
        <v>1</v>
      </c>
      <c r="N1311" s="1175">
        <v>1</v>
      </c>
      <c r="O1311" s="1176">
        <v>2</v>
      </c>
      <c r="AA1311"/>
      <c r="AB1311"/>
    </row>
    <row r="1312" spans="3:28" ht="13.5">
      <c r="C1312" s="1181" t="s">
        <v>5992</v>
      </c>
      <c r="D1312" s="1178">
        <v>0</v>
      </c>
      <c r="E1312" s="1178">
        <v>0</v>
      </c>
      <c r="F1312" s="1179">
        <v>0</v>
      </c>
      <c r="G1312" s="1189" t="s">
        <v>5992</v>
      </c>
      <c r="H1312" s="1176">
        <v>0</v>
      </c>
      <c r="I1312" s="1176">
        <v>0</v>
      </c>
      <c r="J1312" s="1190">
        <v>0</v>
      </c>
      <c r="K1312" s="1180"/>
      <c r="L1312" s="1174">
        <v>13121008000</v>
      </c>
      <c r="M1312" s="1175">
        <v>0</v>
      </c>
      <c r="N1312" s="1175">
        <v>0</v>
      </c>
      <c r="O1312" s="1176">
        <v>0</v>
      </c>
      <c r="AA1312"/>
      <c r="AB1312"/>
    </row>
    <row r="1313" spans="3:28" ht="13.5">
      <c r="C1313" s="1181" t="s">
        <v>5993</v>
      </c>
      <c r="D1313" s="1178">
        <v>0</v>
      </c>
      <c r="E1313" s="1178">
        <v>0</v>
      </c>
      <c r="F1313" s="1179">
        <v>0</v>
      </c>
      <c r="G1313" s="1189" t="s">
        <v>5993</v>
      </c>
      <c r="H1313" s="1176">
        <v>0</v>
      </c>
      <c r="I1313" s="1176">
        <v>0</v>
      </c>
      <c r="J1313" s="1190">
        <v>0</v>
      </c>
      <c r="K1313" s="1180"/>
      <c r="L1313" s="1174">
        <v>13121008101</v>
      </c>
      <c r="M1313" s="1175">
        <v>0</v>
      </c>
      <c r="N1313" s="1175">
        <v>0</v>
      </c>
      <c r="O1313" s="1176">
        <v>0</v>
      </c>
      <c r="AA1313"/>
      <c r="AB1313"/>
    </row>
    <row r="1314" spans="3:28" ht="13.5">
      <c r="C1314" s="1181" t="s">
        <v>5994</v>
      </c>
      <c r="D1314" s="1178">
        <v>0</v>
      </c>
      <c r="E1314" s="1178">
        <v>0</v>
      </c>
      <c r="F1314" s="1179">
        <v>0</v>
      </c>
      <c r="G1314" s="1189" t="s">
        <v>5994</v>
      </c>
      <c r="H1314" s="1176">
        <v>0</v>
      </c>
      <c r="I1314" s="1176">
        <v>0</v>
      </c>
      <c r="J1314" s="1190">
        <v>0</v>
      </c>
      <c r="K1314" s="1180"/>
      <c r="L1314" s="1174">
        <v>13121008102</v>
      </c>
      <c r="M1314" s="1175">
        <v>0</v>
      </c>
      <c r="N1314" s="1175">
        <v>0</v>
      </c>
      <c r="O1314" s="1176">
        <v>0</v>
      </c>
      <c r="AA1314"/>
      <c r="AB1314"/>
    </row>
    <row r="1315" spans="3:28" ht="13.5">
      <c r="C1315" s="1181" t="s">
        <v>5995</v>
      </c>
      <c r="D1315" s="1178">
        <v>0</v>
      </c>
      <c r="E1315" s="1178">
        <v>0</v>
      </c>
      <c r="F1315" s="1179">
        <v>0</v>
      </c>
      <c r="G1315" s="1189" t="s">
        <v>5995</v>
      </c>
      <c r="H1315" s="1176">
        <v>0</v>
      </c>
      <c r="I1315" s="1176">
        <v>0</v>
      </c>
      <c r="J1315" s="1190">
        <v>0</v>
      </c>
      <c r="K1315" s="1180"/>
      <c r="L1315" s="1174">
        <v>13121008201</v>
      </c>
      <c r="M1315" s="1175">
        <v>0</v>
      </c>
      <c r="N1315" s="1175">
        <v>0</v>
      </c>
      <c r="O1315" s="1176">
        <v>0</v>
      </c>
      <c r="AA1315"/>
      <c r="AB1315"/>
    </row>
    <row r="1316" spans="3:28" ht="13.5">
      <c r="C1316" s="1181" t="s">
        <v>5996</v>
      </c>
      <c r="D1316" s="1178">
        <v>0</v>
      </c>
      <c r="E1316" s="1178">
        <v>0</v>
      </c>
      <c r="F1316" s="1179">
        <v>0</v>
      </c>
      <c r="G1316" s="1189" t="s">
        <v>5996</v>
      </c>
      <c r="H1316" s="1176">
        <v>0</v>
      </c>
      <c r="I1316" s="1176">
        <v>0</v>
      </c>
      <c r="J1316" s="1190">
        <v>0</v>
      </c>
      <c r="K1316" s="1180"/>
      <c r="L1316" s="1174">
        <v>13121008202</v>
      </c>
      <c r="M1316" s="1175">
        <v>0</v>
      </c>
      <c r="N1316" s="1175">
        <v>0</v>
      </c>
      <c r="O1316" s="1176">
        <v>0</v>
      </c>
      <c r="AA1316"/>
      <c r="AB1316"/>
    </row>
    <row r="1317" spans="3:28" ht="13.5">
      <c r="C1317" s="1181" t="s">
        <v>5997</v>
      </c>
      <c r="D1317" s="1178">
        <v>0</v>
      </c>
      <c r="E1317" s="1178">
        <v>0</v>
      </c>
      <c r="F1317" s="1179">
        <v>0</v>
      </c>
      <c r="G1317" s="1189" t="s">
        <v>5997</v>
      </c>
      <c r="H1317" s="1176">
        <v>0</v>
      </c>
      <c r="I1317" s="1176" t="s">
        <v>4455</v>
      </c>
      <c r="J1317" s="1190">
        <v>0</v>
      </c>
      <c r="K1317" s="1180"/>
      <c r="L1317" s="1174">
        <v>13121008301</v>
      </c>
      <c r="M1317" s="1175">
        <v>0</v>
      </c>
      <c r="N1317" s="1175">
        <v>0</v>
      </c>
      <c r="O1317" s="1176">
        <v>0</v>
      </c>
      <c r="AA1317"/>
      <c r="AB1317"/>
    </row>
    <row r="1318" spans="3:28" ht="13.5">
      <c r="C1318" s="1181" t="s">
        <v>5998</v>
      </c>
      <c r="D1318" s="1178">
        <v>0</v>
      </c>
      <c r="E1318" s="1178">
        <v>0</v>
      </c>
      <c r="F1318" s="1179">
        <v>0</v>
      </c>
      <c r="G1318" s="1189" t="s">
        <v>5998</v>
      </c>
      <c r="H1318" s="1176">
        <v>0</v>
      </c>
      <c r="I1318" s="1176" t="s">
        <v>4455</v>
      </c>
      <c r="J1318" s="1190">
        <v>0</v>
      </c>
      <c r="K1318" s="1180"/>
      <c r="L1318" s="1174">
        <v>13121008302</v>
      </c>
      <c r="M1318" s="1175">
        <v>0</v>
      </c>
      <c r="N1318" s="1175">
        <v>0</v>
      </c>
      <c r="O1318" s="1176">
        <v>0</v>
      </c>
      <c r="AA1318"/>
      <c r="AB1318"/>
    </row>
    <row r="1319" spans="3:28" ht="13.5">
      <c r="C1319" s="1181" t="s">
        <v>5999</v>
      </c>
      <c r="D1319" s="1178">
        <v>0</v>
      </c>
      <c r="E1319" s="1178">
        <v>0</v>
      </c>
      <c r="F1319" s="1179">
        <v>0</v>
      </c>
      <c r="G1319" s="1189" t="s">
        <v>5999</v>
      </c>
      <c r="H1319" s="1176">
        <v>0</v>
      </c>
      <c r="I1319" s="1176">
        <v>0</v>
      </c>
      <c r="J1319" s="1190">
        <v>0</v>
      </c>
      <c r="K1319" s="1180"/>
      <c r="L1319" s="1174">
        <v>13121008400</v>
      </c>
      <c r="M1319" s="1175">
        <v>0</v>
      </c>
      <c r="N1319" s="1175">
        <v>0</v>
      </c>
      <c r="O1319" s="1176">
        <v>0</v>
      </c>
      <c r="AA1319"/>
      <c r="AB1319"/>
    </row>
    <row r="1320" spans="3:28" ht="13.5">
      <c r="C1320" s="1181" t="s">
        <v>6000</v>
      </c>
      <c r="D1320" s="1178">
        <v>0</v>
      </c>
      <c r="E1320" s="1178">
        <v>0</v>
      </c>
      <c r="F1320" s="1179">
        <v>0</v>
      </c>
      <c r="G1320" s="1189" t="s">
        <v>6000</v>
      </c>
      <c r="H1320" s="1176">
        <v>0</v>
      </c>
      <c r="I1320" s="1176">
        <v>0</v>
      </c>
      <c r="J1320" s="1190">
        <v>0</v>
      </c>
      <c r="K1320" s="1180"/>
      <c r="L1320" s="1174">
        <v>13121008500</v>
      </c>
      <c r="M1320" s="1175">
        <v>0</v>
      </c>
      <c r="N1320" s="1175">
        <v>0</v>
      </c>
      <c r="O1320" s="1176">
        <v>0</v>
      </c>
      <c r="AA1320"/>
      <c r="AB1320"/>
    </row>
    <row r="1321" spans="3:28" ht="13.5">
      <c r="C1321" s="1181" t="s">
        <v>6001</v>
      </c>
      <c r="D1321" s="1178">
        <v>0</v>
      </c>
      <c r="E1321" s="1178">
        <v>0</v>
      </c>
      <c r="F1321" s="1179">
        <v>0</v>
      </c>
      <c r="G1321" s="1189" t="s">
        <v>6001</v>
      </c>
      <c r="H1321" s="1176">
        <v>0</v>
      </c>
      <c r="I1321" s="1176">
        <v>0</v>
      </c>
      <c r="J1321" s="1190">
        <v>0</v>
      </c>
      <c r="K1321" s="1180"/>
      <c r="L1321" s="1174">
        <v>13121008601</v>
      </c>
      <c r="M1321" s="1175">
        <v>0</v>
      </c>
      <c r="N1321" s="1175">
        <v>0</v>
      </c>
      <c r="O1321" s="1176">
        <v>0</v>
      </c>
      <c r="AA1321"/>
      <c r="AB1321"/>
    </row>
    <row r="1322" spans="3:28" ht="13.5">
      <c r="C1322" s="1181" t="s">
        <v>6002</v>
      </c>
      <c r="D1322" s="1178">
        <v>0</v>
      </c>
      <c r="E1322" s="1178">
        <v>0</v>
      </c>
      <c r="F1322" s="1179">
        <v>0</v>
      </c>
      <c r="G1322" s="1189" t="s">
        <v>6002</v>
      </c>
      <c r="H1322" s="1176">
        <v>0</v>
      </c>
      <c r="I1322" s="1176" t="s">
        <v>4455</v>
      </c>
      <c r="J1322" s="1190">
        <v>0</v>
      </c>
      <c r="K1322" s="1180"/>
      <c r="L1322" s="1174">
        <v>13121008602</v>
      </c>
      <c r="M1322" s="1175">
        <v>0</v>
      </c>
      <c r="N1322" s="1175">
        <v>0</v>
      </c>
      <c r="O1322" s="1176">
        <v>0</v>
      </c>
      <c r="AA1322"/>
      <c r="AB1322"/>
    </row>
    <row r="1323" spans="3:28" ht="13.5">
      <c r="C1323" s="1181" t="s">
        <v>6003</v>
      </c>
      <c r="D1323" s="1178">
        <v>0</v>
      </c>
      <c r="E1323" s="1178">
        <v>0</v>
      </c>
      <c r="F1323" s="1179">
        <v>0</v>
      </c>
      <c r="G1323" s="1189" t="s">
        <v>6003</v>
      </c>
      <c r="H1323" s="1176">
        <v>0</v>
      </c>
      <c r="I1323" s="1176">
        <v>0</v>
      </c>
      <c r="J1323" s="1190">
        <v>0</v>
      </c>
      <c r="K1323" s="1180"/>
      <c r="L1323" s="1174">
        <v>13121008700</v>
      </c>
      <c r="M1323" s="1175">
        <v>0</v>
      </c>
      <c r="N1323" s="1175">
        <v>0</v>
      </c>
      <c r="O1323" s="1176">
        <v>0</v>
      </c>
      <c r="AA1323"/>
      <c r="AB1323"/>
    </row>
    <row r="1324" spans="3:28" ht="13.5">
      <c r="C1324" s="1181" t="s">
        <v>6004</v>
      </c>
      <c r="D1324" s="1178">
        <v>1</v>
      </c>
      <c r="E1324" s="1178">
        <v>1</v>
      </c>
      <c r="F1324" s="1179">
        <v>2</v>
      </c>
      <c r="G1324" s="1189" t="s">
        <v>6004</v>
      </c>
      <c r="H1324" s="1176">
        <v>1</v>
      </c>
      <c r="I1324" s="1176" t="s">
        <v>4455</v>
      </c>
      <c r="J1324" s="1190">
        <v>1</v>
      </c>
      <c r="K1324" s="1180"/>
      <c r="L1324" s="1174">
        <v>13121008800</v>
      </c>
      <c r="M1324" s="1175">
        <v>1</v>
      </c>
      <c r="N1324" s="1175">
        <v>1</v>
      </c>
      <c r="O1324" s="1176">
        <v>2</v>
      </c>
      <c r="AA1324"/>
      <c r="AB1324"/>
    </row>
    <row r="1325" spans="3:28" ht="13.5">
      <c r="C1325" s="1181" t="s">
        <v>6005</v>
      </c>
      <c r="D1325" s="1178">
        <v>1</v>
      </c>
      <c r="E1325" s="1178">
        <v>1</v>
      </c>
      <c r="F1325" s="1179">
        <v>2</v>
      </c>
      <c r="G1325" s="1189" t="s">
        <v>6005</v>
      </c>
      <c r="H1325" s="1176">
        <v>1</v>
      </c>
      <c r="I1325" s="1176">
        <v>1</v>
      </c>
      <c r="J1325" s="1190">
        <v>2</v>
      </c>
      <c r="K1325" s="1180"/>
      <c r="L1325" s="1174">
        <v>13121008902</v>
      </c>
      <c r="M1325" s="1175">
        <v>1</v>
      </c>
      <c r="N1325" s="1175">
        <v>1</v>
      </c>
      <c r="O1325" s="1176">
        <v>2</v>
      </c>
      <c r="AA1325"/>
      <c r="AB1325"/>
    </row>
    <row r="1326" spans="3:28" ht="13.5">
      <c r="C1326" s="1181" t="s">
        <v>6006</v>
      </c>
      <c r="D1326" s="1178">
        <v>1</v>
      </c>
      <c r="E1326" s="1178">
        <v>0</v>
      </c>
      <c r="F1326" s="1179">
        <v>1</v>
      </c>
      <c r="G1326" s="1189" t="s">
        <v>6006</v>
      </c>
      <c r="H1326" s="1176">
        <v>1</v>
      </c>
      <c r="I1326" s="1176" t="s">
        <v>4455</v>
      </c>
      <c r="J1326" s="1190">
        <v>1</v>
      </c>
      <c r="K1326" s="1180"/>
      <c r="L1326" s="1174">
        <v>13121008903</v>
      </c>
      <c r="M1326" s="1175">
        <v>1</v>
      </c>
      <c r="N1326" s="1175">
        <v>0</v>
      </c>
      <c r="O1326" s="1176">
        <v>1</v>
      </c>
      <c r="AA1326"/>
      <c r="AB1326"/>
    </row>
    <row r="1327" spans="3:28" ht="13.5">
      <c r="C1327" s="1181" t="s">
        <v>6007</v>
      </c>
      <c r="D1327" s="1178">
        <v>1</v>
      </c>
      <c r="E1327" s="1178">
        <v>1</v>
      </c>
      <c r="F1327" s="1179">
        <v>2</v>
      </c>
      <c r="G1327" s="1189" t="s">
        <v>6007</v>
      </c>
      <c r="H1327" s="1176">
        <v>1</v>
      </c>
      <c r="I1327" s="1176">
        <v>1</v>
      </c>
      <c r="J1327" s="1190">
        <v>2</v>
      </c>
      <c r="K1327" s="1180"/>
      <c r="L1327" s="1174">
        <v>13121008904</v>
      </c>
      <c r="M1327" s="1175">
        <v>1</v>
      </c>
      <c r="N1327" s="1175">
        <v>1</v>
      </c>
      <c r="O1327" s="1176">
        <v>2</v>
      </c>
      <c r="AA1327"/>
      <c r="AB1327"/>
    </row>
    <row r="1328" spans="3:28" ht="13.5">
      <c r="C1328" s="1181" t="s">
        <v>6008</v>
      </c>
      <c r="D1328" s="1178">
        <v>1</v>
      </c>
      <c r="E1328" s="1178">
        <v>1</v>
      </c>
      <c r="F1328" s="1179">
        <v>2</v>
      </c>
      <c r="G1328" s="1189" t="s">
        <v>6008</v>
      </c>
      <c r="H1328" s="1176">
        <v>1</v>
      </c>
      <c r="I1328" s="1176">
        <v>1</v>
      </c>
      <c r="J1328" s="1190">
        <v>2</v>
      </c>
      <c r="K1328" s="1180"/>
      <c r="L1328" s="1174">
        <v>13121009000</v>
      </c>
      <c r="M1328" s="1175">
        <v>1</v>
      </c>
      <c r="N1328" s="1175">
        <v>1</v>
      </c>
      <c r="O1328" s="1176">
        <v>2</v>
      </c>
      <c r="AA1328"/>
      <c r="AB1328"/>
    </row>
    <row r="1329" spans="3:28" ht="13.5">
      <c r="C1329" s="1181" t="s">
        <v>6009</v>
      </c>
      <c r="D1329" s="1178">
        <v>1</v>
      </c>
      <c r="E1329" s="1178">
        <v>1</v>
      </c>
      <c r="F1329" s="1179">
        <v>2</v>
      </c>
      <c r="G1329" s="1189" t="s">
        <v>6009</v>
      </c>
      <c r="H1329" s="1176">
        <v>1</v>
      </c>
      <c r="I1329" s="1176">
        <v>1</v>
      </c>
      <c r="J1329" s="1190">
        <v>2</v>
      </c>
      <c r="K1329" s="1180"/>
      <c r="L1329" s="1174">
        <v>13121009101</v>
      </c>
      <c r="M1329" s="1175">
        <v>1</v>
      </c>
      <c r="N1329" s="1175">
        <v>1</v>
      </c>
      <c r="O1329" s="1176">
        <v>2</v>
      </c>
      <c r="AA1329"/>
      <c r="AB1329"/>
    </row>
    <row r="1330" spans="3:28" ht="13.5">
      <c r="C1330" s="1181" t="s">
        <v>6010</v>
      </c>
      <c r="D1330" s="1178">
        <v>1</v>
      </c>
      <c r="E1330" s="1178">
        <v>1</v>
      </c>
      <c r="F1330" s="1179">
        <v>2</v>
      </c>
      <c r="G1330" s="1189" t="s">
        <v>6010</v>
      </c>
      <c r="H1330" s="1176">
        <v>1</v>
      </c>
      <c r="I1330" s="1176">
        <v>1</v>
      </c>
      <c r="J1330" s="1190">
        <v>2</v>
      </c>
      <c r="K1330" s="1180"/>
      <c r="L1330" s="1174">
        <v>13121009102</v>
      </c>
      <c r="M1330" s="1175">
        <v>1</v>
      </c>
      <c r="N1330" s="1175">
        <v>1</v>
      </c>
      <c r="O1330" s="1176">
        <v>2</v>
      </c>
      <c r="AA1330"/>
      <c r="AB1330"/>
    </row>
    <row r="1331" spans="3:28" ht="13.5">
      <c r="C1331" s="1181" t="s">
        <v>6011</v>
      </c>
      <c r="D1331" s="1178">
        <v>1</v>
      </c>
      <c r="E1331" s="1178">
        <v>0</v>
      </c>
      <c r="F1331" s="1179">
        <v>1</v>
      </c>
      <c r="G1331" s="1189" t="s">
        <v>6011</v>
      </c>
      <c r="H1331" s="1176">
        <v>1</v>
      </c>
      <c r="I1331" s="1176">
        <v>1</v>
      </c>
      <c r="J1331" s="1190">
        <v>2</v>
      </c>
      <c r="K1331" s="1180"/>
      <c r="L1331" s="1174">
        <v>13121009200</v>
      </c>
      <c r="M1331" s="1175">
        <v>1</v>
      </c>
      <c r="N1331" s="1175">
        <v>1</v>
      </c>
      <c r="O1331" s="1176">
        <v>2</v>
      </c>
      <c r="AA1331"/>
      <c r="AB1331"/>
    </row>
    <row r="1332" spans="3:28" ht="13.5">
      <c r="C1332" s="1181" t="s">
        <v>6012</v>
      </c>
      <c r="D1332" s="1178">
        <v>1</v>
      </c>
      <c r="E1332" s="1178">
        <v>1</v>
      </c>
      <c r="F1332" s="1179">
        <v>2</v>
      </c>
      <c r="G1332" s="1189" t="s">
        <v>6012</v>
      </c>
      <c r="H1332" s="1176">
        <v>1</v>
      </c>
      <c r="I1332" s="1176">
        <v>1</v>
      </c>
      <c r="J1332" s="1190">
        <v>2</v>
      </c>
      <c r="K1332" s="1180"/>
      <c r="L1332" s="1174">
        <v>13121009300</v>
      </c>
      <c r="M1332" s="1175">
        <v>1</v>
      </c>
      <c r="N1332" s="1175">
        <v>1</v>
      </c>
      <c r="O1332" s="1176">
        <v>2</v>
      </c>
      <c r="AA1332"/>
      <c r="AB1332"/>
    </row>
    <row r="1333" spans="3:28" ht="13.5">
      <c r="C1333" s="1181" t="s">
        <v>6013</v>
      </c>
      <c r="D1333" s="1178">
        <v>1</v>
      </c>
      <c r="E1333" s="1178">
        <v>1</v>
      </c>
      <c r="F1333" s="1179">
        <v>2</v>
      </c>
      <c r="G1333" s="1189" t="s">
        <v>6013</v>
      </c>
      <c r="H1333" s="1176">
        <v>1</v>
      </c>
      <c r="I1333" s="1176" t="s">
        <v>4455</v>
      </c>
      <c r="J1333" s="1190">
        <v>1</v>
      </c>
      <c r="K1333" s="1180"/>
      <c r="L1333" s="1174">
        <v>13121009402</v>
      </c>
      <c r="M1333" s="1175">
        <v>1</v>
      </c>
      <c r="N1333" s="1175">
        <v>1</v>
      </c>
      <c r="O1333" s="1176">
        <v>2</v>
      </c>
      <c r="AA1333"/>
      <c r="AB1333"/>
    </row>
    <row r="1334" spans="3:28" ht="13.5">
      <c r="C1334" s="1181" t="s">
        <v>6014</v>
      </c>
      <c r="D1334" s="1178">
        <v>1</v>
      </c>
      <c r="E1334" s="1178">
        <v>1</v>
      </c>
      <c r="F1334" s="1179">
        <v>2</v>
      </c>
      <c r="G1334" s="1189" t="s">
        <v>6014</v>
      </c>
      <c r="H1334" s="1176">
        <v>1</v>
      </c>
      <c r="I1334" s="1176">
        <v>1</v>
      </c>
      <c r="J1334" s="1190">
        <v>2</v>
      </c>
      <c r="K1334" s="1180"/>
      <c r="L1334" s="1174">
        <v>13121009403</v>
      </c>
      <c r="M1334" s="1175">
        <v>1</v>
      </c>
      <c r="N1334" s="1175">
        <v>1</v>
      </c>
      <c r="O1334" s="1176">
        <v>2</v>
      </c>
      <c r="AA1334"/>
      <c r="AB1334"/>
    </row>
    <row r="1335" spans="3:28" ht="13.5">
      <c r="C1335" s="1181" t="s">
        <v>6015</v>
      </c>
      <c r="D1335" s="1178">
        <v>1</v>
      </c>
      <c r="E1335" s="1178">
        <v>1</v>
      </c>
      <c r="F1335" s="1179">
        <v>2</v>
      </c>
      <c r="G1335" s="1189" t="s">
        <v>6015</v>
      </c>
      <c r="H1335" s="1176">
        <v>1</v>
      </c>
      <c r="I1335" s="1176">
        <v>1</v>
      </c>
      <c r="J1335" s="1190">
        <v>2</v>
      </c>
      <c r="K1335" s="1180"/>
      <c r="L1335" s="1174">
        <v>13121009404</v>
      </c>
      <c r="M1335" s="1175">
        <v>1</v>
      </c>
      <c r="N1335" s="1175">
        <v>1</v>
      </c>
      <c r="O1335" s="1176">
        <v>2</v>
      </c>
      <c r="AA1335"/>
      <c r="AB1335"/>
    </row>
    <row r="1336" spans="3:28" ht="13.5">
      <c r="C1336" s="1181" t="s">
        <v>6016</v>
      </c>
      <c r="D1336" s="1178">
        <v>1</v>
      </c>
      <c r="E1336" s="1178">
        <v>1</v>
      </c>
      <c r="F1336" s="1179">
        <v>2</v>
      </c>
      <c r="G1336" s="1189" t="s">
        <v>6016</v>
      </c>
      <c r="H1336" s="1176">
        <v>1</v>
      </c>
      <c r="I1336" s="1176">
        <v>1</v>
      </c>
      <c r="J1336" s="1190">
        <v>2</v>
      </c>
      <c r="K1336" s="1180"/>
      <c r="L1336" s="1174">
        <v>13121009501</v>
      </c>
      <c r="M1336" s="1175">
        <v>1</v>
      </c>
      <c r="N1336" s="1175">
        <v>1</v>
      </c>
      <c r="O1336" s="1176">
        <v>2</v>
      </c>
      <c r="AA1336"/>
      <c r="AB1336"/>
    </row>
    <row r="1337" spans="3:28" ht="13.5">
      <c r="C1337" s="1181" t="s">
        <v>6017</v>
      </c>
      <c r="D1337" s="1178">
        <v>1</v>
      </c>
      <c r="E1337" s="1178">
        <v>0</v>
      </c>
      <c r="F1337" s="1179">
        <v>1</v>
      </c>
      <c r="G1337" s="1189" t="s">
        <v>6017</v>
      </c>
      <c r="H1337" s="1176">
        <v>1</v>
      </c>
      <c r="I1337" s="1176" t="s">
        <v>4455</v>
      </c>
      <c r="J1337" s="1190">
        <v>1</v>
      </c>
      <c r="K1337" s="1180"/>
      <c r="L1337" s="1174">
        <v>13121009502</v>
      </c>
      <c r="M1337" s="1175">
        <v>1</v>
      </c>
      <c r="N1337" s="1175">
        <v>0</v>
      </c>
      <c r="O1337" s="1176">
        <v>1</v>
      </c>
      <c r="AA1337"/>
      <c r="AB1337"/>
    </row>
    <row r="1338" spans="3:28" ht="13.5">
      <c r="C1338" s="1181" t="s">
        <v>6018</v>
      </c>
      <c r="D1338" s="1178">
        <v>1</v>
      </c>
      <c r="E1338" s="1178">
        <v>1</v>
      </c>
      <c r="F1338" s="1179">
        <v>2</v>
      </c>
      <c r="G1338" s="1189" t="s">
        <v>6018</v>
      </c>
      <c r="H1338" s="1176">
        <v>1</v>
      </c>
      <c r="I1338" s="1176">
        <v>1</v>
      </c>
      <c r="J1338" s="1190">
        <v>2</v>
      </c>
      <c r="K1338" s="1180"/>
      <c r="L1338" s="1174">
        <v>13121009601</v>
      </c>
      <c r="M1338" s="1175">
        <v>1</v>
      </c>
      <c r="N1338" s="1175">
        <v>1</v>
      </c>
      <c r="O1338" s="1176">
        <v>2</v>
      </c>
      <c r="AA1338"/>
      <c r="AB1338"/>
    </row>
    <row r="1339" spans="3:28" ht="13.5">
      <c r="C1339" s="1181" t="s">
        <v>6019</v>
      </c>
      <c r="D1339" s="1178">
        <v>1</v>
      </c>
      <c r="E1339" s="1178">
        <v>1</v>
      </c>
      <c r="F1339" s="1179">
        <v>2</v>
      </c>
      <c r="G1339" s="1189" t="s">
        <v>6019</v>
      </c>
      <c r="H1339" s="1176">
        <v>1</v>
      </c>
      <c r="I1339" s="1176">
        <v>1</v>
      </c>
      <c r="J1339" s="1190">
        <v>2</v>
      </c>
      <c r="K1339" s="1180"/>
      <c r="L1339" s="1174">
        <v>13121009602</v>
      </c>
      <c r="M1339" s="1175">
        <v>1</v>
      </c>
      <c r="N1339" s="1175">
        <v>1</v>
      </c>
      <c r="O1339" s="1176">
        <v>2</v>
      </c>
      <c r="AA1339"/>
      <c r="AB1339"/>
    </row>
    <row r="1340" spans="3:28" ht="13.5">
      <c r="C1340" s="1181" t="s">
        <v>6020</v>
      </c>
      <c r="D1340" s="1178">
        <v>1</v>
      </c>
      <c r="E1340" s="1178">
        <v>1</v>
      </c>
      <c r="F1340" s="1179">
        <v>2</v>
      </c>
      <c r="G1340" s="1189" t="s">
        <v>6020</v>
      </c>
      <c r="H1340" s="1176">
        <v>1</v>
      </c>
      <c r="I1340" s="1176">
        <v>1</v>
      </c>
      <c r="J1340" s="1190">
        <v>2</v>
      </c>
      <c r="K1340" s="1180"/>
      <c r="L1340" s="1174">
        <v>13121009603</v>
      </c>
      <c r="M1340" s="1175">
        <v>1</v>
      </c>
      <c r="N1340" s="1175">
        <v>1</v>
      </c>
      <c r="O1340" s="1176">
        <v>2</v>
      </c>
      <c r="AA1340"/>
      <c r="AB1340"/>
    </row>
    <row r="1341" spans="3:28" ht="13.5">
      <c r="C1341" s="1181" t="s">
        <v>6021</v>
      </c>
      <c r="D1341" s="1178">
        <v>1</v>
      </c>
      <c r="E1341" s="1178">
        <v>1</v>
      </c>
      <c r="F1341" s="1179">
        <v>2</v>
      </c>
      <c r="G1341" s="1189" t="s">
        <v>6021</v>
      </c>
      <c r="H1341" s="1176">
        <v>1</v>
      </c>
      <c r="I1341" s="1176">
        <v>1</v>
      </c>
      <c r="J1341" s="1190">
        <v>2</v>
      </c>
      <c r="K1341" s="1180"/>
      <c r="L1341" s="1174">
        <v>13121009700</v>
      </c>
      <c r="M1341" s="1175">
        <v>1</v>
      </c>
      <c r="N1341" s="1175">
        <v>1</v>
      </c>
      <c r="O1341" s="1176">
        <v>2</v>
      </c>
      <c r="AA1341"/>
      <c r="AB1341"/>
    </row>
    <row r="1342" spans="3:28" ht="13.5">
      <c r="C1342" s="1181" t="s">
        <v>6022</v>
      </c>
      <c r="D1342" s="1178">
        <v>1</v>
      </c>
      <c r="E1342" s="1178">
        <v>1</v>
      </c>
      <c r="F1342" s="1179">
        <v>2</v>
      </c>
      <c r="G1342" s="1189" t="s">
        <v>6022</v>
      </c>
      <c r="H1342" s="1176">
        <v>1</v>
      </c>
      <c r="I1342" s="1176">
        <v>1</v>
      </c>
      <c r="J1342" s="1190">
        <v>2</v>
      </c>
      <c r="K1342" s="1180"/>
      <c r="L1342" s="1174">
        <v>13121009801</v>
      </c>
      <c r="M1342" s="1175">
        <v>1</v>
      </c>
      <c r="N1342" s="1175">
        <v>1</v>
      </c>
      <c r="O1342" s="1176">
        <v>2</v>
      </c>
      <c r="AA1342"/>
      <c r="AB1342"/>
    </row>
    <row r="1343" spans="3:28" ht="13.5">
      <c r="C1343" s="1181" t="s">
        <v>6023</v>
      </c>
      <c r="D1343" s="1178">
        <v>1</v>
      </c>
      <c r="E1343" s="1178">
        <v>1</v>
      </c>
      <c r="F1343" s="1179">
        <v>2</v>
      </c>
      <c r="G1343" s="1189" t="s">
        <v>6023</v>
      </c>
      <c r="H1343" s="1176">
        <v>1</v>
      </c>
      <c r="I1343" s="1176">
        <v>1</v>
      </c>
      <c r="J1343" s="1190">
        <v>2</v>
      </c>
      <c r="K1343" s="1180"/>
      <c r="L1343" s="1174">
        <v>13121009802</v>
      </c>
      <c r="M1343" s="1175">
        <v>1</v>
      </c>
      <c r="N1343" s="1175">
        <v>1</v>
      </c>
      <c r="O1343" s="1176">
        <v>2</v>
      </c>
      <c r="AA1343"/>
      <c r="AB1343"/>
    </row>
    <row r="1344" spans="3:28" ht="13.5">
      <c r="C1344" s="1181" t="s">
        <v>6024</v>
      </c>
      <c r="D1344" s="1178">
        <v>1</v>
      </c>
      <c r="E1344" s="1178">
        <v>1</v>
      </c>
      <c r="F1344" s="1179">
        <v>2</v>
      </c>
      <c r="G1344" s="1189" t="s">
        <v>6024</v>
      </c>
      <c r="H1344" s="1176">
        <v>1</v>
      </c>
      <c r="I1344" s="1176" t="s">
        <v>4455</v>
      </c>
      <c r="J1344" s="1190">
        <v>1</v>
      </c>
      <c r="K1344" s="1180"/>
      <c r="L1344" s="1174">
        <v>13121009900</v>
      </c>
      <c r="M1344" s="1175">
        <v>1</v>
      </c>
      <c r="N1344" s="1175">
        <v>1</v>
      </c>
      <c r="O1344" s="1176">
        <v>2</v>
      </c>
      <c r="AA1344"/>
      <c r="AB1344"/>
    </row>
    <row r="1345" spans="3:28" ht="13.5">
      <c r="C1345" s="1181" t="s">
        <v>6025</v>
      </c>
      <c r="D1345" s="1178">
        <v>1</v>
      </c>
      <c r="E1345" s="1178">
        <v>1</v>
      </c>
      <c r="F1345" s="1179">
        <v>2</v>
      </c>
      <c r="G1345" s="1189" t="s">
        <v>6025</v>
      </c>
      <c r="H1345" s="1176">
        <v>1</v>
      </c>
      <c r="I1345" s="1176">
        <v>1</v>
      </c>
      <c r="J1345" s="1190">
        <v>2</v>
      </c>
      <c r="K1345" s="1180"/>
      <c r="L1345" s="1174">
        <v>13121010001</v>
      </c>
      <c r="M1345" s="1175">
        <v>1</v>
      </c>
      <c r="N1345" s="1175">
        <v>1</v>
      </c>
      <c r="O1345" s="1176">
        <v>2</v>
      </c>
      <c r="AA1345"/>
      <c r="AB1345"/>
    </row>
    <row r="1346" spans="3:28" ht="13.5">
      <c r="C1346" s="1181" t="s">
        <v>6026</v>
      </c>
      <c r="D1346" s="1178">
        <v>1</v>
      </c>
      <c r="E1346" s="1178">
        <v>1</v>
      </c>
      <c r="F1346" s="1179">
        <v>2</v>
      </c>
      <c r="G1346" s="1189" t="s">
        <v>6026</v>
      </c>
      <c r="H1346" s="1176">
        <v>1</v>
      </c>
      <c r="I1346" s="1176">
        <v>1</v>
      </c>
      <c r="J1346" s="1190">
        <v>2</v>
      </c>
      <c r="K1346" s="1180"/>
      <c r="L1346" s="1174">
        <v>13121010002</v>
      </c>
      <c r="M1346" s="1175">
        <v>1</v>
      </c>
      <c r="N1346" s="1175">
        <v>1</v>
      </c>
      <c r="O1346" s="1176">
        <v>2</v>
      </c>
      <c r="AA1346"/>
      <c r="AB1346"/>
    </row>
    <row r="1347" spans="3:28" ht="13.5">
      <c r="C1347" s="1181" t="s">
        <v>6027</v>
      </c>
      <c r="D1347" s="1178">
        <v>1</v>
      </c>
      <c r="E1347" s="1178">
        <v>1</v>
      </c>
      <c r="F1347" s="1179">
        <v>2</v>
      </c>
      <c r="G1347" s="1189" t="s">
        <v>6027</v>
      </c>
      <c r="H1347" s="1176">
        <v>1</v>
      </c>
      <c r="I1347" s="1176">
        <v>1</v>
      </c>
      <c r="J1347" s="1190">
        <v>2</v>
      </c>
      <c r="K1347" s="1180"/>
      <c r="L1347" s="1174">
        <v>13121010106</v>
      </c>
      <c r="M1347" s="1175">
        <v>1</v>
      </c>
      <c r="N1347" s="1175">
        <v>1</v>
      </c>
      <c r="O1347" s="1176">
        <v>2</v>
      </c>
      <c r="AA1347"/>
      <c r="AB1347"/>
    </row>
    <row r="1348" spans="3:28" ht="13.5">
      <c r="C1348" s="1181" t="s">
        <v>6028</v>
      </c>
      <c r="D1348" s="1178">
        <v>1</v>
      </c>
      <c r="E1348" s="1178">
        <v>1</v>
      </c>
      <c r="F1348" s="1179">
        <v>2</v>
      </c>
      <c r="G1348" s="1189" t="s">
        <v>6028</v>
      </c>
      <c r="H1348" s="1176">
        <v>1</v>
      </c>
      <c r="I1348" s="1176">
        <v>1</v>
      </c>
      <c r="J1348" s="1190">
        <v>2</v>
      </c>
      <c r="K1348" s="1180"/>
      <c r="L1348" s="1174">
        <v>13121010107</v>
      </c>
      <c r="M1348" s="1175">
        <v>1</v>
      </c>
      <c r="N1348" s="1175">
        <v>1</v>
      </c>
      <c r="O1348" s="1176">
        <v>2</v>
      </c>
      <c r="AA1348"/>
      <c r="AB1348"/>
    </row>
    <row r="1349" spans="3:28" ht="13.5">
      <c r="C1349" s="1181" t="s">
        <v>6029</v>
      </c>
      <c r="D1349" s="1178">
        <v>1</v>
      </c>
      <c r="E1349" s="1178">
        <v>1</v>
      </c>
      <c r="F1349" s="1179">
        <v>2</v>
      </c>
      <c r="G1349" s="1189" t="s">
        <v>6029</v>
      </c>
      <c r="H1349" s="1176">
        <v>1</v>
      </c>
      <c r="I1349" s="1176">
        <v>1</v>
      </c>
      <c r="J1349" s="1190">
        <v>2</v>
      </c>
      <c r="K1349" s="1180"/>
      <c r="L1349" s="1174">
        <v>13121010108</v>
      </c>
      <c r="M1349" s="1175">
        <v>1</v>
      </c>
      <c r="N1349" s="1175">
        <v>1</v>
      </c>
      <c r="O1349" s="1176">
        <v>2</v>
      </c>
      <c r="AA1349"/>
      <c r="AB1349"/>
    </row>
    <row r="1350" spans="3:28" ht="13.5">
      <c r="C1350" s="1181" t="s">
        <v>6030</v>
      </c>
      <c r="D1350" s="1178">
        <v>1</v>
      </c>
      <c r="E1350" s="1178">
        <v>1</v>
      </c>
      <c r="F1350" s="1179">
        <v>2</v>
      </c>
      <c r="G1350" s="1189" t="s">
        <v>6030</v>
      </c>
      <c r="H1350" s="1176">
        <v>1</v>
      </c>
      <c r="I1350" s="1176">
        <v>1</v>
      </c>
      <c r="J1350" s="1190">
        <v>2</v>
      </c>
      <c r="K1350" s="1180"/>
      <c r="L1350" s="1174">
        <v>13121010110</v>
      </c>
      <c r="M1350" s="1175">
        <v>1</v>
      </c>
      <c r="N1350" s="1175">
        <v>1</v>
      </c>
      <c r="O1350" s="1176">
        <v>2</v>
      </c>
      <c r="AA1350"/>
      <c r="AB1350"/>
    </row>
    <row r="1351" spans="3:28" ht="13.5">
      <c r="C1351" s="1181" t="s">
        <v>6031</v>
      </c>
      <c r="D1351" s="1178">
        <v>1</v>
      </c>
      <c r="E1351" s="1178">
        <v>0</v>
      </c>
      <c r="F1351" s="1179">
        <v>1</v>
      </c>
      <c r="G1351" s="1189" t="s">
        <v>6031</v>
      </c>
      <c r="H1351" s="1176">
        <v>1</v>
      </c>
      <c r="I1351" s="1176">
        <v>0</v>
      </c>
      <c r="J1351" s="1190">
        <v>1</v>
      </c>
      <c r="K1351" s="1180"/>
      <c r="L1351" s="1174">
        <v>13121010113</v>
      </c>
      <c r="M1351" s="1175">
        <v>1</v>
      </c>
      <c r="N1351" s="1175">
        <v>0</v>
      </c>
      <c r="O1351" s="1176">
        <v>1</v>
      </c>
      <c r="AA1351"/>
      <c r="AB1351"/>
    </row>
    <row r="1352" spans="3:28" ht="13.5">
      <c r="C1352" s="1181" t="s">
        <v>6032</v>
      </c>
      <c r="D1352" s="1178">
        <v>1</v>
      </c>
      <c r="E1352" s="1178">
        <v>1</v>
      </c>
      <c r="F1352" s="1179">
        <v>2</v>
      </c>
      <c r="G1352" s="1189" t="s">
        <v>6032</v>
      </c>
      <c r="H1352" s="1176">
        <v>1</v>
      </c>
      <c r="I1352" s="1176">
        <v>1</v>
      </c>
      <c r="J1352" s="1190">
        <v>2</v>
      </c>
      <c r="K1352" s="1180"/>
      <c r="L1352" s="1174">
        <v>13121010114</v>
      </c>
      <c r="M1352" s="1175">
        <v>1</v>
      </c>
      <c r="N1352" s="1175">
        <v>1</v>
      </c>
      <c r="O1352" s="1176">
        <v>2</v>
      </c>
      <c r="AA1352"/>
      <c r="AB1352"/>
    </row>
    <row r="1353" spans="3:28" ht="13.5">
      <c r="C1353" s="1181" t="s">
        <v>6033</v>
      </c>
      <c r="D1353" s="1178">
        <v>1</v>
      </c>
      <c r="E1353" s="1178">
        <v>1</v>
      </c>
      <c r="F1353" s="1179">
        <v>2</v>
      </c>
      <c r="G1353" s="1189" t="s">
        <v>6033</v>
      </c>
      <c r="H1353" s="1176">
        <v>1</v>
      </c>
      <c r="I1353" s="1176">
        <v>1</v>
      </c>
      <c r="J1353" s="1190">
        <v>2</v>
      </c>
      <c r="K1353" s="1180"/>
      <c r="L1353" s="1174">
        <v>13121010115</v>
      </c>
      <c r="M1353" s="1175">
        <v>1</v>
      </c>
      <c r="N1353" s="1175">
        <v>1</v>
      </c>
      <c r="O1353" s="1176">
        <v>2</v>
      </c>
      <c r="AA1353"/>
      <c r="AB1353"/>
    </row>
    <row r="1354" spans="3:28" ht="13.5">
      <c r="C1354" s="1181" t="s">
        <v>6034</v>
      </c>
      <c r="D1354" s="1178">
        <v>1</v>
      </c>
      <c r="E1354" s="1178">
        <v>0</v>
      </c>
      <c r="F1354" s="1179">
        <v>1</v>
      </c>
      <c r="G1354" s="1189" t="s">
        <v>6034</v>
      </c>
      <c r="H1354" s="1176">
        <v>1</v>
      </c>
      <c r="I1354" s="1176" t="s">
        <v>4455</v>
      </c>
      <c r="J1354" s="1190">
        <v>1</v>
      </c>
      <c r="K1354" s="1180"/>
      <c r="L1354" s="1174">
        <v>13121010117</v>
      </c>
      <c r="M1354" s="1175">
        <v>1</v>
      </c>
      <c r="N1354" s="1175">
        <v>0</v>
      </c>
      <c r="O1354" s="1176">
        <v>1</v>
      </c>
      <c r="AA1354"/>
      <c r="AB1354"/>
    </row>
    <row r="1355" spans="3:28" ht="13.5">
      <c r="C1355" s="1181" t="s">
        <v>6035</v>
      </c>
      <c r="D1355" s="1178">
        <v>0</v>
      </c>
      <c r="E1355" s="1178">
        <v>0</v>
      </c>
      <c r="F1355" s="1179">
        <v>0</v>
      </c>
      <c r="G1355" s="1189" t="s">
        <v>6035</v>
      </c>
      <c r="H1355" s="1176">
        <v>1</v>
      </c>
      <c r="I1355" s="1176" t="s">
        <v>4455</v>
      </c>
      <c r="J1355" s="1190">
        <v>1</v>
      </c>
      <c r="K1355" s="1180"/>
      <c r="L1355" s="1174">
        <v>13121010118</v>
      </c>
      <c r="M1355" s="1175">
        <v>1</v>
      </c>
      <c r="N1355" s="1175">
        <v>0</v>
      </c>
      <c r="O1355" s="1176">
        <v>1</v>
      </c>
      <c r="AA1355"/>
      <c r="AB1355"/>
    </row>
    <row r="1356" spans="3:28" ht="13.5">
      <c r="C1356" s="1181" t="s">
        <v>6036</v>
      </c>
      <c r="D1356" s="1178">
        <v>0</v>
      </c>
      <c r="E1356" s="1178">
        <v>0</v>
      </c>
      <c r="F1356" s="1179">
        <v>0</v>
      </c>
      <c r="G1356" s="1189" t="s">
        <v>6036</v>
      </c>
      <c r="H1356" s="1176">
        <v>0</v>
      </c>
      <c r="I1356" s="1176">
        <v>0</v>
      </c>
      <c r="J1356" s="1190">
        <v>0</v>
      </c>
      <c r="K1356" s="1180"/>
      <c r="L1356" s="1174">
        <v>13121010119</v>
      </c>
      <c r="M1356" s="1175">
        <v>0</v>
      </c>
      <c r="N1356" s="1175">
        <v>0</v>
      </c>
      <c r="O1356" s="1176">
        <v>0</v>
      </c>
      <c r="AA1356"/>
      <c r="AB1356"/>
    </row>
    <row r="1357" spans="3:28" ht="13.5">
      <c r="C1357" s="1181" t="s">
        <v>6037</v>
      </c>
      <c r="D1357" s="1178">
        <v>1</v>
      </c>
      <c r="E1357" s="1178">
        <v>1</v>
      </c>
      <c r="F1357" s="1179">
        <v>2</v>
      </c>
      <c r="G1357" s="1189" t="s">
        <v>6037</v>
      </c>
      <c r="H1357" s="1176">
        <v>1</v>
      </c>
      <c r="I1357" s="1176" t="s">
        <v>4455</v>
      </c>
      <c r="J1357" s="1190">
        <v>1</v>
      </c>
      <c r="K1357" s="1180"/>
      <c r="L1357" s="1174">
        <v>13121010120</v>
      </c>
      <c r="M1357" s="1175">
        <v>1</v>
      </c>
      <c r="N1357" s="1175">
        <v>1</v>
      </c>
      <c r="O1357" s="1176">
        <v>2</v>
      </c>
      <c r="AA1357"/>
      <c r="AB1357"/>
    </row>
    <row r="1358" spans="3:28" ht="13.5">
      <c r="C1358" s="1181" t="s">
        <v>6038</v>
      </c>
      <c r="D1358" s="1178">
        <v>1</v>
      </c>
      <c r="E1358" s="1178">
        <v>1</v>
      </c>
      <c r="F1358" s="1179">
        <v>2</v>
      </c>
      <c r="G1358" s="1189" t="s">
        <v>6038</v>
      </c>
      <c r="H1358" s="1176">
        <v>1</v>
      </c>
      <c r="I1358" s="1176">
        <v>1</v>
      </c>
      <c r="J1358" s="1190">
        <v>2</v>
      </c>
      <c r="K1358" s="1180"/>
      <c r="L1358" s="1174">
        <v>13121010121</v>
      </c>
      <c r="M1358" s="1175">
        <v>1</v>
      </c>
      <c r="N1358" s="1175">
        <v>1</v>
      </c>
      <c r="O1358" s="1176">
        <v>2</v>
      </c>
      <c r="AA1358"/>
      <c r="AB1358"/>
    </row>
    <row r="1359" spans="3:28" ht="13.5">
      <c r="C1359" s="1181" t="s">
        <v>6039</v>
      </c>
      <c r="D1359" s="1178">
        <v>1</v>
      </c>
      <c r="E1359" s="1178">
        <v>1</v>
      </c>
      <c r="F1359" s="1179">
        <v>2</v>
      </c>
      <c r="G1359" s="1189" t="s">
        <v>6039</v>
      </c>
      <c r="H1359" s="1176">
        <v>1</v>
      </c>
      <c r="I1359" s="1176">
        <v>1</v>
      </c>
      <c r="J1359" s="1190">
        <v>2</v>
      </c>
      <c r="K1359" s="1180"/>
      <c r="L1359" s="1174">
        <v>13121010122</v>
      </c>
      <c r="M1359" s="1175">
        <v>1</v>
      </c>
      <c r="N1359" s="1175">
        <v>1</v>
      </c>
      <c r="O1359" s="1176">
        <v>2</v>
      </c>
      <c r="AA1359"/>
      <c r="AB1359"/>
    </row>
    <row r="1360" spans="3:28" ht="13.5">
      <c r="C1360" s="1181" t="s">
        <v>6040</v>
      </c>
      <c r="D1360" s="1178">
        <v>1</v>
      </c>
      <c r="E1360" s="1178">
        <v>0</v>
      </c>
      <c r="F1360" s="1179">
        <v>1</v>
      </c>
      <c r="G1360" s="1189" t="s">
        <v>6040</v>
      </c>
      <c r="H1360" s="1176">
        <v>1</v>
      </c>
      <c r="I1360" s="1176">
        <v>1</v>
      </c>
      <c r="J1360" s="1190">
        <v>2</v>
      </c>
      <c r="K1360" s="1180"/>
      <c r="L1360" s="1174">
        <v>13121010123</v>
      </c>
      <c r="M1360" s="1175">
        <v>1</v>
      </c>
      <c r="N1360" s="1175">
        <v>1</v>
      </c>
      <c r="O1360" s="1176">
        <v>2</v>
      </c>
      <c r="AA1360"/>
      <c r="AB1360"/>
    </row>
    <row r="1361" spans="3:28" ht="13.5">
      <c r="C1361" s="1181" t="s">
        <v>6041</v>
      </c>
      <c r="D1361" s="1178">
        <v>1</v>
      </c>
      <c r="E1361" s="1178">
        <v>1</v>
      </c>
      <c r="F1361" s="1179">
        <v>2</v>
      </c>
      <c r="G1361" s="1189" t="s">
        <v>6041</v>
      </c>
      <c r="H1361" s="1176">
        <v>1</v>
      </c>
      <c r="I1361" s="1176">
        <v>1</v>
      </c>
      <c r="J1361" s="1190">
        <v>2</v>
      </c>
      <c r="K1361" s="1180"/>
      <c r="L1361" s="1174">
        <v>13121010204</v>
      </c>
      <c r="M1361" s="1175">
        <v>1</v>
      </c>
      <c r="N1361" s="1175">
        <v>1</v>
      </c>
      <c r="O1361" s="1176">
        <v>2</v>
      </c>
      <c r="AA1361"/>
      <c r="AB1361"/>
    </row>
    <row r="1362" spans="3:28" ht="13.5">
      <c r="C1362" s="1181" t="s">
        <v>6042</v>
      </c>
      <c r="D1362" s="1178">
        <v>1</v>
      </c>
      <c r="E1362" s="1178">
        <v>1</v>
      </c>
      <c r="F1362" s="1179">
        <v>2</v>
      </c>
      <c r="G1362" s="1189" t="s">
        <v>6042</v>
      </c>
      <c r="H1362" s="1176">
        <v>1</v>
      </c>
      <c r="I1362" s="1176">
        <v>1</v>
      </c>
      <c r="J1362" s="1190">
        <v>2</v>
      </c>
      <c r="K1362" s="1180"/>
      <c r="L1362" s="1174">
        <v>13121010205</v>
      </c>
      <c r="M1362" s="1175">
        <v>1</v>
      </c>
      <c r="N1362" s="1175">
        <v>1</v>
      </c>
      <c r="O1362" s="1176">
        <v>2</v>
      </c>
      <c r="AA1362"/>
      <c r="AB1362"/>
    </row>
    <row r="1363" spans="3:28" ht="13.5">
      <c r="C1363" s="1181" t="s">
        <v>6043</v>
      </c>
      <c r="D1363" s="1178">
        <v>1</v>
      </c>
      <c r="E1363" s="1178">
        <v>1</v>
      </c>
      <c r="F1363" s="1179">
        <v>2</v>
      </c>
      <c r="G1363" s="1189" t="s">
        <v>6043</v>
      </c>
      <c r="H1363" s="1176">
        <v>1</v>
      </c>
      <c r="I1363" s="1176">
        <v>1</v>
      </c>
      <c r="J1363" s="1190">
        <v>2</v>
      </c>
      <c r="K1363" s="1180"/>
      <c r="L1363" s="1174">
        <v>13121010206</v>
      </c>
      <c r="M1363" s="1175">
        <v>1</v>
      </c>
      <c r="N1363" s="1175">
        <v>1</v>
      </c>
      <c r="O1363" s="1176">
        <v>2</v>
      </c>
      <c r="AA1363"/>
      <c r="AB1363"/>
    </row>
    <row r="1364" spans="3:28" ht="13.5">
      <c r="C1364" s="1181" t="s">
        <v>6044</v>
      </c>
      <c r="D1364" s="1178">
        <v>1</v>
      </c>
      <c r="E1364" s="1178">
        <v>0</v>
      </c>
      <c r="F1364" s="1179">
        <v>1</v>
      </c>
      <c r="G1364" s="1189" t="s">
        <v>6044</v>
      </c>
      <c r="H1364" s="1176">
        <v>1</v>
      </c>
      <c r="I1364" s="1176">
        <v>1</v>
      </c>
      <c r="J1364" s="1190">
        <v>2</v>
      </c>
      <c r="K1364" s="1180"/>
      <c r="L1364" s="1174">
        <v>13121010208</v>
      </c>
      <c r="M1364" s="1175">
        <v>1</v>
      </c>
      <c r="N1364" s="1175">
        <v>1</v>
      </c>
      <c r="O1364" s="1176">
        <v>2</v>
      </c>
      <c r="AA1364"/>
      <c r="AB1364"/>
    </row>
    <row r="1365" spans="3:28" ht="13.5">
      <c r="C1365" s="1181" t="s">
        <v>6045</v>
      </c>
      <c r="D1365" s="1178">
        <v>1</v>
      </c>
      <c r="E1365" s="1178">
        <v>1</v>
      </c>
      <c r="F1365" s="1179">
        <v>2</v>
      </c>
      <c r="G1365" s="1189" t="s">
        <v>6045</v>
      </c>
      <c r="H1365" s="1176">
        <v>1</v>
      </c>
      <c r="I1365" s="1176" t="s">
        <v>4455</v>
      </c>
      <c r="J1365" s="1190">
        <v>1</v>
      </c>
      <c r="K1365" s="1180"/>
      <c r="L1365" s="1174">
        <v>13121010209</v>
      </c>
      <c r="M1365" s="1175">
        <v>1</v>
      </c>
      <c r="N1365" s="1175">
        <v>1</v>
      </c>
      <c r="O1365" s="1176">
        <v>2</v>
      </c>
      <c r="AA1365"/>
      <c r="AB1365"/>
    </row>
    <row r="1366" spans="3:28" ht="13.5">
      <c r="C1366" s="1181" t="s">
        <v>6046</v>
      </c>
      <c r="D1366" s="1178">
        <v>1</v>
      </c>
      <c r="E1366" s="1178">
        <v>1</v>
      </c>
      <c r="F1366" s="1179">
        <v>2</v>
      </c>
      <c r="G1366" s="1189" t="s">
        <v>6046</v>
      </c>
      <c r="H1366" s="1176">
        <v>1</v>
      </c>
      <c r="I1366" s="1176">
        <v>1</v>
      </c>
      <c r="J1366" s="1190">
        <v>2</v>
      </c>
      <c r="K1366" s="1180"/>
      <c r="L1366" s="1174">
        <v>13121010210</v>
      </c>
      <c r="M1366" s="1175">
        <v>1</v>
      </c>
      <c r="N1366" s="1175">
        <v>1</v>
      </c>
      <c r="O1366" s="1176">
        <v>2</v>
      </c>
      <c r="AA1366"/>
      <c r="AB1366"/>
    </row>
    <row r="1367" spans="3:28" ht="13.5">
      <c r="C1367" s="1181" t="s">
        <v>6047</v>
      </c>
      <c r="D1367" s="1178">
        <v>1</v>
      </c>
      <c r="E1367" s="1178">
        <v>1</v>
      </c>
      <c r="F1367" s="1179">
        <v>2</v>
      </c>
      <c r="G1367" s="1189" t="s">
        <v>6047</v>
      </c>
      <c r="H1367" s="1176">
        <v>1</v>
      </c>
      <c r="I1367" s="1176">
        <v>1</v>
      </c>
      <c r="J1367" s="1190">
        <v>2</v>
      </c>
      <c r="K1367" s="1180"/>
      <c r="L1367" s="1174">
        <v>13121010211</v>
      </c>
      <c r="M1367" s="1175">
        <v>1</v>
      </c>
      <c r="N1367" s="1175">
        <v>1</v>
      </c>
      <c r="O1367" s="1176">
        <v>2</v>
      </c>
      <c r="AA1367"/>
      <c r="AB1367"/>
    </row>
    <row r="1368" spans="3:28" ht="13.5">
      <c r="C1368" s="1181" t="s">
        <v>6048</v>
      </c>
      <c r="D1368" s="1178">
        <v>1</v>
      </c>
      <c r="E1368" s="1178">
        <v>0</v>
      </c>
      <c r="F1368" s="1179">
        <v>1</v>
      </c>
      <c r="G1368" s="1189" t="s">
        <v>6048</v>
      </c>
      <c r="H1368" s="1176">
        <v>1</v>
      </c>
      <c r="I1368" s="1176">
        <v>0</v>
      </c>
      <c r="J1368" s="1190">
        <v>1</v>
      </c>
      <c r="K1368" s="1180"/>
      <c r="L1368" s="1174">
        <v>13121010212</v>
      </c>
      <c r="M1368" s="1175">
        <v>1</v>
      </c>
      <c r="N1368" s="1175">
        <v>0</v>
      </c>
      <c r="O1368" s="1176">
        <v>1</v>
      </c>
      <c r="AA1368"/>
      <c r="AB1368"/>
    </row>
    <row r="1369" spans="3:28" ht="13.5">
      <c r="C1369" s="1181" t="s">
        <v>6049</v>
      </c>
      <c r="D1369" s="1178">
        <v>1</v>
      </c>
      <c r="E1369" s="1178">
        <v>0</v>
      </c>
      <c r="F1369" s="1179">
        <v>1</v>
      </c>
      <c r="G1369" s="1189" t="s">
        <v>6049</v>
      </c>
      <c r="H1369" s="1176">
        <v>1</v>
      </c>
      <c r="I1369" s="1176">
        <v>1</v>
      </c>
      <c r="J1369" s="1190">
        <v>2</v>
      </c>
      <c r="K1369" s="1180"/>
      <c r="L1369" s="1174">
        <v>13121010301</v>
      </c>
      <c r="M1369" s="1175">
        <v>1</v>
      </c>
      <c r="N1369" s="1175">
        <v>1</v>
      </c>
      <c r="O1369" s="1176">
        <v>2</v>
      </c>
      <c r="AA1369"/>
      <c r="AB1369"/>
    </row>
    <row r="1370" spans="3:28" ht="13.5">
      <c r="C1370" s="1181" t="s">
        <v>6050</v>
      </c>
      <c r="D1370" s="1178">
        <v>1</v>
      </c>
      <c r="E1370" s="1178">
        <v>0</v>
      </c>
      <c r="F1370" s="1179">
        <v>1</v>
      </c>
      <c r="G1370" s="1189" t="s">
        <v>6050</v>
      </c>
      <c r="H1370" s="1176">
        <v>1</v>
      </c>
      <c r="I1370" s="1176">
        <v>1</v>
      </c>
      <c r="J1370" s="1190">
        <v>2</v>
      </c>
      <c r="K1370" s="1180"/>
      <c r="L1370" s="1174">
        <v>13121010303</v>
      </c>
      <c r="M1370" s="1175">
        <v>1</v>
      </c>
      <c r="N1370" s="1175">
        <v>1</v>
      </c>
      <c r="O1370" s="1176">
        <v>2</v>
      </c>
      <c r="AA1370"/>
      <c r="AB1370"/>
    </row>
    <row r="1371" spans="3:28" ht="13.5">
      <c r="C1371" s="1181" t="s">
        <v>6051</v>
      </c>
      <c r="D1371" s="1178">
        <v>1</v>
      </c>
      <c r="E1371" s="1178">
        <v>1</v>
      </c>
      <c r="F1371" s="1179">
        <v>2</v>
      </c>
      <c r="G1371" s="1189" t="s">
        <v>6051</v>
      </c>
      <c r="H1371" s="1176">
        <v>1</v>
      </c>
      <c r="I1371" s="1176">
        <v>1</v>
      </c>
      <c r="J1371" s="1190">
        <v>2</v>
      </c>
      <c r="K1371" s="1180"/>
      <c r="L1371" s="1174">
        <v>13121010304</v>
      </c>
      <c r="M1371" s="1175">
        <v>1</v>
      </c>
      <c r="N1371" s="1175">
        <v>1</v>
      </c>
      <c r="O1371" s="1176">
        <v>2</v>
      </c>
      <c r="AA1371"/>
      <c r="AB1371"/>
    </row>
    <row r="1372" spans="3:28" ht="13.5">
      <c r="C1372" s="1181" t="s">
        <v>6052</v>
      </c>
      <c r="D1372" s="1178">
        <v>0</v>
      </c>
      <c r="E1372" s="1178">
        <v>0</v>
      </c>
      <c r="F1372" s="1179">
        <v>0</v>
      </c>
      <c r="G1372" s="1189" t="s">
        <v>6052</v>
      </c>
      <c r="H1372" s="1176">
        <v>0</v>
      </c>
      <c r="I1372" s="1176">
        <v>0</v>
      </c>
      <c r="J1372" s="1190">
        <v>0</v>
      </c>
      <c r="K1372" s="1180"/>
      <c r="L1372" s="1174">
        <v>13121010400</v>
      </c>
      <c r="M1372" s="1175">
        <v>0</v>
      </c>
      <c r="N1372" s="1175">
        <v>0</v>
      </c>
      <c r="O1372" s="1176">
        <v>0</v>
      </c>
      <c r="AA1372"/>
      <c r="AB1372"/>
    </row>
    <row r="1373" spans="3:28" ht="13.5">
      <c r="C1373" s="1181" t="s">
        <v>6053</v>
      </c>
      <c r="D1373" s="1178">
        <v>0</v>
      </c>
      <c r="E1373" s="1178">
        <v>0</v>
      </c>
      <c r="F1373" s="1179">
        <v>0</v>
      </c>
      <c r="G1373" s="1189" t="s">
        <v>6053</v>
      </c>
      <c r="H1373" s="1176">
        <v>0</v>
      </c>
      <c r="I1373" s="1176">
        <v>1</v>
      </c>
      <c r="J1373" s="1190">
        <v>1</v>
      </c>
      <c r="K1373" s="1180"/>
      <c r="L1373" s="1174">
        <v>13121010507</v>
      </c>
      <c r="M1373" s="1175">
        <v>0</v>
      </c>
      <c r="N1373" s="1175">
        <v>1</v>
      </c>
      <c r="O1373" s="1176">
        <v>1</v>
      </c>
      <c r="AA1373"/>
      <c r="AB1373"/>
    </row>
    <row r="1374" spans="3:28" ht="13.5">
      <c r="C1374" s="1181" t="s">
        <v>6054</v>
      </c>
      <c r="D1374" s="1178">
        <v>0</v>
      </c>
      <c r="E1374" s="1178">
        <v>0</v>
      </c>
      <c r="F1374" s="1179">
        <v>0</v>
      </c>
      <c r="G1374" s="1189" t="s">
        <v>6054</v>
      </c>
      <c r="H1374" s="1176">
        <v>0</v>
      </c>
      <c r="I1374" s="1176">
        <v>0</v>
      </c>
      <c r="J1374" s="1190">
        <v>0</v>
      </c>
      <c r="K1374" s="1180"/>
      <c r="L1374" s="1174">
        <v>13121010508</v>
      </c>
      <c r="M1374" s="1175">
        <v>0</v>
      </c>
      <c r="N1374" s="1175">
        <v>0</v>
      </c>
      <c r="O1374" s="1176">
        <v>0</v>
      </c>
      <c r="AA1374"/>
      <c r="AB1374"/>
    </row>
    <row r="1375" spans="3:28" ht="13.5">
      <c r="C1375" s="1181" t="s">
        <v>6055</v>
      </c>
      <c r="D1375" s="1178">
        <v>0</v>
      </c>
      <c r="E1375" s="1178">
        <v>0</v>
      </c>
      <c r="F1375" s="1179">
        <v>0</v>
      </c>
      <c r="G1375" s="1189" t="s">
        <v>6055</v>
      </c>
      <c r="H1375" s="1176">
        <v>0</v>
      </c>
      <c r="I1375" s="1176">
        <v>1</v>
      </c>
      <c r="J1375" s="1190">
        <v>1</v>
      </c>
      <c r="K1375" s="1180"/>
      <c r="L1375" s="1174">
        <v>13121010510</v>
      </c>
      <c r="M1375" s="1175">
        <v>0</v>
      </c>
      <c r="N1375" s="1175">
        <v>1</v>
      </c>
      <c r="O1375" s="1176">
        <v>1</v>
      </c>
      <c r="AA1375"/>
      <c r="AB1375"/>
    </row>
    <row r="1376" spans="3:28" ht="13.5">
      <c r="C1376" s="1181" t="s">
        <v>6056</v>
      </c>
      <c r="D1376" s="1178">
        <v>0</v>
      </c>
      <c r="E1376" s="1178">
        <v>0</v>
      </c>
      <c r="F1376" s="1179">
        <v>0</v>
      </c>
      <c r="G1376" s="1189" t="s">
        <v>6056</v>
      </c>
      <c r="H1376" s="1176">
        <v>0</v>
      </c>
      <c r="I1376" s="1176">
        <v>1</v>
      </c>
      <c r="J1376" s="1190">
        <v>1</v>
      </c>
      <c r="K1376" s="1180"/>
      <c r="L1376" s="1174">
        <v>13121010511</v>
      </c>
      <c r="M1376" s="1175">
        <v>0</v>
      </c>
      <c r="N1376" s="1175">
        <v>1</v>
      </c>
      <c r="O1376" s="1176">
        <v>1</v>
      </c>
      <c r="AA1376"/>
      <c r="AB1376"/>
    </row>
    <row r="1377" spans="3:28" ht="13.5">
      <c r="C1377" s="1181" t="s">
        <v>6057</v>
      </c>
      <c r="D1377" s="1178">
        <v>0</v>
      </c>
      <c r="E1377" s="1178">
        <v>0</v>
      </c>
      <c r="F1377" s="1179">
        <v>0</v>
      </c>
      <c r="G1377" s="1189" t="s">
        <v>6057</v>
      </c>
      <c r="H1377" s="1176">
        <v>0</v>
      </c>
      <c r="I1377" s="1176" t="s">
        <v>4455</v>
      </c>
      <c r="J1377" s="1190">
        <v>0</v>
      </c>
      <c r="K1377" s="1180"/>
      <c r="L1377" s="1174">
        <v>13121010512</v>
      </c>
      <c r="M1377" s="1175">
        <v>0</v>
      </c>
      <c r="N1377" s="1175">
        <v>0</v>
      </c>
      <c r="O1377" s="1176">
        <v>0</v>
      </c>
      <c r="AA1377"/>
      <c r="AB1377"/>
    </row>
    <row r="1378" spans="3:28" ht="13.5">
      <c r="C1378" s="1181" t="s">
        <v>6058</v>
      </c>
      <c r="D1378" s="1178">
        <v>0</v>
      </c>
      <c r="E1378" s="1178">
        <v>0</v>
      </c>
      <c r="F1378" s="1179">
        <v>0</v>
      </c>
      <c r="G1378" s="1189" t="s">
        <v>6058</v>
      </c>
      <c r="H1378" s="1176">
        <v>0</v>
      </c>
      <c r="I1378" s="1176">
        <v>0</v>
      </c>
      <c r="J1378" s="1190">
        <v>0</v>
      </c>
      <c r="K1378" s="1180"/>
      <c r="L1378" s="1174">
        <v>13121010513</v>
      </c>
      <c r="M1378" s="1175">
        <v>0</v>
      </c>
      <c r="N1378" s="1175">
        <v>0</v>
      </c>
      <c r="O1378" s="1176">
        <v>0</v>
      </c>
      <c r="AA1378"/>
      <c r="AB1378"/>
    </row>
    <row r="1379" spans="3:28" ht="13.5">
      <c r="C1379" s="1181" t="s">
        <v>6059</v>
      </c>
      <c r="D1379" s="1178">
        <v>1</v>
      </c>
      <c r="E1379" s="1178">
        <v>1</v>
      </c>
      <c r="F1379" s="1179">
        <v>2</v>
      </c>
      <c r="G1379" s="1189" t="s">
        <v>6059</v>
      </c>
      <c r="H1379" s="1176">
        <v>1</v>
      </c>
      <c r="I1379" s="1176">
        <v>1</v>
      </c>
      <c r="J1379" s="1190">
        <v>2</v>
      </c>
      <c r="K1379" s="1180"/>
      <c r="L1379" s="1174">
        <v>13121010514</v>
      </c>
      <c r="M1379" s="1175">
        <v>1</v>
      </c>
      <c r="N1379" s="1175">
        <v>1</v>
      </c>
      <c r="O1379" s="1176">
        <v>2</v>
      </c>
      <c r="AA1379"/>
      <c r="AB1379"/>
    </row>
    <row r="1380" spans="3:28" ht="13.5">
      <c r="C1380" s="1181" t="s">
        <v>6060</v>
      </c>
      <c r="D1380" s="1178">
        <v>0</v>
      </c>
      <c r="E1380" s="1178">
        <v>0</v>
      </c>
      <c r="F1380" s="1179">
        <v>0</v>
      </c>
      <c r="G1380" s="1189" t="s">
        <v>6060</v>
      </c>
      <c r="H1380" s="1176">
        <v>1</v>
      </c>
      <c r="I1380" s="1176">
        <v>0</v>
      </c>
      <c r="J1380" s="1190">
        <v>1</v>
      </c>
      <c r="K1380" s="1180"/>
      <c r="L1380" s="1174">
        <v>13121010515</v>
      </c>
      <c r="M1380" s="1175">
        <v>1</v>
      </c>
      <c r="N1380" s="1175">
        <v>0</v>
      </c>
      <c r="O1380" s="1176">
        <v>1</v>
      </c>
      <c r="AA1380"/>
      <c r="AB1380"/>
    </row>
    <row r="1381" spans="3:28" ht="13.5">
      <c r="C1381" s="1181" t="s">
        <v>6061</v>
      </c>
      <c r="D1381" s="1178">
        <v>0</v>
      </c>
      <c r="E1381" s="1178">
        <v>0</v>
      </c>
      <c r="F1381" s="1179">
        <v>0</v>
      </c>
      <c r="G1381" s="1189" t="s">
        <v>6061</v>
      </c>
      <c r="H1381" s="1176">
        <v>0</v>
      </c>
      <c r="I1381" s="1176">
        <v>0</v>
      </c>
      <c r="J1381" s="1190">
        <v>0</v>
      </c>
      <c r="K1381" s="1180"/>
      <c r="L1381" s="1174">
        <v>13121010516</v>
      </c>
      <c r="M1381" s="1175">
        <v>0</v>
      </c>
      <c r="N1381" s="1175">
        <v>0</v>
      </c>
      <c r="O1381" s="1176">
        <v>0</v>
      </c>
      <c r="AA1381"/>
      <c r="AB1381"/>
    </row>
    <row r="1382" spans="3:28" ht="13.5">
      <c r="C1382" s="1181" t="s">
        <v>6062</v>
      </c>
      <c r="D1382" s="1178">
        <v>0</v>
      </c>
      <c r="E1382" s="1178">
        <v>0</v>
      </c>
      <c r="F1382" s="1179">
        <v>0</v>
      </c>
      <c r="G1382" s="1189" t="s">
        <v>6062</v>
      </c>
      <c r="H1382" s="1176">
        <v>0</v>
      </c>
      <c r="I1382" s="1176">
        <v>0</v>
      </c>
      <c r="J1382" s="1190">
        <v>0</v>
      </c>
      <c r="K1382" s="1180"/>
      <c r="L1382" s="1174">
        <v>13121010601</v>
      </c>
      <c r="M1382" s="1175">
        <v>0</v>
      </c>
      <c r="N1382" s="1175">
        <v>0</v>
      </c>
      <c r="O1382" s="1176">
        <v>0</v>
      </c>
      <c r="AA1382"/>
      <c r="AB1382"/>
    </row>
    <row r="1383" spans="3:28" ht="13.5">
      <c r="C1383" s="1181" t="s">
        <v>6063</v>
      </c>
      <c r="D1383" s="1178">
        <v>0</v>
      </c>
      <c r="E1383" s="1178">
        <v>0</v>
      </c>
      <c r="F1383" s="1179">
        <v>0</v>
      </c>
      <c r="G1383" s="1189" t="s">
        <v>6063</v>
      </c>
      <c r="H1383" s="1176">
        <v>0</v>
      </c>
      <c r="I1383" s="1176">
        <v>0</v>
      </c>
      <c r="J1383" s="1190">
        <v>0</v>
      </c>
      <c r="K1383" s="1180"/>
      <c r="L1383" s="1174">
        <v>13121010603</v>
      </c>
      <c r="M1383" s="1175">
        <v>0</v>
      </c>
      <c r="N1383" s="1175">
        <v>0</v>
      </c>
      <c r="O1383" s="1176">
        <v>0</v>
      </c>
      <c r="AA1383"/>
      <c r="AB1383"/>
    </row>
    <row r="1384" spans="3:28" ht="13.5">
      <c r="C1384" s="1181" t="s">
        <v>6064</v>
      </c>
      <c r="D1384" s="1178">
        <v>0</v>
      </c>
      <c r="E1384" s="1178">
        <v>0</v>
      </c>
      <c r="F1384" s="1179">
        <v>0</v>
      </c>
      <c r="G1384" s="1189" t="s">
        <v>6064</v>
      </c>
      <c r="H1384" s="1176">
        <v>0</v>
      </c>
      <c r="I1384" s="1176">
        <v>0</v>
      </c>
      <c r="J1384" s="1190">
        <v>0</v>
      </c>
      <c r="K1384" s="1180"/>
      <c r="L1384" s="1174">
        <v>13121010604</v>
      </c>
      <c r="M1384" s="1175">
        <v>0</v>
      </c>
      <c r="N1384" s="1175">
        <v>0</v>
      </c>
      <c r="O1384" s="1176">
        <v>0</v>
      </c>
      <c r="AA1384"/>
      <c r="AB1384"/>
    </row>
    <row r="1385" spans="3:28" ht="13.5">
      <c r="C1385" s="1181" t="s">
        <v>6065</v>
      </c>
      <c r="D1385" s="1178">
        <v>0</v>
      </c>
      <c r="E1385" s="1178">
        <v>0</v>
      </c>
      <c r="F1385" s="1179">
        <v>0</v>
      </c>
      <c r="G1385" s="1189" t="s">
        <v>6065</v>
      </c>
      <c r="H1385" s="1176">
        <v>1</v>
      </c>
      <c r="I1385" s="1176">
        <v>0</v>
      </c>
      <c r="J1385" s="1190">
        <v>1</v>
      </c>
      <c r="K1385" s="1180"/>
      <c r="L1385" s="1174">
        <v>13121010800</v>
      </c>
      <c r="M1385" s="1175">
        <v>1</v>
      </c>
      <c r="N1385" s="1175">
        <v>0</v>
      </c>
      <c r="O1385" s="1176">
        <v>1</v>
      </c>
      <c r="AA1385"/>
      <c r="AB1385"/>
    </row>
    <row r="1386" spans="3:28" ht="13.5">
      <c r="C1386" s="1181" t="s">
        <v>6066</v>
      </c>
      <c r="D1386" s="1178">
        <v>0</v>
      </c>
      <c r="E1386" s="1178">
        <v>0</v>
      </c>
      <c r="F1386" s="1179">
        <v>0</v>
      </c>
      <c r="G1386" s="1189" t="s">
        <v>6066</v>
      </c>
      <c r="H1386" s="1176">
        <v>0</v>
      </c>
      <c r="I1386" s="1176">
        <v>0</v>
      </c>
      <c r="J1386" s="1190">
        <v>0</v>
      </c>
      <c r="K1386" s="1180"/>
      <c r="L1386" s="1174">
        <v>13121011000</v>
      </c>
      <c r="M1386" s="1175">
        <v>0</v>
      </c>
      <c r="N1386" s="1175">
        <v>0</v>
      </c>
      <c r="O1386" s="1176">
        <v>0</v>
      </c>
      <c r="AA1386"/>
      <c r="AB1386"/>
    </row>
    <row r="1387" spans="3:28" ht="13.5">
      <c r="C1387" s="1181" t="s">
        <v>6067</v>
      </c>
      <c r="D1387" s="1178">
        <v>1</v>
      </c>
      <c r="E1387" s="1178">
        <v>0</v>
      </c>
      <c r="F1387" s="1179">
        <v>1</v>
      </c>
      <c r="G1387" s="1189" t="s">
        <v>6067</v>
      </c>
      <c r="H1387" s="1176">
        <v>1</v>
      </c>
      <c r="I1387" s="1176">
        <v>0</v>
      </c>
      <c r="J1387" s="1190">
        <v>1</v>
      </c>
      <c r="K1387" s="1180"/>
      <c r="L1387" s="1174">
        <v>13121011100</v>
      </c>
      <c r="M1387" s="1175">
        <v>1</v>
      </c>
      <c r="N1387" s="1175">
        <v>0</v>
      </c>
      <c r="O1387" s="1176">
        <v>1</v>
      </c>
      <c r="AA1387"/>
      <c r="AB1387"/>
    </row>
    <row r="1388" spans="3:28" ht="13.5">
      <c r="C1388" s="1181" t="s">
        <v>6068</v>
      </c>
      <c r="D1388" s="1178">
        <v>0</v>
      </c>
      <c r="E1388" s="1178">
        <v>0</v>
      </c>
      <c r="F1388" s="1179">
        <v>0</v>
      </c>
      <c r="G1388" s="1189" t="s">
        <v>6068</v>
      </c>
      <c r="H1388" s="1176">
        <v>0</v>
      </c>
      <c r="I1388" s="1176">
        <v>0</v>
      </c>
      <c r="J1388" s="1190">
        <v>0</v>
      </c>
      <c r="K1388" s="1180"/>
      <c r="L1388" s="1174">
        <v>13121011201</v>
      </c>
      <c r="M1388" s="1175">
        <v>0</v>
      </c>
      <c r="N1388" s="1175">
        <v>0</v>
      </c>
      <c r="O1388" s="1176">
        <v>0</v>
      </c>
      <c r="AA1388"/>
      <c r="AB1388"/>
    </row>
    <row r="1389" spans="3:28" ht="13.5">
      <c r="C1389" s="1181" t="s">
        <v>6069</v>
      </c>
      <c r="D1389" s="1178">
        <v>0</v>
      </c>
      <c r="E1389" s="1178">
        <v>0</v>
      </c>
      <c r="F1389" s="1179">
        <v>0</v>
      </c>
      <c r="G1389" s="1189" t="s">
        <v>6069</v>
      </c>
      <c r="H1389" s="1176">
        <v>0</v>
      </c>
      <c r="I1389" s="1176">
        <v>0</v>
      </c>
      <c r="J1389" s="1190">
        <v>0</v>
      </c>
      <c r="K1389" s="1180"/>
      <c r="L1389" s="1174">
        <v>13121011202</v>
      </c>
      <c r="M1389" s="1175">
        <v>0</v>
      </c>
      <c r="N1389" s="1175">
        <v>0</v>
      </c>
      <c r="O1389" s="1176">
        <v>0</v>
      </c>
      <c r="AA1389"/>
      <c r="AB1389"/>
    </row>
    <row r="1390" spans="3:28" ht="13.5">
      <c r="C1390" s="1181" t="s">
        <v>6070</v>
      </c>
      <c r="D1390" s="1178">
        <v>0</v>
      </c>
      <c r="E1390" s="1178">
        <v>0</v>
      </c>
      <c r="F1390" s="1179">
        <v>0</v>
      </c>
      <c r="G1390" s="1189" t="s">
        <v>6070</v>
      </c>
      <c r="H1390" s="1176">
        <v>0</v>
      </c>
      <c r="I1390" s="1176">
        <v>0</v>
      </c>
      <c r="J1390" s="1190">
        <v>0</v>
      </c>
      <c r="K1390" s="1180"/>
      <c r="L1390" s="1174">
        <v>13121011301</v>
      </c>
      <c r="M1390" s="1175">
        <v>0</v>
      </c>
      <c r="N1390" s="1175">
        <v>0</v>
      </c>
      <c r="O1390" s="1176">
        <v>0</v>
      </c>
      <c r="AA1390"/>
      <c r="AB1390"/>
    </row>
    <row r="1391" spans="3:28" ht="13.5">
      <c r="C1391" s="1181" t="s">
        <v>6071</v>
      </c>
      <c r="D1391" s="1178">
        <v>0</v>
      </c>
      <c r="E1391" s="1178">
        <v>0</v>
      </c>
      <c r="F1391" s="1179">
        <v>0</v>
      </c>
      <c r="G1391" s="1189" t="s">
        <v>6071</v>
      </c>
      <c r="H1391" s="1176">
        <v>1</v>
      </c>
      <c r="I1391" s="1176">
        <v>0</v>
      </c>
      <c r="J1391" s="1190">
        <v>1</v>
      </c>
      <c r="K1391" s="1180"/>
      <c r="L1391" s="1174">
        <v>13121011303</v>
      </c>
      <c r="M1391" s="1175">
        <v>1</v>
      </c>
      <c r="N1391" s="1175">
        <v>0</v>
      </c>
      <c r="O1391" s="1176">
        <v>1</v>
      </c>
      <c r="AA1391"/>
      <c r="AB1391"/>
    </row>
    <row r="1392" spans="3:28" ht="13.5">
      <c r="C1392" s="1181" t="s">
        <v>6072</v>
      </c>
      <c r="D1392" s="1178">
        <v>0</v>
      </c>
      <c r="E1392" s="1178">
        <v>0</v>
      </c>
      <c r="F1392" s="1179">
        <v>0</v>
      </c>
      <c r="G1392" s="1189" t="s">
        <v>6072</v>
      </c>
      <c r="H1392" s="1176">
        <v>0</v>
      </c>
      <c r="I1392" s="1176">
        <v>0</v>
      </c>
      <c r="J1392" s="1190">
        <v>0</v>
      </c>
      <c r="K1392" s="1180"/>
      <c r="L1392" s="1174">
        <v>13121011305</v>
      </c>
      <c r="M1392" s="1175">
        <v>0</v>
      </c>
      <c r="N1392" s="1175">
        <v>0</v>
      </c>
      <c r="O1392" s="1176">
        <v>0</v>
      </c>
      <c r="AA1392"/>
      <c r="AB1392"/>
    </row>
    <row r="1393" spans="3:28" ht="13.5">
      <c r="C1393" s="1181" t="s">
        <v>6073</v>
      </c>
      <c r="D1393" s="1178">
        <v>0</v>
      </c>
      <c r="E1393" s="1178">
        <v>0</v>
      </c>
      <c r="F1393" s="1179">
        <v>0</v>
      </c>
      <c r="G1393" s="1189" t="s">
        <v>6073</v>
      </c>
      <c r="H1393" s="1176">
        <v>0</v>
      </c>
      <c r="I1393" s="1176">
        <v>0</v>
      </c>
      <c r="J1393" s="1190">
        <v>0</v>
      </c>
      <c r="K1393" s="1180"/>
      <c r="L1393" s="1174">
        <v>13121011306</v>
      </c>
      <c r="M1393" s="1175">
        <v>0</v>
      </c>
      <c r="N1393" s="1175">
        <v>0</v>
      </c>
      <c r="O1393" s="1176">
        <v>0</v>
      </c>
      <c r="AA1393"/>
      <c r="AB1393"/>
    </row>
    <row r="1394" spans="3:28" ht="13.5">
      <c r="C1394" s="1181" t="s">
        <v>6074</v>
      </c>
      <c r="D1394" s="1178">
        <v>1</v>
      </c>
      <c r="E1394" s="1178">
        <v>0</v>
      </c>
      <c r="F1394" s="1179">
        <v>1</v>
      </c>
      <c r="G1394" s="1189" t="s">
        <v>6074</v>
      </c>
      <c r="H1394" s="1176">
        <v>1</v>
      </c>
      <c r="I1394" s="1176">
        <v>1</v>
      </c>
      <c r="J1394" s="1190">
        <v>2</v>
      </c>
      <c r="K1394" s="1180"/>
      <c r="L1394" s="1174">
        <v>13121011405</v>
      </c>
      <c r="M1394" s="1175">
        <v>1</v>
      </c>
      <c r="N1394" s="1175">
        <v>1</v>
      </c>
      <c r="O1394" s="1176">
        <v>2</v>
      </c>
      <c r="AA1394"/>
      <c r="AB1394"/>
    </row>
    <row r="1395" spans="3:28" ht="13.5">
      <c r="C1395" s="1181" t="s">
        <v>6075</v>
      </c>
      <c r="D1395" s="1178">
        <v>1</v>
      </c>
      <c r="E1395" s="1178">
        <v>1</v>
      </c>
      <c r="F1395" s="1179">
        <v>2</v>
      </c>
      <c r="G1395" s="1189" t="s">
        <v>6075</v>
      </c>
      <c r="H1395" s="1176">
        <v>1</v>
      </c>
      <c r="I1395" s="1176">
        <v>1</v>
      </c>
      <c r="J1395" s="1190">
        <v>2</v>
      </c>
      <c r="K1395" s="1180"/>
      <c r="L1395" s="1174">
        <v>13121011410</v>
      </c>
      <c r="M1395" s="1175">
        <v>1</v>
      </c>
      <c r="N1395" s="1175">
        <v>1</v>
      </c>
      <c r="O1395" s="1176">
        <v>2</v>
      </c>
      <c r="AA1395"/>
      <c r="AB1395"/>
    </row>
    <row r="1396" spans="3:28" ht="13.5">
      <c r="C1396" s="1181" t="s">
        <v>6076</v>
      </c>
      <c r="D1396" s="1178">
        <v>1</v>
      </c>
      <c r="E1396" s="1178">
        <v>1</v>
      </c>
      <c r="F1396" s="1179">
        <v>2</v>
      </c>
      <c r="G1396" s="1189" t="s">
        <v>6076</v>
      </c>
      <c r="H1396" s="1176">
        <v>1</v>
      </c>
      <c r="I1396" s="1176">
        <v>1</v>
      </c>
      <c r="J1396" s="1190">
        <v>2</v>
      </c>
      <c r="K1396" s="1180"/>
      <c r="L1396" s="1174">
        <v>13121011411</v>
      </c>
      <c r="M1396" s="1175">
        <v>1</v>
      </c>
      <c r="N1396" s="1175">
        <v>1</v>
      </c>
      <c r="O1396" s="1176">
        <v>2</v>
      </c>
      <c r="AA1396"/>
      <c r="AB1396"/>
    </row>
    <row r="1397" spans="3:28" ht="13.5">
      <c r="C1397" s="1181" t="s">
        <v>6077</v>
      </c>
      <c r="D1397" s="1178">
        <v>1</v>
      </c>
      <c r="E1397" s="1178">
        <v>1</v>
      </c>
      <c r="F1397" s="1179">
        <v>2</v>
      </c>
      <c r="G1397" s="1189" t="s">
        <v>6077</v>
      </c>
      <c r="H1397" s="1176">
        <v>1</v>
      </c>
      <c r="I1397" s="1176">
        <v>1</v>
      </c>
      <c r="J1397" s="1190">
        <v>2</v>
      </c>
      <c r="K1397" s="1180"/>
      <c r="L1397" s="1174">
        <v>13121011412</v>
      </c>
      <c r="M1397" s="1175">
        <v>1</v>
      </c>
      <c r="N1397" s="1175">
        <v>1</v>
      </c>
      <c r="O1397" s="1176">
        <v>2</v>
      </c>
      <c r="AA1397"/>
      <c r="AB1397"/>
    </row>
    <row r="1398" spans="3:28" ht="13.5">
      <c r="C1398" s="1181" t="s">
        <v>6078</v>
      </c>
      <c r="D1398" s="1178">
        <v>1</v>
      </c>
      <c r="E1398" s="1178">
        <v>1</v>
      </c>
      <c r="F1398" s="1179">
        <v>2</v>
      </c>
      <c r="G1398" s="1189" t="s">
        <v>6078</v>
      </c>
      <c r="H1398" s="1176">
        <v>1</v>
      </c>
      <c r="I1398" s="1176">
        <v>0</v>
      </c>
      <c r="J1398" s="1190">
        <v>1</v>
      </c>
      <c r="K1398" s="1180"/>
      <c r="L1398" s="1174">
        <v>13121011414</v>
      </c>
      <c r="M1398" s="1175">
        <v>1</v>
      </c>
      <c r="N1398" s="1175">
        <v>1</v>
      </c>
      <c r="O1398" s="1176">
        <v>2</v>
      </c>
      <c r="AA1398"/>
      <c r="AB1398"/>
    </row>
    <row r="1399" spans="3:28" ht="13.5">
      <c r="C1399" s="1181" t="s">
        <v>6079</v>
      </c>
      <c r="D1399" s="1178">
        <v>1</v>
      </c>
      <c r="E1399" s="1178">
        <v>1</v>
      </c>
      <c r="F1399" s="1179">
        <v>2</v>
      </c>
      <c r="G1399" s="1189" t="s">
        <v>6079</v>
      </c>
      <c r="H1399" s="1176">
        <v>1</v>
      </c>
      <c r="I1399" s="1176">
        <v>1</v>
      </c>
      <c r="J1399" s="1190">
        <v>2</v>
      </c>
      <c r="K1399" s="1180"/>
      <c r="L1399" s="1174">
        <v>13121011416</v>
      </c>
      <c r="M1399" s="1175">
        <v>1</v>
      </c>
      <c r="N1399" s="1175">
        <v>1</v>
      </c>
      <c r="O1399" s="1176">
        <v>2</v>
      </c>
      <c r="AA1399"/>
      <c r="AB1399"/>
    </row>
    <row r="1400" spans="3:28" ht="13.5">
      <c r="C1400" s="1181" t="s">
        <v>6080</v>
      </c>
      <c r="D1400" s="1178">
        <v>1</v>
      </c>
      <c r="E1400" s="1178">
        <v>1</v>
      </c>
      <c r="F1400" s="1179">
        <v>2</v>
      </c>
      <c r="G1400" s="1189" t="s">
        <v>6080</v>
      </c>
      <c r="H1400" s="1176">
        <v>1</v>
      </c>
      <c r="I1400" s="1176">
        <v>1</v>
      </c>
      <c r="J1400" s="1190">
        <v>2</v>
      </c>
      <c r="K1400" s="1180"/>
      <c r="L1400" s="1174">
        <v>13121011417</v>
      </c>
      <c r="M1400" s="1175">
        <v>1</v>
      </c>
      <c r="N1400" s="1175">
        <v>1</v>
      </c>
      <c r="O1400" s="1176">
        <v>2</v>
      </c>
      <c r="AA1400"/>
      <c r="AB1400"/>
    </row>
    <row r="1401" spans="3:28" ht="13.5">
      <c r="C1401" s="1181" t="s">
        <v>6081</v>
      </c>
      <c r="D1401" s="1178">
        <v>1</v>
      </c>
      <c r="E1401" s="1178">
        <v>1</v>
      </c>
      <c r="F1401" s="1179">
        <v>2</v>
      </c>
      <c r="G1401" s="1189" t="s">
        <v>6081</v>
      </c>
      <c r="H1401" s="1176">
        <v>1</v>
      </c>
      <c r="I1401" s="1176">
        <v>1</v>
      </c>
      <c r="J1401" s="1190">
        <v>2</v>
      </c>
      <c r="K1401" s="1180"/>
      <c r="L1401" s="1174">
        <v>13121011418</v>
      </c>
      <c r="M1401" s="1175">
        <v>1</v>
      </c>
      <c r="N1401" s="1175">
        <v>1</v>
      </c>
      <c r="O1401" s="1176">
        <v>2</v>
      </c>
      <c r="AA1401"/>
      <c r="AB1401"/>
    </row>
    <row r="1402" spans="3:28" ht="13.5">
      <c r="C1402" s="1181" t="s">
        <v>6082</v>
      </c>
      <c r="D1402" s="1178">
        <v>1</v>
      </c>
      <c r="E1402" s="1178">
        <v>1</v>
      </c>
      <c r="F1402" s="1179">
        <v>2</v>
      </c>
      <c r="G1402" s="1189" t="s">
        <v>6082</v>
      </c>
      <c r="H1402" s="1176">
        <v>1</v>
      </c>
      <c r="I1402" s="1176">
        <v>1</v>
      </c>
      <c r="J1402" s="1190">
        <v>2</v>
      </c>
      <c r="K1402" s="1180"/>
      <c r="L1402" s="1174">
        <v>13121011419</v>
      </c>
      <c r="M1402" s="1175">
        <v>1</v>
      </c>
      <c r="N1402" s="1175">
        <v>1</v>
      </c>
      <c r="O1402" s="1176">
        <v>2</v>
      </c>
      <c r="AA1402"/>
      <c r="AB1402"/>
    </row>
    <row r="1403" spans="3:28" ht="13.5">
      <c r="C1403" s="1181" t="s">
        <v>6083</v>
      </c>
      <c r="D1403" s="1178">
        <v>0</v>
      </c>
      <c r="E1403" s="1178">
        <v>0</v>
      </c>
      <c r="F1403" s="1179">
        <v>0</v>
      </c>
      <c r="G1403" s="1189" t="s">
        <v>6083</v>
      </c>
      <c r="H1403" s="1176">
        <v>0</v>
      </c>
      <c r="I1403" s="1176">
        <v>0</v>
      </c>
      <c r="J1403" s="1190">
        <v>0</v>
      </c>
      <c r="K1403" s="1180"/>
      <c r="L1403" s="1174">
        <v>13121011420</v>
      </c>
      <c r="M1403" s="1175">
        <v>0</v>
      </c>
      <c r="N1403" s="1175">
        <v>0</v>
      </c>
      <c r="O1403" s="1176">
        <v>0</v>
      </c>
      <c r="AA1403"/>
      <c r="AB1403"/>
    </row>
    <row r="1404" spans="3:28" ht="13.5">
      <c r="C1404" s="1181" t="s">
        <v>6084</v>
      </c>
      <c r="D1404" s="1178">
        <v>1</v>
      </c>
      <c r="E1404" s="1178">
        <v>0</v>
      </c>
      <c r="F1404" s="1179">
        <v>1</v>
      </c>
      <c r="G1404" s="1189" t="s">
        <v>6084</v>
      </c>
      <c r="H1404" s="1176">
        <v>1</v>
      </c>
      <c r="I1404" s="1176">
        <v>0</v>
      </c>
      <c r="J1404" s="1190">
        <v>1</v>
      </c>
      <c r="K1404" s="1180"/>
      <c r="L1404" s="1174">
        <v>13121011421</v>
      </c>
      <c r="M1404" s="1175">
        <v>1</v>
      </c>
      <c r="N1404" s="1175">
        <v>0</v>
      </c>
      <c r="O1404" s="1176">
        <v>1</v>
      </c>
      <c r="AA1404"/>
      <c r="AB1404"/>
    </row>
    <row r="1405" spans="3:28" ht="13.5">
      <c r="C1405" s="1181" t="s">
        <v>6085</v>
      </c>
      <c r="D1405" s="1178">
        <v>1</v>
      </c>
      <c r="E1405" s="1178">
        <v>1</v>
      </c>
      <c r="F1405" s="1179">
        <v>2</v>
      </c>
      <c r="G1405" s="1189" t="s">
        <v>6085</v>
      </c>
      <c r="H1405" s="1176">
        <v>1</v>
      </c>
      <c r="I1405" s="1176">
        <v>1</v>
      </c>
      <c r="J1405" s="1190">
        <v>2</v>
      </c>
      <c r="K1405" s="1180"/>
      <c r="L1405" s="1174">
        <v>13121011422</v>
      </c>
      <c r="M1405" s="1175">
        <v>1</v>
      </c>
      <c r="N1405" s="1175">
        <v>1</v>
      </c>
      <c r="O1405" s="1176">
        <v>2</v>
      </c>
      <c r="AA1405"/>
      <c r="AB1405"/>
    </row>
    <row r="1406" spans="3:28" ht="13.5">
      <c r="C1406" s="1181" t="s">
        <v>6086</v>
      </c>
      <c r="D1406" s="1178">
        <v>1</v>
      </c>
      <c r="E1406" s="1178">
        <v>1</v>
      </c>
      <c r="F1406" s="1179">
        <v>2</v>
      </c>
      <c r="G1406" s="1189" t="s">
        <v>6086</v>
      </c>
      <c r="H1406" s="1176">
        <v>1</v>
      </c>
      <c r="I1406" s="1176">
        <v>1</v>
      </c>
      <c r="J1406" s="1190">
        <v>2</v>
      </c>
      <c r="K1406" s="1180"/>
      <c r="L1406" s="1174">
        <v>13121011423</v>
      </c>
      <c r="M1406" s="1175">
        <v>1</v>
      </c>
      <c r="N1406" s="1175">
        <v>1</v>
      </c>
      <c r="O1406" s="1176">
        <v>2</v>
      </c>
      <c r="AA1406"/>
      <c r="AB1406"/>
    </row>
    <row r="1407" spans="3:28" ht="13.5">
      <c r="C1407" s="1181" t="s">
        <v>6087</v>
      </c>
      <c r="D1407" s="1178">
        <v>1</v>
      </c>
      <c r="E1407" s="1178">
        <v>1</v>
      </c>
      <c r="F1407" s="1179">
        <v>2</v>
      </c>
      <c r="G1407" s="1189" t="s">
        <v>6087</v>
      </c>
      <c r="H1407" s="1176">
        <v>1</v>
      </c>
      <c r="I1407" s="1176">
        <v>1</v>
      </c>
      <c r="J1407" s="1190">
        <v>2</v>
      </c>
      <c r="K1407" s="1180"/>
      <c r="L1407" s="1174">
        <v>13121011424</v>
      </c>
      <c r="M1407" s="1175">
        <v>1</v>
      </c>
      <c r="N1407" s="1175">
        <v>1</v>
      </c>
      <c r="O1407" s="1176">
        <v>2</v>
      </c>
      <c r="AA1407"/>
      <c r="AB1407"/>
    </row>
    <row r="1408" spans="3:28" ht="13.5">
      <c r="C1408" s="1181" t="s">
        <v>6088</v>
      </c>
      <c r="D1408" s="1178">
        <v>1</v>
      </c>
      <c r="E1408" s="1178">
        <v>1</v>
      </c>
      <c r="F1408" s="1179">
        <v>2</v>
      </c>
      <c r="G1408" s="1189" t="s">
        <v>6088</v>
      </c>
      <c r="H1408" s="1176">
        <v>1</v>
      </c>
      <c r="I1408" s="1176">
        <v>1</v>
      </c>
      <c r="J1408" s="1190">
        <v>2</v>
      </c>
      <c r="K1408" s="1180"/>
      <c r="L1408" s="1174">
        <v>13121011425</v>
      </c>
      <c r="M1408" s="1175">
        <v>1</v>
      </c>
      <c r="N1408" s="1175">
        <v>1</v>
      </c>
      <c r="O1408" s="1176">
        <v>2</v>
      </c>
      <c r="AA1408"/>
      <c r="AB1408"/>
    </row>
    <row r="1409" spans="3:28" ht="13.5">
      <c r="C1409" s="1181" t="s">
        <v>6089</v>
      </c>
      <c r="D1409" s="1178">
        <v>1</v>
      </c>
      <c r="E1409" s="1178">
        <v>1</v>
      </c>
      <c r="F1409" s="1179">
        <v>2</v>
      </c>
      <c r="G1409" s="1189" t="s">
        <v>6089</v>
      </c>
      <c r="H1409" s="1176">
        <v>1</v>
      </c>
      <c r="I1409" s="1176">
        <v>1</v>
      </c>
      <c r="J1409" s="1190">
        <v>2</v>
      </c>
      <c r="K1409" s="1180"/>
      <c r="L1409" s="1174">
        <v>13121011426</v>
      </c>
      <c r="M1409" s="1175">
        <v>1</v>
      </c>
      <c r="N1409" s="1175">
        <v>1</v>
      </c>
      <c r="O1409" s="1176">
        <v>2</v>
      </c>
      <c r="AA1409"/>
      <c r="AB1409"/>
    </row>
    <row r="1410" spans="3:28" ht="13.5">
      <c r="C1410" s="1181" t="s">
        <v>6090</v>
      </c>
      <c r="D1410" s="1178">
        <v>1</v>
      </c>
      <c r="E1410" s="1178">
        <v>1</v>
      </c>
      <c r="F1410" s="1179">
        <v>2</v>
      </c>
      <c r="G1410" s="1189" t="s">
        <v>6090</v>
      </c>
      <c r="H1410" s="1176">
        <v>1</v>
      </c>
      <c r="I1410" s="1176">
        <v>1</v>
      </c>
      <c r="J1410" s="1190">
        <v>2</v>
      </c>
      <c r="K1410" s="1180"/>
      <c r="L1410" s="1174">
        <v>13121011427</v>
      </c>
      <c r="M1410" s="1175">
        <v>1</v>
      </c>
      <c r="N1410" s="1175">
        <v>1</v>
      </c>
      <c r="O1410" s="1176">
        <v>2</v>
      </c>
      <c r="AA1410"/>
      <c r="AB1410"/>
    </row>
    <row r="1411" spans="3:28" ht="13.5">
      <c r="C1411" s="1181" t="s">
        <v>6091</v>
      </c>
      <c r="D1411" s="1178">
        <v>1</v>
      </c>
      <c r="E1411" s="1178">
        <v>1</v>
      </c>
      <c r="F1411" s="1179">
        <v>2</v>
      </c>
      <c r="G1411" s="1189" t="s">
        <v>6091</v>
      </c>
      <c r="H1411" s="1176">
        <v>1</v>
      </c>
      <c r="I1411" s="1176">
        <v>1</v>
      </c>
      <c r="J1411" s="1190">
        <v>2</v>
      </c>
      <c r="K1411" s="1180"/>
      <c r="L1411" s="1174">
        <v>13121011503</v>
      </c>
      <c r="M1411" s="1175">
        <v>1</v>
      </c>
      <c r="N1411" s="1175">
        <v>1</v>
      </c>
      <c r="O1411" s="1176">
        <v>2</v>
      </c>
      <c r="AA1411"/>
      <c r="AB1411"/>
    </row>
    <row r="1412" spans="3:28" ht="13.5">
      <c r="C1412" s="1181" t="s">
        <v>6092</v>
      </c>
      <c r="D1412" s="1178">
        <v>1</v>
      </c>
      <c r="E1412" s="1178">
        <v>1</v>
      </c>
      <c r="F1412" s="1179">
        <v>2</v>
      </c>
      <c r="G1412" s="1189" t="s">
        <v>6092</v>
      </c>
      <c r="H1412" s="1176">
        <v>1</v>
      </c>
      <c r="I1412" s="1176" t="s">
        <v>4455</v>
      </c>
      <c r="J1412" s="1190">
        <v>1</v>
      </c>
      <c r="K1412" s="1180"/>
      <c r="L1412" s="1174">
        <v>13121011504</v>
      </c>
      <c r="M1412" s="1175">
        <v>1</v>
      </c>
      <c r="N1412" s="1175">
        <v>1</v>
      </c>
      <c r="O1412" s="1176">
        <v>2</v>
      </c>
      <c r="AA1412"/>
      <c r="AB1412"/>
    </row>
    <row r="1413" spans="3:28" ht="13.5">
      <c r="C1413" s="1181" t="s">
        <v>6093</v>
      </c>
      <c r="D1413" s="1178">
        <v>1</v>
      </c>
      <c r="E1413" s="1178">
        <v>1</v>
      </c>
      <c r="F1413" s="1179">
        <v>2</v>
      </c>
      <c r="G1413" s="1189" t="s">
        <v>6093</v>
      </c>
      <c r="H1413" s="1176">
        <v>1</v>
      </c>
      <c r="I1413" s="1176">
        <v>1</v>
      </c>
      <c r="J1413" s="1190">
        <v>2</v>
      </c>
      <c r="K1413" s="1180"/>
      <c r="L1413" s="1174">
        <v>13121011505</v>
      </c>
      <c r="M1413" s="1175">
        <v>1</v>
      </c>
      <c r="N1413" s="1175">
        <v>1</v>
      </c>
      <c r="O1413" s="1176">
        <v>2</v>
      </c>
      <c r="AA1413"/>
      <c r="AB1413"/>
    </row>
    <row r="1414" spans="3:28" ht="13.5">
      <c r="C1414" s="1181" t="s">
        <v>6094</v>
      </c>
      <c r="D1414" s="1178">
        <v>1</v>
      </c>
      <c r="E1414" s="1178">
        <v>1</v>
      </c>
      <c r="F1414" s="1179">
        <v>2</v>
      </c>
      <c r="G1414" s="1189" t="s">
        <v>6094</v>
      </c>
      <c r="H1414" s="1176">
        <v>1</v>
      </c>
      <c r="I1414" s="1176">
        <v>1</v>
      </c>
      <c r="J1414" s="1190">
        <v>2</v>
      </c>
      <c r="K1414" s="1180"/>
      <c r="L1414" s="1174">
        <v>13121011506</v>
      </c>
      <c r="M1414" s="1175">
        <v>1</v>
      </c>
      <c r="N1414" s="1175">
        <v>1</v>
      </c>
      <c r="O1414" s="1176">
        <v>2</v>
      </c>
      <c r="AA1414"/>
      <c r="AB1414"/>
    </row>
    <row r="1415" spans="3:28" ht="13.5">
      <c r="C1415" s="1181" t="s">
        <v>6095</v>
      </c>
      <c r="D1415" s="1178">
        <v>1</v>
      </c>
      <c r="E1415" s="1178">
        <v>1</v>
      </c>
      <c r="F1415" s="1179">
        <v>2</v>
      </c>
      <c r="G1415" s="1189" t="s">
        <v>6095</v>
      </c>
      <c r="H1415" s="1176">
        <v>1</v>
      </c>
      <c r="I1415" s="1176">
        <v>1</v>
      </c>
      <c r="J1415" s="1190">
        <v>2</v>
      </c>
      <c r="K1415" s="1180"/>
      <c r="L1415" s="1174">
        <v>13121011610</v>
      </c>
      <c r="M1415" s="1175">
        <v>1</v>
      </c>
      <c r="N1415" s="1175">
        <v>1</v>
      </c>
      <c r="O1415" s="1176">
        <v>2</v>
      </c>
      <c r="AA1415"/>
      <c r="AB1415"/>
    </row>
    <row r="1416" spans="3:28" ht="13.5">
      <c r="C1416" s="1181" t="s">
        <v>6096</v>
      </c>
      <c r="D1416" s="1178">
        <v>1</v>
      </c>
      <c r="E1416" s="1178">
        <v>0</v>
      </c>
      <c r="F1416" s="1179">
        <v>1</v>
      </c>
      <c r="G1416" s="1189" t="s">
        <v>6096</v>
      </c>
      <c r="H1416" s="1176">
        <v>1</v>
      </c>
      <c r="I1416" s="1176">
        <v>1</v>
      </c>
      <c r="J1416" s="1190">
        <v>2</v>
      </c>
      <c r="K1416" s="1180"/>
      <c r="L1416" s="1174">
        <v>13121011611</v>
      </c>
      <c r="M1416" s="1175">
        <v>1</v>
      </c>
      <c r="N1416" s="1175">
        <v>1</v>
      </c>
      <c r="O1416" s="1176">
        <v>2</v>
      </c>
      <c r="AA1416"/>
      <c r="AB1416"/>
    </row>
    <row r="1417" spans="3:28" ht="13.5">
      <c r="C1417" s="1181" t="s">
        <v>6097</v>
      </c>
      <c r="D1417" s="1178">
        <v>1</v>
      </c>
      <c r="E1417" s="1178">
        <v>1</v>
      </c>
      <c r="F1417" s="1179">
        <v>2</v>
      </c>
      <c r="G1417" s="1189" t="s">
        <v>6097</v>
      </c>
      <c r="H1417" s="1176">
        <v>1</v>
      </c>
      <c r="I1417" s="1176" t="s">
        <v>4455</v>
      </c>
      <c r="J1417" s="1190">
        <v>1</v>
      </c>
      <c r="K1417" s="1180"/>
      <c r="L1417" s="1174">
        <v>13121011612</v>
      </c>
      <c r="M1417" s="1175">
        <v>1</v>
      </c>
      <c r="N1417" s="1175">
        <v>1</v>
      </c>
      <c r="O1417" s="1176">
        <v>2</v>
      </c>
      <c r="AA1417"/>
      <c r="AB1417"/>
    </row>
    <row r="1418" spans="3:28" ht="13.5">
      <c r="C1418" s="1181" t="s">
        <v>6098</v>
      </c>
      <c r="D1418" s="1178">
        <v>1</v>
      </c>
      <c r="E1418" s="1178">
        <v>1</v>
      </c>
      <c r="F1418" s="1179">
        <v>2</v>
      </c>
      <c r="G1418" s="1189" t="s">
        <v>6098</v>
      </c>
      <c r="H1418" s="1176">
        <v>1</v>
      </c>
      <c r="I1418" s="1176">
        <v>1</v>
      </c>
      <c r="J1418" s="1190">
        <v>2</v>
      </c>
      <c r="K1418" s="1180"/>
      <c r="L1418" s="1174">
        <v>13121011613</v>
      </c>
      <c r="M1418" s="1175">
        <v>1</v>
      </c>
      <c r="N1418" s="1175">
        <v>1</v>
      </c>
      <c r="O1418" s="1176">
        <v>2</v>
      </c>
      <c r="AA1418"/>
      <c r="AB1418"/>
    </row>
    <row r="1419" spans="3:28" ht="13.5">
      <c r="C1419" s="1181" t="s">
        <v>6099</v>
      </c>
      <c r="D1419" s="1178">
        <v>1</v>
      </c>
      <c r="E1419" s="1178">
        <v>1</v>
      </c>
      <c r="F1419" s="1179">
        <v>2</v>
      </c>
      <c r="G1419" s="1189" t="s">
        <v>6099</v>
      </c>
      <c r="H1419" s="1176">
        <v>1</v>
      </c>
      <c r="I1419" s="1176">
        <v>1</v>
      </c>
      <c r="J1419" s="1190">
        <v>2</v>
      </c>
      <c r="K1419" s="1180"/>
      <c r="L1419" s="1174">
        <v>13121011614</v>
      </c>
      <c r="M1419" s="1175">
        <v>1</v>
      </c>
      <c r="N1419" s="1175">
        <v>1</v>
      </c>
      <c r="O1419" s="1176">
        <v>2</v>
      </c>
      <c r="AA1419"/>
      <c r="AB1419"/>
    </row>
    <row r="1420" spans="3:28" ht="13.5">
      <c r="C1420" s="1181" t="s">
        <v>6100</v>
      </c>
      <c r="D1420" s="1178">
        <v>1</v>
      </c>
      <c r="E1420" s="1178">
        <v>1</v>
      </c>
      <c r="F1420" s="1179">
        <v>2</v>
      </c>
      <c r="G1420" s="1189" t="s">
        <v>6100</v>
      </c>
      <c r="H1420" s="1176">
        <v>1</v>
      </c>
      <c r="I1420" s="1176">
        <v>1</v>
      </c>
      <c r="J1420" s="1190">
        <v>2</v>
      </c>
      <c r="K1420" s="1180"/>
      <c r="L1420" s="1174">
        <v>13121011615</v>
      </c>
      <c r="M1420" s="1175">
        <v>1</v>
      </c>
      <c r="N1420" s="1175">
        <v>1</v>
      </c>
      <c r="O1420" s="1176">
        <v>2</v>
      </c>
      <c r="AA1420"/>
      <c r="AB1420"/>
    </row>
    <row r="1421" spans="3:28" ht="13.5">
      <c r="C1421" s="1181" t="s">
        <v>6101</v>
      </c>
      <c r="D1421" s="1178">
        <v>1</v>
      </c>
      <c r="E1421" s="1178">
        <v>1</v>
      </c>
      <c r="F1421" s="1179">
        <v>2</v>
      </c>
      <c r="G1421" s="1189" t="s">
        <v>6101</v>
      </c>
      <c r="H1421" s="1176">
        <v>1</v>
      </c>
      <c r="I1421" s="1176">
        <v>1</v>
      </c>
      <c r="J1421" s="1190">
        <v>2</v>
      </c>
      <c r="K1421" s="1180"/>
      <c r="L1421" s="1174">
        <v>13121011616</v>
      </c>
      <c r="M1421" s="1175">
        <v>1</v>
      </c>
      <c r="N1421" s="1175">
        <v>1</v>
      </c>
      <c r="O1421" s="1176">
        <v>2</v>
      </c>
      <c r="AA1421"/>
      <c r="AB1421"/>
    </row>
    <row r="1422" spans="3:28" ht="13.5">
      <c r="C1422" s="1181" t="s">
        <v>6102</v>
      </c>
      <c r="D1422" s="1178">
        <v>1</v>
      </c>
      <c r="E1422" s="1178">
        <v>1</v>
      </c>
      <c r="F1422" s="1179">
        <v>2</v>
      </c>
      <c r="G1422" s="1189" t="s">
        <v>6102</v>
      </c>
      <c r="H1422" s="1176">
        <v>1</v>
      </c>
      <c r="I1422" s="1176">
        <v>1</v>
      </c>
      <c r="J1422" s="1190">
        <v>2</v>
      </c>
      <c r="K1422" s="1180"/>
      <c r="L1422" s="1174">
        <v>13121011617</v>
      </c>
      <c r="M1422" s="1175">
        <v>1</v>
      </c>
      <c r="N1422" s="1175">
        <v>1</v>
      </c>
      <c r="O1422" s="1176">
        <v>2</v>
      </c>
      <c r="AA1422"/>
      <c r="AB1422"/>
    </row>
    <row r="1423" spans="3:28" ht="13.5">
      <c r="C1423" s="1181" t="s">
        <v>6103</v>
      </c>
      <c r="D1423" s="1178">
        <v>1</v>
      </c>
      <c r="E1423" s="1178">
        <v>1</v>
      </c>
      <c r="F1423" s="1179">
        <v>2</v>
      </c>
      <c r="G1423" s="1189" t="s">
        <v>6103</v>
      </c>
      <c r="H1423" s="1176">
        <v>1</v>
      </c>
      <c r="I1423" s="1176">
        <v>1</v>
      </c>
      <c r="J1423" s="1190">
        <v>2</v>
      </c>
      <c r="K1423" s="1180"/>
      <c r="L1423" s="1174">
        <v>13121011618</v>
      </c>
      <c r="M1423" s="1175">
        <v>1</v>
      </c>
      <c r="N1423" s="1175">
        <v>1</v>
      </c>
      <c r="O1423" s="1176">
        <v>2</v>
      </c>
      <c r="AA1423"/>
      <c r="AB1423"/>
    </row>
    <row r="1424" spans="3:28" ht="13.5">
      <c r="C1424" s="1181" t="s">
        <v>6104</v>
      </c>
      <c r="D1424" s="1178">
        <v>1</v>
      </c>
      <c r="E1424" s="1178">
        <v>1</v>
      </c>
      <c r="F1424" s="1179">
        <v>2</v>
      </c>
      <c r="G1424" s="1189" t="s">
        <v>6104</v>
      </c>
      <c r="H1424" s="1176">
        <v>1</v>
      </c>
      <c r="I1424" s="1176">
        <v>1</v>
      </c>
      <c r="J1424" s="1190">
        <v>2</v>
      </c>
      <c r="K1424" s="1180"/>
      <c r="L1424" s="1174">
        <v>13121011619</v>
      </c>
      <c r="M1424" s="1175">
        <v>1</v>
      </c>
      <c r="N1424" s="1175">
        <v>1</v>
      </c>
      <c r="O1424" s="1176">
        <v>2</v>
      </c>
      <c r="AA1424"/>
      <c r="AB1424"/>
    </row>
    <row r="1425" spans="3:28" ht="13.5">
      <c r="C1425" s="1181" t="s">
        <v>6105</v>
      </c>
      <c r="D1425" s="1178">
        <v>1</v>
      </c>
      <c r="E1425" s="1178">
        <v>1</v>
      </c>
      <c r="F1425" s="1179">
        <v>2</v>
      </c>
      <c r="G1425" s="1189" t="s">
        <v>6105</v>
      </c>
      <c r="H1425" s="1176">
        <v>1</v>
      </c>
      <c r="I1425" s="1176">
        <v>1</v>
      </c>
      <c r="J1425" s="1190">
        <v>2</v>
      </c>
      <c r="K1425" s="1180"/>
      <c r="L1425" s="1174">
        <v>13121011620</v>
      </c>
      <c r="M1425" s="1175">
        <v>1</v>
      </c>
      <c r="N1425" s="1175">
        <v>1</v>
      </c>
      <c r="O1425" s="1176">
        <v>2</v>
      </c>
      <c r="AA1425"/>
      <c r="AB1425"/>
    </row>
    <row r="1426" spans="3:28" ht="13.5">
      <c r="C1426" s="1181" t="s">
        <v>6106</v>
      </c>
      <c r="D1426" s="1178">
        <v>1</v>
      </c>
      <c r="E1426" s="1178">
        <v>1</v>
      </c>
      <c r="F1426" s="1179">
        <v>2</v>
      </c>
      <c r="G1426" s="1189" t="s">
        <v>6106</v>
      </c>
      <c r="H1426" s="1176">
        <v>1</v>
      </c>
      <c r="I1426" s="1176">
        <v>1</v>
      </c>
      <c r="J1426" s="1190">
        <v>2</v>
      </c>
      <c r="K1426" s="1180"/>
      <c r="L1426" s="1174">
        <v>13121011621</v>
      </c>
      <c r="M1426" s="1175">
        <v>1</v>
      </c>
      <c r="N1426" s="1175">
        <v>1</v>
      </c>
      <c r="O1426" s="1176">
        <v>2</v>
      </c>
      <c r="AA1426"/>
      <c r="AB1426"/>
    </row>
    <row r="1427" spans="3:28" ht="13.5">
      <c r="C1427" s="1181" t="s">
        <v>6107</v>
      </c>
      <c r="D1427" s="1178">
        <v>1</v>
      </c>
      <c r="E1427" s="1178">
        <v>1</v>
      </c>
      <c r="F1427" s="1179">
        <v>2</v>
      </c>
      <c r="G1427" s="1189" t="s">
        <v>6107</v>
      </c>
      <c r="H1427" s="1176">
        <v>1</v>
      </c>
      <c r="I1427" s="1176">
        <v>1</v>
      </c>
      <c r="J1427" s="1190">
        <v>2</v>
      </c>
      <c r="K1427" s="1180"/>
      <c r="L1427" s="1174">
        <v>13121011622</v>
      </c>
      <c r="M1427" s="1175">
        <v>1</v>
      </c>
      <c r="N1427" s="1175">
        <v>1</v>
      </c>
      <c r="O1427" s="1176">
        <v>2</v>
      </c>
      <c r="AA1427"/>
      <c r="AB1427"/>
    </row>
    <row r="1428" spans="3:28" ht="13.5">
      <c r="C1428" s="1181" t="s">
        <v>6108</v>
      </c>
      <c r="D1428" s="1178">
        <v>1</v>
      </c>
      <c r="E1428" s="1178">
        <v>1</v>
      </c>
      <c r="F1428" s="1179">
        <v>2</v>
      </c>
      <c r="G1428" s="1189" t="s">
        <v>6108</v>
      </c>
      <c r="H1428" s="1176">
        <v>1</v>
      </c>
      <c r="I1428" s="1176">
        <v>1</v>
      </c>
      <c r="J1428" s="1190">
        <v>2</v>
      </c>
      <c r="K1428" s="1180"/>
      <c r="L1428" s="1174">
        <v>13121011623</v>
      </c>
      <c r="M1428" s="1175">
        <v>1</v>
      </c>
      <c r="N1428" s="1175">
        <v>1</v>
      </c>
      <c r="O1428" s="1176">
        <v>2</v>
      </c>
      <c r="AA1428"/>
      <c r="AB1428"/>
    </row>
    <row r="1429" spans="3:28" ht="13.5">
      <c r="C1429" s="1181" t="s">
        <v>6109</v>
      </c>
      <c r="D1429" s="1178">
        <v>1</v>
      </c>
      <c r="E1429" s="1178">
        <v>1</v>
      </c>
      <c r="F1429" s="1179">
        <v>2</v>
      </c>
      <c r="G1429" s="1189" t="s">
        <v>6109</v>
      </c>
      <c r="H1429" s="1176">
        <v>1</v>
      </c>
      <c r="I1429" s="1176" t="s">
        <v>4455</v>
      </c>
      <c r="J1429" s="1190">
        <v>1</v>
      </c>
      <c r="K1429" s="1180"/>
      <c r="L1429" s="1174">
        <v>13121011624</v>
      </c>
      <c r="M1429" s="1175">
        <v>1</v>
      </c>
      <c r="N1429" s="1175">
        <v>1</v>
      </c>
      <c r="O1429" s="1176">
        <v>2</v>
      </c>
      <c r="AA1429"/>
      <c r="AB1429"/>
    </row>
    <row r="1430" spans="3:28" ht="13.5">
      <c r="C1430" s="1181" t="s">
        <v>6110</v>
      </c>
      <c r="D1430" s="1178">
        <v>1</v>
      </c>
      <c r="E1430" s="1178">
        <v>1</v>
      </c>
      <c r="F1430" s="1179">
        <v>2</v>
      </c>
      <c r="G1430" s="1189" t="s">
        <v>6110</v>
      </c>
      <c r="H1430" s="1176">
        <v>1</v>
      </c>
      <c r="I1430" s="1176">
        <v>1</v>
      </c>
      <c r="J1430" s="1190">
        <v>2</v>
      </c>
      <c r="K1430" s="1180"/>
      <c r="L1430" s="1174">
        <v>13121011625</v>
      </c>
      <c r="M1430" s="1175">
        <v>1</v>
      </c>
      <c r="N1430" s="1175">
        <v>1</v>
      </c>
      <c r="O1430" s="1176">
        <v>2</v>
      </c>
      <c r="AA1430"/>
      <c r="AB1430"/>
    </row>
    <row r="1431" spans="3:28" ht="13.5">
      <c r="C1431" s="1181" t="s">
        <v>6111</v>
      </c>
      <c r="D1431" s="1178">
        <v>1</v>
      </c>
      <c r="E1431" s="1178">
        <v>1</v>
      </c>
      <c r="F1431" s="1179">
        <v>2</v>
      </c>
      <c r="G1431" s="1189" t="s">
        <v>6111</v>
      </c>
      <c r="H1431" s="1176">
        <v>1</v>
      </c>
      <c r="I1431" s="1176">
        <v>1</v>
      </c>
      <c r="J1431" s="1190">
        <v>2</v>
      </c>
      <c r="K1431" s="1180"/>
      <c r="L1431" s="1174">
        <v>13121011626</v>
      </c>
      <c r="M1431" s="1175">
        <v>1</v>
      </c>
      <c r="N1431" s="1175">
        <v>1</v>
      </c>
      <c r="O1431" s="1176">
        <v>2</v>
      </c>
      <c r="AA1431"/>
      <c r="AB1431"/>
    </row>
    <row r="1432" spans="3:28" ht="13.5">
      <c r="C1432" s="1181" t="s">
        <v>6112</v>
      </c>
      <c r="D1432" s="1178">
        <v>0</v>
      </c>
      <c r="E1432" s="1178">
        <v>0</v>
      </c>
      <c r="F1432" s="1179">
        <v>0</v>
      </c>
      <c r="G1432" s="1189" t="s">
        <v>6112</v>
      </c>
      <c r="H1432" s="1176">
        <v>0</v>
      </c>
      <c r="I1432" s="1176">
        <v>0</v>
      </c>
      <c r="J1432" s="1190">
        <v>0</v>
      </c>
      <c r="K1432" s="1180"/>
      <c r="L1432" s="1174">
        <v>13121011800</v>
      </c>
      <c r="M1432" s="1175">
        <v>0</v>
      </c>
      <c r="N1432" s="1175">
        <v>0</v>
      </c>
      <c r="O1432" s="1176">
        <v>0</v>
      </c>
      <c r="AA1432"/>
      <c r="AB1432"/>
    </row>
    <row r="1433" spans="3:28" ht="13.5">
      <c r="C1433" s="1181" t="s">
        <v>6113</v>
      </c>
      <c r="D1433" s="1178">
        <v>0</v>
      </c>
      <c r="E1433" s="1178">
        <v>0</v>
      </c>
      <c r="F1433" s="1179">
        <v>0</v>
      </c>
      <c r="G1433" s="1189" t="s">
        <v>6113</v>
      </c>
      <c r="H1433" s="1176">
        <v>0</v>
      </c>
      <c r="I1433" s="1176" t="s">
        <v>4455</v>
      </c>
      <c r="J1433" s="1190">
        <v>0</v>
      </c>
      <c r="K1433" s="1180"/>
      <c r="L1433" s="1174">
        <v>13121011900</v>
      </c>
      <c r="M1433" s="1175">
        <v>0</v>
      </c>
      <c r="N1433" s="1175">
        <v>0</v>
      </c>
      <c r="O1433" s="1176">
        <v>0</v>
      </c>
      <c r="AA1433"/>
      <c r="AB1433"/>
    </row>
    <row r="1434" spans="3:28" ht="13.5">
      <c r="C1434" s="1181" t="s">
        <v>6114</v>
      </c>
      <c r="D1434" s="1178">
        <v>0</v>
      </c>
      <c r="E1434" s="1178">
        <v>0</v>
      </c>
      <c r="F1434" s="1179">
        <v>0</v>
      </c>
      <c r="G1434" s="1189" t="s">
        <v>6114</v>
      </c>
      <c r="H1434" s="1176">
        <v>0</v>
      </c>
      <c r="I1434" s="1176">
        <v>0</v>
      </c>
      <c r="J1434" s="1190">
        <v>0</v>
      </c>
      <c r="K1434" s="1180"/>
      <c r="L1434" s="1174">
        <v>13121012000</v>
      </c>
      <c r="M1434" s="1175">
        <v>0</v>
      </c>
      <c r="N1434" s="1175">
        <v>0</v>
      </c>
      <c r="O1434" s="1176">
        <v>0</v>
      </c>
      <c r="AA1434"/>
      <c r="AB1434"/>
    </row>
    <row r="1435" spans="3:28" ht="13.5">
      <c r="C1435" s="1181" t="s">
        <v>6115</v>
      </c>
      <c r="D1435" s="1178">
        <v>1</v>
      </c>
      <c r="E1435" s="1178">
        <v>0</v>
      </c>
      <c r="F1435" s="1179">
        <v>1</v>
      </c>
      <c r="G1435" s="1189" t="s">
        <v>6115</v>
      </c>
      <c r="H1435" s="1176">
        <v>1</v>
      </c>
      <c r="I1435" s="1176">
        <v>0</v>
      </c>
      <c r="J1435" s="1190">
        <v>1</v>
      </c>
      <c r="K1435" s="1180"/>
      <c r="L1435" s="1174">
        <v>13121012300</v>
      </c>
      <c r="M1435" s="1175">
        <v>1</v>
      </c>
      <c r="N1435" s="1175">
        <v>0</v>
      </c>
      <c r="O1435" s="1176">
        <v>1</v>
      </c>
      <c r="AA1435"/>
      <c r="AB1435"/>
    </row>
    <row r="1436" spans="3:28" ht="13.5">
      <c r="C1436" s="1181" t="s">
        <v>6116</v>
      </c>
      <c r="D1436" s="1178" t="s">
        <v>4455</v>
      </c>
      <c r="E1436" s="1178" t="s">
        <v>4455</v>
      </c>
      <c r="F1436" s="1179">
        <v>0</v>
      </c>
      <c r="G1436" s="1189" t="s">
        <v>6116</v>
      </c>
      <c r="H1436" s="1176" t="s">
        <v>4455</v>
      </c>
      <c r="I1436" s="1176" t="s">
        <v>4455</v>
      </c>
      <c r="J1436" s="1190">
        <v>0</v>
      </c>
      <c r="K1436" s="1180"/>
      <c r="L1436" s="1174">
        <v>13121980000</v>
      </c>
      <c r="M1436" s="1175">
        <v>0</v>
      </c>
      <c r="N1436" s="1175">
        <v>0</v>
      </c>
      <c r="O1436" s="1176">
        <v>0</v>
      </c>
      <c r="AA1436"/>
      <c r="AB1436"/>
    </row>
    <row r="1437" spans="3:28" ht="13.5">
      <c r="C1437" s="1181" t="s">
        <v>6117</v>
      </c>
      <c r="D1437" s="1178">
        <v>0</v>
      </c>
      <c r="E1437" s="1178">
        <v>0</v>
      </c>
      <c r="F1437" s="1179">
        <v>0</v>
      </c>
      <c r="G1437" s="1189" t="s">
        <v>6117</v>
      </c>
      <c r="H1437" s="1176">
        <v>0</v>
      </c>
      <c r="I1437" s="1176">
        <v>1</v>
      </c>
      <c r="J1437" s="1190">
        <v>1</v>
      </c>
      <c r="K1437" s="1180"/>
      <c r="L1437" s="1174">
        <v>13123080100</v>
      </c>
      <c r="M1437" s="1175">
        <v>0</v>
      </c>
      <c r="N1437" s="1175">
        <v>1</v>
      </c>
      <c r="O1437" s="1176">
        <v>1</v>
      </c>
      <c r="AA1437"/>
      <c r="AB1437"/>
    </row>
    <row r="1438" spans="3:28" ht="13.5">
      <c r="C1438" s="1181" t="s">
        <v>6118</v>
      </c>
      <c r="D1438" s="1178">
        <v>0</v>
      </c>
      <c r="E1438" s="1178">
        <v>0</v>
      </c>
      <c r="F1438" s="1179">
        <v>0</v>
      </c>
      <c r="G1438" s="1189" t="s">
        <v>6118</v>
      </c>
      <c r="H1438" s="1176">
        <v>0</v>
      </c>
      <c r="I1438" s="1176">
        <v>0</v>
      </c>
      <c r="J1438" s="1190">
        <v>0</v>
      </c>
      <c r="K1438" s="1180"/>
      <c r="L1438" s="1174">
        <v>13123080200</v>
      </c>
      <c r="M1438" s="1175">
        <v>0</v>
      </c>
      <c r="N1438" s="1175">
        <v>0</v>
      </c>
      <c r="O1438" s="1176">
        <v>0</v>
      </c>
      <c r="AA1438"/>
      <c r="AB1438"/>
    </row>
    <row r="1439" spans="3:28" ht="13.5">
      <c r="C1439" s="1181" t="s">
        <v>6119</v>
      </c>
      <c r="D1439" s="1178">
        <v>0</v>
      </c>
      <c r="E1439" s="1178">
        <v>0</v>
      </c>
      <c r="F1439" s="1179">
        <v>0</v>
      </c>
      <c r="G1439" s="1189" t="s">
        <v>6119</v>
      </c>
      <c r="H1439" s="1176">
        <v>0</v>
      </c>
      <c r="I1439" s="1176">
        <v>0</v>
      </c>
      <c r="J1439" s="1190">
        <v>0</v>
      </c>
      <c r="K1439" s="1180"/>
      <c r="L1439" s="1174">
        <v>13123080300</v>
      </c>
      <c r="M1439" s="1175">
        <v>0</v>
      </c>
      <c r="N1439" s="1175">
        <v>0</v>
      </c>
      <c r="O1439" s="1176">
        <v>0</v>
      </c>
      <c r="AA1439"/>
      <c r="AB1439"/>
    </row>
    <row r="1440" spans="3:28" ht="13.5">
      <c r="C1440" s="1181" t="s">
        <v>6120</v>
      </c>
      <c r="D1440" s="1178">
        <v>0</v>
      </c>
      <c r="E1440" s="1178">
        <v>0</v>
      </c>
      <c r="F1440" s="1179">
        <v>0</v>
      </c>
      <c r="G1440" s="1189" t="s">
        <v>6120</v>
      </c>
      <c r="H1440" s="1176">
        <v>0</v>
      </c>
      <c r="I1440" s="1176">
        <v>0</v>
      </c>
      <c r="J1440" s="1190">
        <v>0</v>
      </c>
      <c r="K1440" s="1180"/>
      <c r="L1440" s="1174">
        <v>13123080400</v>
      </c>
      <c r="M1440" s="1175">
        <v>0</v>
      </c>
      <c r="N1440" s="1175">
        <v>0</v>
      </c>
      <c r="O1440" s="1176">
        <v>0</v>
      </c>
      <c r="AA1440"/>
      <c r="AB1440"/>
    </row>
    <row r="1441" spans="3:28" ht="13.5">
      <c r="C1441" s="1181" t="s">
        <v>6121</v>
      </c>
      <c r="D1441" s="1178">
        <v>0</v>
      </c>
      <c r="E1441" s="1178">
        <v>0</v>
      </c>
      <c r="F1441" s="1179">
        <v>0</v>
      </c>
      <c r="G1441" s="1189" t="s">
        <v>6121</v>
      </c>
      <c r="H1441" s="1176">
        <v>0</v>
      </c>
      <c r="I1441" s="1176">
        <v>1</v>
      </c>
      <c r="J1441" s="1190">
        <v>1</v>
      </c>
      <c r="K1441" s="1180"/>
      <c r="L1441" s="1174">
        <v>13123080500</v>
      </c>
      <c r="M1441" s="1175">
        <v>0</v>
      </c>
      <c r="N1441" s="1175">
        <v>1</v>
      </c>
      <c r="O1441" s="1176">
        <v>1</v>
      </c>
      <c r="AA1441"/>
      <c r="AB1441"/>
    </row>
    <row r="1442" spans="3:28" ht="13.5">
      <c r="C1442" s="1181" t="s">
        <v>6122</v>
      </c>
      <c r="D1442" s="1178">
        <v>0</v>
      </c>
      <c r="E1442" s="1178">
        <v>0</v>
      </c>
      <c r="F1442" s="1179">
        <v>0</v>
      </c>
      <c r="G1442" s="1189" t="s">
        <v>6122</v>
      </c>
      <c r="H1442" s="1176">
        <v>0</v>
      </c>
      <c r="I1442" s="1176">
        <v>1</v>
      </c>
      <c r="J1442" s="1190">
        <v>1</v>
      </c>
      <c r="K1442" s="1180"/>
      <c r="L1442" s="1174">
        <v>13125010100</v>
      </c>
      <c r="M1442" s="1175">
        <v>0</v>
      </c>
      <c r="N1442" s="1175">
        <v>1</v>
      </c>
      <c r="O1442" s="1176">
        <v>1</v>
      </c>
      <c r="AA1442"/>
      <c r="AB1442"/>
    </row>
    <row r="1443" spans="3:28" ht="13.5">
      <c r="C1443" s="1181" t="s">
        <v>6123</v>
      </c>
      <c r="D1443" s="1178">
        <v>1</v>
      </c>
      <c r="E1443" s="1178">
        <v>1</v>
      </c>
      <c r="F1443" s="1179">
        <v>2</v>
      </c>
      <c r="G1443" s="1189" t="s">
        <v>6123</v>
      </c>
      <c r="H1443" s="1176">
        <v>1</v>
      </c>
      <c r="I1443" s="1176">
        <v>1</v>
      </c>
      <c r="J1443" s="1190">
        <v>2</v>
      </c>
      <c r="K1443" s="1180"/>
      <c r="L1443" s="1174">
        <v>13127000101</v>
      </c>
      <c r="M1443" s="1175">
        <v>1</v>
      </c>
      <c r="N1443" s="1175">
        <v>1</v>
      </c>
      <c r="O1443" s="1176">
        <v>2</v>
      </c>
      <c r="AA1443"/>
      <c r="AB1443"/>
    </row>
    <row r="1444" spans="3:28" ht="13.5">
      <c r="C1444" s="1181" t="s">
        <v>6124</v>
      </c>
      <c r="D1444" s="1178">
        <v>1</v>
      </c>
      <c r="E1444" s="1178">
        <v>1</v>
      </c>
      <c r="F1444" s="1179">
        <v>2</v>
      </c>
      <c r="G1444" s="1189" t="s">
        <v>6124</v>
      </c>
      <c r="H1444" s="1176">
        <v>1</v>
      </c>
      <c r="I1444" s="1176">
        <v>1</v>
      </c>
      <c r="J1444" s="1190">
        <v>2</v>
      </c>
      <c r="K1444" s="1180"/>
      <c r="L1444" s="1174">
        <v>13127000102</v>
      </c>
      <c r="M1444" s="1175">
        <v>1</v>
      </c>
      <c r="N1444" s="1175">
        <v>1</v>
      </c>
      <c r="O1444" s="1176">
        <v>2</v>
      </c>
      <c r="AA1444"/>
      <c r="AB1444"/>
    </row>
    <row r="1445" spans="3:28" ht="13.5">
      <c r="C1445" s="1181" t="s">
        <v>6125</v>
      </c>
      <c r="D1445" s="1178">
        <v>1</v>
      </c>
      <c r="E1445" s="1178">
        <v>1</v>
      </c>
      <c r="F1445" s="1179">
        <v>2</v>
      </c>
      <c r="G1445" s="1189" t="s">
        <v>6125</v>
      </c>
      <c r="H1445" s="1176">
        <v>1</v>
      </c>
      <c r="I1445" s="1176">
        <v>1</v>
      </c>
      <c r="J1445" s="1190">
        <v>2</v>
      </c>
      <c r="K1445" s="1180"/>
      <c r="L1445" s="1174">
        <v>13127000200</v>
      </c>
      <c r="M1445" s="1175">
        <v>1</v>
      </c>
      <c r="N1445" s="1175">
        <v>1</v>
      </c>
      <c r="O1445" s="1176">
        <v>2</v>
      </c>
      <c r="AA1445"/>
      <c r="AB1445"/>
    </row>
    <row r="1446" spans="3:28" ht="13.5">
      <c r="C1446" s="1181" t="s">
        <v>6126</v>
      </c>
      <c r="D1446" s="1178">
        <v>1</v>
      </c>
      <c r="E1446" s="1178">
        <v>1</v>
      </c>
      <c r="F1446" s="1179">
        <v>2</v>
      </c>
      <c r="G1446" s="1189" t="s">
        <v>6126</v>
      </c>
      <c r="H1446" s="1176">
        <v>1</v>
      </c>
      <c r="I1446" s="1176">
        <v>1</v>
      </c>
      <c r="J1446" s="1190">
        <v>2</v>
      </c>
      <c r="K1446" s="1180"/>
      <c r="L1446" s="1174">
        <v>13127000300</v>
      </c>
      <c r="M1446" s="1175">
        <v>1</v>
      </c>
      <c r="N1446" s="1175">
        <v>1</v>
      </c>
      <c r="O1446" s="1176">
        <v>2</v>
      </c>
      <c r="AA1446"/>
      <c r="AB1446"/>
    </row>
    <row r="1447" spans="3:28" ht="13.5">
      <c r="C1447" s="1181" t="s">
        <v>6127</v>
      </c>
      <c r="D1447" s="1178">
        <v>1</v>
      </c>
      <c r="E1447" s="1178">
        <v>0</v>
      </c>
      <c r="F1447" s="1179">
        <v>1</v>
      </c>
      <c r="G1447" s="1189" t="s">
        <v>6127</v>
      </c>
      <c r="H1447" s="1176">
        <v>0</v>
      </c>
      <c r="I1447" s="1176">
        <v>0</v>
      </c>
      <c r="J1447" s="1190">
        <v>0</v>
      </c>
      <c r="K1447" s="1180"/>
      <c r="L1447" s="1174">
        <v>13127000401</v>
      </c>
      <c r="M1447" s="1175">
        <v>1</v>
      </c>
      <c r="N1447" s="1175">
        <v>0</v>
      </c>
      <c r="O1447" s="1176">
        <v>1</v>
      </c>
      <c r="AA1447"/>
      <c r="AB1447"/>
    </row>
    <row r="1448" spans="3:28" ht="13.5">
      <c r="C1448" s="1181" t="s">
        <v>6128</v>
      </c>
      <c r="D1448" s="1178">
        <v>0</v>
      </c>
      <c r="E1448" s="1178">
        <v>1</v>
      </c>
      <c r="F1448" s="1179">
        <v>1</v>
      </c>
      <c r="G1448" s="1189" t="s">
        <v>6128</v>
      </c>
      <c r="H1448" s="1176">
        <v>0</v>
      </c>
      <c r="I1448" s="1176">
        <v>1</v>
      </c>
      <c r="J1448" s="1190">
        <v>1</v>
      </c>
      <c r="K1448" s="1180"/>
      <c r="L1448" s="1174">
        <v>13127000403</v>
      </c>
      <c r="M1448" s="1175">
        <v>0</v>
      </c>
      <c r="N1448" s="1175">
        <v>1</v>
      </c>
      <c r="O1448" s="1176">
        <v>1</v>
      </c>
      <c r="AA1448"/>
      <c r="AB1448"/>
    </row>
    <row r="1449" spans="3:28" ht="13.5">
      <c r="C1449" s="1181" t="s">
        <v>6129</v>
      </c>
      <c r="D1449" s="1178">
        <v>0</v>
      </c>
      <c r="E1449" s="1178">
        <v>1</v>
      </c>
      <c r="F1449" s="1179">
        <v>1</v>
      </c>
      <c r="G1449" s="1189" t="s">
        <v>6129</v>
      </c>
      <c r="H1449" s="1176">
        <v>0</v>
      </c>
      <c r="I1449" s="1176">
        <v>1</v>
      </c>
      <c r="J1449" s="1190">
        <v>1</v>
      </c>
      <c r="K1449" s="1180"/>
      <c r="L1449" s="1174">
        <v>13127000404</v>
      </c>
      <c r="M1449" s="1175">
        <v>0</v>
      </c>
      <c r="N1449" s="1175">
        <v>1</v>
      </c>
      <c r="O1449" s="1176">
        <v>1</v>
      </c>
      <c r="AA1449"/>
      <c r="AB1449"/>
    </row>
    <row r="1450" spans="3:28" ht="13.5">
      <c r="C1450" s="1181" t="s">
        <v>6130</v>
      </c>
      <c r="D1450" s="1178">
        <v>0</v>
      </c>
      <c r="E1450" s="1178">
        <v>0</v>
      </c>
      <c r="F1450" s="1179">
        <v>0</v>
      </c>
      <c r="G1450" s="1189" t="s">
        <v>6130</v>
      </c>
      <c r="H1450" s="1176">
        <v>0</v>
      </c>
      <c r="I1450" s="1176">
        <v>0</v>
      </c>
      <c r="J1450" s="1190">
        <v>0</v>
      </c>
      <c r="K1450" s="1180"/>
      <c r="L1450" s="1174">
        <v>13127000501</v>
      </c>
      <c r="M1450" s="1175">
        <v>0</v>
      </c>
      <c r="N1450" s="1175">
        <v>0</v>
      </c>
      <c r="O1450" s="1176">
        <v>0</v>
      </c>
      <c r="AA1450"/>
      <c r="AB1450"/>
    </row>
    <row r="1451" spans="3:28" ht="13.5">
      <c r="C1451" s="1181" t="s">
        <v>6131</v>
      </c>
      <c r="D1451" s="1178">
        <v>0</v>
      </c>
      <c r="E1451" s="1178">
        <v>0</v>
      </c>
      <c r="F1451" s="1179">
        <v>0</v>
      </c>
      <c r="G1451" s="1189" t="s">
        <v>6131</v>
      </c>
      <c r="H1451" s="1176">
        <v>0</v>
      </c>
      <c r="I1451" s="1176">
        <v>0</v>
      </c>
      <c r="J1451" s="1190">
        <v>0</v>
      </c>
      <c r="K1451" s="1180"/>
      <c r="L1451" s="1174">
        <v>13127000503</v>
      </c>
      <c r="M1451" s="1175">
        <v>0</v>
      </c>
      <c r="N1451" s="1175">
        <v>0</v>
      </c>
      <c r="O1451" s="1176">
        <v>0</v>
      </c>
      <c r="AA1451"/>
      <c r="AB1451"/>
    </row>
    <row r="1452" spans="3:28" ht="13.5">
      <c r="C1452" s="1181" t="s">
        <v>6132</v>
      </c>
      <c r="D1452" s="1178">
        <v>0</v>
      </c>
      <c r="E1452" s="1178">
        <v>0</v>
      </c>
      <c r="F1452" s="1179">
        <v>0</v>
      </c>
      <c r="G1452" s="1189" t="s">
        <v>6132</v>
      </c>
      <c r="H1452" s="1176">
        <v>0</v>
      </c>
      <c r="I1452" s="1176">
        <v>0</v>
      </c>
      <c r="J1452" s="1190">
        <v>0</v>
      </c>
      <c r="K1452" s="1180"/>
      <c r="L1452" s="1174">
        <v>13127000504</v>
      </c>
      <c r="M1452" s="1175">
        <v>0</v>
      </c>
      <c r="N1452" s="1175">
        <v>0</v>
      </c>
      <c r="O1452" s="1176">
        <v>0</v>
      </c>
      <c r="AA1452"/>
      <c r="AB1452"/>
    </row>
    <row r="1453" spans="3:28" ht="13.5">
      <c r="C1453" s="1181" t="s">
        <v>6133</v>
      </c>
      <c r="D1453" s="1178">
        <v>0</v>
      </c>
      <c r="E1453" s="1178">
        <v>0</v>
      </c>
      <c r="F1453" s="1179">
        <v>0</v>
      </c>
      <c r="G1453" s="1189" t="s">
        <v>6133</v>
      </c>
      <c r="H1453" s="1176">
        <v>0</v>
      </c>
      <c r="I1453" s="1176">
        <v>0</v>
      </c>
      <c r="J1453" s="1190">
        <v>0</v>
      </c>
      <c r="K1453" s="1180"/>
      <c r="L1453" s="1174">
        <v>13127000600</v>
      </c>
      <c r="M1453" s="1175">
        <v>0</v>
      </c>
      <c r="N1453" s="1175">
        <v>0</v>
      </c>
      <c r="O1453" s="1176">
        <v>0</v>
      </c>
      <c r="AA1453"/>
      <c r="AB1453"/>
    </row>
    <row r="1454" spans="3:28" ht="13.5">
      <c r="C1454" s="1181" t="s">
        <v>6134</v>
      </c>
      <c r="D1454" s="1178">
        <v>0</v>
      </c>
      <c r="E1454" s="1178">
        <v>0</v>
      </c>
      <c r="F1454" s="1179">
        <v>0</v>
      </c>
      <c r="G1454" s="1189" t="s">
        <v>6134</v>
      </c>
      <c r="H1454" s="1176">
        <v>0</v>
      </c>
      <c r="I1454" s="1176">
        <v>0</v>
      </c>
      <c r="J1454" s="1190">
        <v>0</v>
      </c>
      <c r="K1454" s="1180"/>
      <c r="L1454" s="1174">
        <v>13127000700</v>
      </c>
      <c r="M1454" s="1175">
        <v>0</v>
      </c>
      <c r="N1454" s="1175">
        <v>0</v>
      </c>
      <c r="O1454" s="1176">
        <v>0</v>
      </c>
      <c r="AA1454"/>
      <c r="AB1454"/>
    </row>
    <row r="1455" spans="3:28" ht="13.5">
      <c r="C1455" s="1181" t="s">
        <v>6135</v>
      </c>
      <c r="D1455" s="1178">
        <v>0</v>
      </c>
      <c r="E1455" s="1178">
        <v>0</v>
      </c>
      <c r="F1455" s="1179">
        <v>0</v>
      </c>
      <c r="G1455" s="1189" t="s">
        <v>6135</v>
      </c>
      <c r="H1455" s="1176">
        <v>0</v>
      </c>
      <c r="I1455" s="1176">
        <v>0</v>
      </c>
      <c r="J1455" s="1190">
        <v>0</v>
      </c>
      <c r="K1455" s="1180"/>
      <c r="L1455" s="1174">
        <v>13127000800</v>
      </c>
      <c r="M1455" s="1175">
        <v>0</v>
      </c>
      <c r="N1455" s="1175">
        <v>0</v>
      </c>
      <c r="O1455" s="1176">
        <v>0</v>
      </c>
      <c r="AA1455"/>
      <c r="AB1455"/>
    </row>
    <row r="1456" spans="3:28" ht="13.5">
      <c r="C1456" s="1181" t="s">
        <v>6136</v>
      </c>
      <c r="D1456" s="1178">
        <v>0</v>
      </c>
      <c r="E1456" s="1178">
        <v>0</v>
      </c>
      <c r="F1456" s="1179">
        <v>0</v>
      </c>
      <c r="G1456" s="1189" t="s">
        <v>6136</v>
      </c>
      <c r="H1456" s="1176">
        <v>0</v>
      </c>
      <c r="I1456" s="1176">
        <v>0</v>
      </c>
      <c r="J1456" s="1190">
        <v>0</v>
      </c>
      <c r="K1456" s="1180"/>
      <c r="L1456" s="1174">
        <v>13127000900</v>
      </c>
      <c r="M1456" s="1175">
        <v>0</v>
      </c>
      <c r="N1456" s="1175">
        <v>0</v>
      </c>
      <c r="O1456" s="1176">
        <v>0</v>
      </c>
      <c r="AA1456"/>
      <c r="AB1456"/>
    </row>
    <row r="1457" spans="3:28" ht="13.5">
      <c r="C1457" s="1181" t="s">
        <v>6137</v>
      </c>
      <c r="D1457" s="1178">
        <v>1</v>
      </c>
      <c r="E1457" s="1178">
        <v>1</v>
      </c>
      <c r="F1457" s="1179">
        <v>2</v>
      </c>
      <c r="G1457" s="1189" t="s">
        <v>6137</v>
      </c>
      <c r="H1457" s="1176">
        <v>1</v>
      </c>
      <c r="I1457" s="1176">
        <v>0</v>
      </c>
      <c r="J1457" s="1190">
        <v>1</v>
      </c>
      <c r="K1457" s="1180"/>
      <c r="L1457" s="1174">
        <v>13127001000</v>
      </c>
      <c r="M1457" s="1175">
        <v>1</v>
      </c>
      <c r="N1457" s="1175">
        <v>1</v>
      </c>
      <c r="O1457" s="1176">
        <v>2</v>
      </c>
      <c r="AA1457"/>
      <c r="AB1457"/>
    </row>
    <row r="1458" spans="3:28" ht="13.5">
      <c r="C1458" s="1181" t="s">
        <v>6138</v>
      </c>
      <c r="D1458" s="1178" t="s">
        <v>4455</v>
      </c>
      <c r="E1458" s="1178" t="s">
        <v>4455</v>
      </c>
      <c r="F1458" s="1179">
        <v>0</v>
      </c>
      <c r="G1458" s="1189" t="s">
        <v>6138</v>
      </c>
      <c r="H1458" s="1176" t="s">
        <v>4455</v>
      </c>
      <c r="I1458" s="1176" t="s">
        <v>4455</v>
      </c>
      <c r="J1458" s="1190">
        <v>0</v>
      </c>
      <c r="K1458" s="1180"/>
      <c r="L1458" s="1174">
        <v>13127990000</v>
      </c>
      <c r="M1458" s="1175">
        <v>0</v>
      </c>
      <c r="N1458" s="1175">
        <v>0</v>
      </c>
      <c r="O1458" s="1176">
        <v>0</v>
      </c>
      <c r="AA1458"/>
      <c r="AB1458"/>
    </row>
    <row r="1459" spans="3:28" ht="13.5">
      <c r="C1459" s="1181" t="s">
        <v>6139</v>
      </c>
      <c r="D1459" s="1178">
        <v>0</v>
      </c>
      <c r="E1459" s="1178">
        <v>0</v>
      </c>
      <c r="F1459" s="1179">
        <v>0</v>
      </c>
      <c r="G1459" s="1189" t="s">
        <v>6139</v>
      </c>
      <c r="H1459" s="1176">
        <v>0</v>
      </c>
      <c r="I1459" s="1176">
        <v>0</v>
      </c>
      <c r="J1459" s="1190">
        <v>0</v>
      </c>
      <c r="K1459" s="1180"/>
      <c r="L1459" s="1174">
        <v>13129970100</v>
      </c>
      <c r="M1459" s="1175">
        <v>0</v>
      </c>
      <c r="N1459" s="1175">
        <v>0</v>
      </c>
      <c r="O1459" s="1176">
        <v>0</v>
      </c>
      <c r="AA1459"/>
      <c r="AB1459"/>
    </row>
    <row r="1460" spans="3:28" ht="13.5">
      <c r="C1460" s="1181" t="s">
        <v>6140</v>
      </c>
      <c r="D1460" s="1178">
        <v>0</v>
      </c>
      <c r="E1460" s="1178">
        <v>0</v>
      </c>
      <c r="F1460" s="1179">
        <v>0</v>
      </c>
      <c r="G1460" s="1189" t="s">
        <v>6140</v>
      </c>
      <c r="H1460" s="1176">
        <v>0</v>
      </c>
      <c r="I1460" s="1176">
        <v>0</v>
      </c>
      <c r="J1460" s="1190">
        <v>0</v>
      </c>
      <c r="K1460" s="1180"/>
      <c r="L1460" s="1174">
        <v>13129970200</v>
      </c>
      <c r="M1460" s="1175">
        <v>0</v>
      </c>
      <c r="N1460" s="1175">
        <v>0</v>
      </c>
      <c r="O1460" s="1176">
        <v>0</v>
      </c>
      <c r="AA1460"/>
      <c r="AB1460"/>
    </row>
    <row r="1461" spans="3:28" ht="13.5">
      <c r="C1461" s="1181" t="s">
        <v>6141</v>
      </c>
      <c r="D1461" s="1178">
        <v>0</v>
      </c>
      <c r="E1461" s="1178">
        <v>0</v>
      </c>
      <c r="F1461" s="1179">
        <v>0</v>
      </c>
      <c r="G1461" s="1189" t="s">
        <v>6141</v>
      </c>
      <c r="H1461" s="1176">
        <v>0</v>
      </c>
      <c r="I1461" s="1176">
        <v>0</v>
      </c>
      <c r="J1461" s="1190">
        <v>0</v>
      </c>
      <c r="K1461" s="1180"/>
      <c r="L1461" s="1174">
        <v>13129970300</v>
      </c>
      <c r="M1461" s="1175">
        <v>0</v>
      </c>
      <c r="N1461" s="1175">
        <v>0</v>
      </c>
      <c r="O1461" s="1176">
        <v>0</v>
      </c>
      <c r="AA1461"/>
      <c r="AB1461"/>
    </row>
    <row r="1462" spans="3:28" ht="13.5">
      <c r="C1462" s="1181" t="s">
        <v>6142</v>
      </c>
      <c r="D1462" s="1178">
        <v>0</v>
      </c>
      <c r="E1462" s="1178">
        <v>0</v>
      </c>
      <c r="F1462" s="1179">
        <v>0</v>
      </c>
      <c r="G1462" s="1189" t="s">
        <v>6142</v>
      </c>
      <c r="H1462" s="1176">
        <v>0</v>
      </c>
      <c r="I1462" s="1176">
        <v>0</v>
      </c>
      <c r="J1462" s="1190">
        <v>0</v>
      </c>
      <c r="K1462" s="1180"/>
      <c r="L1462" s="1174">
        <v>13129970400</v>
      </c>
      <c r="M1462" s="1175">
        <v>0</v>
      </c>
      <c r="N1462" s="1175">
        <v>0</v>
      </c>
      <c r="O1462" s="1176">
        <v>0</v>
      </c>
      <c r="AA1462"/>
      <c r="AB1462"/>
    </row>
    <row r="1463" spans="3:28" ht="13.5">
      <c r="C1463" s="1181" t="s">
        <v>6143</v>
      </c>
      <c r="D1463" s="1178">
        <v>0</v>
      </c>
      <c r="E1463" s="1178">
        <v>0</v>
      </c>
      <c r="F1463" s="1179">
        <v>0</v>
      </c>
      <c r="G1463" s="1189" t="s">
        <v>6143</v>
      </c>
      <c r="H1463" s="1176">
        <v>0</v>
      </c>
      <c r="I1463" s="1176">
        <v>0</v>
      </c>
      <c r="J1463" s="1190">
        <v>0</v>
      </c>
      <c r="K1463" s="1180"/>
      <c r="L1463" s="1174">
        <v>13129970500</v>
      </c>
      <c r="M1463" s="1175">
        <v>0</v>
      </c>
      <c r="N1463" s="1175">
        <v>0</v>
      </c>
      <c r="O1463" s="1176">
        <v>0</v>
      </c>
      <c r="AA1463"/>
      <c r="AB1463"/>
    </row>
    <row r="1464" spans="3:28" ht="13.5">
      <c r="C1464" s="1181" t="s">
        <v>6144</v>
      </c>
      <c r="D1464" s="1178">
        <v>0</v>
      </c>
      <c r="E1464" s="1178">
        <v>0</v>
      </c>
      <c r="F1464" s="1179">
        <v>0</v>
      </c>
      <c r="G1464" s="1189" t="s">
        <v>6144</v>
      </c>
      <c r="H1464" s="1176">
        <v>0</v>
      </c>
      <c r="I1464" s="1176">
        <v>0</v>
      </c>
      <c r="J1464" s="1190">
        <v>0</v>
      </c>
      <c r="K1464" s="1180"/>
      <c r="L1464" s="1174">
        <v>13129970600</v>
      </c>
      <c r="M1464" s="1175">
        <v>0</v>
      </c>
      <c r="N1464" s="1175">
        <v>0</v>
      </c>
      <c r="O1464" s="1176">
        <v>0</v>
      </c>
      <c r="AA1464"/>
      <c r="AB1464"/>
    </row>
    <row r="1465" spans="3:28" ht="13.5">
      <c r="C1465" s="1181" t="s">
        <v>6145</v>
      </c>
      <c r="D1465" s="1178">
        <v>0</v>
      </c>
      <c r="E1465" s="1178">
        <v>0</v>
      </c>
      <c r="F1465" s="1179">
        <v>0</v>
      </c>
      <c r="G1465" s="1189" t="s">
        <v>6145</v>
      </c>
      <c r="H1465" s="1176">
        <v>0</v>
      </c>
      <c r="I1465" s="1176">
        <v>0</v>
      </c>
      <c r="J1465" s="1190">
        <v>0</v>
      </c>
      <c r="K1465" s="1180"/>
      <c r="L1465" s="1174">
        <v>13129970700</v>
      </c>
      <c r="M1465" s="1175">
        <v>0</v>
      </c>
      <c r="N1465" s="1175">
        <v>0</v>
      </c>
      <c r="O1465" s="1176">
        <v>0</v>
      </c>
      <c r="AA1465"/>
      <c r="AB1465"/>
    </row>
    <row r="1466" spans="3:28" ht="13.5">
      <c r="C1466" s="1181" t="s">
        <v>6146</v>
      </c>
      <c r="D1466" s="1178">
        <v>1</v>
      </c>
      <c r="E1466" s="1178">
        <v>1</v>
      </c>
      <c r="F1466" s="1179">
        <v>2</v>
      </c>
      <c r="G1466" s="1189" t="s">
        <v>6146</v>
      </c>
      <c r="H1466" s="1176">
        <v>1</v>
      </c>
      <c r="I1466" s="1176">
        <v>1</v>
      </c>
      <c r="J1466" s="1190">
        <v>2</v>
      </c>
      <c r="K1466" s="1180"/>
      <c r="L1466" s="1174">
        <v>13129970800</v>
      </c>
      <c r="M1466" s="1175">
        <v>1</v>
      </c>
      <c r="N1466" s="1175">
        <v>1</v>
      </c>
      <c r="O1466" s="1176">
        <v>2</v>
      </c>
      <c r="AA1466"/>
      <c r="AB1466"/>
    </row>
    <row r="1467" spans="3:28" ht="13.5">
      <c r="C1467" s="1181" t="s">
        <v>6147</v>
      </c>
      <c r="D1467" s="1178">
        <v>1</v>
      </c>
      <c r="E1467" s="1178">
        <v>0</v>
      </c>
      <c r="F1467" s="1179">
        <v>1</v>
      </c>
      <c r="G1467" s="1189" t="s">
        <v>6147</v>
      </c>
      <c r="H1467" s="1176">
        <v>1</v>
      </c>
      <c r="I1467" s="1176">
        <v>1</v>
      </c>
      <c r="J1467" s="1190">
        <v>2</v>
      </c>
      <c r="K1467" s="1180"/>
      <c r="L1467" s="1174">
        <v>13129970900</v>
      </c>
      <c r="M1467" s="1175">
        <v>1</v>
      </c>
      <c r="N1467" s="1175">
        <v>1</v>
      </c>
      <c r="O1467" s="1176">
        <v>2</v>
      </c>
      <c r="AA1467"/>
      <c r="AB1467"/>
    </row>
    <row r="1468" spans="3:28" ht="13.5">
      <c r="C1468" s="1181" t="s">
        <v>6148</v>
      </c>
      <c r="D1468" s="1178">
        <v>0</v>
      </c>
      <c r="E1468" s="1178">
        <v>0</v>
      </c>
      <c r="F1468" s="1179">
        <v>0</v>
      </c>
      <c r="G1468" s="1189" t="s">
        <v>6148</v>
      </c>
      <c r="H1468" s="1176">
        <v>0</v>
      </c>
      <c r="I1468" s="1176">
        <v>1</v>
      </c>
      <c r="J1468" s="1190">
        <v>1</v>
      </c>
      <c r="K1468" s="1180"/>
      <c r="L1468" s="1174">
        <v>13131950100</v>
      </c>
      <c r="M1468" s="1175">
        <v>0</v>
      </c>
      <c r="N1468" s="1175">
        <v>1</v>
      </c>
      <c r="O1468" s="1176">
        <v>1</v>
      </c>
      <c r="AA1468"/>
      <c r="AB1468"/>
    </row>
    <row r="1469" spans="3:28" ht="13.5">
      <c r="C1469" s="1181" t="s">
        <v>6149</v>
      </c>
      <c r="D1469" s="1178">
        <v>0</v>
      </c>
      <c r="E1469" s="1178">
        <v>0</v>
      </c>
      <c r="F1469" s="1179">
        <v>0</v>
      </c>
      <c r="G1469" s="1189" t="s">
        <v>6149</v>
      </c>
      <c r="H1469" s="1176">
        <v>0</v>
      </c>
      <c r="I1469" s="1176">
        <v>0</v>
      </c>
      <c r="J1469" s="1190">
        <v>0</v>
      </c>
      <c r="K1469" s="1180"/>
      <c r="L1469" s="1174">
        <v>13131950200</v>
      </c>
      <c r="M1469" s="1175">
        <v>0</v>
      </c>
      <c r="N1469" s="1175">
        <v>0</v>
      </c>
      <c r="O1469" s="1176">
        <v>0</v>
      </c>
      <c r="AA1469"/>
      <c r="AB1469"/>
    </row>
    <row r="1470" spans="3:28" ht="13.5">
      <c r="C1470" s="1181" t="s">
        <v>6150</v>
      </c>
      <c r="D1470" s="1178">
        <v>0</v>
      </c>
      <c r="E1470" s="1178">
        <v>0</v>
      </c>
      <c r="F1470" s="1179">
        <v>0</v>
      </c>
      <c r="G1470" s="1189" t="s">
        <v>6150</v>
      </c>
      <c r="H1470" s="1176">
        <v>0</v>
      </c>
      <c r="I1470" s="1176">
        <v>0</v>
      </c>
      <c r="J1470" s="1190">
        <v>0</v>
      </c>
      <c r="K1470" s="1180"/>
      <c r="L1470" s="1174">
        <v>13131950300</v>
      </c>
      <c r="M1470" s="1175">
        <v>0</v>
      </c>
      <c r="N1470" s="1175">
        <v>0</v>
      </c>
      <c r="O1470" s="1176">
        <v>0</v>
      </c>
      <c r="AA1470"/>
      <c r="AB1470"/>
    </row>
    <row r="1471" spans="3:28" ht="13.5">
      <c r="C1471" s="1181" t="s">
        <v>6151</v>
      </c>
      <c r="D1471" s="1178">
        <v>0</v>
      </c>
      <c r="E1471" s="1178">
        <v>0</v>
      </c>
      <c r="F1471" s="1179">
        <v>0</v>
      </c>
      <c r="G1471" s="1189" t="s">
        <v>6151</v>
      </c>
      <c r="H1471" s="1176">
        <v>0</v>
      </c>
      <c r="I1471" s="1176">
        <v>0</v>
      </c>
      <c r="J1471" s="1190">
        <v>0</v>
      </c>
      <c r="K1471" s="1180"/>
      <c r="L1471" s="1174">
        <v>13131950400</v>
      </c>
      <c r="M1471" s="1175">
        <v>0</v>
      </c>
      <c r="N1471" s="1175">
        <v>0</v>
      </c>
      <c r="O1471" s="1176">
        <v>0</v>
      </c>
      <c r="AA1471"/>
      <c r="AB1471"/>
    </row>
    <row r="1472" spans="3:28" ht="13.5">
      <c r="C1472" s="1181" t="s">
        <v>6152</v>
      </c>
      <c r="D1472" s="1178">
        <v>0</v>
      </c>
      <c r="E1472" s="1178">
        <v>0</v>
      </c>
      <c r="F1472" s="1179">
        <v>0</v>
      </c>
      <c r="G1472" s="1189" t="s">
        <v>6152</v>
      </c>
      <c r="H1472" s="1176">
        <v>0</v>
      </c>
      <c r="I1472" s="1176">
        <v>0</v>
      </c>
      <c r="J1472" s="1190">
        <v>0</v>
      </c>
      <c r="K1472" s="1180"/>
      <c r="L1472" s="1174">
        <v>13131950500</v>
      </c>
      <c r="M1472" s="1175">
        <v>0</v>
      </c>
      <c r="N1472" s="1175">
        <v>0</v>
      </c>
      <c r="O1472" s="1176">
        <v>0</v>
      </c>
      <c r="AA1472"/>
      <c r="AB1472"/>
    </row>
    <row r="1473" spans="3:28" ht="13.5">
      <c r="C1473" s="1181" t="s">
        <v>6153</v>
      </c>
      <c r="D1473" s="1178">
        <v>1</v>
      </c>
      <c r="E1473" s="1178">
        <v>0</v>
      </c>
      <c r="F1473" s="1179">
        <v>1</v>
      </c>
      <c r="G1473" s="1189" t="s">
        <v>6153</v>
      </c>
      <c r="H1473" s="1176">
        <v>1</v>
      </c>
      <c r="I1473" s="1176">
        <v>1</v>
      </c>
      <c r="J1473" s="1190">
        <v>2</v>
      </c>
      <c r="K1473" s="1180"/>
      <c r="L1473" s="1174">
        <v>13131950600</v>
      </c>
      <c r="M1473" s="1175">
        <v>1</v>
      </c>
      <c r="N1473" s="1175">
        <v>1</v>
      </c>
      <c r="O1473" s="1176">
        <v>2</v>
      </c>
      <c r="AA1473"/>
      <c r="AB1473"/>
    </row>
    <row r="1474" spans="3:28" ht="13.5">
      <c r="C1474" s="1181" t="s">
        <v>6154</v>
      </c>
      <c r="D1474" s="1178">
        <v>0</v>
      </c>
      <c r="E1474" s="1178">
        <v>0</v>
      </c>
      <c r="F1474" s="1179">
        <v>0</v>
      </c>
      <c r="G1474" s="1189" t="s">
        <v>6154</v>
      </c>
      <c r="H1474" s="1176">
        <v>0</v>
      </c>
      <c r="I1474" s="1176" t="s">
        <v>4455</v>
      </c>
      <c r="J1474" s="1190">
        <v>0</v>
      </c>
      <c r="K1474" s="1180"/>
      <c r="L1474" s="1174">
        <v>13133950100</v>
      </c>
      <c r="M1474" s="1175">
        <v>0</v>
      </c>
      <c r="N1474" s="1175">
        <v>0</v>
      </c>
      <c r="O1474" s="1176">
        <v>0</v>
      </c>
      <c r="AA1474"/>
      <c r="AB1474"/>
    </row>
    <row r="1475" spans="3:28" ht="13.5">
      <c r="C1475" s="1181" t="s">
        <v>6155</v>
      </c>
      <c r="D1475" s="1178">
        <v>0</v>
      </c>
      <c r="E1475" s="1178">
        <v>0</v>
      </c>
      <c r="F1475" s="1179">
        <v>0</v>
      </c>
      <c r="G1475" s="1189" t="s">
        <v>6155</v>
      </c>
      <c r="H1475" s="1176">
        <v>0</v>
      </c>
      <c r="I1475" s="1176">
        <v>0</v>
      </c>
      <c r="J1475" s="1190">
        <v>0</v>
      </c>
      <c r="K1475" s="1180"/>
      <c r="L1475" s="1174">
        <v>13133950200</v>
      </c>
      <c r="M1475" s="1175">
        <v>0</v>
      </c>
      <c r="N1475" s="1175">
        <v>0</v>
      </c>
      <c r="O1475" s="1176">
        <v>0</v>
      </c>
      <c r="AA1475"/>
      <c r="AB1475"/>
    </row>
    <row r="1476" spans="3:28" ht="13.5">
      <c r="C1476" s="1181" t="s">
        <v>6156</v>
      </c>
      <c r="D1476" s="1178">
        <v>1</v>
      </c>
      <c r="E1476" s="1178">
        <v>1</v>
      </c>
      <c r="F1476" s="1179">
        <v>2</v>
      </c>
      <c r="G1476" s="1189" t="s">
        <v>6156</v>
      </c>
      <c r="H1476" s="1176">
        <v>1</v>
      </c>
      <c r="I1476" s="1176" t="s">
        <v>4455</v>
      </c>
      <c r="J1476" s="1190">
        <v>1</v>
      </c>
      <c r="K1476" s="1180"/>
      <c r="L1476" s="1174">
        <v>13133950301</v>
      </c>
      <c r="M1476" s="1175">
        <v>1</v>
      </c>
      <c r="N1476" s="1175">
        <v>1</v>
      </c>
      <c r="O1476" s="1176">
        <v>2</v>
      </c>
      <c r="AA1476"/>
      <c r="AB1476"/>
    </row>
    <row r="1477" spans="3:28" ht="13.5">
      <c r="C1477" s="1181" t="s">
        <v>6157</v>
      </c>
      <c r="D1477" s="1178">
        <v>1</v>
      </c>
      <c r="E1477" s="1178">
        <v>1</v>
      </c>
      <c r="F1477" s="1179">
        <v>2</v>
      </c>
      <c r="G1477" s="1189" t="s">
        <v>6157</v>
      </c>
      <c r="H1477" s="1176">
        <v>1</v>
      </c>
      <c r="I1477" s="1176">
        <v>1</v>
      </c>
      <c r="J1477" s="1190">
        <v>2</v>
      </c>
      <c r="K1477" s="1180"/>
      <c r="L1477" s="1174">
        <v>13133950302</v>
      </c>
      <c r="M1477" s="1175">
        <v>1</v>
      </c>
      <c r="N1477" s="1175">
        <v>1</v>
      </c>
      <c r="O1477" s="1176">
        <v>2</v>
      </c>
      <c r="AA1477"/>
      <c r="AB1477"/>
    </row>
    <row r="1478" spans="3:28" ht="13.5">
      <c r="C1478" s="1181" t="s">
        <v>6158</v>
      </c>
      <c r="D1478" s="1178">
        <v>0</v>
      </c>
      <c r="E1478" s="1178">
        <v>0</v>
      </c>
      <c r="F1478" s="1179">
        <v>0</v>
      </c>
      <c r="G1478" s="1189" t="s">
        <v>6158</v>
      </c>
      <c r="H1478" s="1176">
        <v>0</v>
      </c>
      <c r="I1478" s="1176">
        <v>0</v>
      </c>
      <c r="J1478" s="1190">
        <v>0</v>
      </c>
      <c r="K1478" s="1180"/>
      <c r="L1478" s="1174">
        <v>13133950303</v>
      </c>
      <c r="M1478" s="1175">
        <v>0</v>
      </c>
      <c r="N1478" s="1175">
        <v>0</v>
      </c>
      <c r="O1478" s="1176">
        <v>0</v>
      </c>
      <c r="AA1478"/>
      <c r="AB1478"/>
    </row>
    <row r="1479" spans="3:28" ht="13.5">
      <c r="C1479" s="1181" t="s">
        <v>6159</v>
      </c>
      <c r="D1479" s="1178">
        <v>0</v>
      </c>
      <c r="E1479" s="1178">
        <v>0</v>
      </c>
      <c r="F1479" s="1179">
        <v>0</v>
      </c>
      <c r="G1479" s="1189" t="s">
        <v>6159</v>
      </c>
      <c r="H1479" s="1176">
        <v>0</v>
      </c>
      <c r="I1479" s="1176">
        <v>0</v>
      </c>
      <c r="J1479" s="1190">
        <v>0</v>
      </c>
      <c r="K1479" s="1180"/>
      <c r="L1479" s="1174">
        <v>13133950400</v>
      </c>
      <c r="M1479" s="1175">
        <v>0</v>
      </c>
      <c r="N1479" s="1175">
        <v>0</v>
      </c>
      <c r="O1479" s="1176">
        <v>0</v>
      </c>
      <c r="AA1479"/>
      <c r="AB1479"/>
    </row>
    <row r="1480" spans="3:28" ht="13.5">
      <c r="C1480" s="1181" t="s">
        <v>6160</v>
      </c>
      <c r="D1480" s="1178">
        <v>1</v>
      </c>
      <c r="E1480" s="1178">
        <v>0</v>
      </c>
      <c r="F1480" s="1179">
        <v>1</v>
      </c>
      <c r="G1480" s="1189" t="s">
        <v>6160</v>
      </c>
      <c r="H1480" s="1176">
        <v>0</v>
      </c>
      <c r="I1480" s="1176">
        <v>0</v>
      </c>
      <c r="J1480" s="1190">
        <v>0</v>
      </c>
      <c r="K1480" s="1180"/>
      <c r="L1480" s="1174">
        <v>13133950500</v>
      </c>
      <c r="M1480" s="1175">
        <v>1</v>
      </c>
      <c r="N1480" s="1175">
        <v>0</v>
      </c>
      <c r="O1480" s="1176">
        <v>1</v>
      </c>
      <c r="AA1480"/>
      <c r="AB1480"/>
    </row>
    <row r="1481" spans="3:28" ht="13.5">
      <c r="C1481" s="1181" t="s">
        <v>6161</v>
      </c>
      <c r="D1481" s="1178">
        <v>1</v>
      </c>
      <c r="E1481" s="1178">
        <v>1</v>
      </c>
      <c r="F1481" s="1179">
        <v>2</v>
      </c>
      <c r="G1481" s="1189" t="s">
        <v>6161</v>
      </c>
      <c r="H1481" s="1176">
        <v>1</v>
      </c>
      <c r="I1481" s="1176">
        <v>0</v>
      </c>
      <c r="J1481" s="1190">
        <v>1</v>
      </c>
      <c r="K1481" s="1180"/>
      <c r="L1481" s="1174">
        <v>13135050103</v>
      </c>
      <c r="M1481" s="1175">
        <v>1</v>
      </c>
      <c r="N1481" s="1175">
        <v>1</v>
      </c>
      <c r="O1481" s="1176">
        <v>2</v>
      </c>
      <c r="AA1481"/>
      <c r="AB1481"/>
    </row>
    <row r="1482" spans="3:28" ht="13.5">
      <c r="C1482" s="1181" t="s">
        <v>6162</v>
      </c>
      <c r="D1482" s="1178">
        <v>0</v>
      </c>
      <c r="E1482" s="1178">
        <v>0</v>
      </c>
      <c r="F1482" s="1179">
        <v>0</v>
      </c>
      <c r="G1482" s="1189" t="s">
        <v>6162</v>
      </c>
      <c r="H1482" s="1176">
        <v>0</v>
      </c>
      <c r="I1482" s="1176">
        <v>0</v>
      </c>
      <c r="J1482" s="1190">
        <v>0</v>
      </c>
      <c r="K1482" s="1180"/>
      <c r="L1482" s="1174">
        <v>13135050105</v>
      </c>
      <c r="M1482" s="1175">
        <v>0</v>
      </c>
      <c r="N1482" s="1175">
        <v>0</v>
      </c>
      <c r="O1482" s="1176">
        <v>0</v>
      </c>
      <c r="AA1482"/>
      <c r="AB1482"/>
    </row>
    <row r="1483" spans="3:28" ht="13.5">
      <c r="C1483" s="1181" t="s">
        <v>6163</v>
      </c>
      <c r="D1483" s="1178">
        <v>1</v>
      </c>
      <c r="E1483" s="1178">
        <v>0</v>
      </c>
      <c r="F1483" s="1179">
        <v>1</v>
      </c>
      <c r="G1483" s="1189" t="s">
        <v>6163</v>
      </c>
      <c r="H1483" s="1176">
        <v>1</v>
      </c>
      <c r="I1483" s="1176">
        <v>0</v>
      </c>
      <c r="J1483" s="1190">
        <v>1</v>
      </c>
      <c r="K1483" s="1180"/>
      <c r="L1483" s="1174">
        <v>13135050106</v>
      </c>
      <c r="M1483" s="1175">
        <v>1</v>
      </c>
      <c r="N1483" s="1175">
        <v>0</v>
      </c>
      <c r="O1483" s="1176">
        <v>1</v>
      </c>
      <c r="AA1483"/>
      <c r="AB1483"/>
    </row>
    <row r="1484" spans="3:28" ht="13.5">
      <c r="C1484" s="1181" t="s">
        <v>6164</v>
      </c>
      <c r="D1484" s="1178">
        <v>1</v>
      </c>
      <c r="E1484" s="1178">
        <v>1</v>
      </c>
      <c r="F1484" s="1179">
        <v>2</v>
      </c>
      <c r="G1484" s="1189" t="s">
        <v>6164</v>
      </c>
      <c r="H1484" s="1176">
        <v>1</v>
      </c>
      <c r="I1484" s="1176">
        <v>1</v>
      </c>
      <c r="J1484" s="1190">
        <v>2</v>
      </c>
      <c r="K1484" s="1180"/>
      <c r="L1484" s="1174">
        <v>13135050107</v>
      </c>
      <c r="M1484" s="1175">
        <v>1</v>
      </c>
      <c r="N1484" s="1175">
        <v>1</v>
      </c>
      <c r="O1484" s="1176">
        <v>2</v>
      </c>
      <c r="AA1484"/>
      <c r="AB1484"/>
    </row>
    <row r="1485" spans="3:28" ht="13.5">
      <c r="C1485" s="1181" t="s">
        <v>6165</v>
      </c>
      <c r="D1485" s="1178">
        <v>1</v>
      </c>
      <c r="E1485" s="1178">
        <v>1</v>
      </c>
      <c r="F1485" s="1179">
        <v>2</v>
      </c>
      <c r="G1485" s="1189" t="s">
        <v>6165</v>
      </c>
      <c r="H1485" s="1176">
        <v>1</v>
      </c>
      <c r="I1485" s="1176">
        <v>1</v>
      </c>
      <c r="J1485" s="1190">
        <v>2</v>
      </c>
      <c r="K1485" s="1180"/>
      <c r="L1485" s="1174">
        <v>13135050108</v>
      </c>
      <c r="M1485" s="1175">
        <v>1</v>
      </c>
      <c r="N1485" s="1175">
        <v>1</v>
      </c>
      <c r="O1485" s="1176">
        <v>2</v>
      </c>
      <c r="AA1485"/>
      <c r="AB1485"/>
    </row>
    <row r="1486" spans="3:28" ht="13.5">
      <c r="C1486" s="1181" t="s">
        <v>6166</v>
      </c>
      <c r="D1486" s="1178">
        <v>1</v>
      </c>
      <c r="E1486" s="1178">
        <v>1</v>
      </c>
      <c r="F1486" s="1179">
        <v>2</v>
      </c>
      <c r="G1486" s="1189" t="s">
        <v>6166</v>
      </c>
      <c r="H1486" s="1176">
        <v>1</v>
      </c>
      <c r="I1486" s="1176">
        <v>0</v>
      </c>
      <c r="J1486" s="1190">
        <v>1</v>
      </c>
      <c r="K1486" s="1180"/>
      <c r="L1486" s="1174">
        <v>13135050109</v>
      </c>
      <c r="M1486" s="1175">
        <v>1</v>
      </c>
      <c r="N1486" s="1175">
        <v>1</v>
      </c>
      <c r="O1486" s="1176">
        <v>2</v>
      </c>
      <c r="AA1486"/>
      <c r="AB1486"/>
    </row>
    <row r="1487" spans="3:28" ht="13.5">
      <c r="C1487" s="1181" t="s">
        <v>6167</v>
      </c>
      <c r="D1487" s="1178">
        <v>1</v>
      </c>
      <c r="E1487" s="1178">
        <v>0</v>
      </c>
      <c r="F1487" s="1179">
        <v>1</v>
      </c>
      <c r="G1487" s="1189" t="s">
        <v>6167</v>
      </c>
      <c r="H1487" s="1176">
        <v>1</v>
      </c>
      <c r="I1487" s="1176">
        <v>0</v>
      </c>
      <c r="J1487" s="1190">
        <v>1</v>
      </c>
      <c r="K1487" s="1180"/>
      <c r="L1487" s="1174">
        <v>13135050205</v>
      </c>
      <c r="M1487" s="1175">
        <v>1</v>
      </c>
      <c r="N1487" s="1175">
        <v>0</v>
      </c>
      <c r="O1487" s="1176">
        <v>1</v>
      </c>
      <c r="AA1487"/>
      <c r="AB1487"/>
    </row>
    <row r="1488" spans="3:28" ht="13.5">
      <c r="C1488" s="1181" t="s">
        <v>6168</v>
      </c>
      <c r="D1488" s="1178">
        <v>1</v>
      </c>
      <c r="E1488" s="1178">
        <v>1</v>
      </c>
      <c r="F1488" s="1179">
        <v>2</v>
      </c>
      <c r="G1488" s="1189" t="s">
        <v>6168</v>
      </c>
      <c r="H1488" s="1176">
        <v>1</v>
      </c>
      <c r="I1488" s="1176">
        <v>1</v>
      </c>
      <c r="J1488" s="1190">
        <v>2</v>
      </c>
      <c r="K1488" s="1180"/>
      <c r="L1488" s="1174">
        <v>13135050208</v>
      </c>
      <c r="M1488" s="1175">
        <v>1</v>
      </c>
      <c r="N1488" s="1175">
        <v>1</v>
      </c>
      <c r="O1488" s="1176">
        <v>2</v>
      </c>
      <c r="AA1488"/>
      <c r="AB1488"/>
    </row>
    <row r="1489" spans="3:28" ht="13.5">
      <c r="C1489" s="1181" t="s">
        <v>6169</v>
      </c>
      <c r="D1489" s="1178">
        <v>0</v>
      </c>
      <c r="E1489" s="1178">
        <v>0</v>
      </c>
      <c r="F1489" s="1179">
        <v>0</v>
      </c>
      <c r="G1489" s="1189" t="s">
        <v>6169</v>
      </c>
      <c r="H1489" s="1176">
        <v>1</v>
      </c>
      <c r="I1489" s="1176">
        <v>0</v>
      </c>
      <c r="J1489" s="1190">
        <v>1</v>
      </c>
      <c r="K1489" s="1180"/>
      <c r="L1489" s="1174">
        <v>13135050209</v>
      </c>
      <c r="M1489" s="1175">
        <v>1</v>
      </c>
      <c r="N1489" s="1175">
        <v>0</v>
      </c>
      <c r="O1489" s="1176">
        <v>1</v>
      </c>
      <c r="AA1489"/>
      <c r="AB1489"/>
    </row>
    <row r="1490" spans="3:28" ht="13.5">
      <c r="C1490" s="1181" t="s">
        <v>6170</v>
      </c>
      <c r="D1490" s="1178">
        <v>1</v>
      </c>
      <c r="E1490" s="1178">
        <v>1</v>
      </c>
      <c r="F1490" s="1179">
        <v>2</v>
      </c>
      <c r="G1490" s="1189" t="s">
        <v>6170</v>
      </c>
      <c r="H1490" s="1176">
        <v>1</v>
      </c>
      <c r="I1490" s="1176">
        <v>1</v>
      </c>
      <c r="J1490" s="1190">
        <v>2</v>
      </c>
      <c r="K1490" s="1180"/>
      <c r="L1490" s="1174">
        <v>13135050210</v>
      </c>
      <c r="M1490" s="1175">
        <v>1</v>
      </c>
      <c r="N1490" s="1175">
        <v>1</v>
      </c>
      <c r="O1490" s="1176">
        <v>2</v>
      </c>
      <c r="AA1490"/>
      <c r="AB1490"/>
    </row>
    <row r="1491" spans="3:28" ht="13.5">
      <c r="C1491" s="1181" t="s">
        <v>6171</v>
      </c>
      <c r="D1491" s="1178">
        <v>0</v>
      </c>
      <c r="E1491" s="1178">
        <v>0</v>
      </c>
      <c r="F1491" s="1179">
        <v>0</v>
      </c>
      <c r="G1491" s="1189" t="s">
        <v>6171</v>
      </c>
      <c r="H1491" s="1176">
        <v>0</v>
      </c>
      <c r="I1491" s="1176">
        <v>0</v>
      </c>
      <c r="J1491" s="1190">
        <v>0</v>
      </c>
      <c r="K1491" s="1180"/>
      <c r="L1491" s="1174">
        <v>13135050211</v>
      </c>
      <c r="M1491" s="1175">
        <v>0</v>
      </c>
      <c r="N1491" s="1175">
        <v>0</v>
      </c>
      <c r="O1491" s="1176">
        <v>0</v>
      </c>
      <c r="AA1491"/>
      <c r="AB1491"/>
    </row>
    <row r="1492" spans="3:28" ht="13.5">
      <c r="C1492" s="1181" t="s">
        <v>6172</v>
      </c>
      <c r="D1492" s="1178">
        <v>1</v>
      </c>
      <c r="E1492" s="1178">
        <v>1</v>
      </c>
      <c r="F1492" s="1179">
        <v>2</v>
      </c>
      <c r="G1492" s="1189" t="s">
        <v>6172</v>
      </c>
      <c r="H1492" s="1176">
        <v>1</v>
      </c>
      <c r="I1492" s="1176">
        <v>1</v>
      </c>
      <c r="J1492" s="1190">
        <v>2</v>
      </c>
      <c r="K1492" s="1180"/>
      <c r="L1492" s="1174">
        <v>13135050212</v>
      </c>
      <c r="M1492" s="1175">
        <v>1</v>
      </c>
      <c r="N1492" s="1175">
        <v>1</v>
      </c>
      <c r="O1492" s="1176">
        <v>2</v>
      </c>
      <c r="AA1492"/>
      <c r="AB1492"/>
    </row>
    <row r="1493" spans="3:28" ht="13.5">
      <c r="C1493" s="1181" t="s">
        <v>6173</v>
      </c>
      <c r="D1493" s="1178">
        <v>1</v>
      </c>
      <c r="E1493" s="1178">
        <v>1</v>
      </c>
      <c r="F1493" s="1179">
        <v>2</v>
      </c>
      <c r="G1493" s="1189" t="s">
        <v>6173</v>
      </c>
      <c r="H1493" s="1176">
        <v>1</v>
      </c>
      <c r="I1493" s="1176">
        <v>1</v>
      </c>
      <c r="J1493" s="1190">
        <v>2</v>
      </c>
      <c r="K1493" s="1180"/>
      <c r="L1493" s="1174">
        <v>13135050213</v>
      </c>
      <c r="M1493" s="1175">
        <v>1</v>
      </c>
      <c r="N1493" s="1175">
        <v>1</v>
      </c>
      <c r="O1493" s="1176">
        <v>2</v>
      </c>
      <c r="AA1493"/>
      <c r="AB1493"/>
    </row>
    <row r="1494" spans="3:28" ht="13.5">
      <c r="C1494" s="1181" t="s">
        <v>6174</v>
      </c>
      <c r="D1494" s="1178">
        <v>1</v>
      </c>
      <c r="E1494" s="1178">
        <v>1</v>
      </c>
      <c r="F1494" s="1179">
        <v>2</v>
      </c>
      <c r="G1494" s="1189" t="s">
        <v>6174</v>
      </c>
      <c r="H1494" s="1176">
        <v>1</v>
      </c>
      <c r="I1494" s="1176">
        <v>1</v>
      </c>
      <c r="J1494" s="1190">
        <v>2</v>
      </c>
      <c r="K1494" s="1180"/>
      <c r="L1494" s="1174">
        <v>13135050214</v>
      </c>
      <c r="M1494" s="1175">
        <v>1</v>
      </c>
      <c r="N1494" s="1175">
        <v>1</v>
      </c>
      <c r="O1494" s="1176">
        <v>2</v>
      </c>
      <c r="AA1494"/>
      <c r="AB1494"/>
    </row>
    <row r="1495" spans="3:28" ht="13.5">
      <c r="C1495" s="1181" t="s">
        <v>6175</v>
      </c>
      <c r="D1495" s="1178">
        <v>1</v>
      </c>
      <c r="E1495" s="1178">
        <v>1</v>
      </c>
      <c r="F1495" s="1179">
        <v>2</v>
      </c>
      <c r="G1495" s="1189" t="s">
        <v>6175</v>
      </c>
      <c r="H1495" s="1176">
        <v>1</v>
      </c>
      <c r="I1495" s="1176" t="s">
        <v>4455</v>
      </c>
      <c r="J1495" s="1190">
        <v>1</v>
      </c>
      <c r="K1495" s="1180"/>
      <c r="L1495" s="1174">
        <v>13135050215</v>
      </c>
      <c r="M1495" s="1175">
        <v>1</v>
      </c>
      <c r="N1495" s="1175">
        <v>1</v>
      </c>
      <c r="O1495" s="1176">
        <v>2</v>
      </c>
      <c r="AA1495"/>
      <c r="AB1495"/>
    </row>
    <row r="1496" spans="3:28" ht="13.5">
      <c r="C1496" s="1181" t="s">
        <v>6176</v>
      </c>
      <c r="D1496" s="1178">
        <v>1</v>
      </c>
      <c r="E1496" s="1178">
        <v>1</v>
      </c>
      <c r="F1496" s="1179">
        <v>2</v>
      </c>
      <c r="G1496" s="1189" t="s">
        <v>6176</v>
      </c>
      <c r="H1496" s="1176">
        <v>1</v>
      </c>
      <c r="I1496" s="1176">
        <v>1</v>
      </c>
      <c r="J1496" s="1190">
        <v>2</v>
      </c>
      <c r="K1496" s="1180"/>
      <c r="L1496" s="1174">
        <v>13135050216</v>
      </c>
      <c r="M1496" s="1175">
        <v>1</v>
      </c>
      <c r="N1496" s="1175">
        <v>1</v>
      </c>
      <c r="O1496" s="1176">
        <v>2</v>
      </c>
      <c r="AA1496"/>
      <c r="AB1496"/>
    </row>
    <row r="1497" spans="3:28" ht="13.5">
      <c r="C1497" s="1181" t="s">
        <v>6177</v>
      </c>
      <c r="D1497" s="1178">
        <v>1</v>
      </c>
      <c r="E1497" s="1178">
        <v>1</v>
      </c>
      <c r="F1497" s="1179">
        <v>2</v>
      </c>
      <c r="G1497" s="1189" t="s">
        <v>6177</v>
      </c>
      <c r="H1497" s="1176">
        <v>1</v>
      </c>
      <c r="I1497" s="1176">
        <v>1</v>
      </c>
      <c r="J1497" s="1190">
        <v>2</v>
      </c>
      <c r="K1497" s="1180"/>
      <c r="L1497" s="1174">
        <v>13135050217</v>
      </c>
      <c r="M1497" s="1175">
        <v>1</v>
      </c>
      <c r="N1497" s="1175">
        <v>1</v>
      </c>
      <c r="O1497" s="1176">
        <v>2</v>
      </c>
      <c r="AA1497"/>
      <c r="AB1497"/>
    </row>
    <row r="1498" spans="3:28" ht="13.5">
      <c r="C1498" s="1181" t="s">
        <v>6178</v>
      </c>
      <c r="D1498" s="1178">
        <v>1</v>
      </c>
      <c r="E1498" s="1178">
        <v>1</v>
      </c>
      <c r="F1498" s="1179">
        <v>2</v>
      </c>
      <c r="G1498" s="1189" t="s">
        <v>6178</v>
      </c>
      <c r="H1498" s="1176">
        <v>1</v>
      </c>
      <c r="I1498" s="1176">
        <v>0</v>
      </c>
      <c r="J1498" s="1190">
        <v>1</v>
      </c>
      <c r="K1498" s="1180"/>
      <c r="L1498" s="1174">
        <v>13135050218</v>
      </c>
      <c r="M1498" s="1175">
        <v>1</v>
      </c>
      <c r="N1498" s="1175">
        <v>1</v>
      </c>
      <c r="O1498" s="1176">
        <v>2</v>
      </c>
      <c r="AA1498"/>
      <c r="AB1498"/>
    </row>
    <row r="1499" spans="3:28" ht="13.5">
      <c r="C1499" s="1181" t="s">
        <v>6179</v>
      </c>
      <c r="D1499" s="1178">
        <v>1</v>
      </c>
      <c r="E1499" s="1178">
        <v>1</v>
      </c>
      <c r="F1499" s="1179">
        <v>2</v>
      </c>
      <c r="G1499" s="1189" t="s">
        <v>6179</v>
      </c>
      <c r="H1499" s="1176">
        <v>1</v>
      </c>
      <c r="I1499" s="1176">
        <v>1</v>
      </c>
      <c r="J1499" s="1190">
        <v>2</v>
      </c>
      <c r="K1499" s="1180"/>
      <c r="L1499" s="1174">
        <v>13135050219</v>
      </c>
      <c r="M1499" s="1175">
        <v>1</v>
      </c>
      <c r="N1499" s="1175">
        <v>1</v>
      </c>
      <c r="O1499" s="1176">
        <v>2</v>
      </c>
      <c r="AA1499"/>
      <c r="AB1499"/>
    </row>
    <row r="1500" spans="3:28" ht="13.5">
      <c r="C1500" s="1181" t="s">
        <v>6180</v>
      </c>
      <c r="D1500" s="1178">
        <v>0</v>
      </c>
      <c r="E1500" s="1178">
        <v>0</v>
      </c>
      <c r="F1500" s="1179">
        <v>0</v>
      </c>
      <c r="G1500" s="1189" t="s">
        <v>6180</v>
      </c>
      <c r="H1500" s="1176">
        <v>1</v>
      </c>
      <c r="I1500" s="1176">
        <v>0</v>
      </c>
      <c r="J1500" s="1190">
        <v>1</v>
      </c>
      <c r="K1500" s="1180"/>
      <c r="L1500" s="1174">
        <v>13135050220</v>
      </c>
      <c r="M1500" s="1175">
        <v>1</v>
      </c>
      <c r="N1500" s="1175">
        <v>0</v>
      </c>
      <c r="O1500" s="1176">
        <v>1</v>
      </c>
      <c r="AA1500"/>
      <c r="AB1500"/>
    </row>
    <row r="1501" spans="3:28" ht="13.5">
      <c r="C1501" s="1181" t="s">
        <v>6181</v>
      </c>
      <c r="D1501" s="1178">
        <v>1</v>
      </c>
      <c r="E1501" s="1178">
        <v>0</v>
      </c>
      <c r="F1501" s="1179">
        <v>1</v>
      </c>
      <c r="G1501" s="1189" t="s">
        <v>6181</v>
      </c>
      <c r="H1501" s="1176">
        <v>1</v>
      </c>
      <c r="I1501" s="1176">
        <v>0</v>
      </c>
      <c r="J1501" s="1190">
        <v>1</v>
      </c>
      <c r="K1501" s="1180"/>
      <c r="L1501" s="1174">
        <v>13135050304</v>
      </c>
      <c r="M1501" s="1175">
        <v>1</v>
      </c>
      <c r="N1501" s="1175">
        <v>0</v>
      </c>
      <c r="O1501" s="1176">
        <v>1</v>
      </c>
      <c r="AA1501"/>
      <c r="AB1501"/>
    </row>
    <row r="1502" spans="3:28" ht="13.5">
      <c r="C1502" s="1181" t="s">
        <v>6182</v>
      </c>
      <c r="D1502" s="1178">
        <v>0</v>
      </c>
      <c r="E1502" s="1178">
        <v>0</v>
      </c>
      <c r="F1502" s="1179">
        <v>0</v>
      </c>
      <c r="G1502" s="1189" t="s">
        <v>6182</v>
      </c>
      <c r="H1502" s="1176">
        <v>1</v>
      </c>
      <c r="I1502" s="1176">
        <v>0</v>
      </c>
      <c r="J1502" s="1190">
        <v>1</v>
      </c>
      <c r="K1502" s="1180"/>
      <c r="L1502" s="1174">
        <v>13135050306</v>
      </c>
      <c r="M1502" s="1175">
        <v>1</v>
      </c>
      <c r="N1502" s="1175">
        <v>0</v>
      </c>
      <c r="O1502" s="1176">
        <v>1</v>
      </c>
      <c r="AA1502"/>
      <c r="AB1502"/>
    </row>
    <row r="1503" spans="3:28" ht="13.5">
      <c r="C1503" s="1181" t="s">
        <v>6183</v>
      </c>
      <c r="D1503" s="1178">
        <v>1</v>
      </c>
      <c r="E1503" s="1178">
        <v>1</v>
      </c>
      <c r="F1503" s="1179">
        <v>2</v>
      </c>
      <c r="G1503" s="1189" t="s">
        <v>6183</v>
      </c>
      <c r="H1503" s="1176">
        <v>1</v>
      </c>
      <c r="I1503" s="1176">
        <v>1</v>
      </c>
      <c r="J1503" s="1190">
        <v>2</v>
      </c>
      <c r="K1503" s="1180"/>
      <c r="L1503" s="1174">
        <v>13135050308</v>
      </c>
      <c r="M1503" s="1175">
        <v>1</v>
      </c>
      <c r="N1503" s="1175">
        <v>1</v>
      </c>
      <c r="O1503" s="1176">
        <v>2</v>
      </c>
      <c r="AA1503"/>
      <c r="AB1503"/>
    </row>
    <row r="1504" spans="3:28" ht="13.5">
      <c r="C1504" s="1181" t="s">
        <v>6184</v>
      </c>
      <c r="D1504" s="1178">
        <v>1</v>
      </c>
      <c r="E1504" s="1178">
        <v>1</v>
      </c>
      <c r="F1504" s="1179">
        <v>2</v>
      </c>
      <c r="G1504" s="1189" t="s">
        <v>6184</v>
      </c>
      <c r="H1504" s="1176">
        <v>1</v>
      </c>
      <c r="I1504" s="1176">
        <v>1</v>
      </c>
      <c r="J1504" s="1190">
        <v>2</v>
      </c>
      <c r="K1504" s="1180"/>
      <c r="L1504" s="1174">
        <v>13135050309</v>
      </c>
      <c r="M1504" s="1175">
        <v>1</v>
      </c>
      <c r="N1504" s="1175">
        <v>1</v>
      </c>
      <c r="O1504" s="1176">
        <v>2</v>
      </c>
      <c r="AA1504"/>
      <c r="AB1504"/>
    </row>
    <row r="1505" spans="3:28" ht="13.5">
      <c r="C1505" s="1181" t="s">
        <v>6185</v>
      </c>
      <c r="D1505" s="1178">
        <v>1</v>
      </c>
      <c r="E1505" s="1178">
        <v>1</v>
      </c>
      <c r="F1505" s="1179">
        <v>2</v>
      </c>
      <c r="G1505" s="1189" t="s">
        <v>6185</v>
      </c>
      <c r="H1505" s="1176">
        <v>1</v>
      </c>
      <c r="I1505" s="1176">
        <v>1</v>
      </c>
      <c r="J1505" s="1190">
        <v>2</v>
      </c>
      <c r="K1505" s="1180"/>
      <c r="L1505" s="1174">
        <v>13135050310</v>
      </c>
      <c r="M1505" s="1175">
        <v>1</v>
      </c>
      <c r="N1505" s="1175">
        <v>1</v>
      </c>
      <c r="O1505" s="1176">
        <v>2</v>
      </c>
      <c r="AA1505"/>
      <c r="AB1505"/>
    </row>
    <row r="1506" spans="3:28" ht="13.5">
      <c r="C1506" s="1181" t="s">
        <v>6186</v>
      </c>
      <c r="D1506" s="1178">
        <v>1</v>
      </c>
      <c r="E1506" s="1178">
        <v>1</v>
      </c>
      <c r="F1506" s="1179">
        <v>2</v>
      </c>
      <c r="G1506" s="1189" t="s">
        <v>6186</v>
      </c>
      <c r="H1506" s="1176">
        <v>1</v>
      </c>
      <c r="I1506" s="1176">
        <v>0</v>
      </c>
      <c r="J1506" s="1190">
        <v>1</v>
      </c>
      <c r="K1506" s="1180"/>
      <c r="L1506" s="1174">
        <v>13135050311</v>
      </c>
      <c r="M1506" s="1175">
        <v>1</v>
      </c>
      <c r="N1506" s="1175">
        <v>1</v>
      </c>
      <c r="O1506" s="1176">
        <v>2</v>
      </c>
      <c r="AA1506"/>
      <c r="AB1506"/>
    </row>
    <row r="1507" spans="3:28" ht="13.5">
      <c r="C1507" s="1181" t="s">
        <v>6187</v>
      </c>
      <c r="D1507" s="1178">
        <v>0</v>
      </c>
      <c r="E1507" s="1178">
        <v>0</v>
      </c>
      <c r="F1507" s="1179">
        <v>0</v>
      </c>
      <c r="G1507" s="1189" t="s">
        <v>6187</v>
      </c>
      <c r="H1507" s="1176">
        <v>0</v>
      </c>
      <c r="I1507" s="1176">
        <v>0</v>
      </c>
      <c r="J1507" s="1190">
        <v>0</v>
      </c>
      <c r="K1507" s="1180"/>
      <c r="L1507" s="1174">
        <v>13135050313</v>
      </c>
      <c r="M1507" s="1175">
        <v>0</v>
      </c>
      <c r="N1507" s="1175">
        <v>0</v>
      </c>
      <c r="O1507" s="1176">
        <v>0</v>
      </c>
      <c r="AA1507"/>
      <c r="AB1507"/>
    </row>
    <row r="1508" spans="3:28" ht="13.5">
      <c r="C1508" s="1181" t="s">
        <v>6188</v>
      </c>
      <c r="D1508" s="1178">
        <v>1</v>
      </c>
      <c r="E1508" s="1178">
        <v>0</v>
      </c>
      <c r="F1508" s="1179">
        <v>1</v>
      </c>
      <c r="G1508" s="1189" t="s">
        <v>6188</v>
      </c>
      <c r="H1508" s="1176">
        <v>1</v>
      </c>
      <c r="I1508" s="1176">
        <v>0</v>
      </c>
      <c r="J1508" s="1190">
        <v>1</v>
      </c>
      <c r="K1508" s="1180"/>
      <c r="L1508" s="1174">
        <v>13135050314</v>
      </c>
      <c r="M1508" s="1175">
        <v>1</v>
      </c>
      <c r="N1508" s="1175">
        <v>0</v>
      </c>
      <c r="O1508" s="1176">
        <v>1</v>
      </c>
      <c r="AA1508"/>
      <c r="AB1508"/>
    </row>
    <row r="1509" spans="3:28" ht="13.5">
      <c r="C1509" s="1181" t="s">
        <v>6189</v>
      </c>
      <c r="D1509" s="1178">
        <v>1</v>
      </c>
      <c r="E1509" s="1178">
        <v>0</v>
      </c>
      <c r="F1509" s="1179">
        <v>1</v>
      </c>
      <c r="G1509" s="1189" t="s">
        <v>6189</v>
      </c>
      <c r="H1509" s="1176">
        <v>1</v>
      </c>
      <c r="I1509" s="1176">
        <v>0</v>
      </c>
      <c r="J1509" s="1190">
        <v>1</v>
      </c>
      <c r="K1509" s="1180"/>
      <c r="L1509" s="1174">
        <v>13135050315</v>
      </c>
      <c r="M1509" s="1175">
        <v>1</v>
      </c>
      <c r="N1509" s="1175">
        <v>0</v>
      </c>
      <c r="O1509" s="1176">
        <v>1</v>
      </c>
      <c r="AA1509"/>
      <c r="AB1509"/>
    </row>
    <row r="1510" spans="3:28" ht="13.5">
      <c r="C1510" s="1181" t="s">
        <v>6190</v>
      </c>
      <c r="D1510" s="1178">
        <v>0</v>
      </c>
      <c r="E1510" s="1178">
        <v>0</v>
      </c>
      <c r="F1510" s="1179">
        <v>0</v>
      </c>
      <c r="G1510" s="1189" t="s">
        <v>6190</v>
      </c>
      <c r="H1510" s="1176">
        <v>1</v>
      </c>
      <c r="I1510" s="1176" t="s">
        <v>4455</v>
      </c>
      <c r="J1510" s="1190">
        <v>1</v>
      </c>
      <c r="K1510" s="1180"/>
      <c r="L1510" s="1174">
        <v>13135050317</v>
      </c>
      <c r="M1510" s="1175">
        <v>1</v>
      </c>
      <c r="N1510" s="1175">
        <v>0</v>
      </c>
      <c r="O1510" s="1176">
        <v>1</v>
      </c>
      <c r="AA1510"/>
      <c r="AB1510"/>
    </row>
    <row r="1511" spans="3:28" ht="13.5">
      <c r="C1511" s="1181" t="s">
        <v>6191</v>
      </c>
      <c r="D1511" s="1178">
        <v>1</v>
      </c>
      <c r="E1511" s="1178">
        <v>0</v>
      </c>
      <c r="F1511" s="1179">
        <v>1</v>
      </c>
      <c r="G1511" s="1189" t="s">
        <v>6191</v>
      </c>
      <c r="H1511" s="1176">
        <v>1</v>
      </c>
      <c r="I1511" s="1176" t="s">
        <v>4455</v>
      </c>
      <c r="J1511" s="1190">
        <v>1</v>
      </c>
      <c r="K1511" s="1180"/>
      <c r="L1511" s="1174">
        <v>13135050318</v>
      </c>
      <c r="M1511" s="1175">
        <v>1</v>
      </c>
      <c r="N1511" s="1175">
        <v>0</v>
      </c>
      <c r="O1511" s="1176">
        <v>1</v>
      </c>
      <c r="AA1511"/>
      <c r="AB1511"/>
    </row>
    <row r="1512" spans="3:28" ht="13.5">
      <c r="C1512" s="1181" t="s">
        <v>6192</v>
      </c>
      <c r="D1512" s="1178">
        <v>0</v>
      </c>
      <c r="E1512" s="1178">
        <v>0</v>
      </c>
      <c r="F1512" s="1179">
        <v>0</v>
      </c>
      <c r="G1512" s="1189" t="s">
        <v>6192</v>
      </c>
      <c r="H1512" s="1176">
        <v>0</v>
      </c>
      <c r="I1512" s="1176" t="s">
        <v>4455</v>
      </c>
      <c r="J1512" s="1190">
        <v>0</v>
      </c>
      <c r="K1512" s="1180"/>
      <c r="L1512" s="1174">
        <v>13135050319</v>
      </c>
      <c r="M1512" s="1175">
        <v>0</v>
      </c>
      <c r="N1512" s="1175">
        <v>0</v>
      </c>
      <c r="O1512" s="1176">
        <v>0</v>
      </c>
      <c r="AA1512"/>
      <c r="AB1512"/>
    </row>
    <row r="1513" spans="3:28" ht="13.5">
      <c r="C1513" s="1181" t="s">
        <v>6193</v>
      </c>
      <c r="D1513" s="1178">
        <v>0</v>
      </c>
      <c r="E1513" s="1178">
        <v>0</v>
      </c>
      <c r="F1513" s="1179">
        <v>0</v>
      </c>
      <c r="G1513" s="1189" t="s">
        <v>6193</v>
      </c>
      <c r="H1513" s="1176">
        <v>0</v>
      </c>
      <c r="I1513" s="1176" t="s">
        <v>4455</v>
      </c>
      <c r="J1513" s="1190">
        <v>0</v>
      </c>
      <c r="K1513" s="1180"/>
      <c r="L1513" s="1174">
        <v>13135050320</v>
      </c>
      <c r="M1513" s="1175">
        <v>0</v>
      </c>
      <c r="N1513" s="1175">
        <v>0</v>
      </c>
      <c r="O1513" s="1176">
        <v>0</v>
      </c>
      <c r="AA1513"/>
      <c r="AB1513"/>
    </row>
    <row r="1514" spans="3:28" ht="13.5">
      <c r="C1514" s="1181" t="s">
        <v>6194</v>
      </c>
      <c r="D1514" s="1178">
        <v>1</v>
      </c>
      <c r="E1514" s="1178">
        <v>1</v>
      </c>
      <c r="F1514" s="1179">
        <v>2</v>
      </c>
      <c r="G1514" s="1189" t="s">
        <v>6194</v>
      </c>
      <c r="H1514" s="1176">
        <v>1</v>
      </c>
      <c r="I1514" s="1176">
        <v>1</v>
      </c>
      <c r="J1514" s="1190">
        <v>2</v>
      </c>
      <c r="K1514" s="1180"/>
      <c r="L1514" s="1174">
        <v>13135050321</v>
      </c>
      <c r="M1514" s="1175">
        <v>1</v>
      </c>
      <c r="N1514" s="1175">
        <v>1</v>
      </c>
      <c r="O1514" s="1176">
        <v>2</v>
      </c>
      <c r="AA1514"/>
      <c r="AB1514"/>
    </row>
    <row r="1515" spans="3:28" ht="13.5">
      <c r="C1515" s="1181" t="s">
        <v>6195</v>
      </c>
      <c r="D1515" s="1178">
        <v>1</v>
      </c>
      <c r="E1515" s="1178">
        <v>1</v>
      </c>
      <c r="F1515" s="1179">
        <v>2</v>
      </c>
      <c r="G1515" s="1189" t="s">
        <v>6195</v>
      </c>
      <c r="H1515" s="1176">
        <v>1</v>
      </c>
      <c r="I1515" s="1176">
        <v>1</v>
      </c>
      <c r="J1515" s="1190">
        <v>2</v>
      </c>
      <c r="K1515" s="1180"/>
      <c r="L1515" s="1174">
        <v>13135050322</v>
      </c>
      <c r="M1515" s="1175">
        <v>1</v>
      </c>
      <c r="N1515" s="1175">
        <v>1</v>
      </c>
      <c r="O1515" s="1176">
        <v>2</v>
      </c>
      <c r="AA1515"/>
      <c r="AB1515"/>
    </row>
    <row r="1516" spans="3:28" ht="13.5">
      <c r="C1516" s="1181" t="s">
        <v>6196</v>
      </c>
      <c r="D1516" s="1178">
        <v>0</v>
      </c>
      <c r="E1516" s="1178">
        <v>0</v>
      </c>
      <c r="F1516" s="1179">
        <v>0</v>
      </c>
      <c r="G1516" s="1189" t="s">
        <v>6196</v>
      </c>
      <c r="H1516" s="1176">
        <v>1</v>
      </c>
      <c r="I1516" s="1176">
        <v>0</v>
      </c>
      <c r="J1516" s="1190">
        <v>1</v>
      </c>
      <c r="K1516" s="1180"/>
      <c r="L1516" s="1174">
        <v>13135050410</v>
      </c>
      <c r="M1516" s="1175">
        <v>1</v>
      </c>
      <c r="N1516" s="1175">
        <v>0</v>
      </c>
      <c r="O1516" s="1176">
        <v>1</v>
      </c>
      <c r="AA1516"/>
      <c r="AB1516"/>
    </row>
    <row r="1517" spans="3:28" ht="13.5">
      <c r="C1517" s="1181" t="s">
        <v>6197</v>
      </c>
      <c r="D1517" s="1178">
        <v>1</v>
      </c>
      <c r="E1517" s="1178">
        <v>1</v>
      </c>
      <c r="F1517" s="1179">
        <v>2</v>
      </c>
      <c r="G1517" s="1189" t="s">
        <v>6197</v>
      </c>
      <c r="H1517" s="1176">
        <v>1</v>
      </c>
      <c r="I1517" s="1176">
        <v>1</v>
      </c>
      <c r="J1517" s="1190">
        <v>2</v>
      </c>
      <c r="K1517" s="1180"/>
      <c r="L1517" s="1174">
        <v>13135050415</v>
      </c>
      <c r="M1517" s="1175">
        <v>1</v>
      </c>
      <c r="N1517" s="1175">
        <v>1</v>
      </c>
      <c r="O1517" s="1176">
        <v>2</v>
      </c>
      <c r="AA1517"/>
      <c r="AB1517"/>
    </row>
    <row r="1518" spans="3:28" ht="13.5">
      <c r="C1518" s="1181" t="s">
        <v>6198</v>
      </c>
      <c r="D1518" s="1178">
        <v>0</v>
      </c>
      <c r="E1518" s="1178">
        <v>0</v>
      </c>
      <c r="F1518" s="1179">
        <v>0</v>
      </c>
      <c r="G1518" s="1189" t="s">
        <v>6198</v>
      </c>
      <c r="H1518" s="1176">
        <v>0</v>
      </c>
      <c r="I1518" s="1176">
        <v>0</v>
      </c>
      <c r="J1518" s="1190">
        <v>0</v>
      </c>
      <c r="K1518" s="1180"/>
      <c r="L1518" s="1174">
        <v>13135050416</v>
      </c>
      <c r="M1518" s="1175">
        <v>0</v>
      </c>
      <c r="N1518" s="1175">
        <v>0</v>
      </c>
      <c r="O1518" s="1176">
        <v>0</v>
      </c>
      <c r="AA1518"/>
      <c r="AB1518"/>
    </row>
    <row r="1519" spans="3:28" ht="13.5">
      <c r="C1519" s="1181" t="s">
        <v>6199</v>
      </c>
      <c r="D1519" s="1178">
        <v>0</v>
      </c>
      <c r="E1519" s="1178">
        <v>0</v>
      </c>
      <c r="F1519" s="1179">
        <v>0</v>
      </c>
      <c r="G1519" s="1189" t="s">
        <v>6199</v>
      </c>
      <c r="H1519" s="1176">
        <v>0</v>
      </c>
      <c r="I1519" s="1176" t="s">
        <v>4455</v>
      </c>
      <c r="J1519" s="1190">
        <v>0</v>
      </c>
      <c r="K1519" s="1180"/>
      <c r="L1519" s="1174">
        <v>13135050417</v>
      </c>
      <c r="M1519" s="1175">
        <v>0</v>
      </c>
      <c r="N1519" s="1175">
        <v>0</v>
      </c>
      <c r="O1519" s="1176">
        <v>0</v>
      </c>
      <c r="AA1519"/>
      <c r="AB1519"/>
    </row>
    <row r="1520" spans="3:28" ht="13.5">
      <c r="C1520" s="1181" t="s">
        <v>6200</v>
      </c>
      <c r="D1520" s="1178">
        <v>0</v>
      </c>
      <c r="E1520" s="1178">
        <v>0</v>
      </c>
      <c r="F1520" s="1179">
        <v>0</v>
      </c>
      <c r="G1520" s="1189" t="s">
        <v>6200</v>
      </c>
      <c r="H1520" s="1176">
        <v>0</v>
      </c>
      <c r="I1520" s="1176">
        <v>0</v>
      </c>
      <c r="J1520" s="1190">
        <v>0</v>
      </c>
      <c r="K1520" s="1180"/>
      <c r="L1520" s="1174">
        <v>13135050418</v>
      </c>
      <c r="M1520" s="1175">
        <v>0</v>
      </c>
      <c r="N1520" s="1175">
        <v>0</v>
      </c>
      <c r="O1520" s="1176">
        <v>0</v>
      </c>
      <c r="AA1520"/>
      <c r="AB1520"/>
    </row>
    <row r="1521" spans="3:28" ht="13.5">
      <c r="C1521" s="1181" t="s">
        <v>6201</v>
      </c>
      <c r="D1521" s="1178">
        <v>0</v>
      </c>
      <c r="E1521" s="1178">
        <v>0</v>
      </c>
      <c r="F1521" s="1179">
        <v>0</v>
      </c>
      <c r="G1521" s="1189" t="s">
        <v>6201</v>
      </c>
      <c r="H1521" s="1176">
        <v>0</v>
      </c>
      <c r="I1521" s="1176" t="s">
        <v>4455</v>
      </c>
      <c r="J1521" s="1190">
        <v>0</v>
      </c>
      <c r="K1521" s="1180"/>
      <c r="L1521" s="1174">
        <v>13135050419</v>
      </c>
      <c r="M1521" s="1175">
        <v>0</v>
      </c>
      <c r="N1521" s="1175">
        <v>0</v>
      </c>
      <c r="O1521" s="1176">
        <v>0</v>
      </c>
      <c r="AA1521"/>
      <c r="AB1521"/>
    </row>
    <row r="1522" spans="3:28" ht="13.5">
      <c r="C1522" s="1181" t="s">
        <v>6202</v>
      </c>
      <c r="D1522" s="1178">
        <v>0</v>
      </c>
      <c r="E1522" s="1178">
        <v>0</v>
      </c>
      <c r="F1522" s="1179">
        <v>0</v>
      </c>
      <c r="G1522" s="1189" t="s">
        <v>6202</v>
      </c>
      <c r="H1522" s="1176">
        <v>0</v>
      </c>
      <c r="I1522" s="1176">
        <v>0</v>
      </c>
      <c r="J1522" s="1190">
        <v>0</v>
      </c>
      <c r="K1522" s="1180"/>
      <c r="L1522" s="1174">
        <v>13135050421</v>
      </c>
      <c r="M1522" s="1175">
        <v>0</v>
      </c>
      <c r="N1522" s="1175">
        <v>0</v>
      </c>
      <c r="O1522" s="1176">
        <v>0</v>
      </c>
      <c r="AA1522"/>
      <c r="AB1522"/>
    </row>
    <row r="1523" spans="3:28" ht="13.5">
      <c r="C1523" s="1181" t="s">
        <v>6203</v>
      </c>
      <c r="D1523" s="1178">
        <v>0</v>
      </c>
      <c r="E1523" s="1178">
        <v>0</v>
      </c>
      <c r="F1523" s="1179">
        <v>0</v>
      </c>
      <c r="G1523" s="1189" t="s">
        <v>6203</v>
      </c>
      <c r="H1523" s="1176">
        <v>0</v>
      </c>
      <c r="I1523" s="1176">
        <v>0</v>
      </c>
      <c r="J1523" s="1190">
        <v>0</v>
      </c>
      <c r="K1523" s="1180"/>
      <c r="L1523" s="1174">
        <v>13135050422</v>
      </c>
      <c r="M1523" s="1175">
        <v>0</v>
      </c>
      <c r="N1523" s="1175">
        <v>0</v>
      </c>
      <c r="O1523" s="1176">
        <v>0</v>
      </c>
      <c r="AA1523"/>
      <c r="AB1523"/>
    </row>
    <row r="1524" spans="3:28" ht="13.5">
      <c r="C1524" s="1181" t="s">
        <v>6204</v>
      </c>
      <c r="D1524" s="1178">
        <v>0</v>
      </c>
      <c r="E1524" s="1178">
        <v>0</v>
      </c>
      <c r="F1524" s="1179">
        <v>0</v>
      </c>
      <c r="G1524" s="1189" t="s">
        <v>6204</v>
      </c>
      <c r="H1524" s="1176">
        <v>0</v>
      </c>
      <c r="I1524" s="1176" t="s">
        <v>4455</v>
      </c>
      <c r="J1524" s="1190">
        <v>0</v>
      </c>
      <c r="K1524" s="1180"/>
      <c r="L1524" s="1174">
        <v>13135050423</v>
      </c>
      <c r="M1524" s="1175">
        <v>0</v>
      </c>
      <c r="N1524" s="1175">
        <v>0</v>
      </c>
      <c r="O1524" s="1176">
        <v>0</v>
      </c>
      <c r="AA1524"/>
      <c r="AB1524"/>
    </row>
    <row r="1525" spans="3:28" ht="13.5">
      <c r="C1525" s="1181" t="s">
        <v>6205</v>
      </c>
      <c r="D1525" s="1178">
        <v>0</v>
      </c>
      <c r="E1525" s="1178">
        <v>0</v>
      </c>
      <c r="F1525" s="1179">
        <v>0</v>
      </c>
      <c r="G1525" s="1189" t="s">
        <v>6205</v>
      </c>
      <c r="H1525" s="1176">
        <v>0</v>
      </c>
      <c r="I1525" s="1176" t="s">
        <v>4455</v>
      </c>
      <c r="J1525" s="1190">
        <v>0</v>
      </c>
      <c r="K1525" s="1180"/>
      <c r="L1525" s="1174">
        <v>13135050424</v>
      </c>
      <c r="M1525" s="1175">
        <v>0</v>
      </c>
      <c r="N1525" s="1175">
        <v>0</v>
      </c>
      <c r="O1525" s="1176">
        <v>0</v>
      </c>
      <c r="AA1525"/>
      <c r="AB1525"/>
    </row>
    <row r="1526" spans="3:28" ht="13.5">
      <c r="C1526" s="1181" t="s">
        <v>6206</v>
      </c>
      <c r="D1526" s="1178">
        <v>1</v>
      </c>
      <c r="E1526" s="1178">
        <v>1</v>
      </c>
      <c r="F1526" s="1179">
        <v>2</v>
      </c>
      <c r="G1526" s="1189" t="s">
        <v>6206</v>
      </c>
      <c r="H1526" s="1176">
        <v>1</v>
      </c>
      <c r="I1526" s="1176">
        <v>1</v>
      </c>
      <c r="J1526" s="1190">
        <v>2</v>
      </c>
      <c r="K1526" s="1180"/>
      <c r="L1526" s="1174">
        <v>13135050425</v>
      </c>
      <c r="M1526" s="1175">
        <v>1</v>
      </c>
      <c r="N1526" s="1175">
        <v>1</v>
      </c>
      <c r="O1526" s="1176">
        <v>2</v>
      </c>
      <c r="AA1526"/>
      <c r="AB1526"/>
    </row>
    <row r="1527" spans="3:28" ht="13.5">
      <c r="C1527" s="1181" t="s">
        <v>6207</v>
      </c>
      <c r="D1527" s="1178">
        <v>1</v>
      </c>
      <c r="E1527" s="1178">
        <v>1</v>
      </c>
      <c r="F1527" s="1179">
        <v>2</v>
      </c>
      <c r="G1527" s="1189" t="s">
        <v>6207</v>
      </c>
      <c r="H1527" s="1176">
        <v>1</v>
      </c>
      <c r="I1527" s="1176">
        <v>1</v>
      </c>
      <c r="J1527" s="1190">
        <v>2</v>
      </c>
      <c r="K1527" s="1180"/>
      <c r="L1527" s="1174">
        <v>13135050426</v>
      </c>
      <c r="M1527" s="1175">
        <v>1</v>
      </c>
      <c r="N1527" s="1175">
        <v>1</v>
      </c>
      <c r="O1527" s="1176">
        <v>2</v>
      </c>
      <c r="AA1527"/>
      <c r="AB1527"/>
    </row>
    <row r="1528" spans="3:28" ht="13.5">
      <c r="C1528" s="1181" t="s">
        <v>6208</v>
      </c>
      <c r="D1528" s="1178">
        <v>1</v>
      </c>
      <c r="E1528" s="1178">
        <v>1</v>
      </c>
      <c r="F1528" s="1179">
        <v>2</v>
      </c>
      <c r="G1528" s="1189" t="s">
        <v>6208</v>
      </c>
      <c r="H1528" s="1176">
        <v>1</v>
      </c>
      <c r="I1528" s="1176">
        <v>1</v>
      </c>
      <c r="J1528" s="1190">
        <v>2</v>
      </c>
      <c r="K1528" s="1180"/>
      <c r="L1528" s="1174">
        <v>13135050427</v>
      </c>
      <c r="M1528" s="1175">
        <v>1</v>
      </c>
      <c r="N1528" s="1175">
        <v>1</v>
      </c>
      <c r="O1528" s="1176">
        <v>2</v>
      </c>
      <c r="AA1528"/>
      <c r="AB1528"/>
    </row>
    <row r="1529" spans="3:28" ht="13.5">
      <c r="C1529" s="1181" t="s">
        <v>6209</v>
      </c>
      <c r="D1529" s="1178">
        <v>1</v>
      </c>
      <c r="E1529" s="1178">
        <v>1</v>
      </c>
      <c r="F1529" s="1179">
        <v>2</v>
      </c>
      <c r="G1529" s="1189" t="s">
        <v>6209</v>
      </c>
      <c r="H1529" s="1176">
        <v>1</v>
      </c>
      <c r="I1529" s="1176">
        <v>1</v>
      </c>
      <c r="J1529" s="1190">
        <v>2</v>
      </c>
      <c r="K1529" s="1180"/>
      <c r="L1529" s="1174">
        <v>13135050428</v>
      </c>
      <c r="M1529" s="1175">
        <v>1</v>
      </c>
      <c r="N1529" s="1175">
        <v>1</v>
      </c>
      <c r="O1529" s="1176">
        <v>2</v>
      </c>
      <c r="AA1529"/>
      <c r="AB1529"/>
    </row>
    <row r="1530" spans="3:28" ht="13.5">
      <c r="C1530" s="1181" t="s">
        <v>6210</v>
      </c>
      <c r="D1530" s="1178">
        <v>1</v>
      </c>
      <c r="E1530" s="1178">
        <v>1</v>
      </c>
      <c r="F1530" s="1179">
        <v>2</v>
      </c>
      <c r="G1530" s="1189" t="s">
        <v>6210</v>
      </c>
      <c r="H1530" s="1176">
        <v>1</v>
      </c>
      <c r="I1530" s="1176">
        <v>1</v>
      </c>
      <c r="J1530" s="1190">
        <v>2</v>
      </c>
      <c r="K1530" s="1180"/>
      <c r="L1530" s="1174">
        <v>13135050429</v>
      </c>
      <c r="M1530" s="1175">
        <v>1</v>
      </c>
      <c r="N1530" s="1175">
        <v>1</v>
      </c>
      <c r="O1530" s="1176">
        <v>2</v>
      </c>
      <c r="AA1530"/>
      <c r="AB1530"/>
    </row>
    <row r="1531" spans="3:28" ht="13.5">
      <c r="C1531" s="1181" t="s">
        <v>6211</v>
      </c>
      <c r="D1531" s="1178">
        <v>1</v>
      </c>
      <c r="E1531" s="1178">
        <v>1</v>
      </c>
      <c r="F1531" s="1179">
        <v>2</v>
      </c>
      <c r="G1531" s="1189" t="s">
        <v>6211</v>
      </c>
      <c r="H1531" s="1176">
        <v>1</v>
      </c>
      <c r="I1531" s="1176">
        <v>0</v>
      </c>
      <c r="J1531" s="1190">
        <v>1</v>
      </c>
      <c r="K1531" s="1180"/>
      <c r="L1531" s="1174">
        <v>13135050430</v>
      </c>
      <c r="M1531" s="1175">
        <v>1</v>
      </c>
      <c r="N1531" s="1175">
        <v>1</v>
      </c>
      <c r="O1531" s="1176">
        <v>2</v>
      </c>
      <c r="AA1531"/>
      <c r="AB1531"/>
    </row>
    <row r="1532" spans="3:28" ht="13.5">
      <c r="C1532" s="1181" t="s">
        <v>6212</v>
      </c>
      <c r="D1532" s="1178">
        <v>0</v>
      </c>
      <c r="E1532" s="1178">
        <v>0</v>
      </c>
      <c r="F1532" s="1179">
        <v>0</v>
      </c>
      <c r="G1532" s="1189" t="s">
        <v>6212</v>
      </c>
      <c r="H1532" s="1176">
        <v>0</v>
      </c>
      <c r="I1532" s="1176">
        <v>0</v>
      </c>
      <c r="J1532" s="1190">
        <v>0</v>
      </c>
      <c r="K1532" s="1180"/>
      <c r="L1532" s="1174">
        <v>13135050431</v>
      </c>
      <c r="M1532" s="1175">
        <v>0</v>
      </c>
      <c r="N1532" s="1175">
        <v>0</v>
      </c>
      <c r="O1532" s="1176">
        <v>0</v>
      </c>
      <c r="AA1532"/>
      <c r="AB1532"/>
    </row>
    <row r="1533" spans="3:28" ht="13.5">
      <c r="C1533" s="1181" t="s">
        <v>6213</v>
      </c>
      <c r="D1533" s="1178">
        <v>1</v>
      </c>
      <c r="E1533" s="1178">
        <v>1</v>
      </c>
      <c r="F1533" s="1179">
        <v>2</v>
      </c>
      <c r="G1533" s="1189" t="s">
        <v>6213</v>
      </c>
      <c r="H1533" s="1176">
        <v>1</v>
      </c>
      <c r="I1533" s="1176" t="s">
        <v>4455</v>
      </c>
      <c r="J1533" s="1190">
        <v>1</v>
      </c>
      <c r="K1533" s="1180"/>
      <c r="L1533" s="1174">
        <v>13135050432</v>
      </c>
      <c r="M1533" s="1175">
        <v>1</v>
      </c>
      <c r="N1533" s="1175">
        <v>1</v>
      </c>
      <c r="O1533" s="1176">
        <v>2</v>
      </c>
      <c r="AA1533"/>
      <c r="AB1533"/>
    </row>
    <row r="1534" spans="3:28" ht="13.5">
      <c r="C1534" s="1181" t="s">
        <v>6214</v>
      </c>
      <c r="D1534" s="1178">
        <v>0</v>
      </c>
      <c r="E1534" s="1178">
        <v>0</v>
      </c>
      <c r="F1534" s="1179">
        <v>0</v>
      </c>
      <c r="G1534" s="1189" t="s">
        <v>6214</v>
      </c>
      <c r="H1534" s="1176">
        <v>1</v>
      </c>
      <c r="I1534" s="1176">
        <v>0</v>
      </c>
      <c r="J1534" s="1190">
        <v>1</v>
      </c>
      <c r="K1534" s="1180"/>
      <c r="L1534" s="1174">
        <v>13135050433</v>
      </c>
      <c r="M1534" s="1175">
        <v>1</v>
      </c>
      <c r="N1534" s="1175">
        <v>0</v>
      </c>
      <c r="O1534" s="1176">
        <v>1</v>
      </c>
      <c r="AA1534"/>
      <c r="AB1534"/>
    </row>
    <row r="1535" spans="3:28" ht="13.5">
      <c r="C1535" s="1181" t="s">
        <v>6215</v>
      </c>
      <c r="D1535" s="1178">
        <v>0</v>
      </c>
      <c r="E1535" s="1178">
        <v>0</v>
      </c>
      <c r="F1535" s="1179">
        <v>0</v>
      </c>
      <c r="G1535" s="1189" t="s">
        <v>6215</v>
      </c>
      <c r="H1535" s="1176">
        <v>1</v>
      </c>
      <c r="I1535" s="1176">
        <v>0</v>
      </c>
      <c r="J1535" s="1190">
        <v>1</v>
      </c>
      <c r="K1535" s="1180"/>
      <c r="L1535" s="1174">
        <v>13135050434</v>
      </c>
      <c r="M1535" s="1175">
        <v>1</v>
      </c>
      <c r="N1535" s="1175">
        <v>0</v>
      </c>
      <c r="O1535" s="1176">
        <v>1</v>
      </c>
      <c r="AA1535"/>
      <c r="AB1535"/>
    </row>
    <row r="1536" spans="3:28" ht="13.5">
      <c r="C1536" s="1181" t="s">
        <v>6216</v>
      </c>
      <c r="D1536" s="1178">
        <v>1</v>
      </c>
      <c r="E1536" s="1178">
        <v>0</v>
      </c>
      <c r="F1536" s="1179">
        <v>1</v>
      </c>
      <c r="G1536" s="1189" t="s">
        <v>6216</v>
      </c>
      <c r="H1536" s="1176">
        <v>0</v>
      </c>
      <c r="I1536" s="1176">
        <v>0</v>
      </c>
      <c r="J1536" s="1190">
        <v>0</v>
      </c>
      <c r="K1536" s="1180"/>
      <c r="L1536" s="1174">
        <v>13135050435</v>
      </c>
      <c r="M1536" s="1175">
        <v>1</v>
      </c>
      <c r="N1536" s="1175">
        <v>0</v>
      </c>
      <c r="O1536" s="1176">
        <v>1</v>
      </c>
      <c r="AA1536"/>
      <c r="AB1536"/>
    </row>
    <row r="1537" spans="3:28" ht="13.5">
      <c r="C1537" s="1181" t="s">
        <v>6217</v>
      </c>
      <c r="D1537" s="1178">
        <v>0</v>
      </c>
      <c r="E1537" s="1178">
        <v>0</v>
      </c>
      <c r="F1537" s="1179">
        <v>0</v>
      </c>
      <c r="G1537" s="1189" t="s">
        <v>6217</v>
      </c>
      <c r="H1537" s="1176">
        <v>0</v>
      </c>
      <c r="I1537" s="1176">
        <v>0</v>
      </c>
      <c r="J1537" s="1190">
        <v>0</v>
      </c>
      <c r="K1537" s="1180"/>
      <c r="L1537" s="1174">
        <v>13135050436</v>
      </c>
      <c r="M1537" s="1175">
        <v>0</v>
      </c>
      <c r="N1537" s="1175">
        <v>0</v>
      </c>
      <c r="O1537" s="1176">
        <v>0</v>
      </c>
      <c r="AA1537"/>
      <c r="AB1537"/>
    </row>
    <row r="1538" spans="3:28" ht="13.5">
      <c r="C1538" s="1181" t="s">
        <v>6218</v>
      </c>
      <c r="D1538" s="1178">
        <v>1</v>
      </c>
      <c r="E1538" s="1178">
        <v>0</v>
      </c>
      <c r="F1538" s="1179">
        <v>1</v>
      </c>
      <c r="G1538" s="1189" t="s">
        <v>6218</v>
      </c>
      <c r="H1538" s="1176">
        <v>0</v>
      </c>
      <c r="I1538" s="1176">
        <v>0</v>
      </c>
      <c r="J1538" s="1190">
        <v>0</v>
      </c>
      <c r="K1538" s="1180"/>
      <c r="L1538" s="1174">
        <v>13135050511</v>
      </c>
      <c r="M1538" s="1175">
        <v>1</v>
      </c>
      <c r="N1538" s="1175">
        <v>0</v>
      </c>
      <c r="O1538" s="1176">
        <v>1</v>
      </c>
      <c r="AA1538"/>
      <c r="AB1538"/>
    </row>
    <row r="1539" spans="3:28" ht="13.5">
      <c r="C1539" s="1181" t="s">
        <v>6219</v>
      </c>
      <c r="D1539" s="1178">
        <v>0</v>
      </c>
      <c r="E1539" s="1178">
        <v>0</v>
      </c>
      <c r="F1539" s="1179">
        <v>0</v>
      </c>
      <c r="G1539" s="1189" t="s">
        <v>6219</v>
      </c>
      <c r="H1539" s="1176">
        <v>0</v>
      </c>
      <c r="I1539" s="1176">
        <v>0</v>
      </c>
      <c r="J1539" s="1190">
        <v>0</v>
      </c>
      <c r="K1539" s="1180"/>
      <c r="L1539" s="1174">
        <v>13135050520</v>
      </c>
      <c r="M1539" s="1175">
        <v>0</v>
      </c>
      <c r="N1539" s="1175">
        <v>0</v>
      </c>
      <c r="O1539" s="1176">
        <v>0</v>
      </c>
      <c r="AA1539"/>
      <c r="AB1539"/>
    </row>
    <row r="1540" spans="3:28" ht="13.5">
      <c r="C1540" s="1181" t="s">
        <v>6220</v>
      </c>
      <c r="D1540" s="1178">
        <v>0</v>
      </c>
      <c r="E1540" s="1178">
        <v>0</v>
      </c>
      <c r="F1540" s="1179">
        <v>0</v>
      </c>
      <c r="G1540" s="1189" t="s">
        <v>6220</v>
      </c>
      <c r="H1540" s="1176">
        <v>0</v>
      </c>
      <c r="I1540" s="1176">
        <v>0</v>
      </c>
      <c r="J1540" s="1190">
        <v>0</v>
      </c>
      <c r="K1540" s="1180"/>
      <c r="L1540" s="1174">
        <v>13135050521</v>
      </c>
      <c r="M1540" s="1175">
        <v>0</v>
      </c>
      <c r="N1540" s="1175">
        <v>0</v>
      </c>
      <c r="O1540" s="1176">
        <v>0</v>
      </c>
      <c r="AA1540"/>
      <c r="AB1540"/>
    </row>
    <row r="1541" spans="3:28" ht="13.5">
      <c r="C1541" s="1181" t="s">
        <v>6221</v>
      </c>
      <c r="D1541" s="1178">
        <v>0</v>
      </c>
      <c r="E1541" s="1178">
        <v>0</v>
      </c>
      <c r="F1541" s="1179">
        <v>0</v>
      </c>
      <c r="G1541" s="1189" t="s">
        <v>6221</v>
      </c>
      <c r="H1541" s="1176">
        <v>0</v>
      </c>
      <c r="I1541" s="1176">
        <v>0</v>
      </c>
      <c r="J1541" s="1190">
        <v>0</v>
      </c>
      <c r="K1541" s="1180"/>
      <c r="L1541" s="1174">
        <v>13135050522</v>
      </c>
      <c r="M1541" s="1175">
        <v>0</v>
      </c>
      <c r="N1541" s="1175">
        <v>0</v>
      </c>
      <c r="O1541" s="1176">
        <v>0</v>
      </c>
      <c r="AA1541"/>
      <c r="AB1541"/>
    </row>
    <row r="1542" spans="3:28" ht="13.5">
      <c r="C1542" s="1181" t="s">
        <v>6222</v>
      </c>
      <c r="D1542" s="1178">
        <v>1</v>
      </c>
      <c r="E1542" s="1178">
        <v>1</v>
      </c>
      <c r="F1542" s="1179">
        <v>2</v>
      </c>
      <c r="G1542" s="1189" t="s">
        <v>6222</v>
      </c>
      <c r="H1542" s="1176">
        <v>0</v>
      </c>
      <c r="I1542" s="1176" t="s">
        <v>4455</v>
      </c>
      <c r="J1542" s="1190">
        <v>0</v>
      </c>
      <c r="K1542" s="1180"/>
      <c r="L1542" s="1174">
        <v>13135050523</v>
      </c>
      <c r="M1542" s="1175">
        <v>1</v>
      </c>
      <c r="N1542" s="1175">
        <v>1</v>
      </c>
      <c r="O1542" s="1176">
        <v>2</v>
      </c>
      <c r="AA1542"/>
      <c r="AB1542"/>
    </row>
    <row r="1543" spans="3:28" ht="13.5">
      <c r="C1543" s="1181" t="s">
        <v>6223</v>
      </c>
      <c r="D1543" s="1178">
        <v>0</v>
      </c>
      <c r="E1543" s="1178">
        <v>0</v>
      </c>
      <c r="F1543" s="1179">
        <v>0</v>
      </c>
      <c r="G1543" s="1189" t="s">
        <v>6223</v>
      </c>
      <c r="H1543" s="1176">
        <v>0</v>
      </c>
      <c r="I1543" s="1176">
        <v>0</v>
      </c>
      <c r="J1543" s="1190">
        <v>0</v>
      </c>
      <c r="K1543" s="1180"/>
      <c r="L1543" s="1174">
        <v>13135050524</v>
      </c>
      <c r="M1543" s="1175">
        <v>0</v>
      </c>
      <c r="N1543" s="1175">
        <v>0</v>
      </c>
      <c r="O1543" s="1176">
        <v>0</v>
      </c>
      <c r="AA1543"/>
      <c r="AB1543"/>
    </row>
    <row r="1544" spans="3:28" ht="13.5">
      <c r="C1544" s="1181" t="s">
        <v>6224</v>
      </c>
      <c r="D1544" s="1178">
        <v>1</v>
      </c>
      <c r="E1544" s="1178">
        <v>1</v>
      </c>
      <c r="F1544" s="1179">
        <v>2</v>
      </c>
      <c r="G1544" s="1189" t="s">
        <v>6224</v>
      </c>
      <c r="H1544" s="1176">
        <v>1</v>
      </c>
      <c r="I1544" s="1176">
        <v>1</v>
      </c>
      <c r="J1544" s="1190">
        <v>2</v>
      </c>
      <c r="K1544" s="1180"/>
      <c r="L1544" s="1174">
        <v>13135050525</v>
      </c>
      <c r="M1544" s="1175">
        <v>1</v>
      </c>
      <c r="N1544" s="1175">
        <v>1</v>
      </c>
      <c r="O1544" s="1176">
        <v>2</v>
      </c>
      <c r="AA1544"/>
      <c r="AB1544"/>
    </row>
    <row r="1545" spans="3:28" ht="13.5">
      <c r="C1545" s="1181" t="s">
        <v>6225</v>
      </c>
      <c r="D1545" s="1178">
        <v>0</v>
      </c>
      <c r="E1545" s="1178">
        <v>0</v>
      </c>
      <c r="F1545" s="1179">
        <v>0</v>
      </c>
      <c r="G1545" s="1189" t="s">
        <v>6225</v>
      </c>
      <c r="H1545" s="1176">
        <v>1</v>
      </c>
      <c r="I1545" s="1176">
        <v>0</v>
      </c>
      <c r="J1545" s="1190">
        <v>1</v>
      </c>
      <c r="K1545" s="1180"/>
      <c r="L1545" s="1174">
        <v>13135050526</v>
      </c>
      <c r="M1545" s="1175">
        <v>1</v>
      </c>
      <c r="N1545" s="1175">
        <v>0</v>
      </c>
      <c r="O1545" s="1176">
        <v>1</v>
      </c>
      <c r="AA1545"/>
      <c r="AB1545"/>
    </row>
    <row r="1546" spans="3:28" ht="13.5">
      <c r="C1546" s="1181" t="s">
        <v>6226</v>
      </c>
      <c r="D1546" s="1178">
        <v>1</v>
      </c>
      <c r="E1546" s="1178">
        <v>1</v>
      </c>
      <c r="F1546" s="1179">
        <v>2</v>
      </c>
      <c r="G1546" s="1189" t="s">
        <v>6226</v>
      </c>
      <c r="H1546" s="1176">
        <v>1</v>
      </c>
      <c r="I1546" s="1176">
        <v>1</v>
      </c>
      <c r="J1546" s="1190">
        <v>2</v>
      </c>
      <c r="K1546" s="1180"/>
      <c r="L1546" s="1174">
        <v>13135050527</v>
      </c>
      <c r="M1546" s="1175">
        <v>1</v>
      </c>
      <c r="N1546" s="1175">
        <v>1</v>
      </c>
      <c r="O1546" s="1176">
        <v>2</v>
      </c>
      <c r="AA1546"/>
      <c r="AB1546"/>
    </row>
    <row r="1547" spans="3:28" ht="13.5">
      <c r="C1547" s="1181" t="s">
        <v>6227</v>
      </c>
      <c r="D1547" s="1178">
        <v>1</v>
      </c>
      <c r="E1547" s="1178">
        <v>1</v>
      </c>
      <c r="F1547" s="1179">
        <v>2</v>
      </c>
      <c r="G1547" s="1189" t="s">
        <v>6227</v>
      </c>
      <c r="H1547" s="1176">
        <v>1</v>
      </c>
      <c r="I1547" s="1176">
        <v>1</v>
      </c>
      <c r="J1547" s="1190">
        <v>2</v>
      </c>
      <c r="K1547" s="1180"/>
      <c r="L1547" s="1174">
        <v>13135050528</v>
      </c>
      <c r="M1547" s="1175">
        <v>1</v>
      </c>
      <c r="N1547" s="1175">
        <v>1</v>
      </c>
      <c r="O1547" s="1176">
        <v>2</v>
      </c>
      <c r="AA1547"/>
      <c r="AB1547"/>
    </row>
    <row r="1548" spans="3:28" ht="13.5">
      <c r="C1548" s="1181" t="s">
        <v>6228</v>
      </c>
      <c r="D1548" s="1178">
        <v>1</v>
      </c>
      <c r="E1548" s="1178">
        <v>0</v>
      </c>
      <c r="F1548" s="1179">
        <v>1</v>
      </c>
      <c r="G1548" s="1189" t="s">
        <v>6228</v>
      </c>
      <c r="H1548" s="1176">
        <v>1</v>
      </c>
      <c r="I1548" s="1176" t="s">
        <v>4455</v>
      </c>
      <c r="J1548" s="1190">
        <v>1</v>
      </c>
      <c r="K1548" s="1180"/>
      <c r="L1548" s="1174">
        <v>13135050529</v>
      </c>
      <c r="M1548" s="1175">
        <v>1</v>
      </c>
      <c r="N1548" s="1175">
        <v>0</v>
      </c>
      <c r="O1548" s="1176">
        <v>1</v>
      </c>
      <c r="AA1548"/>
      <c r="AB1548"/>
    </row>
    <row r="1549" spans="3:28" ht="13.5">
      <c r="C1549" s="1181" t="s">
        <v>6229</v>
      </c>
      <c r="D1549" s="1178">
        <v>1</v>
      </c>
      <c r="E1549" s="1178">
        <v>1</v>
      </c>
      <c r="F1549" s="1179">
        <v>2</v>
      </c>
      <c r="G1549" s="1189" t="s">
        <v>6229</v>
      </c>
      <c r="H1549" s="1176">
        <v>1</v>
      </c>
      <c r="I1549" s="1176">
        <v>1</v>
      </c>
      <c r="J1549" s="1190">
        <v>2</v>
      </c>
      <c r="K1549" s="1180"/>
      <c r="L1549" s="1174">
        <v>13135050530</v>
      </c>
      <c r="M1549" s="1175">
        <v>1</v>
      </c>
      <c r="N1549" s="1175">
        <v>1</v>
      </c>
      <c r="O1549" s="1176">
        <v>2</v>
      </c>
      <c r="AA1549"/>
      <c r="AB1549"/>
    </row>
    <row r="1550" spans="3:28" ht="13.5">
      <c r="C1550" s="1181" t="s">
        <v>6230</v>
      </c>
      <c r="D1550" s="1178">
        <v>1</v>
      </c>
      <c r="E1550" s="1178">
        <v>0</v>
      </c>
      <c r="F1550" s="1179">
        <v>1</v>
      </c>
      <c r="G1550" s="1189" t="s">
        <v>6230</v>
      </c>
      <c r="H1550" s="1176">
        <v>0</v>
      </c>
      <c r="I1550" s="1176">
        <v>0</v>
      </c>
      <c r="J1550" s="1190">
        <v>0</v>
      </c>
      <c r="K1550" s="1180"/>
      <c r="L1550" s="1174">
        <v>13135050531</v>
      </c>
      <c r="M1550" s="1175">
        <v>1</v>
      </c>
      <c r="N1550" s="1175">
        <v>0</v>
      </c>
      <c r="O1550" s="1176">
        <v>1</v>
      </c>
      <c r="AA1550"/>
      <c r="AB1550"/>
    </row>
    <row r="1551" spans="3:28" ht="13.5">
      <c r="C1551" s="1181" t="s">
        <v>6231</v>
      </c>
      <c r="D1551" s="1178">
        <v>1</v>
      </c>
      <c r="E1551" s="1178">
        <v>0</v>
      </c>
      <c r="F1551" s="1179">
        <v>1</v>
      </c>
      <c r="G1551" s="1189" t="s">
        <v>6231</v>
      </c>
      <c r="H1551" s="1176">
        <v>1</v>
      </c>
      <c r="I1551" s="1176">
        <v>0</v>
      </c>
      <c r="J1551" s="1190">
        <v>1</v>
      </c>
      <c r="K1551" s="1180"/>
      <c r="L1551" s="1174">
        <v>13135050532</v>
      </c>
      <c r="M1551" s="1175">
        <v>1</v>
      </c>
      <c r="N1551" s="1175">
        <v>0</v>
      </c>
      <c r="O1551" s="1176">
        <v>1</v>
      </c>
      <c r="AA1551"/>
      <c r="AB1551"/>
    </row>
    <row r="1552" spans="3:28" ht="13.5">
      <c r="C1552" s="1181" t="s">
        <v>6232</v>
      </c>
      <c r="D1552" s="1178">
        <v>1</v>
      </c>
      <c r="E1552" s="1178">
        <v>0</v>
      </c>
      <c r="F1552" s="1179">
        <v>1</v>
      </c>
      <c r="G1552" s="1189" t="s">
        <v>6232</v>
      </c>
      <c r="H1552" s="1176">
        <v>1</v>
      </c>
      <c r="I1552" s="1176">
        <v>0</v>
      </c>
      <c r="J1552" s="1190">
        <v>1</v>
      </c>
      <c r="K1552" s="1180"/>
      <c r="L1552" s="1174">
        <v>13135050533</v>
      </c>
      <c r="M1552" s="1175">
        <v>1</v>
      </c>
      <c r="N1552" s="1175">
        <v>0</v>
      </c>
      <c r="O1552" s="1176">
        <v>1</v>
      </c>
      <c r="AA1552"/>
      <c r="AB1552"/>
    </row>
    <row r="1553" spans="3:28" ht="13.5">
      <c r="C1553" s="1181" t="s">
        <v>6233</v>
      </c>
      <c r="D1553" s="1178">
        <v>1</v>
      </c>
      <c r="E1553" s="1178">
        <v>1</v>
      </c>
      <c r="F1553" s="1179">
        <v>2</v>
      </c>
      <c r="G1553" s="1189" t="s">
        <v>6233</v>
      </c>
      <c r="H1553" s="1176">
        <v>1</v>
      </c>
      <c r="I1553" s="1176" t="s">
        <v>4455</v>
      </c>
      <c r="J1553" s="1190">
        <v>1</v>
      </c>
      <c r="K1553" s="1180"/>
      <c r="L1553" s="1174">
        <v>13135050534</v>
      </c>
      <c r="M1553" s="1175">
        <v>1</v>
      </c>
      <c r="N1553" s="1175">
        <v>1</v>
      </c>
      <c r="O1553" s="1176">
        <v>2</v>
      </c>
      <c r="AA1553"/>
      <c r="AB1553"/>
    </row>
    <row r="1554" spans="3:28" ht="13.5">
      <c r="C1554" s="1181" t="s">
        <v>6234</v>
      </c>
      <c r="D1554" s="1178">
        <v>1</v>
      </c>
      <c r="E1554" s="1178">
        <v>0</v>
      </c>
      <c r="F1554" s="1179">
        <v>1</v>
      </c>
      <c r="G1554" s="1189" t="s">
        <v>6234</v>
      </c>
      <c r="H1554" s="1176">
        <v>1</v>
      </c>
      <c r="I1554" s="1176">
        <v>0</v>
      </c>
      <c r="J1554" s="1190">
        <v>1</v>
      </c>
      <c r="K1554" s="1180"/>
      <c r="L1554" s="1174">
        <v>13135050535</v>
      </c>
      <c r="M1554" s="1175">
        <v>1</v>
      </c>
      <c r="N1554" s="1175">
        <v>0</v>
      </c>
      <c r="O1554" s="1176">
        <v>1</v>
      </c>
      <c r="AA1554"/>
      <c r="AB1554"/>
    </row>
    <row r="1555" spans="3:28" ht="13.5">
      <c r="C1555" s="1181" t="s">
        <v>6235</v>
      </c>
      <c r="D1555" s="1178">
        <v>1</v>
      </c>
      <c r="E1555" s="1178">
        <v>1</v>
      </c>
      <c r="F1555" s="1179">
        <v>2</v>
      </c>
      <c r="G1555" s="1189" t="s">
        <v>6235</v>
      </c>
      <c r="H1555" s="1176">
        <v>1</v>
      </c>
      <c r="I1555" s="1176">
        <v>0</v>
      </c>
      <c r="J1555" s="1190">
        <v>1</v>
      </c>
      <c r="K1555" s="1180"/>
      <c r="L1555" s="1174">
        <v>13135050536</v>
      </c>
      <c r="M1555" s="1175">
        <v>1</v>
      </c>
      <c r="N1555" s="1175">
        <v>1</v>
      </c>
      <c r="O1555" s="1176">
        <v>2</v>
      </c>
      <c r="AA1555"/>
      <c r="AB1555"/>
    </row>
    <row r="1556" spans="3:28" ht="13.5">
      <c r="C1556" s="1181" t="s">
        <v>6236</v>
      </c>
      <c r="D1556" s="1178">
        <v>0</v>
      </c>
      <c r="E1556" s="1178">
        <v>0</v>
      </c>
      <c r="F1556" s="1179">
        <v>0</v>
      </c>
      <c r="G1556" s="1189" t="s">
        <v>6236</v>
      </c>
      <c r="H1556" s="1176">
        <v>0</v>
      </c>
      <c r="I1556" s="1176" t="s">
        <v>4455</v>
      </c>
      <c r="J1556" s="1190">
        <v>0</v>
      </c>
      <c r="K1556" s="1180"/>
      <c r="L1556" s="1174">
        <v>13135050537</v>
      </c>
      <c r="M1556" s="1175">
        <v>0</v>
      </c>
      <c r="N1556" s="1175">
        <v>0</v>
      </c>
      <c r="O1556" s="1176">
        <v>0</v>
      </c>
      <c r="AA1556"/>
      <c r="AB1556"/>
    </row>
    <row r="1557" spans="3:28" ht="13.5">
      <c r="C1557" s="1181" t="s">
        <v>6237</v>
      </c>
      <c r="D1557" s="1178">
        <v>1</v>
      </c>
      <c r="E1557" s="1178">
        <v>1</v>
      </c>
      <c r="F1557" s="1179">
        <v>2</v>
      </c>
      <c r="G1557" s="1189" t="s">
        <v>6237</v>
      </c>
      <c r="H1557" s="1176">
        <v>1</v>
      </c>
      <c r="I1557" s="1176">
        <v>0</v>
      </c>
      <c r="J1557" s="1190">
        <v>1</v>
      </c>
      <c r="K1557" s="1180"/>
      <c r="L1557" s="1174">
        <v>13135050538</v>
      </c>
      <c r="M1557" s="1175">
        <v>1</v>
      </c>
      <c r="N1557" s="1175">
        <v>1</v>
      </c>
      <c r="O1557" s="1176">
        <v>2</v>
      </c>
      <c r="AA1557"/>
      <c r="AB1557"/>
    </row>
    <row r="1558" spans="3:28" ht="13.5">
      <c r="C1558" s="1181" t="s">
        <v>6238</v>
      </c>
      <c r="D1558" s="1178">
        <v>0</v>
      </c>
      <c r="E1558" s="1178">
        <v>0</v>
      </c>
      <c r="F1558" s="1179">
        <v>0</v>
      </c>
      <c r="G1558" s="1189" t="s">
        <v>6238</v>
      </c>
      <c r="H1558" s="1176">
        <v>0</v>
      </c>
      <c r="I1558" s="1176">
        <v>0</v>
      </c>
      <c r="J1558" s="1190">
        <v>0</v>
      </c>
      <c r="K1558" s="1180"/>
      <c r="L1558" s="1174">
        <v>13135050539</v>
      </c>
      <c r="M1558" s="1175">
        <v>0</v>
      </c>
      <c r="N1558" s="1175">
        <v>0</v>
      </c>
      <c r="O1558" s="1176">
        <v>0</v>
      </c>
      <c r="AA1558"/>
      <c r="AB1558"/>
    </row>
    <row r="1559" spans="3:28" ht="13.5">
      <c r="C1559" s="1181" t="s">
        <v>6239</v>
      </c>
      <c r="D1559" s="1178">
        <v>1</v>
      </c>
      <c r="E1559" s="1178">
        <v>1</v>
      </c>
      <c r="F1559" s="1179">
        <v>2</v>
      </c>
      <c r="G1559" s="1189" t="s">
        <v>6239</v>
      </c>
      <c r="H1559" s="1176">
        <v>0</v>
      </c>
      <c r="I1559" s="1176">
        <v>0</v>
      </c>
      <c r="J1559" s="1190">
        <v>0</v>
      </c>
      <c r="K1559" s="1180"/>
      <c r="L1559" s="1174">
        <v>13135050540</v>
      </c>
      <c r="M1559" s="1175">
        <v>1</v>
      </c>
      <c r="N1559" s="1175">
        <v>1</v>
      </c>
      <c r="O1559" s="1176">
        <v>2</v>
      </c>
      <c r="AA1559"/>
      <c r="AB1559"/>
    </row>
    <row r="1560" spans="3:28" ht="13.5">
      <c r="C1560" s="1181" t="s">
        <v>6240</v>
      </c>
      <c r="D1560" s="1178">
        <v>0</v>
      </c>
      <c r="E1560" s="1178">
        <v>0</v>
      </c>
      <c r="F1560" s="1179">
        <v>0</v>
      </c>
      <c r="G1560" s="1189" t="s">
        <v>6240</v>
      </c>
      <c r="H1560" s="1176">
        <v>0</v>
      </c>
      <c r="I1560" s="1176" t="s">
        <v>4455</v>
      </c>
      <c r="J1560" s="1190">
        <v>0</v>
      </c>
      <c r="K1560" s="1180"/>
      <c r="L1560" s="1174">
        <v>13135050541</v>
      </c>
      <c r="M1560" s="1175">
        <v>0</v>
      </c>
      <c r="N1560" s="1175">
        <v>0</v>
      </c>
      <c r="O1560" s="1176">
        <v>0</v>
      </c>
      <c r="AA1560"/>
      <c r="AB1560"/>
    </row>
    <row r="1561" spans="3:28" ht="13.5">
      <c r="C1561" s="1181" t="s">
        <v>6241</v>
      </c>
      <c r="D1561" s="1178">
        <v>0</v>
      </c>
      <c r="E1561" s="1178">
        <v>0</v>
      </c>
      <c r="F1561" s="1179">
        <v>0</v>
      </c>
      <c r="G1561" s="1189" t="s">
        <v>6241</v>
      </c>
      <c r="H1561" s="1176">
        <v>0</v>
      </c>
      <c r="I1561" s="1176">
        <v>0</v>
      </c>
      <c r="J1561" s="1190">
        <v>0</v>
      </c>
      <c r="K1561" s="1180"/>
      <c r="L1561" s="1174">
        <v>13135050542</v>
      </c>
      <c r="M1561" s="1175">
        <v>0</v>
      </c>
      <c r="N1561" s="1175">
        <v>0</v>
      </c>
      <c r="O1561" s="1176">
        <v>0</v>
      </c>
      <c r="AA1561"/>
      <c r="AB1561"/>
    </row>
    <row r="1562" spans="3:28" ht="13.5">
      <c r="C1562" s="1181" t="s">
        <v>6242</v>
      </c>
      <c r="D1562" s="1178">
        <v>1</v>
      </c>
      <c r="E1562" s="1178">
        <v>1</v>
      </c>
      <c r="F1562" s="1179">
        <v>2</v>
      </c>
      <c r="G1562" s="1189" t="s">
        <v>6242</v>
      </c>
      <c r="H1562" s="1176">
        <v>1</v>
      </c>
      <c r="I1562" s="1176">
        <v>1</v>
      </c>
      <c r="J1562" s="1190">
        <v>2</v>
      </c>
      <c r="K1562" s="1180"/>
      <c r="L1562" s="1174">
        <v>13135050543</v>
      </c>
      <c r="M1562" s="1175">
        <v>1</v>
      </c>
      <c r="N1562" s="1175">
        <v>1</v>
      </c>
      <c r="O1562" s="1176">
        <v>2</v>
      </c>
      <c r="AA1562"/>
      <c r="AB1562"/>
    </row>
    <row r="1563" spans="3:28" ht="13.5">
      <c r="C1563" s="1181" t="s">
        <v>6243</v>
      </c>
      <c r="D1563" s="1178">
        <v>1</v>
      </c>
      <c r="E1563" s="1178">
        <v>1</v>
      </c>
      <c r="F1563" s="1179">
        <v>2</v>
      </c>
      <c r="G1563" s="1189" t="s">
        <v>6243</v>
      </c>
      <c r="H1563" s="1176">
        <v>1</v>
      </c>
      <c r="I1563" s="1176">
        <v>1</v>
      </c>
      <c r="J1563" s="1190">
        <v>2</v>
      </c>
      <c r="K1563" s="1180"/>
      <c r="L1563" s="1174">
        <v>13135050544</v>
      </c>
      <c r="M1563" s="1175">
        <v>1</v>
      </c>
      <c r="N1563" s="1175">
        <v>1</v>
      </c>
      <c r="O1563" s="1176">
        <v>2</v>
      </c>
      <c r="AA1563"/>
      <c r="AB1563"/>
    </row>
    <row r="1564" spans="3:28" ht="13.5">
      <c r="C1564" s="1181" t="s">
        <v>6244</v>
      </c>
      <c r="D1564" s="1178">
        <v>1</v>
      </c>
      <c r="E1564" s="1178">
        <v>0</v>
      </c>
      <c r="F1564" s="1179">
        <v>1</v>
      </c>
      <c r="G1564" s="1189" t="s">
        <v>6244</v>
      </c>
      <c r="H1564" s="1176">
        <v>1</v>
      </c>
      <c r="I1564" s="1176">
        <v>0</v>
      </c>
      <c r="J1564" s="1190">
        <v>1</v>
      </c>
      <c r="K1564" s="1180"/>
      <c r="L1564" s="1174">
        <v>13135050545</v>
      </c>
      <c r="M1564" s="1175">
        <v>1</v>
      </c>
      <c r="N1564" s="1175">
        <v>0</v>
      </c>
      <c r="O1564" s="1176">
        <v>1</v>
      </c>
      <c r="AA1564"/>
      <c r="AB1564"/>
    </row>
    <row r="1565" spans="3:28" ht="13.5">
      <c r="C1565" s="1181" t="s">
        <v>6245</v>
      </c>
      <c r="D1565" s="1178">
        <v>1</v>
      </c>
      <c r="E1565" s="1178">
        <v>1</v>
      </c>
      <c r="F1565" s="1179">
        <v>2</v>
      </c>
      <c r="G1565" s="1189" t="s">
        <v>6245</v>
      </c>
      <c r="H1565" s="1176">
        <v>1</v>
      </c>
      <c r="I1565" s="1176">
        <v>1</v>
      </c>
      <c r="J1565" s="1190">
        <v>2</v>
      </c>
      <c r="K1565" s="1180"/>
      <c r="L1565" s="1174">
        <v>13135050546</v>
      </c>
      <c r="M1565" s="1175">
        <v>1</v>
      </c>
      <c r="N1565" s="1175">
        <v>1</v>
      </c>
      <c r="O1565" s="1176">
        <v>2</v>
      </c>
      <c r="AA1565"/>
      <c r="AB1565"/>
    </row>
    <row r="1566" spans="3:28" ht="13.5">
      <c r="C1566" s="1181" t="s">
        <v>6246</v>
      </c>
      <c r="D1566" s="1178">
        <v>1</v>
      </c>
      <c r="E1566" s="1178">
        <v>1</v>
      </c>
      <c r="F1566" s="1179">
        <v>2</v>
      </c>
      <c r="G1566" s="1189" t="s">
        <v>6246</v>
      </c>
      <c r="H1566" s="1176">
        <v>1</v>
      </c>
      <c r="I1566" s="1176">
        <v>1</v>
      </c>
      <c r="J1566" s="1190">
        <v>2</v>
      </c>
      <c r="K1566" s="1180"/>
      <c r="L1566" s="1174">
        <v>13135050547</v>
      </c>
      <c r="M1566" s="1175">
        <v>1</v>
      </c>
      <c r="N1566" s="1175">
        <v>1</v>
      </c>
      <c r="O1566" s="1176">
        <v>2</v>
      </c>
      <c r="AA1566"/>
      <c r="AB1566"/>
    </row>
    <row r="1567" spans="3:28" ht="13.5">
      <c r="C1567" s="1181" t="s">
        <v>6247</v>
      </c>
      <c r="D1567" s="1178">
        <v>1</v>
      </c>
      <c r="E1567" s="1178">
        <v>1</v>
      </c>
      <c r="F1567" s="1179">
        <v>2</v>
      </c>
      <c r="G1567" s="1189" t="s">
        <v>6247</v>
      </c>
      <c r="H1567" s="1176">
        <v>1</v>
      </c>
      <c r="I1567" s="1176">
        <v>1</v>
      </c>
      <c r="J1567" s="1190">
        <v>2</v>
      </c>
      <c r="K1567" s="1180"/>
      <c r="L1567" s="1174">
        <v>13135050548</v>
      </c>
      <c r="M1567" s="1175">
        <v>1</v>
      </c>
      <c r="N1567" s="1175">
        <v>1</v>
      </c>
      <c r="O1567" s="1176">
        <v>2</v>
      </c>
      <c r="AA1567"/>
      <c r="AB1567"/>
    </row>
    <row r="1568" spans="3:28" ht="13.5">
      <c r="C1568" s="1181" t="s">
        <v>6248</v>
      </c>
      <c r="D1568" s="1178">
        <v>1</v>
      </c>
      <c r="E1568" s="1178">
        <v>1</v>
      </c>
      <c r="F1568" s="1179">
        <v>2</v>
      </c>
      <c r="G1568" s="1189" t="s">
        <v>6248</v>
      </c>
      <c r="H1568" s="1176">
        <v>1</v>
      </c>
      <c r="I1568" s="1176">
        <v>1</v>
      </c>
      <c r="J1568" s="1190">
        <v>2</v>
      </c>
      <c r="K1568" s="1180"/>
      <c r="L1568" s="1174">
        <v>13135050549</v>
      </c>
      <c r="M1568" s="1175">
        <v>1</v>
      </c>
      <c r="N1568" s="1175">
        <v>1</v>
      </c>
      <c r="O1568" s="1176">
        <v>2</v>
      </c>
      <c r="AA1568"/>
      <c r="AB1568"/>
    </row>
    <row r="1569" spans="3:28" ht="13.5">
      <c r="C1569" s="1181" t="s">
        <v>6249</v>
      </c>
      <c r="D1569" s="1178">
        <v>1</v>
      </c>
      <c r="E1569" s="1178">
        <v>1</v>
      </c>
      <c r="F1569" s="1179">
        <v>2</v>
      </c>
      <c r="G1569" s="1189" t="s">
        <v>6249</v>
      </c>
      <c r="H1569" s="1176">
        <v>1</v>
      </c>
      <c r="I1569" s="1176">
        <v>1</v>
      </c>
      <c r="J1569" s="1190">
        <v>2</v>
      </c>
      <c r="K1569" s="1180"/>
      <c r="L1569" s="1174">
        <v>13135050605</v>
      </c>
      <c r="M1569" s="1175">
        <v>1</v>
      </c>
      <c r="N1569" s="1175">
        <v>1</v>
      </c>
      <c r="O1569" s="1176">
        <v>2</v>
      </c>
      <c r="AA1569"/>
      <c r="AB1569"/>
    </row>
    <row r="1570" spans="3:28" ht="13.5">
      <c r="C1570" s="1181" t="s">
        <v>6250</v>
      </c>
      <c r="D1570" s="1178">
        <v>1</v>
      </c>
      <c r="E1570" s="1178">
        <v>1</v>
      </c>
      <c r="F1570" s="1179">
        <v>2</v>
      </c>
      <c r="G1570" s="1189" t="s">
        <v>6250</v>
      </c>
      <c r="H1570" s="1176">
        <v>1</v>
      </c>
      <c r="I1570" s="1176">
        <v>1</v>
      </c>
      <c r="J1570" s="1190">
        <v>2</v>
      </c>
      <c r="K1570" s="1180"/>
      <c r="L1570" s="1174">
        <v>13135050606</v>
      </c>
      <c r="M1570" s="1175">
        <v>1</v>
      </c>
      <c r="N1570" s="1175">
        <v>1</v>
      </c>
      <c r="O1570" s="1176">
        <v>2</v>
      </c>
      <c r="AA1570"/>
      <c r="AB1570"/>
    </row>
    <row r="1571" spans="3:28" ht="13.5">
      <c r="C1571" s="1181" t="s">
        <v>6251</v>
      </c>
      <c r="D1571" s="1178">
        <v>1</v>
      </c>
      <c r="E1571" s="1178">
        <v>1</v>
      </c>
      <c r="F1571" s="1179">
        <v>2</v>
      </c>
      <c r="G1571" s="1189" t="s">
        <v>6251</v>
      </c>
      <c r="H1571" s="1176">
        <v>1</v>
      </c>
      <c r="I1571" s="1176">
        <v>1</v>
      </c>
      <c r="J1571" s="1190">
        <v>2</v>
      </c>
      <c r="K1571" s="1180"/>
      <c r="L1571" s="1174">
        <v>13135050607</v>
      </c>
      <c r="M1571" s="1175">
        <v>1</v>
      </c>
      <c r="N1571" s="1175">
        <v>1</v>
      </c>
      <c r="O1571" s="1176">
        <v>2</v>
      </c>
      <c r="AA1571"/>
      <c r="AB1571"/>
    </row>
    <row r="1572" spans="3:28" ht="13.5">
      <c r="C1572" s="1181" t="s">
        <v>6252</v>
      </c>
      <c r="D1572" s="1178">
        <v>1</v>
      </c>
      <c r="E1572" s="1178">
        <v>1</v>
      </c>
      <c r="F1572" s="1179">
        <v>2</v>
      </c>
      <c r="G1572" s="1189" t="s">
        <v>6252</v>
      </c>
      <c r="H1572" s="1176">
        <v>1</v>
      </c>
      <c r="I1572" s="1176">
        <v>1</v>
      </c>
      <c r="J1572" s="1190">
        <v>2</v>
      </c>
      <c r="K1572" s="1180"/>
      <c r="L1572" s="1174">
        <v>13135050608</v>
      </c>
      <c r="M1572" s="1175">
        <v>1</v>
      </c>
      <c r="N1572" s="1175">
        <v>1</v>
      </c>
      <c r="O1572" s="1176">
        <v>2</v>
      </c>
      <c r="AA1572"/>
      <c r="AB1572"/>
    </row>
    <row r="1573" spans="3:28" ht="13.5">
      <c r="C1573" s="1181" t="s">
        <v>6253</v>
      </c>
      <c r="D1573" s="1178">
        <v>1</v>
      </c>
      <c r="E1573" s="1178">
        <v>1</v>
      </c>
      <c r="F1573" s="1179">
        <v>2</v>
      </c>
      <c r="G1573" s="1189" t="s">
        <v>6253</v>
      </c>
      <c r="H1573" s="1176">
        <v>1</v>
      </c>
      <c r="I1573" s="1176">
        <v>1</v>
      </c>
      <c r="J1573" s="1190">
        <v>2</v>
      </c>
      <c r="K1573" s="1180"/>
      <c r="L1573" s="1174">
        <v>13135050609</v>
      </c>
      <c r="M1573" s="1175">
        <v>1</v>
      </c>
      <c r="N1573" s="1175">
        <v>1</v>
      </c>
      <c r="O1573" s="1176">
        <v>2</v>
      </c>
      <c r="AA1573"/>
      <c r="AB1573"/>
    </row>
    <row r="1574" spans="3:28" ht="13.5">
      <c r="C1574" s="1181" t="s">
        <v>6254</v>
      </c>
      <c r="D1574" s="1178">
        <v>1</v>
      </c>
      <c r="E1574" s="1178">
        <v>1</v>
      </c>
      <c r="F1574" s="1179">
        <v>2</v>
      </c>
      <c r="G1574" s="1189" t="s">
        <v>6254</v>
      </c>
      <c r="H1574" s="1176">
        <v>1</v>
      </c>
      <c r="I1574" s="1176">
        <v>1</v>
      </c>
      <c r="J1574" s="1190">
        <v>2</v>
      </c>
      <c r="K1574" s="1180"/>
      <c r="L1574" s="1174">
        <v>13135050610</v>
      </c>
      <c r="M1574" s="1175">
        <v>1</v>
      </c>
      <c r="N1574" s="1175">
        <v>1</v>
      </c>
      <c r="O1574" s="1176">
        <v>2</v>
      </c>
      <c r="AA1574"/>
      <c r="AB1574"/>
    </row>
    <row r="1575" spans="3:28" ht="13.5">
      <c r="C1575" s="1181" t="s">
        <v>6255</v>
      </c>
      <c r="D1575" s="1178">
        <v>0</v>
      </c>
      <c r="E1575" s="1178">
        <v>1</v>
      </c>
      <c r="F1575" s="1179">
        <v>1</v>
      </c>
      <c r="G1575" s="1189" t="s">
        <v>6255</v>
      </c>
      <c r="H1575" s="1176">
        <v>0</v>
      </c>
      <c r="I1575" s="1176">
        <v>1</v>
      </c>
      <c r="J1575" s="1190">
        <v>1</v>
      </c>
      <c r="K1575" s="1180"/>
      <c r="L1575" s="1174">
        <v>13135050709</v>
      </c>
      <c r="M1575" s="1175">
        <v>0</v>
      </c>
      <c r="N1575" s="1175">
        <v>1</v>
      </c>
      <c r="O1575" s="1176">
        <v>1</v>
      </c>
      <c r="AA1575"/>
      <c r="AB1575"/>
    </row>
    <row r="1576" spans="3:28" ht="13.5">
      <c r="C1576" s="1181" t="s">
        <v>6256</v>
      </c>
      <c r="D1576" s="1178">
        <v>1</v>
      </c>
      <c r="E1576" s="1178">
        <v>1</v>
      </c>
      <c r="F1576" s="1179">
        <v>2</v>
      </c>
      <c r="G1576" s="1189" t="s">
        <v>6256</v>
      </c>
      <c r="H1576" s="1176">
        <v>1</v>
      </c>
      <c r="I1576" s="1176">
        <v>1</v>
      </c>
      <c r="J1576" s="1190">
        <v>2</v>
      </c>
      <c r="K1576" s="1180"/>
      <c r="L1576" s="1174">
        <v>13135050712</v>
      </c>
      <c r="M1576" s="1175">
        <v>1</v>
      </c>
      <c r="N1576" s="1175">
        <v>1</v>
      </c>
      <c r="O1576" s="1176">
        <v>2</v>
      </c>
      <c r="AA1576"/>
      <c r="AB1576"/>
    </row>
    <row r="1577" spans="3:28" ht="13.5">
      <c r="C1577" s="1181" t="s">
        <v>6257</v>
      </c>
      <c r="D1577" s="1178">
        <v>1</v>
      </c>
      <c r="E1577" s="1178">
        <v>1</v>
      </c>
      <c r="F1577" s="1179">
        <v>2</v>
      </c>
      <c r="G1577" s="1189" t="s">
        <v>6257</v>
      </c>
      <c r="H1577" s="1176">
        <v>1</v>
      </c>
      <c r="I1577" s="1176">
        <v>1</v>
      </c>
      <c r="J1577" s="1190">
        <v>2</v>
      </c>
      <c r="K1577" s="1180"/>
      <c r="L1577" s="1174">
        <v>13135050713</v>
      </c>
      <c r="M1577" s="1175">
        <v>1</v>
      </c>
      <c r="N1577" s="1175">
        <v>1</v>
      </c>
      <c r="O1577" s="1176">
        <v>2</v>
      </c>
      <c r="AA1577"/>
      <c r="AB1577"/>
    </row>
    <row r="1578" spans="3:28" ht="13.5">
      <c r="C1578" s="1181" t="s">
        <v>6258</v>
      </c>
      <c r="D1578" s="1178">
        <v>1</v>
      </c>
      <c r="E1578" s="1178">
        <v>1</v>
      </c>
      <c r="F1578" s="1179">
        <v>2</v>
      </c>
      <c r="G1578" s="1189" t="s">
        <v>6258</v>
      </c>
      <c r="H1578" s="1176">
        <v>1</v>
      </c>
      <c r="I1578" s="1176">
        <v>1</v>
      </c>
      <c r="J1578" s="1190">
        <v>2</v>
      </c>
      <c r="K1578" s="1180"/>
      <c r="L1578" s="1174">
        <v>13135050714</v>
      </c>
      <c r="M1578" s="1175">
        <v>1</v>
      </c>
      <c r="N1578" s="1175">
        <v>1</v>
      </c>
      <c r="O1578" s="1176">
        <v>2</v>
      </c>
      <c r="AA1578"/>
      <c r="AB1578"/>
    </row>
    <row r="1579" spans="3:28" ht="13.5">
      <c r="C1579" s="1181" t="s">
        <v>6259</v>
      </c>
      <c r="D1579" s="1178">
        <v>1</v>
      </c>
      <c r="E1579" s="1178">
        <v>1</v>
      </c>
      <c r="F1579" s="1179">
        <v>2</v>
      </c>
      <c r="G1579" s="1189" t="s">
        <v>6259</v>
      </c>
      <c r="H1579" s="1176">
        <v>1</v>
      </c>
      <c r="I1579" s="1176">
        <v>1</v>
      </c>
      <c r="J1579" s="1190">
        <v>2</v>
      </c>
      <c r="K1579" s="1180"/>
      <c r="L1579" s="1174">
        <v>13135050715</v>
      </c>
      <c r="M1579" s="1175">
        <v>1</v>
      </c>
      <c r="N1579" s="1175">
        <v>1</v>
      </c>
      <c r="O1579" s="1176">
        <v>2</v>
      </c>
      <c r="AA1579"/>
      <c r="AB1579"/>
    </row>
    <row r="1580" spans="3:28" ht="13.5">
      <c r="C1580" s="1181" t="s">
        <v>6260</v>
      </c>
      <c r="D1580" s="1178">
        <v>1</v>
      </c>
      <c r="E1580" s="1178">
        <v>1</v>
      </c>
      <c r="F1580" s="1179">
        <v>2</v>
      </c>
      <c r="G1580" s="1189" t="s">
        <v>6260</v>
      </c>
      <c r="H1580" s="1176">
        <v>1</v>
      </c>
      <c r="I1580" s="1176" t="s">
        <v>4455</v>
      </c>
      <c r="J1580" s="1190">
        <v>1</v>
      </c>
      <c r="K1580" s="1180"/>
      <c r="L1580" s="1174">
        <v>13135050718</v>
      </c>
      <c r="M1580" s="1175">
        <v>1</v>
      </c>
      <c r="N1580" s="1175">
        <v>1</v>
      </c>
      <c r="O1580" s="1176">
        <v>2</v>
      </c>
      <c r="AA1580"/>
      <c r="AB1580"/>
    </row>
    <row r="1581" spans="3:28" ht="13.5">
      <c r="C1581" s="1181" t="s">
        <v>6261</v>
      </c>
      <c r="D1581" s="1178">
        <v>1</v>
      </c>
      <c r="E1581" s="1178">
        <v>1</v>
      </c>
      <c r="F1581" s="1179">
        <v>2</v>
      </c>
      <c r="G1581" s="1189" t="s">
        <v>6261</v>
      </c>
      <c r="H1581" s="1176">
        <v>1</v>
      </c>
      <c r="I1581" s="1176">
        <v>0</v>
      </c>
      <c r="J1581" s="1190">
        <v>1</v>
      </c>
      <c r="K1581" s="1180"/>
      <c r="L1581" s="1174">
        <v>13135050719</v>
      </c>
      <c r="M1581" s="1175">
        <v>1</v>
      </c>
      <c r="N1581" s="1175">
        <v>1</v>
      </c>
      <c r="O1581" s="1176">
        <v>2</v>
      </c>
      <c r="AA1581"/>
      <c r="AB1581"/>
    </row>
    <row r="1582" spans="3:28" ht="13.5">
      <c r="C1582" s="1181" t="s">
        <v>6262</v>
      </c>
      <c r="D1582" s="1178">
        <v>1</v>
      </c>
      <c r="E1582" s="1178">
        <v>1</v>
      </c>
      <c r="F1582" s="1179">
        <v>2</v>
      </c>
      <c r="G1582" s="1189" t="s">
        <v>6262</v>
      </c>
      <c r="H1582" s="1176">
        <v>1</v>
      </c>
      <c r="I1582" s="1176">
        <v>1</v>
      </c>
      <c r="J1582" s="1190">
        <v>2</v>
      </c>
      <c r="K1582" s="1180"/>
      <c r="L1582" s="1174">
        <v>13135050720</v>
      </c>
      <c r="M1582" s="1175">
        <v>1</v>
      </c>
      <c r="N1582" s="1175">
        <v>1</v>
      </c>
      <c r="O1582" s="1176">
        <v>2</v>
      </c>
      <c r="AA1582"/>
      <c r="AB1582"/>
    </row>
    <row r="1583" spans="3:28" ht="13.5">
      <c r="C1583" s="1181" t="s">
        <v>6263</v>
      </c>
      <c r="D1583" s="1178">
        <v>1</v>
      </c>
      <c r="E1583" s="1178">
        <v>0</v>
      </c>
      <c r="F1583" s="1179">
        <v>1</v>
      </c>
      <c r="G1583" s="1189" t="s">
        <v>6263</v>
      </c>
      <c r="H1583" s="1176">
        <v>1</v>
      </c>
      <c r="I1583" s="1176">
        <v>1</v>
      </c>
      <c r="J1583" s="1190">
        <v>2</v>
      </c>
      <c r="K1583" s="1180"/>
      <c r="L1583" s="1174">
        <v>13135050721</v>
      </c>
      <c r="M1583" s="1175">
        <v>1</v>
      </c>
      <c r="N1583" s="1175">
        <v>1</v>
      </c>
      <c r="O1583" s="1176">
        <v>2</v>
      </c>
      <c r="AA1583"/>
      <c r="AB1583"/>
    </row>
    <row r="1584" spans="3:28" ht="13.5">
      <c r="C1584" s="1181" t="s">
        <v>6264</v>
      </c>
      <c r="D1584" s="1178">
        <v>0</v>
      </c>
      <c r="E1584" s="1178">
        <v>0</v>
      </c>
      <c r="F1584" s="1179">
        <v>0</v>
      </c>
      <c r="G1584" s="1189" t="s">
        <v>6264</v>
      </c>
      <c r="H1584" s="1176">
        <v>0</v>
      </c>
      <c r="I1584" s="1176">
        <v>0</v>
      </c>
      <c r="J1584" s="1190">
        <v>0</v>
      </c>
      <c r="K1584" s="1180"/>
      <c r="L1584" s="1174">
        <v>13135050722</v>
      </c>
      <c r="M1584" s="1175">
        <v>0</v>
      </c>
      <c r="N1584" s="1175">
        <v>0</v>
      </c>
      <c r="O1584" s="1176">
        <v>0</v>
      </c>
      <c r="AA1584"/>
      <c r="AB1584"/>
    </row>
    <row r="1585" spans="3:28" ht="13.5">
      <c r="C1585" s="1181" t="s">
        <v>6265</v>
      </c>
      <c r="D1585" s="1178">
        <v>0</v>
      </c>
      <c r="E1585" s="1178">
        <v>1</v>
      </c>
      <c r="F1585" s="1179">
        <v>1</v>
      </c>
      <c r="G1585" s="1189" t="s">
        <v>6265</v>
      </c>
      <c r="H1585" s="1176">
        <v>1</v>
      </c>
      <c r="I1585" s="1176">
        <v>1</v>
      </c>
      <c r="J1585" s="1190">
        <v>2</v>
      </c>
      <c r="K1585" s="1180"/>
      <c r="L1585" s="1174">
        <v>13135050723</v>
      </c>
      <c r="M1585" s="1175">
        <v>1</v>
      </c>
      <c r="N1585" s="1175">
        <v>1</v>
      </c>
      <c r="O1585" s="1176">
        <v>2</v>
      </c>
      <c r="AA1585"/>
      <c r="AB1585"/>
    </row>
    <row r="1586" spans="3:28" ht="13.5">
      <c r="C1586" s="1181" t="s">
        <v>6266</v>
      </c>
      <c r="D1586" s="1178">
        <v>1</v>
      </c>
      <c r="E1586" s="1178">
        <v>1</v>
      </c>
      <c r="F1586" s="1179">
        <v>2</v>
      </c>
      <c r="G1586" s="1189" t="s">
        <v>6266</v>
      </c>
      <c r="H1586" s="1176">
        <v>1</v>
      </c>
      <c r="I1586" s="1176">
        <v>1</v>
      </c>
      <c r="J1586" s="1190">
        <v>2</v>
      </c>
      <c r="K1586" s="1180"/>
      <c r="L1586" s="1174">
        <v>13135050724</v>
      </c>
      <c r="M1586" s="1175">
        <v>1</v>
      </c>
      <c r="N1586" s="1175">
        <v>1</v>
      </c>
      <c r="O1586" s="1176">
        <v>2</v>
      </c>
      <c r="AA1586"/>
      <c r="AB1586"/>
    </row>
    <row r="1587" spans="3:28" ht="13.5">
      <c r="C1587" s="1181" t="s">
        <v>6267</v>
      </c>
      <c r="D1587" s="1178">
        <v>1</v>
      </c>
      <c r="E1587" s="1178">
        <v>1</v>
      </c>
      <c r="F1587" s="1179">
        <v>2</v>
      </c>
      <c r="G1587" s="1189" t="s">
        <v>6267</v>
      </c>
      <c r="H1587" s="1176">
        <v>1</v>
      </c>
      <c r="I1587" s="1176">
        <v>1</v>
      </c>
      <c r="J1587" s="1190">
        <v>2</v>
      </c>
      <c r="K1587" s="1180"/>
      <c r="L1587" s="1174">
        <v>13135050725</v>
      </c>
      <c r="M1587" s="1175">
        <v>1</v>
      </c>
      <c r="N1587" s="1175">
        <v>1</v>
      </c>
      <c r="O1587" s="1176">
        <v>2</v>
      </c>
      <c r="AA1587"/>
      <c r="AB1587"/>
    </row>
    <row r="1588" spans="3:28" ht="13.5">
      <c r="C1588" s="1181" t="s">
        <v>6268</v>
      </c>
      <c r="D1588" s="1178">
        <v>1</v>
      </c>
      <c r="E1588" s="1178">
        <v>1</v>
      </c>
      <c r="F1588" s="1179">
        <v>2</v>
      </c>
      <c r="G1588" s="1189" t="s">
        <v>6268</v>
      </c>
      <c r="H1588" s="1176">
        <v>1</v>
      </c>
      <c r="I1588" s="1176">
        <v>1</v>
      </c>
      <c r="J1588" s="1190">
        <v>2</v>
      </c>
      <c r="K1588" s="1180"/>
      <c r="L1588" s="1174">
        <v>13135050726</v>
      </c>
      <c r="M1588" s="1175">
        <v>1</v>
      </c>
      <c r="N1588" s="1175">
        <v>1</v>
      </c>
      <c r="O1588" s="1176">
        <v>2</v>
      </c>
      <c r="AA1588"/>
      <c r="AB1588"/>
    </row>
    <row r="1589" spans="3:28" ht="13.5">
      <c r="C1589" s="1181" t="s">
        <v>6269</v>
      </c>
      <c r="D1589" s="1178">
        <v>1</v>
      </c>
      <c r="E1589" s="1178">
        <v>1</v>
      </c>
      <c r="F1589" s="1179">
        <v>2</v>
      </c>
      <c r="G1589" s="1189" t="s">
        <v>6269</v>
      </c>
      <c r="H1589" s="1176">
        <v>1</v>
      </c>
      <c r="I1589" s="1176">
        <v>1</v>
      </c>
      <c r="J1589" s="1190">
        <v>2</v>
      </c>
      <c r="K1589" s="1180"/>
      <c r="L1589" s="1174">
        <v>13135050727</v>
      </c>
      <c r="M1589" s="1175">
        <v>1</v>
      </c>
      <c r="N1589" s="1175">
        <v>1</v>
      </c>
      <c r="O1589" s="1176">
        <v>2</v>
      </c>
      <c r="AA1589"/>
      <c r="AB1589"/>
    </row>
    <row r="1590" spans="3:28" ht="13.5">
      <c r="C1590" s="1181" t="s">
        <v>6270</v>
      </c>
      <c r="D1590" s="1178">
        <v>1</v>
      </c>
      <c r="E1590" s="1178">
        <v>1</v>
      </c>
      <c r="F1590" s="1179">
        <v>2</v>
      </c>
      <c r="G1590" s="1189" t="s">
        <v>6270</v>
      </c>
      <c r="H1590" s="1176">
        <v>1</v>
      </c>
      <c r="I1590" s="1176">
        <v>1</v>
      </c>
      <c r="J1590" s="1190">
        <v>2</v>
      </c>
      <c r="K1590" s="1180"/>
      <c r="L1590" s="1174">
        <v>13135050728</v>
      </c>
      <c r="M1590" s="1175">
        <v>1</v>
      </c>
      <c r="N1590" s="1175">
        <v>1</v>
      </c>
      <c r="O1590" s="1176">
        <v>2</v>
      </c>
      <c r="AA1590"/>
      <c r="AB1590"/>
    </row>
    <row r="1591" spans="3:28" ht="13.5">
      <c r="C1591" s="1181" t="s">
        <v>6271</v>
      </c>
      <c r="D1591" s="1178">
        <v>0</v>
      </c>
      <c r="E1591" s="1178">
        <v>0</v>
      </c>
      <c r="F1591" s="1179">
        <v>0</v>
      </c>
      <c r="G1591" s="1189" t="s">
        <v>6271</v>
      </c>
      <c r="H1591" s="1176">
        <v>1</v>
      </c>
      <c r="I1591" s="1176">
        <v>0</v>
      </c>
      <c r="J1591" s="1190">
        <v>1</v>
      </c>
      <c r="K1591" s="1180"/>
      <c r="L1591" s="1174">
        <v>13135050729</v>
      </c>
      <c r="M1591" s="1175">
        <v>1</v>
      </c>
      <c r="N1591" s="1175">
        <v>0</v>
      </c>
      <c r="O1591" s="1176">
        <v>1</v>
      </c>
      <c r="AA1591"/>
      <c r="AB1591"/>
    </row>
    <row r="1592" spans="3:28" ht="13.5">
      <c r="C1592" s="1181" t="s">
        <v>6272</v>
      </c>
      <c r="D1592" s="1178">
        <v>1</v>
      </c>
      <c r="E1592" s="1178">
        <v>1</v>
      </c>
      <c r="F1592" s="1179">
        <v>2</v>
      </c>
      <c r="G1592" s="1189" t="s">
        <v>6272</v>
      </c>
      <c r="H1592" s="1176">
        <v>1</v>
      </c>
      <c r="I1592" s="1176">
        <v>0</v>
      </c>
      <c r="J1592" s="1190">
        <v>1</v>
      </c>
      <c r="K1592" s="1180"/>
      <c r="L1592" s="1174">
        <v>13135050730</v>
      </c>
      <c r="M1592" s="1175">
        <v>1</v>
      </c>
      <c r="N1592" s="1175">
        <v>1</v>
      </c>
      <c r="O1592" s="1176">
        <v>2</v>
      </c>
      <c r="AA1592"/>
      <c r="AB1592"/>
    </row>
    <row r="1593" spans="3:28" ht="13.5">
      <c r="C1593" s="1181" t="s">
        <v>6273</v>
      </c>
      <c r="D1593" s="1178">
        <v>1</v>
      </c>
      <c r="E1593" s="1178">
        <v>1</v>
      </c>
      <c r="F1593" s="1179">
        <v>2</v>
      </c>
      <c r="G1593" s="1189" t="s">
        <v>6273</v>
      </c>
      <c r="H1593" s="1176">
        <v>0</v>
      </c>
      <c r="I1593" s="1176">
        <v>1</v>
      </c>
      <c r="J1593" s="1190">
        <v>1</v>
      </c>
      <c r="K1593" s="1180"/>
      <c r="L1593" s="1174">
        <v>13135050731</v>
      </c>
      <c r="M1593" s="1175">
        <v>1</v>
      </c>
      <c r="N1593" s="1175">
        <v>1</v>
      </c>
      <c r="O1593" s="1176">
        <v>2</v>
      </c>
      <c r="AA1593"/>
      <c r="AB1593"/>
    </row>
    <row r="1594" spans="3:28" ht="13.5">
      <c r="C1594" s="1181" t="s">
        <v>6274</v>
      </c>
      <c r="D1594" s="1178">
        <v>1</v>
      </c>
      <c r="E1594" s="1178">
        <v>1</v>
      </c>
      <c r="F1594" s="1179">
        <v>2</v>
      </c>
      <c r="G1594" s="1189" t="s">
        <v>6274</v>
      </c>
      <c r="H1594" s="1176">
        <v>0</v>
      </c>
      <c r="I1594" s="1176">
        <v>1</v>
      </c>
      <c r="J1594" s="1190">
        <v>1</v>
      </c>
      <c r="K1594" s="1180"/>
      <c r="L1594" s="1174">
        <v>13137000100</v>
      </c>
      <c r="M1594" s="1175">
        <v>1</v>
      </c>
      <c r="N1594" s="1175">
        <v>1</v>
      </c>
      <c r="O1594" s="1176">
        <v>2</v>
      </c>
      <c r="AA1594"/>
      <c r="AB1594"/>
    </row>
    <row r="1595" spans="3:28" ht="13.5">
      <c r="C1595" s="1181" t="s">
        <v>6275</v>
      </c>
      <c r="D1595" s="1178">
        <v>1</v>
      </c>
      <c r="E1595" s="1178">
        <v>0</v>
      </c>
      <c r="F1595" s="1179">
        <v>1</v>
      </c>
      <c r="G1595" s="1189" t="s">
        <v>6275</v>
      </c>
      <c r="H1595" s="1176">
        <v>0</v>
      </c>
      <c r="I1595" s="1176">
        <v>0</v>
      </c>
      <c r="J1595" s="1190">
        <v>0</v>
      </c>
      <c r="K1595" s="1180"/>
      <c r="L1595" s="1174">
        <v>13137000201</v>
      </c>
      <c r="M1595" s="1175">
        <v>1</v>
      </c>
      <c r="N1595" s="1175">
        <v>0</v>
      </c>
      <c r="O1595" s="1176">
        <v>1</v>
      </c>
      <c r="AA1595"/>
      <c r="AB1595"/>
    </row>
    <row r="1596" spans="3:28" ht="13.5">
      <c r="C1596" s="1181" t="s">
        <v>6276</v>
      </c>
      <c r="D1596" s="1178">
        <v>1</v>
      </c>
      <c r="E1596" s="1178">
        <v>1</v>
      </c>
      <c r="F1596" s="1179">
        <v>2</v>
      </c>
      <c r="G1596" s="1189" t="s">
        <v>6276</v>
      </c>
      <c r="H1596" s="1176">
        <v>1</v>
      </c>
      <c r="I1596" s="1176">
        <v>0</v>
      </c>
      <c r="J1596" s="1190">
        <v>1</v>
      </c>
      <c r="K1596" s="1180"/>
      <c r="L1596" s="1174">
        <v>13137000202</v>
      </c>
      <c r="M1596" s="1175">
        <v>1</v>
      </c>
      <c r="N1596" s="1175">
        <v>1</v>
      </c>
      <c r="O1596" s="1176">
        <v>2</v>
      </c>
      <c r="AA1596"/>
      <c r="AB1596"/>
    </row>
    <row r="1597" spans="3:28" ht="13.5">
      <c r="C1597" s="1181" t="s">
        <v>6277</v>
      </c>
      <c r="D1597" s="1178">
        <v>0</v>
      </c>
      <c r="E1597" s="1178">
        <v>0</v>
      </c>
      <c r="F1597" s="1179">
        <v>0</v>
      </c>
      <c r="G1597" s="1189" t="s">
        <v>6277</v>
      </c>
      <c r="H1597" s="1176">
        <v>0</v>
      </c>
      <c r="I1597" s="1176">
        <v>0</v>
      </c>
      <c r="J1597" s="1190">
        <v>0</v>
      </c>
      <c r="K1597" s="1180"/>
      <c r="L1597" s="1174">
        <v>13137000300</v>
      </c>
      <c r="M1597" s="1175">
        <v>0</v>
      </c>
      <c r="N1597" s="1175">
        <v>0</v>
      </c>
      <c r="O1597" s="1176">
        <v>0</v>
      </c>
      <c r="AA1597"/>
      <c r="AB1597"/>
    </row>
    <row r="1598" spans="3:28" ht="13.5">
      <c r="C1598" s="1181" t="s">
        <v>6278</v>
      </c>
      <c r="D1598" s="1178">
        <v>1</v>
      </c>
      <c r="E1598" s="1178">
        <v>0</v>
      </c>
      <c r="F1598" s="1179">
        <v>1</v>
      </c>
      <c r="G1598" s="1189" t="s">
        <v>6278</v>
      </c>
      <c r="H1598" s="1176">
        <v>0</v>
      </c>
      <c r="I1598" s="1176">
        <v>1</v>
      </c>
      <c r="J1598" s="1190">
        <v>1</v>
      </c>
      <c r="K1598" s="1180"/>
      <c r="L1598" s="1174">
        <v>13137000400</v>
      </c>
      <c r="M1598" s="1175">
        <v>1</v>
      </c>
      <c r="N1598" s="1175">
        <v>1</v>
      </c>
      <c r="O1598" s="1176">
        <v>1</v>
      </c>
      <c r="AA1598"/>
      <c r="AB1598"/>
    </row>
    <row r="1599" spans="3:28" ht="13.5">
      <c r="C1599" s="1181" t="s">
        <v>6279</v>
      </c>
      <c r="D1599" s="1178">
        <v>0</v>
      </c>
      <c r="E1599" s="1178">
        <v>0</v>
      </c>
      <c r="F1599" s="1179">
        <v>0</v>
      </c>
      <c r="G1599" s="1189" t="s">
        <v>6279</v>
      </c>
      <c r="H1599" s="1176">
        <v>0</v>
      </c>
      <c r="I1599" s="1176">
        <v>1</v>
      </c>
      <c r="J1599" s="1190">
        <v>1</v>
      </c>
      <c r="K1599" s="1180"/>
      <c r="L1599" s="1174">
        <v>13137000500</v>
      </c>
      <c r="M1599" s="1175">
        <v>0</v>
      </c>
      <c r="N1599" s="1175">
        <v>1</v>
      </c>
      <c r="O1599" s="1176">
        <v>1</v>
      </c>
      <c r="AA1599"/>
      <c r="AB1599"/>
    </row>
    <row r="1600" spans="3:28" ht="13.5">
      <c r="C1600" s="1181" t="s">
        <v>6280</v>
      </c>
      <c r="D1600" s="1178">
        <v>0</v>
      </c>
      <c r="E1600" s="1178">
        <v>0</v>
      </c>
      <c r="F1600" s="1179">
        <v>0</v>
      </c>
      <c r="G1600" s="1189" t="s">
        <v>6280</v>
      </c>
      <c r="H1600" s="1176">
        <v>0</v>
      </c>
      <c r="I1600" s="1176">
        <v>0</v>
      </c>
      <c r="J1600" s="1190">
        <v>0</v>
      </c>
      <c r="K1600" s="1180"/>
      <c r="L1600" s="1174">
        <v>13137000601</v>
      </c>
      <c r="M1600" s="1175">
        <v>0</v>
      </c>
      <c r="N1600" s="1175">
        <v>0</v>
      </c>
      <c r="O1600" s="1176">
        <v>0</v>
      </c>
      <c r="AA1600"/>
      <c r="AB1600"/>
    </row>
    <row r="1601" spans="3:28" ht="13.5">
      <c r="C1601" s="1181" t="s">
        <v>6281</v>
      </c>
      <c r="D1601" s="1178">
        <v>0</v>
      </c>
      <c r="E1601" s="1178">
        <v>0</v>
      </c>
      <c r="F1601" s="1179">
        <v>0</v>
      </c>
      <c r="G1601" s="1189" t="s">
        <v>6281</v>
      </c>
      <c r="H1601" s="1176">
        <v>0</v>
      </c>
      <c r="I1601" s="1176">
        <v>0</v>
      </c>
      <c r="J1601" s="1190">
        <v>0</v>
      </c>
      <c r="K1601" s="1180"/>
      <c r="L1601" s="1174">
        <v>13137000602</v>
      </c>
      <c r="M1601" s="1175">
        <v>0</v>
      </c>
      <c r="N1601" s="1175">
        <v>0</v>
      </c>
      <c r="O1601" s="1176">
        <v>0</v>
      </c>
      <c r="AA1601"/>
      <c r="AB1601"/>
    </row>
    <row r="1602" spans="3:28" ht="13.5">
      <c r="C1602" s="1181" t="s">
        <v>6282</v>
      </c>
      <c r="D1602" s="1178">
        <v>1</v>
      </c>
      <c r="E1602" s="1178">
        <v>0</v>
      </c>
      <c r="F1602" s="1179">
        <v>1</v>
      </c>
      <c r="G1602" s="1189" t="s">
        <v>6282</v>
      </c>
      <c r="H1602" s="1176">
        <v>0</v>
      </c>
      <c r="I1602" s="1176">
        <v>0</v>
      </c>
      <c r="J1602" s="1190">
        <v>0</v>
      </c>
      <c r="K1602" s="1180"/>
      <c r="L1602" s="1174">
        <v>13139000101</v>
      </c>
      <c r="M1602" s="1175">
        <v>1</v>
      </c>
      <c r="N1602" s="1175">
        <v>0</v>
      </c>
      <c r="O1602" s="1176">
        <v>1</v>
      </c>
      <c r="AA1602"/>
      <c r="AB1602"/>
    </row>
    <row r="1603" spans="3:28" ht="13.5">
      <c r="C1603" s="1181" t="s">
        <v>6283</v>
      </c>
      <c r="D1603" s="1178">
        <v>1</v>
      </c>
      <c r="E1603" s="1178">
        <v>0</v>
      </c>
      <c r="F1603" s="1179">
        <v>1</v>
      </c>
      <c r="G1603" s="1189" t="s">
        <v>6283</v>
      </c>
      <c r="H1603" s="1176">
        <v>1</v>
      </c>
      <c r="I1603" s="1176">
        <v>0</v>
      </c>
      <c r="J1603" s="1190">
        <v>1</v>
      </c>
      <c r="K1603" s="1180"/>
      <c r="L1603" s="1174">
        <v>13139000102</v>
      </c>
      <c r="M1603" s="1175">
        <v>1</v>
      </c>
      <c r="N1603" s="1175">
        <v>0</v>
      </c>
      <c r="O1603" s="1176">
        <v>1</v>
      </c>
      <c r="AA1603"/>
      <c r="AB1603"/>
    </row>
    <row r="1604" spans="3:28" ht="13.5">
      <c r="C1604" s="1181" t="s">
        <v>6284</v>
      </c>
      <c r="D1604" s="1178">
        <v>0</v>
      </c>
      <c r="E1604" s="1178">
        <v>0</v>
      </c>
      <c r="F1604" s="1179">
        <v>0</v>
      </c>
      <c r="G1604" s="1189" t="s">
        <v>6284</v>
      </c>
      <c r="H1604" s="1176">
        <v>1</v>
      </c>
      <c r="I1604" s="1176">
        <v>0</v>
      </c>
      <c r="J1604" s="1190">
        <v>1</v>
      </c>
      <c r="K1604" s="1180"/>
      <c r="L1604" s="1174">
        <v>13139000201</v>
      </c>
      <c r="M1604" s="1175">
        <v>1</v>
      </c>
      <c r="N1604" s="1175">
        <v>0</v>
      </c>
      <c r="O1604" s="1176">
        <v>1</v>
      </c>
      <c r="AA1604"/>
      <c r="AB1604"/>
    </row>
    <row r="1605" spans="3:28" ht="13.5">
      <c r="C1605" s="1181" t="s">
        <v>6285</v>
      </c>
      <c r="D1605" s="1178">
        <v>1</v>
      </c>
      <c r="E1605" s="1178">
        <v>1</v>
      </c>
      <c r="F1605" s="1179">
        <v>2</v>
      </c>
      <c r="G1605" s="1189" t="s">
        <v>6285</v>
      </c>
      <c r="H1605" s="1176">
        <v>1</v>
      </c>
      <c r="I1605" s="1176">
        <v>1</v>
      </c>
      <c r="J1605" s="1190">
        <v>2</v>
      </c>
      <c r="K1605" s="1180"/>
      <c r="L1605" s="1174">
        <v>13139000203</v>
      </c>
      <c r="M1605" s="1175">
        <v>1</v>
      </c>
      <c r="N1605" s="1175">
        <v>1</v>
      </c>
      <c r="O1605" s="1176">
        <v>2</v>
      </c>
      <c r="AA1605"/>
      <c r="AB1605"/>
    </row>
    <row r="1606" spans="3:28" ht="13.5">
      <c r="C1606" s="1181" t="s">
        <v>6286</v>
      </c>
      <c r="D1606" s="1178">
        <v>1</v>
      </c>
      <c r="E1606" s="1178">
        <v>1</v>
      </c>
      <c r="F1606" s="1179">
        <v>2</v>
      </c>
      <c r="G1606" s="1189" t="s">
        <v>6286</v>
      </c>
      <c r="H1606" s="1176">
        <v>1</v>
      </c>
      <c r="I1606" s="1176">
        <v>1</v>
      </c>
      <c r="J1606" s="1190">
        <v>2</v>
      </c>
      <c r="K1606" s="1180"/>
      <c r="L1606" s="1174">
        <v>13139000204</v>
      </c>
      <c r="M1606" s="1175">
        <v>1</v>
      </c>
      <c r="N1606" s="1175">
        <v>1</v>
      </c>
      <c r="O1606" s="1176">
        <v>2</v>
      </c>
      <c r="AA1606"/>
      <c r="AB1606"/>
    </row>
    <row r="1607" spans="3:28" ht="13.5">
      <c r="C1607" s="1181" t="s">
        <v>6287</v>
      </c>
      <c r="D1607" s="1178">
        <v>1</v>
      </c>
      <c r="E1607" s="1178">
        <v>1</v>
      </c>
      <c r="F1607" s="1179">
        <v>2</v>
      </c>
      <c r="G1607" s="1189" t="s">
        <v>6287</v>
      </c>
      <c r="H1607" s="1176">
        <v>1</v>
      </c>
      <c r="I1607" s="1176">
        <v>0</v>
      </c>
      <c r="J1607" s="1190">
        <v>1</v>
      </c>
      <c r="K1607" s="1180"/>
      <c r="L1607" s="1174">
        <v>13139000302</v>
      </c>
      <c r="M1607" s="1175">
        <v>1</v>
      </c>
      <c r="N1607" s="1175">
        <v>1</v>
      </c>
      <c r="O1607" s="1176">
        <v>2</v>
      </c>
      <c r="AA1607"/>
      <c r="AB1607"/>
    </row>
    <row r="1608" spans="3:28" ht="13.5">
      <c r="C1608" s="1181" t="s">
        <v>6288</v>
      </c>
      <c r="D1608" s="1178">
        <v>1</v>
      </c>
      <c r="E1608" s="1178">
        <v>1</v>
      </c>
      <c r="F1608" s="1179">
        <v>2</v>
      </c>
      <c r="G1608" s="1189" t="s">
        <v>6288</v>
      </c>
      <c r="H1608" s="1176">
        <v>1</v>
      </c>
      <c r="I1608" s="1176">
        <v>1</v>
      </c>
      <c r="J1608" s="1190">
        <v>2</v>
      </c>
      <c r="K1608" s="1180"/>
      <c r="L1608" s="1174">
        <v>13139000303</v>
      </c>
      <c r="M1608" s="1175">
        <v>1</v>
      </c>
      <c r="N1608" s="1175">
        <v>1</v>
      </c>
      <c r="O1608" s="1176">
        <v>2</v>
      </c>
      <c r="AA1608"/>
      <c r="AB1608"/>
    </row>
    <row r="1609" spans="3:28" ht="13.5">
      <c r="C1609" s="1181" t="s">
        <v>6289</v>
      </c>
      <c r="D1609" s="1178">
        <v>1</v>
      </c>
      <c r="E1609" s="1178">
        <v>1</v>
      </c>
      <c r="F1609" s="1179">
        <v>2</v>
      </c>
      <c r="G1609" s="1189" t="s">
        <v>6289</v>
      </c>
      <c r="H1609" s="1176">
        <v>1</v>
      </c>
      <c r="I1609" s="1176">
        <v>1</v>
      </c>
      <c r="J1609" s="1190">
        <v>2</v>
      </c>
      <c r="K1609" s="1180"/>
      <c r="L1609" s="1174">
        <v>13139000304</v>
      </c>
      <c r="M1609" s="1175">
        <v>1</v>
      </c>
      <c r="N1609" s="1175">
        <v>1</v>
      </c>
      <c r="O1609" s="1176">
        <v>2</v>
      </c>
      <c r="AA1609"/>
      <c r="AB1609"/>
    </row>
    <row r="1610" spans="3:28" ht="13.5">
      <c r="C1610" s="1181" t="s">
        <v>6290</v>
      </c>
      <c r="D1610" s="1178">
        <v>1</v>
      </c>
      <c r="E1610" s="1178">
        <v>1</v>
      </c>
      <c r="F1610" s="1179">
        <v>2</v>
      </c>
      <c r="G1610" s="1189" t="s">
        <v>6290</v>
      </c>
      <c r="H1610" s="1176">
        <v>1</v>
      </c>
      <c r="I1610" s="1176">
        <v>1</v>
      </c>
      <c r="J1610" s="1190">
        <v>2</v>
      </c>
      <c r="K1610" s="1180"/>
      <c r="L1610" s="1174">
        <v>13139000305</v>
      </c>
      <c r="M1610" s="1175">
        <v>1</v>
      </c>
      <c r="N1610" s="1175">
        <v>1</v>
      </c>
      <c r="O1610" s="1176">
        <v>2</v>
      </c>
      <c r="AA1610"/>
      <c r="AB1610"/>
    </row>
    <row r="1611" spans="3:28" ht="13.5">
      <c r="C1611" s="1181" t="s">
        <v>6291</v>
      </c>
      <c r="D1611" s="1178">
        <v>1</v>
      </c>
      <c r="E1611" s="1178">
        <v>0</v>
      </c>
      <c r="F1611" s="1179">
        <v>1</v>
      </c>
      <c r="G1611" s="1189" t="s">
        <v>6291</v>
      </c>
      <c r="H1611" s="1176">
        <v>1</v>
      </c>
      <c r="I1611" s="1176">
        <v>1</v>
      </c>
      <c r="J1611" s="1190">
        <v>2</v>
      </c>
      <c r="K1611" s="1180"/>
      <c r="L1611" s="1174">
        <v>13139000400</v>
      </c>
      <c r="M1611" s="1175">
        <v>1</v>
      </c>
      <c r="N1611" s="1175">
        <v>1</v>
      </c>
      <c r="O1611" s="1176">
        <v>2</v>
      </c>
      <c r="AA1611"/>
      <c r="AB1611"/>
    </row>
    <row r="1612" spans="3:28" ht="13.5">
      <c r="C1612" s="1181" t="s">
        <v>6292</v>
      </c>
      <c r="D1612" s="1178">
        <v>1</v>
      </c>
      <c r="E1612" s="1178">
        <v>1</v>
      </c>
      <c r="F1612" s="1179">
        <v>2</v>
      </c>
      <c r="G1612" s="1189" t="s">
        <v>6292</v>
      </c>
      <c r="H1612" s="1176">
        <v>1</v>
      </c>
      <c r="I1612" s="1176">
        <v>1</v>
      </c>
      <c r="J1612" s="1190">
        <v>2</v>
      </c>
      <c r="K1612" s="1180"/>
      <c r="L1612" s="1174">
        <v>13139000500</v>
      </c>
      <c r="M1612" s="1175">
        <v>1</v>
      </c>
      <c r="N1612" s="1175">
        <v>1</v>
      </c>
      <c r="O1612" s="1176">
        <v>2</v>
      </c>
      <c r="AA1612"/>
      <c r="AB1612"/>
    </row>
    <row r="1613" spans="3:28" ht="13.5">
      <c r="C1613" s="1181" t="s">
        <v>6293</v>
      </c>
      <c r="D1613" s="1178">
        <v>0</v>
      </c>
      <c r="E1613" s="1178">
        <v>0</v>
      </c>
      <c r="F1613" s="1179">
        <v>0</v>
      </c>
      <c r="G1613" s="1189" t="s">
        <v>6293</v>
      </c>
      <c r="H1613" s="1176">
        <v>0</v>
      </c>
      <c r="I1613" s="1176">
        <v>0</v>
      </c>
      <c r="J1613" s="1190">
        <v>0</v>
      </c>
      <c r="K1613" s="1180"/>
      <c r="L1613" s="1174">
        <v>13139000600</v>
      </c>
      <c r="M1613" s="1175">
        <v>0</v>
      </c>
      <c r="N1613" s="1175">
        <v>0</v>
      </c>
      <c r="O1613" s="1176">
        <v>0</v>
      </c>
      <c r="AA1613"/>
      <c r="AB1613"/>
    </row>
    <row r="1614" spans="3:28" ht="13.5">
      <c r="C1614" s="1181" t="s">
        <v>6294</v>
      </c>
      <c r="D1614" s="1178">
        <v>0</v>
      </c>
      <c r="E1614" s="1178">
        <v>0</v>
      </c>
      <c r="F1614" s="1179">
        <v>0</v>
      </c>
      <c r="G1614" s="1189" t="s">
        <v>6294</v>
      </c>
      <c r="H1614" s="1176">
        <v>0</v>
      </c>
      <c r="I1614" s="1176">
        <v>0</v>
      </c>
      <c r="J1614" s="1190">
        <v>0</v>
      </c>
      <c r="K1614" s="1180"/>
      <c r="L1614" s="1174">
        <v>13139000701</v>
      </c>
      <c r="M1614" s="1175">
        <v>0</v>
      </c>
      <c r="N1614" s="1175">
        <v>0</v>
      </c>
      <c r="O1614" s="1176">
        <v>0</v>
      </c>
      <c r="AA1614"/>
      <c r="AB1614"/>
    </row>
    <row r="1615" spans="3:28" ht="13.5">
      <c r="C1615" s="1181" t="s">
        <v>6295</v>
      </c>
      <c r="D1615" s="1178">
        <v>0</v>
      </c>
      <c r="E1615" s="1178">
        <v>0</v>
      </c>
      <c r="F1615" s="1179">
        <v>0</v>
      </c>
      <c r="G1615" s="1189" t="s">
        <v>6295</v>
      </c>
      <c r="H1615" s="1176">
        <v>0</v>
      </c>
      <c r="I1615" s="1176">
        <v>0</v>
      </c>
      <c r="J1615" s="1190">
        <v>0</v>
      </c>
      <c r="K1615" s="1180"/>
      <c r="L1615" s="1174">
        <v>13139000702</v>
      </c>
      <c r="M1615" s="1175">
        <v>0</v>
      </c>
      <c r="N1615" s="1175">
        <v>0</v>
      </c>
      <c r="O1615" s="1176">
        <v>0</v>
      </c>
      <c r="AA1615"/>
      <c r="AB1615"/>
    </row>
    <row r="1616" spans="3:28" ht="13.5">
      <c r="C1616" s="1181" t="s">
        <v>6296</v>
      </c>
      <c r="D1616" s="1178">
        <v>0</v>
      </c>
      <c r="E1616" s="1178">
        <v>0</v>
      </c>
      <c r="F1616" s="1179">
        <v>0</v>
      </c>
      <c r="G1616" s="1189" t="s">
        <v>6296</v>
      </c>
      <c r="H1616" s="1176">
        <v>0</v>
      </c>
      <c r="I1616" s="1176">
        <v>0</v>
      </c>
      <c r="J1616" s="1190">
        <v>0</v>
      </c>
      <c r="K1616" s="1180"/>
      <c r="L1616" s="1174">
        <v>13139000800</v>
      </c>
      <c r="M1616" s="1175">
        <v>0</v>
      </c>
      <c r="N1616" s="1175">
        <v>0</v>
      </c>
      <c r="O1616" s="1176">
        <v>0</v>
      </c>
      <c r="AA1616"/>
      <c r="AB1616"/>
    </row>
    <row r="1617" spans="3:28" ht="13.5">
      <c r="C1617" s="1181" t="s">
        <v>6297</v>
      </c>
      <c r="D1617" s="1178">
        <v>1</v>
      </c>
      <c r="E1617" s="1178">
        <v>1</v>
      </c>
      <c r="F1617" s="1179">
        <v>2</v>
      </c>
      <c r="G1617" s="1189" t="s">
        <v>6297</v>
      </c>
      <c r="H1617" s="1176">
        <v>1</v>
      </c>
      <c r="I1617" s="1176">
        <v>1</v>
      </c>
      <c r="J1617" s="1190">
        <v>2</v>
      </c>
      <c r="K1617" s="1180"/>
      <c r="L1617" s="1174">
        <v>13139000900</v>
      </c>
      <c r="M1617" s="1175">
        <v>1</v>
      </c>
      <c r="N1617" s="1175">
        <v>1</v>
      </c>
      <c r="O1617" s="1176">
        <v>2</v>
      </c>
      <c r="AA1617"/>
      <c r="AB1617"/>
    </row>
    <row r="1618" spans="3:28" ht="13.5">
      <c r="C1618" s="1181" t="s">
        <v>6298</v>
      </c>
      <c r="D1618" s="1178">
        <v>1</v>
      </c>
      <c r="E1618" s="1178">
        <v>0</v>
      </c>
      <c r="F1618" s="1179">
        <v>1</v>
      </c>
      <c r="G1618" s="1189" t="s">
        <v>6298</v>
      </c>
      <c r="H1618" s="1176">
        <v>0</v>
      </c>
      <c r="I1618" s="1176">
        <v>1</v>
      </c>
      <c r="J1618" s="1190">
        <v>1</v>
      </c>
      <c r="K1618" s="1180"/>
      <c r="L1618" s="1174">
        <v>13139001002</v>
      </c>
      <c r="M1618" s="1175">
        <v>1</v>
      </c>
      <c r="N1618" s="1175">
        <v>1</v>
      </c>
      <c r="O1618" s="1176">
        <v>1</v>
      </c>
      <c r="AA1618"/>
      <c r="AB1618"/>
    </row>
    <row r="1619" spans="3:28" ht="13.5">
      <c r="C1619" s="1181" t="s">
        <v>6299</v>
      </c>
      <c r="D1619" s="1178">
        <v>0</v>
      </c>
      <c r="E1619" s="1178">
        <v>0</v>
      </c>
      <c r="F1619" s="1179">
        <v>0</v>
      </c>
      <c r="G1619" s="1189" t="s">
        <v>6299</v>
      </c>
      <c r="H1619" s="1176">
        <v>0</v>
      </c>
      <c r="I1619" s="1176">
        <v>0</v>
      </c>
      <c r="J1619" s="1190">
        <v>0</v>
      </c>
      <c r="K1619" s="1180"/>
      <c r="L1619" s="1174">
        <v>13139001003</v>
      </c>
      <c r="M1619" s="1175">
        <v>0</v>
      </c>
      <c r="N1619" s="1175">
        <v>0</v>
      </c>
      <c r="O1619" s="1176">
        <v>0</v>
      </c>
      <c r="AA1619"/>
      <c r="AB1619"/>
    </row>
    <row r="1620" spans="3:28" ht="13.5">
      <c r="C1620" s="1181" t="s">
        <v>6300</v>
      </c>
      <c r="D1620" s="1178">
        <v>1</v>
      </c>
      <c r="E1620" s="1178">
        <v>1</v>
      </c>
      <c r="F1620" s="1179">
        <v>2</v>
      </c>
      <c r="G1620" s="1189" t="s">
        <v>6300</v>
      </c>
      <c r="H1620" s="1176">
        <v>0</v>
      </c>
      <c r="I1620" s="1176">
        <v>0</v>
      </c>
      <c r="J1620" s="1190">
        <v>0</v>
      </c>
      <c r="K1620" s="1180"/>
      <c r="L1620" s="1174">
        <v>13139001004</v>
      </c>
      <c r="M1620" s="1175">
        <v>1</v>
      </c>
      <c r="N1620" s="1175">
        <v>1</v>
      </c>
      <c r="O1620" s="1176">
        <v>2</v>
      </c>
      <c r="AA1620"/>
      <c r="AB1620"/>
    </row>
    <row r="1621" spans="3:28" ht="13.5">
      <c r="C1621" s="1181" t="s">
        <v>6301</v>
      </c>
      <c r="D1621" s="1178">
        <v>0</v>
      </c>
      <c r="E1621" s="1178">
        <v>0</v>
      </c>
      <c r="F1621" s="1179">
        <v>0</v>
      </c>
      <c r="G1621" s="1189" t="s">
        <v>6301</v>
      </c>
      <c r="H1621" s="1176">
        <v>0</v>
      </c>
      <c r="I1621" s="1176" t="s">
        <v>4455</v>
      </c>
      <c r="J1621" s="1190">
        <v>0</v>
      </c>
      <c r="K1621" s="1180"/>
      <c r="L1621" s="1174">
        <v>13139001101</v>
      </c>
      <c r="M1621" s="1175">
        <v>0</v>
      </c>
      <c r="N1621" s="1175">
        <v>0</v>
      </c>
      <c r="O1621" s="1176">
        <v>0</v>
      </c>
      <c r="AA1621"/>
      <c r="AB1621"/>
    </row>
    <row r="1622" spans="3:28" ht="13.5">
      <c r="C1622" s="1181" t="s">
        <v>6302</v>
      </c>
      <c r="D1622" s="1178">
        <v>0</v>
      </c>
      <c r="E1622" s="1178">
        <v>0</v>
      </c>
      <c r="F1622" s="1179">
        <v>0</v>
      </c>
      <c r="G1622" s="1189" t="s">
        <v>6302</v>
      </c>
      <c r="H1622" s="1176">
        <v>1</v>
      </c>
      <c r="I1622" s="1176">
        <v>0</v>
      </c>
      <c r="J1622" s="1190">
        <v>1</v>
      </c>
      <c r="K1622" s="1180"/>
      <c r="L1622" s="1174">
        <v>13139001102</v>
      </c>
      <c r="M1622" s="1175">
        <v>1</v>
      </c>
      <c r="N1622" s="1175">
        <v>0</v>
      </c>
      <c r="O1622" s="1176">
        <v>1</v>
      </c>
      <c r="AA1622"/>
      <c r="AB1622"/>
    </row>
    <row r="1623" spans="3:28" ht="13.5">
      <c r="C1623" s="1181" t="s">
        <v>6303</v>
      </c>
      <c r="D1623" s="1178">
        <v>0</v>
      </c>
      <c r="E1623" s="1178">
        <v>0</v>
      </c>
      <c r="F1623" s="1179">
        <v>0</v>
      </c>
      <c r="G1623" s="1189" t="s">
        <v>6303</v>
      </c>
      <c r="H1623" s="1176">
        <v>0</v>
      </c>
      <c r="I1623" s="1176">
        <v>0</v>
      </c>
      <c r="J1623" s="1190">
        <v>0</v>
      </c>
      <c r="K1623" s="1180"/>
      <c r="L1623" s="1174">
        <v>13139001201</v>
      </c>
      <c r="M1623" s="1175">
        <v>0</v>
      </c>
      <c r="N1623" s="1175">
        <v>0</v>
      </c>
      <c r="O1623" s="1176">
        <v>0</v>
      </c>
      <c r="AA1623"/>
      <c r="AB1623"/>
    </row>
    <row r="1624" spans="3:28" ht="13.5">
      <c r="C1624" s="1181" t="s">
        <v>6304</v>
      </c>
      <c r="D1624" s="1178">
        <v>1</v>
      </c>
      <c r="E1624" s="1178">
        <v>0</v>
      </c>
      <c r="F1624" s="1179">
        <v>1</v>
      </c>
      <c r="G1624" s="1189" t="s">
        <v>6304</v>
      </c>
      <c r="H1624" s="1176">
        <v>0</v>
      </c>
      <c r="I1624" s="1176">
        <v>0</v>
      </c>
      <c r="J1624" s="1190">
        <v>0</v>
      </c>
      <c r="K1624" s="1180"/>
      <c r="L1624" s="1174">
        <v>13139001202</v>
      </c>
      <c r="M1624" s="1175">
        <v>1</v>
      </c>
      <c r="N1624" s="1175">
        <v>0</v>
      </c>
      <c r="O1624" s="1176">
        <v>1</v>
      </c>
      <c r="AA1624"/>
      <c r="AB1624"/>
    </row>
    <row r="1625" spans="3:28" ht="13.5">
      <c r="C1625" s="1181" t="s">
        <v>6305</v>
      </c>
      <c r="D1625" s="1178">
        <v>1</v>
      </c>
      <c r="E1625" s="1178">
        <v>1</v>
      </c>
      <c r="F1625" s="1179">
        <v>2</v>
      </c>
      <c r="G1625" s="1189" t="s">
        <v>6305</v>
      </c>
      <c r="H1625" s="1176">
        <v>1</v>
      </c>
      <c r="I1625" s="1176">
        <v>0</v>
      </c>
      <c r="J1625" s="1190">
        <v>1</v>
      </c>
      <c r="K1625" s="1180"/>
      <c r="L1625" s="1174">
        <v>13139001301</v>
      </c>
      <c r="M1625" s="1175">
        <v>1</v>
      </c>
      <c r="N1625" s="1175">
        <v>1</v>
      </c>
      <c r="O1625" s="1176">
        <v>2</v>
      </c>
      <c r="AA1625"/>
      <c r="AB1625"/>
    </row>
    <row r="1626" spans="3:28" ht="13.5">
      <c r="C1626" s="1181" t="s">
        <v>6306</v>
      </c>
      <c r="D1626" s="1178">
        <v>1</v>
      </c>
      <c r="E1626" s="1178">
        <v>1</v>
      </c>
      <c r="F1626" s="1179">
        <v>2</v>
      </c>
      <c r="G1626" s="1189" t="s">
        <v>6306</v>
      </c>
      <c r="H1626" s="1176">
        <v>1</v>
      </c>
      <c r="I1626" s="1176">
        <v>1</v>
      </c>
      <c r="J1626" s="1190">
        <v>2</v>
      </c>
      <c r="K1626" s="1180"/>
      <c r="L1626" s="1174">
        <v>13139001302</v>
      </c>
      <c r="M1626" s="1175">
        <v>1</v>
      </c>
      <c r="N1626" s="1175">
        <v>1</v>
      </c>
      <c r="O1626" s="1176">
        <v>2</v>
      </c>
      <c r="AA1626"/>
      <c r="AB1626"/>
    </row>
    <row r="1627" spans="3:28" ht="13.5">
      <c r="C1627" s="1181" t="s">
        <v>6307</v>
      </c>
      <c r="D1627" s="1178">
        <v>1</v>
      </c>
      <c r="E1627" s="1178">
        <v>1</v>
      </c>
      <c r="F1627" s="1179">
        <v>2</v>
      </c>
      <c r="G1627" s="1189" t="s">
        <v>6307</v>
      </c>
      <c r="H1627" s="1176">
        <v>1</v>
      </c>
      <c r="I1627" s="1176">
        <v>0</v>
      </c>
      <c r="J1627" s="1190">
        <v>1</v>
      </c>
      <c r="K1627" s="1180"/>
      <c r="L1627" s="1174">
        <v>13139001402</v>
      </c>
      <c r="M1627" s="1175">
        <v>1</v>
      </c>
      <c r="N1627" s="1175">
        <v>1</v>
      </c>
      <c r="O1627" s="1176">
        <v>2</v>
      </c>
      <c r="AA1627"/>
      <c r="AB1627"/>
    </row>
    <row r="1628" spans="3:28" ht="13.5">
      <c r="C1628" s="1181" t="s">
        <v>6308</v>
      </c>
      <c r="D1628" s="1178">
        <v>0</v>
      </c>
      <c r="E1628" s="1178">
        <v>0</v>
      </c>
      <c r="F1628" s="1179">
        <v>0</v>
      </c>
      <c r="G1628" s="1189" t="s">
        <v>6308</v>
      </c>
      <c r="H1628" s="1176">
        <v>0</v>
      </c>
      <c r="I1628" s="1176">
        <v>0</v>
      </c>
      <c r="J1628" s="1190">
        <v>0</v>
      </c>
      <c r="K1628" s="1180"/>
      <c r="L1628" s="1174">
        <v>13139001403</v>
      </c>
      <c r="M1628" s="1175">
        <v>0</v>
      </c>
      <c r="N1628" s="1175">
        <v>0</v>
      </c>
      <c r="O1628" s="1176">
        <v>0</v>
      </c>
      <c r="AA1628"/>
      <c r="AB1628"/>
    </row>
    <row r="1629" spans="3:28" ht="13.5">
      <c r="C1629" s="1181" t="s">
        <v>6309</v>
      </c>
      <c r="D1629" s="1178">
        <v>1</v>
      </c>
      <c r="E1629" s="1178">
        <v>0</v>
      </c>
      <c r="F1629" s="1179">
        <v>1</v>
      </c>
      <c r="G1629" s="1189" t="s">
        <v>6309</v>
      </c>
      <c r="H1629" s="1176">
        <v>1</v>
      </c>
      <c r="I1629" s="1176">
        <v>0</v>
      </c>
      <c r="J1629" s="1190">
        <v>1</v>
      </c>
      <c r="K1629" s="1180"/>
      <c r="L1629" s="1174">
        <v>13139001404</v>
      </c>
      <c r="M1629" s="1175">
        <v>1</v>
      </c>
      <c r="N1629" s="1175">
        <v>0</v>
      </c>
      <c r="O1629" s="1176">
        <v>1</v>
      </c>
      <c r="AA1629"/>
      <c r="AB1629"/>
    </row>
    <row r="1630" spans="3:28" ht="13.5">
      <c r="C1630" s="1181" t="s">
        <v>6310</v>
      </c>
      <c r="D1630" s="1178">
        <v>1</v>
      </c>
      <c r="E1630" s="1178">
        <v>1</v>
      </c>
      <c r="F1630" s="1179">
        <v>2</v>
      </c>
      <c r="G1630" s="1189" t="s">
        <v>6310</v>
      </c>
      <c r="H1630" s="1176">
        <v>1</v>
      </c>
      <c r="I1630" s="1176">
        <v>1</v>
      </c>
      <c r="J1630" s="1190">
        <v>2</v>
      </c>
      <c r="K1630" s="1180"/>
      <c r="L1630" s="1174">
        <v>13139001501</v>
      </c>
      <c r="M1630" s="1175">
        <v>1</v>
      </c>
      <c r="N1630" s="1175">
        <v>1</v>
      </c>
      <c r="O1630" s="1176">
        <v>2</v>
      </c>
      <c r="AA1630"/>
      <c r="AB1630"/>
    </row>
    <row r="1631" spans="3:28" ht="13.5">
      <c r="C1631" s="1181" t="s">
        <v>6311</v>
      </c>
      <c r="D1631" s="1178">
        <v>1</v>
      </c>
      <c r="E1631" s="1178">
        <v>1</v>
      </c>
      <c r="F1631" s="1179">
        <v>2</v>
      </c>
      <c r="G1631" s="1189" t="s">
        <v>6311</v>
      </c>
      <c r="H1631" s="1176">
        <v>1</v>
      </c>
      <c r="I1631" s="1176">
        <v>1</v>
      </c>
      <c r="J1631" s="1190">
        <v>2</v>
      </c>
      <c r="K1631" s="1180"/>
      <c r="L1631" s="1174">
        <v>13139001502</v>
      </c>
      <c r="M1631" s="1175">
        <v>1</v>
      </c>
      <c r="N1631" s="1175">
        <v>1</v>
      </c>
      <c r="O1631" s="1176">
        <v>2</v>
      </c>
      <c r="AA1631"/>
      <c r="AB1631"/>
    </row>
    <row r="1632" spans="3:28" ht="13.5">
      <c r="C1632" s="1181" t="s">
        <v>6312</v>
      </c>
      <c r="D1632" s="1178">
        <v>1</v>
      </c>
      <c r="E1632" s="1178">
        <v>1</v>
      </c>
      <c r="F1632" s="1179">
        <v>2</v>
      </c>
      <c r="G1632" s="1189" t="s">
        <v>6312</v>
      </c>
      <c r="H1632" s="1176">
        <v>1</v>
      </c>
      <c r="I1632" s="1176">
        <v>0</v>
      </c>
      <c r="J1632" s="1190">
        <v>1</v>
      </c>
      <c r="K1632" s="1180"/>
      <c r="L1632" s="1174">
        <v>13139001603</v>
      </c>
      <c r="M1632" s="1175">
        <v>1</v>
      </c>
      <c r="N1632" s="1175">
        <v>1</v>
      </c>
      <c r="O1632" s="1176">
        <v>2</v>
      </c>
      <c r="AA1632"/>
      <c r="AB1632"/>
    </row>
    <row r="1633" spans="3:28" ht="13.5">
      <c r="C1633" s="1181" t="s">
        <v>6313</v>
      </c>
      <c r="D1633" s="1178">
        <v>1</v>
      </c>
      <c r="E1633" s="1178">
        <v>1</v>
      </c>
      <c r="F1633" s="1179">
        <v>2</v>
      </c>
      <c r="G1633" s="1189" t="s">
        <v>6313</v>
      </c>
      <c r="H1633" s="1176">
        <v>1</v>
      </c>
      <c r="I1633" s="1176">
        <v>1</v>
      </c>
      <c r="J1633" s="1190">
        <v>2</v>
      </c>
      <c r="K1633" s="1180"/>
      <c r="L1633" s="1174">
        <v>13139001604</v>
      </c>
      <c r="M1633" s="1175">
        <v>1</v>
      </c>
      <c r="N1633" s="1175">
        <v>1</v>
      </c>
      <c r="O1633" s="1176">
        <v>2</v>
      </c>
      <c r="AA1633"/>
      <c r="AB1633"/>
    </row>
    <row r="1634" spans="3:28" ht="13.5">
      <c r="C1634" s="1181" t="s">
        <v>6314</v>
      </c>
      <c r="D1634" s="1178">
        <v>1</v>
      </c>
      <c r="E1634" s="1178">
        <v>1</v>
      </c>
      <c r="F1634" s="1179">
        <v>2</v>
      </c>
      <c r="G1634" s="1189" t="s">
        <v>6314</v>
      </c>
      <c r="H1634" s="1176">
        <v>1</v>
      </c>
      <c r="I1634" s="1176" t="s">
        <v>4455</v>
      </c>
      <c r="J1634" s="1190">
        <v>1</v>
      </c>
      <c r="K1634" s="1180"/>
      <c r="L1634" s="1174">
        <v>13139001605</v>
      </c>
      <c r="M1634" s="1175">
        <v>1</v>
      </c>
      <c r="N1634" s="1175">
        <v>1</v>
      </c>
      <c r="O1634" s="1176">
        <v>2</v>
      </c>
      <c r="AA1634"/>
      <c r="AB1634"/>
    </row>
    <row r="1635" spans="3:28" ht="13.5">
      <c r="C1635" s="1181" t="s">
        <v>6315</v>
      </c>
      <c r="D1635" s="1178">
        <v>1</v>
      </c>
      <c r="E1635" s="1178">
        <v>1</v>
      </c>
      <c r="F1635" s="1179">
        <v>2</v>
      </c>
      <c r="G1635" s="1189" t="s">
        <v>6315</v>
      </c>
      <c r="H1635" s="1176">
        <v>1</v>
      </c>
      <c r="I1635" s="1176">
        <v>1</v>
      </c>
      <c r="J1635" s="1190">
        <v>2</v>
      </c>
      <c r="K1635" s="1180"/>
      <c r="L1635" s="1174">
        <v>13139001606</v>
      </c>
      <c r="M1635" s="1175">
        <v>1</v>
      </c>
      <c r="N1635" s="1175">
        <v>1</v>
      </c>
      <c r="O1635" s="1176">
        <v>2</v>
      </c>
      <c r="AA1635"/>
      <c r="AB1635"/>
    </row>
    <row r="1636" spans="3:28" ht="13.5">
      <c r="C1636" s="1181" t="s">
        <v>6316</v>
      </c>
      <c r="D1636" s="1178">
        <v>0</v>
      </c>
      <c r="E1636" s="1178">
        <v>1</v>
      </c>
      <c r="F1636" s="1179">
        <v>1</v>
      </c>
      <c r="G1636" s="1189" t="s">
        <v>6316</v>
      </c>
      <c r="H1636" s="1176">
        <v>1</v>
      </c>
      <c r="I1636" s="1176">
        <v>1</v>
      </c>
      <c r="J1636" s="1190">
        <v>2</v>
      </c>
      <c r="K1636" s="1180"/>
      <c r="L1636" s="1174">
        <v>13139001607</v>
      </c>
      <c r="M1636" s="1175">
        <v>1</v>
      </c>
      <c r="N1636" s="1175">
        <v>1</v>
      </c>
      <c r="O1636" s="1176">
        <v>2</v>
      </c>
      <c r="AA1636"/>
      <c r="AB1636"/>
    </row>
    <row r="1637" spans="3:28" ht="13.5">
      <c r="C1637" s="1181" t="s">
        <v>6317</v>
      </c>
      <c r="D1637" s="1178">
        <v>1</v>
      </c>
      <c r="E1637" s="1178">
        <v>1</v>
      </c>
      <c r="F1637" s="1179">
        <v>2</v>
      </c>
      <c r="G1637" s="1189" t="s">
        <v>6317</v>
      </c>
      <c r="H1637" s="1176">
        <v>1</v>
      </c>
      <c r="I1637" s="1176">
        <v>1</v>
      </c>
      <c r="J1637" s="1190">
        <v>2</v>
      </c>
      <c r="K1637" s="1180"/>
      <c r="L1637" s="1174">
        <v>13139001608</v>
      </c>
      <c r="M1637" s="1175">
        <v>1</v>
      </c>
      <c r="N1637" s="1175">
        <v>1</v>
      </c>
      <c r="O1637" s="1176">
        <v>2</v>
      </c>
      <c r="AA1637"/>
      <c r="AB1637"/>
    </row>
    <row r="1638" spans="3:28" ht="13.5">
      <c r="C1638" s="1181" t="s">
        <v>6318</v>
      </c>
      <c r="D1638" s="1178">
        <v>0</v>
      </c>
      <c r="E1638" s="1178">
        <v>0</v>
      </c>
      <c r="F1638" s="1179">
        <v>0</v>
      </c>
      <c r="G1638" s="1189" t="s">
        <v>6318</v>
      </c>
      <c r="H1638" s="1176">
        <v>0</v>
      </c>
      <c r="I1638" s="1176">
        <v>1</v>
      </c>
      <c r="J1638" s="1190">
        <v>1</v>
      </c>
      <c r="K1638" s="1180"/>
      <c r="L1638" s="1174">
        <v>13141480300</v>
      </c>
      <c r="M1638" s="1175">
        <v>0</v>
      </c>
      <c r="N1638" s="1175">
        <v>1</v>
      </c>
      <c r="O1638" s="1176">
        <v>1</v>
      </c>
      <c r="AA1638"/>
      <c r="AB1638"/>
    </row>
    <row r="1639" spans="3:28" ht="13.5">
      <c r="C1639" s="1181" t="s">
        <v>6319</v>
      </c>
      <c r="D1639" s="1178">
        <v>0</v>
      </c>
      <c r="E1639" s="1178">
        <v>0</v>
      </c>
      <c r="F1639" s="1179">
        <v>0</v>
      </c>
      <c r="G1639" s="1189" t="s">
        <v>6319</v>
      </c>
      <c r="H1639" s="1176">
        <v>0</v>
      </c>
      <c r="I1639" s="1176">
        <v>1</v>
      </c>
      <c r="J1639" s="1190">
        <v>1</v>
      </c>
      <c r="K1639" s="1180"/>
      <c r="L1639" s="1174">
        <v>13141480400</v>
      </c>
      <c r="M1639" s="1175">
        <v>0</v>
      </c>
      <c r="N1639" s="1175">
        <v>1</v>
      </c>
      <c r="O1639" s="1176">
        <v>1</v>
      </c>
      <c r="AA1639"/>
      <c r="AB1639"/>
    </row>
    <row r="1640" spans="3:28" ht="13.5">
      <c r="C1640" s="1181" t="s">
        <v>6320</v>
      </c>
      <c r="D1640" s="1178">
        <v>0</v>
      </c>
      <c r="E1640" s="1178">
        <v>0</v>
      </c>
      <c r="F1640" s="1179">
        <v>0</v>
      </c>
      <c r="G1640" s="1189" t="s">
        <v>6320</v>
      </c>
      <c r="H1640" s="1176">
        <v>0</v>
      </c>
      <c r="I1640" s="1176">
        <v>0</v>
      </c>
      <c r="J1640" s="1190">
        <v>0</v>
      </c>
      <c r="K1640" s="1180"/>
      <c r="L1640" s="1174">
        <v>13143010100</v>
      </c>
      <c r="M1640" s="1175">
        <v>0</v>
      </c>
      <c r="N1640" s="1175">
        <v>0</v>
      </c>
      <c r="O1640" s="1176">
        <v>0</v>
      </c>
      <c r="AA1640"/>
      <c r="AB1640"/>
    </row>
    <row r="1641" spans="3:28" ht="13.5">
      <c r="C1641" s="1181" t="s">
        <v>6321</v>
      </c>
      <c r="D1641" s="1178">
        <v>0</v>
      </c>
      <c r="E1641" s="1178">
        <v>1</v>
      </c>
      <c r="F1641" s="1179">
        <v>1</v>
      </c>
      <c r="G1641" s="1189" t="s">
        <v>6321</v>
      </c>
      <c r="H1641" s="1176">
        <v>0</v>
      </c>
      <c r="I1641" s="1176">
        <v>0</v>
      </c>
      <c r="J1641" s="1190">
        <v>0</v>
      </c>
      <c r="K1641" s="1180"/>
      <c r="L1641" s="1174">
        <v>13143010200</v>
      </c>
      <c r="M1641" s="1175">
        <v>0</v>
      </c>
      <c r="N1641" s="1175">
        <v>1</v>
      </c>
      <c r="O1641" s="1176">
        <v>1</v>
      </c>
      <c r="AA1641"/>
      <c r="AB1641"/>
    </row>
    <row r="1642" spans="3:28" ht="13.5">
      <c r="C1642" s="1181" t="s">
        <v>6322</v>
      </c>
      <c r="D1642" s="1178">
        <v>0</v>
      </c>
      <c r="E1642" s="1178">
        <v>0</v>
      </c>
      <c r="F1642" s="1179">
        <v>0</v>
      </c>
      <c r="G1642" s="1189" t="s">
        <v>6322</v>
      </c>
      <c r="H1642" s="1176">
        <v>0</v>
      </c>
      <c r="I1642" s="1176">
        <v>0</v>
      </c>
      <c r="J1642" s="1190">
        <v>0</v>
      </c>
      <c r="K1642" s="1180"/>
      <c r="L1642" s="1174">
        <v>13143010301</v>
      </c>
      <c r="M1642" s="1175">
        <v>0</v>
      </c>
      <c r="N1642" s="1175">
        <v>0</v>
      </c>
      <c r="O1642" s="1176">
        <v>0</v>
      </c>
      <c r="AA1642"/>
      <c r="AB1642"/>
    </row>
    <row r="1643" spans="3:28" ht="13.5">
      <c r="C1643" s="1181" t="s">
        <v>6323</v>
      </c>
      <c r="D1643" s="1178">
        <v>0</v>
      </c>
      <c r="E1643" s="1178">
        <v>0</v>
      </c>
      <c r="F1643" s="1179">
        <v>0</v>
      </c>
      <c r="G1643" s="1189" t="s">
        <v>6323</v>
      </c>
      <c r="H1643" s="1176">
        <v>1</v>
      </c>
      <c r="I1643" s="1176">
        <v>0</v>
      </c>
      <c r="J1643" s="1190">
        <v>1</v>
      </c>
      <c r="K1643" s="1180"/>
      <c r="L1643" s="1174">
        <v>13143010302</v>
      </c>
      <c r="M1643" s="1175">
        <v>1</v>
      </c>
      <c r="N1643" s="1175">
        <v>0</v>
      </c>
      <c r="O1643" s="1176">
        <v>1</v>
      </c>
      <c r="AA1643"/>
      <c r="AB1643"/>
    </row>
    <row r="1644" spans="3:28" ht="13.5">
      <c r="C1644" s="1181" t="s">
        <v>6324</v>
      </c>
      <c r="D1644" s="1178">
        <v>0</v>
      </c>
      <c r="E1644" s="1178">
        <v>0</v>
      </c>
      <c r="F1644" s="1179">
        <v>0</v>
      </c>
      <c r="G1644" s="1189" t="s">
        <v>6324</v>
      </c>
      <c r="H1644" s="1176">
        <v>0</v>
      </c>
      <c r="I1644" s="1176">
        <v>0</v>
      </c>
      <c r="J1644" s="1190">
        <v>0</v>
      </c>
      <c r="K1644" s="1180"/>
      <c r="L1644" s="1174">
        <v>13143010400</v>
      </c>
      <c r="M1644" s="1175">
        <v>0</v>
      </c>
      <c r="N1644" s="1175">
        <v>0</v>
      </c>
      <c r="O1644" s="1176">
        <v>0</v>
      </c>
      <c r="AA1644"/>
      <c r="AB1644"/>
    </row>
    <row r="1645" spans="3:28" ht="13.5">
      <c r="C1645" s="1181" t="s">
        <v>6325</v>
      </c>
      <c r="D1645" s="1178">
        <v>0</v>
      </c>
      <c r="E1645" s="1178">
        <v>0</v>
      </c>
      <c r="F1645" s="1179">
        <v>0</v>
      </c>
      <c r="G1645" s="1189" t="s">
        <v>6325</v>
      </c>
      <c r="H1645" s="1176">
        <v>0</v>
      </c>
      <c r="I1645" s="1176">
        <v>1</v>
      </c>
      <c r="J1645" s="1190">
        <v>1</v>
      </c>
      <c r="K1645" s="1180"/>
      <c r="L1645" s="1174">
        <v>13145120198</v>
      </c>
      <c r="M1645" s="1175">
        <v>0</v>
      </c>
      <c r="N1645" s="1175">
        <v>1</v>
      </c>
      <c r="O1645" s="1176">
        <v>1</v>
      </c>
      <c r="AA1645"/>
      <c r="AB1645"/>
    </row>
    <row r="1646" spans="3:28" ht="13.5">
      <c r="C1646" s="1181" t="s">
        <v>6326</v>
      </c>
      <c r="D1646" s="1178">
        <v>0</v>
      </c>
      <c r="E1646" s="1178">
        <v>1</v>
      </c>
      <c r="F1646" s="1179">
        <v>1</v>
      </c>
      <c r="G1646" s="1189" t="s">
        <v>6326</v>
      </c>
      <c r="H1646" s="1176">
        <v>0</v>
      </c>
      <c r="I1646" s="1176" t="s">
        <v>4455</v>
      </c>
      <c r="J1646" s="1190">
        <v>0</v>
      </c>
      <c r="K1646" s="1180"/>
      <c r="L1646" s="1174">
        <v>13145120200</v>
      </c>
      <c r="M1646" s="1175">
        <v>0</v>
      </c>
      <c r="N1646" s="1175">
        <v>1</v>
      </c>
      <c r="O1646" s="1176">
        <v>1</v>
      </c>
      <c r="AA1646"/>
      <c r="AB1646"/>
    </row>
    <row r="1647" spans="3:28" ht="13.5">
      <c r="C1647" s="1181" t="s">
        <v>6327</v>
      </c>
      <c r="D1647" s="1178">
        <v>1</v>
      </c>
      <c r="E1647" s="1178">
        <v>1</v>
      </c>
      <c r="F1647" s="1179">
        <v>2</v>
      </c>
      <c r="G1647" s="1189" t="s">
        <v>6327</v>
      </c>
      <c r="H1647" s="1176">
        <v>1</v>
      </c>
      <c r="I1647" s="1176">
        <v>1</v>
      </c>
      <c r="J1647" s="1190">
        <v>2</v>
      </c>
      <c r="K1647" s="1180"/>
      <c r="L1647" s="1174">
        <v>13145120300</v>
      </c>
      <c r="M1647" s="1175">
        <v>1</v>
      </c>
      <c r="N1647" s="1175">
        <v>1</v>
      </c>
      <c r="O1647" s="1176">
        <v>2</v>
      </c>
      <c r="AA1647"/>
      <c r="AB1647"/>
    </row>
    <row r="1648" spans="3:28" ht="13.5">
      <c r="C1648" s="1181" t="s">
        <v>6328</v>
      </c>
      <c r="D1648" s="1178">
        <v>1</v>
      </c>
      <c r="E1648" s="1178">
        <v>1</v>
      </c>
      <c r="F1648" s="1179">
        <v>2</v>
      </c>
      <c r="G1648" s="1189" t="s">
        <v>6328</v>
      </c>
      <c r="H1648" s="1176">
        <v>1</v>
      </c>
      <c r="I1648" s="1176">
        <v>1</v>
      </c>
      <c r="J1648" s="1190">
        <v>2</v>
      </c>
      <c r="K1648" s="1180"/>
      <c r="L1648" s="1174">
        <v>13145120401</v>
      </c>
      <c r="M1648" s="1175">
        <v>1</v>
      </c>
      <c r="N1648" s="1175">
        <v>1</v>
      </c>
      <c r="O1648" s="1176">
        <v>2</v>
      </c>
      <c r="AA1648"/>
      <c r="AB1648"/>
    </row>
    <row r="1649" spans="3:28" ht="13.5">
      <c r="C1649" s="1181" t="s">
        <v>6329</v>
      </c>
      <c r="D1649" s="1178">
        <v>1</v>
      </c>
      <c r="E1649" s="1178">
        <v>1</v>
      </c>
      <c r="F1649" s="1179">
        <v>2</v>
      </c>
      <c r="G1649" s="1189" t="s">
        <v>6329</v>
      </c>
      <c r="H1649" s="1176">
        <v>0</v>
      </c>
      <c r="I1649" s="1176">
        <v>1</v>
      </c>
      <c r="J1649" s="1190">
        <v>1</v>
      </c>
      <c r="K1649" s="1180"/>
      <c r="L1649" s="1174">
        <v>13145120402</v>
      </c>
      <c r="M1649" s="1175">
        <v>1</v>
      </c>
      <c r="N1649" s="1175">
        <v>1</v>
      </c>
      <c r="O1649" s="1176">
        <v>2</v>
      </c>
      <c r="AA1649"/>
      <c r="AB1649"/>
    </row>
    <row r="1650" spans="3:28" ht="13.5">
      <c r="C1650" s="1181" t="s">
        <v>6330</v>
      </c>
      <c r="D1650" s="1178">
        <v>0</v>
      </c>
      <c r="E1650" s="1178">
        <v>1</v>
      </c>
      <c r="F1650" s="1179">
        <v>1</v>
      </c>
      <c r="G1650" s="1189" t="s">
        <v>6330</v>
      </c>
      <c r="H1650" s="1176">
        <v>0</v>
      </c>
      <c r="I1650" s="1176">
        <v>1</v>
      </c>
      <c r="J1650" s="1190">
        <v>1</v>
      </c>
      <c r="K1650" s="1180"/>
      <c r="L1650" s="1174">
        <v>13147960100</v>
      </c>
      <c r="M1650" s="1175">
        <v>0</v>
      </c>
      <c r="N1650" s="1175">
        <v>1</v>
      </c>
      <c r="O1650" s="1176">
        <v>1</v>
      </c>
      <c r="AA1650"/>
      <c r="AB1650"/>
    </row>
    <row r="1651" spans="3:28" ht="13.5">
      <c r="C1651" s="1181" t="s">
        <v>6331</v>
      </c>
      <c r="D1651" s="1178">
        <v>1</v>
      </c>
      <c r="E1651" s="1178">
        <v>1</v>
      </c>
      <c r="F1651" s="1179">
        <v>2</v>
      </c>
      <c r="G1651" s="1189" t="s">
        <v>6331</v>
      </c>
      <c r="H1651" s="1176">
        <v>0</v>
      </c>
      <c r="I1651" s="1176">
        <v>1</v>
      </c>
      <c r="J1651" s="1190">
        <v>1</v>
      </c>
      <c r="K1651" s="1180"/>
      <c r="L1651" s="1174">
        <v>13147960200</v>
      </c>
      <c r="M1651" s="1175">
        <v>1</v>
      </c>
      <c r="N1651" s="1175">
        <v>1</v>
      </c>
      <c r="O1651" s="1176">
        <v>2</v>
      </c>
      <c r="AA1651"/>
      <c r="AB1651"/>
    </row>
    <row r="1652" spans="3:28" ht="13.5">
      <c r="C1652" s="1181" t="s">
        <v>6332</v>
      </c>
      <c r="D1652" s="1178">
        <v>0</v>
      </c>
      <c r="E1652" s="1178">
        <v>0</v>
      </c>
      <c r="F1652" s="1179">
        <v>0</v>
      </c>
      <c r="G1652" s="1189" t="s">
        <v>6332</v>
      </c>
      <c r="H1652" s="1176">
        <v>0</v>
      </c>
      <c r="I1652" s="1176">
        <v>0</v>
      </c>
      <c r="J1652" s="1190">
        <v>0</v>
      </c>
      <c r="K1652" s="1180"/>
      <c r="L1652" s="1174">
        <v>13147960300</v>
      </c>
      <c r="M1652" s="1175">
        <v>0</v>
      </c>
      <c r="N1652" s="1175">
        <v>0</v>
      </c>
      <c r="O1652" s="1176">
        <v>0</v>
      </c>
      <c r="AA1652"/>
      <c r="AB1652"/>
    </row>
    <row r="1653" spans="3:28" ht="13.5">
      <c r="C1653" s="1181" t="s">
        <v>6333</v>
      </c>
      <c r="D1653" s="1178">
        <v>0</v>
      </c>
      <c r="E1653" s="1178">
        <v>0</v>
      </c>
      <c r="F1653" s="1179">
        <v>0</v>
      </c>
      <c r="G1653" s="1189" t="s">
        <v>6333</v>
      </c>
      <c r="H1653" s="1176">
        <v>0</v>
      </c>
      <c r="I1653" s="1176">
        <v>0</v>
      </c>
      <c r="J1653" s="1190">
        <v>0</v>
      </c>
      <c r="K1653" s="1180"/>
      <c r="L1653" s="1174">
        <v>13147960400</v>
      </c>
      <c r="M1653" s="1175">
        <v>0</v>
      </c>
      <c r="N1653" s="1175">
        <v>0</v>
      </c>
      <c r="O1653" s="1176">
        <v>0</v>
      </c>
      <c r="AA1653"/>
      <c r="AB1653"/>
    </row>
    <row r="1654" spans="3:28" ht="13.5">
      <c r="C1654" s="1181" t="s">
        <v>6334</v>
      </c>
      <c r="D1654" s="1178">
        <v>0</v>
      </c>
      <c r="E1654" s="1178">
        <v>0</v>
      </c>
      <c r="F1654" s="1179">
        <v>0</v>
      </c>
      <c r="G1654" s="1189" t="s">
        <v>6334</v>
      </c>
      <c r="H1654" s="1176">
        <v>0</v>
      </c>
      <c r="I1654" s="1176">
        <v>1</v>
      </c>
      <c r="J1654" s="1190">
        <v>1</v>
      </c>
      <c r="K1654" s="1180"/>
      <c r="L1654" s="1174">
        <v>13147960500</v>
      </c>
      <c r="M1654" s="1175">
        <v>0</v>
      </c>
      <c r="N1654" s="1175">
        <v>1</v>
      </c>
      <c r="O1654" s="1176">
        <v>1</v>
      </c>
      <c r="AA1654"/>
      <c r="AB1654"/>
    </row>
    <row r="1655" spans="3:28" ht="13.5">
      <c r="C1655" s="1181" t="s">
        <v>6335</v>
      </c>
      <c r="D1655" s="1178">
        <v>0</v>
      </c>
      <c r="E1655" s="1178">
        <v>0</v>
      </c>
      <c r="F1655" s="1179">
        <v>0</v>
      </c>
      <c r="G1655" s="1189" t="s">
        <v>6335</v>
      </c>
      <c r="H1655" s="1176">
        <v>0</v>
      </c>
      <c r="I1655" s="1176">
        <v>0</v>
      </c>
      <c r="J1655" s="1190">
        <v>0</v>
      </c>
      <c r="K1655" s="1180"/>
      <c r="L1655" s="1174">
        <v>13149970100</v>
      </c>
      <c r="M1655" s="1175">
        <v>0</v>
      </c>
      <c r="N1655" s="1175">
        <v>0</v>
      </c>
      <c r="O1655" s="1176">
        <v>0</v>
      </c>
      <c r="AA1655"/>
      <c r="AB1655"/>
    </row>
    <row r="1656" spans="3:28" ht="13.5">
      <c r="C1656" s="1181" t="s">
        <v>6336</v>
      </c>
      <c r="D1656" s="1178">
        <v>0</v>
      </c>
      <c r="E1656" s="1178">
        <v>1</v>
      </c>
      <c r="F1656" s="1179">
        <v>1</v>
      </c>
      <c r="G1656" s="1189" t="s">
        <v>6336</v>
      </c>
      <c r="H1656" s="1176">
        <v>0</v>
      </c>
      <c r="I1656" s="1176">
        <v>1</v>
      </c>
      <c r="J1656" s="1190">
        <v>1</v>
      </c>
      <c r="K1656" s="1180"/>
      <c r="L1656" s="1174">
        <v>13149970200</v>
      </c>
      <c r="M1656" s="1175">
        <v>0</v>
      </c>
      <c r="N1656" s="1175">
        <v>1</v>
      </c>
      <c r="O1656" s="1176">
        <v>1</v>
      </c>
      <c r="AA1656"/>
      <c r="AB1656"/>
    </row>
    <row r="1657" spans="3:28" ht="13.5">
      <c r="C1657" s="1181" t="s">
        <v>6337</v>
      </c>
      <c r="D1657" s="1178">
        <v>0</v>
      </c>
      <c r="E1657" s="1178">
        <v>0</v>
      </c>
      <c r="F1657" s="1179">
        <v>0</v>
      </c>
      <c r="G1657" s="1189" t="s">
        <v>6337</v>
      </c>
      <c r="H1657" s="1176">
        <v>1</v>
      </c>
      <c r="I1657" s="1176">
        <v>0</v>
      </c>
      <c r="J1657" s="1190">
        <v>1</v>
      </c>
      <c r="K1657" s="1180"/>
      <c r="L1657" s="1174">
        <v>13149970300</v>
      </c>
      <c r="M1657" s="1175">
        <v>1</v>
      </c>
      <c r="N1657" s="1175">
        <v>0</v>
      </c>
      <c r="O1657" s="1176">
        <v>1</v>
      </c>
      <c r="AA1657"/>
      <c r="AB1657"/>
    </row>
    <row r="1658" spans="3:28" ht="13.5">
      <c r="C1658" s="1181" t="s">
        <v>6338</v>
      </c>
      <c r="D1658" s="1178">
        <v>1</v>
      </c>
      <c r="E1658" s="1178">
        <v>1</v>
      </c>
      <c r="F1658" s="1179">
        <v>2</v>
      </c>
      <c r="G1658" s="1189" t="s">
        <v>6338</v>
      </c>
      <c r="H1658" s="1176">
        <v>1</v>
      </c>
      <c r="I1658" s="1176">
        <v>1</v>
      </c>
      <c r="J1658" s="1190">
        <v>2</v>
      </c>
      <c r="K1658" s="1180"/>
      <c r="L1658" s="1174">
        <v>13151070104</v>
      </c>
      <c r="M1658" s="1175">
        <v>1</v>
      </c>
      <c r="N1658" s="1175">
        <v>1</v>
      </c>
      <c r="O1658" s="1176">
        <v>2</v>
      </c>
      <c r="AA1658"/>
      <c r="AB1658"/>
    </row>
    <row r="1659" spans="3:28" ht="13.5">
      <c r="C1659" s="1181" t="s">
        <v>6339</v>
      </c>
      <c r="D1659" s="1178">
        <v>0</v>
      </c>
      <c r="E1659" s="1178">
        <v>0</v>
      </c>
      <c r="F1659" s="1179">
        <v>0</v>
      </c>
      <c r="G1659" s="1189" t="s">
        <v>6339</v>
      </c>
      <c r="H1659" s="1176">
        <v>0</v>
      </c>
      <c r="I1659" s="1176">
        <v>0</v>
      </c>
      <c r="J1659" s="1190">
        <v>0</v>
      </c>
      <c r="K1659" s="1180"/>
      <c r="L1659" s="1174">
        <v>13151070106</v>
      </c>
      <c r="M1659" s="1175">
        <v>0</v>
      </c>
      <c r="N1659" s="1175">
        <v>0</v>
      </c>
      <c r="O1659" s="1176">
        <v>0</v>
      </c>
      <c r="AA1659"/>
      <c r="AB1659"/>
    </row>
    <row r="1660" spans="3:28" ht="13.5">
      <c r="C1660" s="1181" t="s">
        <v>6340</v>
      </c>
      <c r="D1660" s="1178">
        <v>1</v>
      </c>
      <c r="E1660" s="1178">
        <v>1</v>
      </c>
      <c r="F1660" s="1179">
        <v>2</v>
      </c>
      <c r="G1660" s="1189" t="s">
        <v>6340</v>
      </c>
      <c r="H1660" s="1176">
        <v>1</v>
      </c>
      <c r="I1660" s="1176">
        <v>1</v>
      </c>
      <c r="J1660" s="1190">
        <v>2</v>
      </c>
      <c r="K1660" s="1180"/>
      <c r="L1660" s="1174">
        <v>13151070107</v>
      </c>
      <c r="M1660" s="1175">
        <v>1</v>
      </c>
      <c r="N1660" s="1175">
        <v>1</v>
      </c>
      <c r="O1660" s="1176">
        <v>2</v>
      </c>
      <c r="AA1660"/>
      <c r="AB1660"/>
    </row>
    <row r="1661" spans="3:28" ht="13.5">
      <c r="C1661" s="1181" t="s">
        <v>6341</v>
      </c>
      <c r="D1661" s="1178">
        <v>1</v>
      </c>
      <c r="E1661" s="1178">
        <v>1</v>
      </c>
      <c r="F1661" s="1179">
        <v>2</v>
      </c>
      <c r="G1661" s="1189" t="s">
        <v>6341</v>
      </c>
      <c r="H1661" s="1176">
        <v>1</v>
      </c>
      <c r="I1661" s="1176">
        <v>1</v>
      </c>
      <c r="J1661" s="1190">
        <v>2</v>
      </c>
      <c r="K1661" s="1180"/>
      <c r="L1661" s="1174">
        <v>13151070108</v>
      </c>
      <c r="M1661" s="1175">
        <v>1</v>
      </c>
      <c r="N1661" s="1175">
        <v>1</v>
      </c>
      <c r="O1661" s="1176">
        <v>2</v>
      </c>
      <c r="AA1661"/>
      <c r="AB1661"/>
    </row>
    <row r="1662" spans="3:28" ht="13.5">
      <c r="C1662" s="1181" t="s">
        <v>6342</v>
      </c>
      <c r="D1662" s="1178">
        <v>1</v>
      </c>
      <c r="E1662" s="1178">
        <v>1</v>
      </c>
      <c r="F1662" s="1179">
        <v>2</v>
      </c>
      <c r="G1662" s="1189" t="s">
        <v>6342</v>
      </c>
      <c r="H1662" s="1176">
        <v>1</v>
      </c>
      <c r="I1662" s="1176">
        <v>1</v>
      </c>
      <c r="J1662" s="1190">
        <v>2</v>
      </c>
      <c r="K1662" s="1180"/>
      <c r="L1662" s="1174">
        <v>13151070109</v>
      </c>
      <c r="M1662" s="1175">
        <v>1</v>
      </c>
      <c r="N1662" s="1175">
        <v>1</v>
      </c>
      <c r="O1662" s="1176">
        <v>2</v>
      </c>
      <c r="AA1662"/>
      <c r="AB1662"/>
    </row>
    <row r="1663" spans="3:28" ht="13.5">
      <c r="C1663" s="1181" t="s">
        <v>6343</v>
      </c>
      <c r="D1663" s="1178">
        <v>1</v>
      </c>
      <c r="E1663" s="1178">
        <v>1</v>
      </c>
      <c r="F1663" s="1179">
        <v>2</v>
      </c>
      <c r="G1663" s="1189" t="s">
        <v>6343</v>
      </c>
      <c r="H1663" s="1176">
        <v>1</v>
      </c>
      <c r="I1663" s="1176">
        <v>1</v>
      </c>
      <c r="J1663" s="1190">
        <v>2</v>
      </c>
      <c r="K1663" s="1180"/>
      <c r="L1663" s="1174">
        <v>13151070110</v>
      </c>
      <c r="M1663" s="1175">
        <v>1</v>
      </c>
      <c r="N1663" s="1175">
        <v>1</v>
      </c>
      <c r="O1663" s="1176">
        <v>2</v>
      </c>
      <c r="AA1663"/>
      <c r="AB1663"/>
    </row>
    <row r="1664" spans="3:28" ht="13.5">
      <c r="C1664" s="1181" t="s">
        <v>6344</v>
      </c>
      <c r="D1664" s="1178">
        <v>0</v>
      </c>
      <c r="E1664" s="1178">
        <v>0</v>
      </c>
      <c r="F1664" s="1179">
        <v>0</v>
      </c>
      <c r="G1664" s="1189" t="s">
        <v>6344</v>
      </c>
      <c r="H1664" s="1176">
        <v>0</v>
      </c>
      <c r="I1664" s="1176">
        <v>0</v>
      </c>
      <c r="J1664" s="1190">
        <v>0</v>
      </c>
      <c r="K1664" s="1180"/>
      <c r="L1664" s="1174">
        <v>13151070111</v>
      </c>
      <c r="M1664" s="1175">
        <v>0</v>
      </c>
      <c r="N1664" s="1175">
        <v>0</v>
      </c>
      <c r="O1664" s="1176">
        <v>0</v>
      </c>
      <c r="AA1664"/>
      <c r="AB1664"/>
    </row>
    <row r="1665" spans="3:28" ht="13.5">
      <c r="C1665" s="1181" t="s">
        <v>6345</v>
      </c>
      <c r="D1665" s="1178">
        <v>0</v>
      </c>
      <c r="E1665" s="1178">
        <v>0</v>
      </c>
      <c r="F1665" s="1179">
        <v>0</v>
      </c>
      <c r="G1665" s="1189" t="s">
        <v>6345</v>
      </c>
      <c r="H1665" s="1176">
        <v>0</v>
      </c>
      <c r="I1665" s="1176">
        <v>0</v>
      </c>
      <c r="J1665" s="1190">
        <v>0</v>
      </c>
      <c r="K1665" s="1180"/>
      <c r="L1665" s="1174">
        <v>13151070113</v>
      </c>
      <c r="M1665" s="1175">
        <v>0</v>
      </c>
      <c r="N1665" s="1175">
        <v>0</v>
      </c>
      <c r="O1665" s="1176">
        <v>0</v>
      </c>
      <c r="AA1665"/>
      <c r="AB1665"/>
    </row>
    <row r="1666" spans="3:28" ht="13.5">
      <c r="C1666" s="1181" t="s">
        <v>6346</v>
      </c>
      <c r="D1666" s="1178">
        <v>0</v>
      </c>
      <c r="E1666" s="1178">
        <v>1</v>
      </c>
      <c r="F1666" s="1179">
        <v>1</v>
      </c>
      <c r="G1666" s="1189" t="s">
        <v>6346</v>
      </c>
      <c r="H1666" s="1176">
        <v>0</v>
      </c>
      <c r="I1666" s="1176">
        <v>1</v>
      </c>
      <c r="J1666" s="1190">
        <v>1</v>
      </c>
      <c r="K1666" s="1180"/>
      <c r="L1666" s="1174">
        <v>13151070114</v>
      </c>
      <c r="M1666" s="1175">
        <v>0</v>
      </c>
      <c r="N1666" s="1175">
        <v>1</v>
      </c>
      <c r="O1666" s="1176">
        <v>1</v>
      </c>
      <c r="AA1666"/>
      <c r="AB1666"/>
    </row>
    <row r="1667" spans="3:28" ht="13.5">
      <c r="C1667" s="1181" t="s">
        <v>6347</v>
      </c>
      <c r="D1667" s="1178">
        <v>1</v>
      </c>
      <c r="E1667" s="1178">
        <v>1</v>
      </c>
      <c r="F1667" s="1179">
        <v>2</v>
      </c>
      <c r="G1667" s="1189" t="s">
        <v>6347</v>
      </c>
      <c r="H1667" s="1176">
        <v>1</v>
      </c>
      <c r="I1667" s="1176">
        <v>1</v>
      </c>
      <c r="J1667" s="1190">
        <v>2</v>
      </c>
      <c r="K1667" s="1180"/>
      <c r="L1667" s="1174">
        <v>13151070202</v>
      </c>
      <c r="M1667" s="1175">
        <v>1</v>
      </c>
      <c r="N1667" s="1175">
        <v>1</v>
      </c>
      <c r="O1667" s="1176">
        <v>2</v>
      </c>
      <c r="AA1667"/>
      <c r="AB1667"/>
    </row>
    <row r="1668" spans="3:28" ht="13.5">
      <c r="C1668" s="1181" t="s">
        <v>6348</v>
      </c>
      <c r="D1668" s="1178">
        <v>1</v>
      </c>
      <c r="E1668" s="1178">
        <v>1</v>
      </c>
      <c r="F1668" s="1179">
        <v>2</v>
      </c>
      <c r="G1668" s="1189" t="s">
        <v>6348</v>
      </c>
      <c r="H1668" s="1176">
        <v>1</v>
      </c>
      <c r="I1668" s="1176">
        <v>1</v>
      </c>
      <c r="J1668" s="1190">
        <v>2</v>
      </c>
      <c r="K1668" s="1180"/>
      <c r="L1668" s="1174">
        <v>13151070203</v>
      </c>
      <c r="M1668" s="1175">
        <v>1</v>
      </c>
      <c r="N1668" s="1175">
        <v>1</v>
      </c>
      <c r="O1668" s="1176">
        <v>2</v>
      </c>
      <c r="AA1668"/>
      <c r="AB1668"/>
    </row>
    <row r="1669" spans="3:28" ht="13.5">
      <c r="C1669" s="1181" t="s">
        <v>6349</v>
      </c>
      <c r="D1669" s="1178">
        <v>1</v>
      </c>
      <c r="E1669" s="1178">
        <v>1</v>
      </c>
      <c r="F1669" s="1179">
        <v>2</v>
      </c>
      <c r="G1669" s="1189" t="s">
        <v>6349</v>
      </c>
      <c r="H1669" s="1176">
        <v>1</v>
      </c>
      <c r="I1669" s="1176">
        <v>1</v>
      </c>
      <c r="J1669" s="1190">
        <v>2</v>
      </c>
      <c r="K1669" s="1180"/>
      <c r="L1669" s="1174">
        <v>13151070204</v>
      </c>
      <c r="M1669" s="1175">
        <v>1</v>
      </c>
      <c r="N1669" s="1175">
        <v>1</v>
      </c>
      <c r="O1669" s="1176">
        <v>2</v>
      </c>
      <c r="AA1669"/>
      <c r="AB1669"/>
    </row>
    <row r="1670" spans="3:28" ht="13.5">
      <c r="C1670" s="1181" t="s">
        <v>6350</v>
      </c>
      <c r="D1670" s="1178">
        <v>0</v>
      </c>
      <c r="E1670" s="1178">
        <v>1</v>
      </c>
      <c r="F1670" s="1179">
        <v>1</v>
      </c>
      <c r="G1670" s="1189" t="s">
        <v>6350</v>
      </c>
      <c r="H1670" s="1176">
        <v>0</v>
      </c>
      <c r="I1670" s="1176">
        <v>1</v>
      </c>
      <c r="J1670" s="1190">
        <v>1</v>
      </c>
      <c r="K1670" s="1180"/>
      <c r="L1670" s="1174">
        <v>13151070205</v>
      </c>
      <c r="M1670" s="1175">
        <v>0</v>
      </c>
      <c r="N1670" s="1175">
        <v>1</v>
      </c>
      <c r="O1670" s="1176">
        <v>1</v>
      </c>
      <c r="AA1670"/>
      <c r="AB1670"/>
    </row>
    <row r="1671" spans="3:28" ht="13.5">
      <c r="C1671" s="1181" t="s">
        <v>6351</v>
      </c>
      <c r="D1671" s="1178">
        <v>0</v>
      </c>
      <c r="E1671" s="1178">
        <v>0</v>
      </c>
      <c r="F1671" s="1179">
        <v>0</v>
      </c>
      <c r="G1671" s="1189" t="s">
        <v>6351</v>
      </c>
      <c r="H1671" s="1176">
        <v>0</v>
      </c>
      <c r="I1671" s="1176">
        <v>1</v>
      </c>
      <c r="J1671" s="1190">
        <v>1</v>
      </c>
      <c r="K1671" s="1180"/>
      <c r="L1671" s="1174">
        <v>13151070304</v>
      </c>
      <c r="M1671" s="1175">
        <v>0</v>
      </c>
      <c r="N1671" s="1175">
        <v>1</v>
      </c>
      <c r="O1671" s="1176">
        <v>1</v>
      </c>
      <c r="AA1671"/>
      <c r="AB1671"/>
    </row>
    <row r="1672" spans="3:28" ht="13.5">
      <c r="C1672" s="1181" t="s">
        <v>6352</v>
      </c>
      <c r="D1672" s="1178">
        <v>1</v>
      </c>
      <c r="E1672" s="1178">
        <v>1</v>
      </c>
      <c r="F1672" s="1179">
        <v>2</v>
      </c>
      <c r="G1672" s="1189" t="s">
        <v>6352</v>
      </c>
      <c r="H1672" s="1176">
        <v>1</v>
      </c>
      <c r="I1672" s="1176" t="s">
        <v>4455</v>
      </c>
      <c r="J1672" s="1190">
        <v>1</v>
      </c>
      <c r="K1672" s="1180"/>
      <c r="L1672" s="1174">
        <v>13151070305</v>
      </c>
      <c r="M1672" s="1175">
        <v>1</v>
      </c>
      <c r="N1672" s="1175">
        <v>1</v>
      </c>
      <c r="O1672" s="1176">
        <v>2</v>
      </c>
      <c r="AA1672"/>
      <c r="AB1672"/>
    </row>
    <row r="1673" spans="3:28" ht="13.5">
      <c r="C1673" s="1181" t="s">
        <v>6353</v>
      </c>
      <c r="D1673" s="1178">
        <v>1</v>
      </c>
      <c r="E1673" s="1178">
        <v>1</v>
      </c>
      <c r="F1673" s="1179">
        <v>2</v>
      </c>
      <c r="G1673" s="1189" t="s">
        <v>6353</v>
      </c>
      <c r="H1673" s="1176">
        <v>1</v>
      </c>
      <c r="I1673" s="1176">
        <v>1</v>
      </c>
      <c r="J1673" s="1190">
        <v>2</v>
      </c>
      <c r="K1673" s="1180"/>
      <c r="L1673" s="1174">
        <v>13151070306</v>
      </c>
      <c r="M1673" s="1175">
        <v>1</v>
      </c>
      <c r="N1673" s="1175">
        <v>1</v>
      </c>
      <c r="O1673" s="1176">
        <v>2</v>
      </c>
      <c r="AA1673"/>
      <c r="AB1673"/>
    </row>
    <row r="1674" spans="3:28" ht="13.5">
      <c r="C1674" s="1181" t="s">
        <v>6354</v>
      </c>
      <c r="D1674" s="1178">
        <v>1</v>
      </c>
      <c r="E1674" s="1178">
        <v>1</v>
      </c>
      <c r="F1674" s="1179">
        <v>2</v>
      </c>
      <c r="G1674" s="1189" t="s">
        <v>6354</v>
      </c>
      <c r="H1674" s="1176">
        <v>1</v>
      </c>
      <c r="I1674" s="1176">
        <v>1</v>
      </c>
      <c r="J1674" s="1190">
        <v>2</v>
      </c>
      <c r="K1674" s="1180"/>
      <c r="L1674" s="1174">
        <v>13151070307</v>
      </c>
      <c r="M1674" s="1175">
        <v>1</v>
      </c>
      <c r="N1674" s="1175">
        <v>1</v>
      </c>
      <c r="O1674" s="1176">
        <v>2</v>
      </c>
      <c r="AA1674"/>
      <c r="AB1674"/>
    </row>
    <row r="1675" spans="3:28" ht="13.5">
      <c r="C1675" s="1181" t="s">
        <v>6355</v>
      </c>
      <c r="D1675" s="1178">
        <v>1</v>
      </c>
      <c r="E1675" s="1178">
        <v>1</v>
      </c>
      <c r="F1675" s="1179">
        <v>2</v>
      </c>
      <c r="G1675" s="1189" t="s">
        <v>6355</v>
      </c>
      <c r="H1675" s="1176">
        <v>1</v>
      </c>
      <c r="I1675" s="1176">
        <v>1</v>
      </c>
      <c r="J1675" s="1190">
        <v>2</v>
      </c>
      <c r="K1675" s="1180"/>
      <c r="L1675" s="1174">
        <v>13151070309</v>
      </c>
      <c r="M1675" s="1175">
        <v>1</v>
      </c>
      <c r="N1675" s="1175">
        <v>1</v>
      </c>
      <c r="O1675" s="1176">
        <v>2</v>
      </c>
      <c r="AA1675"/>
      <c r="AB1675"/>
    </row>
    <row r="1676" spans="3:28" ht="13.5">
      <c r="C1676" s="1181" t="s">
        <v>6356</v>
      </c>
      <c r="D1676" s="1178">
        <v>1</v>
      </c>
      <c r="E1676" s="1178">
        <v>1</v>
      </c>
      <c r="F1676" s="1179">
        <v>2</v>
      </c>
      <c r="G1676" s="1189" t="s">
        <v>6356</v>
      </c>
      <c r="H1676" s="1176">
        <v>1</v>
      </c>
      <c r="I1676" s="1176">
        <v>0</v>
      </c>
      <c r="J1676" s="1190">
        <v>1</v>
      </c>
      <c r="K1676" s="1180"/>
      <c r="L1676" s="1174">
        <v>13151070310</v>
      </c>
      <c r="M1676" s="1175">
        <v>1</v>
      </c>
      <c r="N1676" s="1175">
        <v>1</v>
      </c>
      <c r="O1676" s="1176">
        <v>2</v>
      </c>
      <c r="AA1676"/>
      <c r="AB1676"/>
    </row>
    <row r="1677" spans="3:28" ht="13.5">
      <c r="C1677" s="1181" t="s">
        <v>6357</v>
      </c>
      <c r="D1677" s="1178">
        <v>0</v>
      </c>
      <c r="E1677" s="1178">
        <v>0</v>
      </c>
      <c r="F1677" s="1179">
        <v>0</v>
      </c>
      <c r="G1677" s="1189" t="s">
        <v>6357</v>
      </c>
      <c r="H1677" s="1176">
        <v>0</v>
      </c>
      <c r="I1677" s="1176" t="s">
        <v>4455</v>
      </c>
      <c r="J1677" s="1190">
        <v>0</v>
      </c>
      <c r="K1677" s="1180"/>
      <c r="L1677" s="1174">
        <v>13151070311</v>
      </c>
      <c r="M1677" s="1175">
        <v>0</v>
      </c>
      <c r="N1677" s="1175">
        <v>0</v>
      </c>
      <c r="O1677" s="1176">
        <v>0</v>
      </c>
      <c r="AA1677"/>
      <c r="AB1677"/>
    </row>
    <row r="1678" spans="3:28" ht="13.5">
      <c r="C1678" s="1181" t="s">
        <v>6358</v>
      </c>
      <c r="D1678" s="1178">
        <v>1</v>
      </c>
      <c r="E1678" s="1178">
        <v>1</v>
      </c>
      <c r="F1678" s="1179">
        <v>2</v>
      </c>
      <c r="G1678" s="1189" t="s">
        <v>6358</v>
      </c>
      <c r="H1678" s="1176">
        <v>1</v>
      </c>
      <c r="I1678" s="1176">
        <v>1</v>
      </c>
      <c r="J1678" s="1190">
        <v>2</v>
      </c>
      <c r="K1678" s="1180"/>
      <c r="L1678" s="1174">
        <v>13151070402</v>
      </c>
      <c r="M1678" s="1175">
        <v>1</v>
      </c>
      <c r="N1678" s="1175">
        <v>1</v>
      </c>
      <c r="O1678" s="1176">
        <v>2</v>
      </c>
      <c r="AA1678"/>
      <c r="AB1678"/>
    </row>
    <row r="1679" spans="3:28" ht="13.5">
      <c r="C1679" s="1181" t="s">
        <v>6359</v>
      </c>
      <c r="D1679" s="1178">
        <v>0</v>
      </c>
      <c r="E1679" s="1178">
        <v>1</v>
      </c>
      <c r="F1679" s="1179">
        <v>1</v>
      </c>
      <c r="G1679" s="1189" t="s">
        <v>6359</v>
      </c>
      <c r="H1679" s="1176">
        <v>0</v>
      </c>
      <c r="I1679" s="1176">
        <v>0</v>
      </c>
      <c r="J1679" s="1190">
        <v>0</v>
      </c>
      <c r="K1679" s="1180"/>
      <c r="L1679" s="1174">
        <v>13151070403</v>
      </c>
      <c r="M1679" s="1175">
        <v>0</v>
      </c>
      <c r="N1679" s="1175">
        <v>1</v>
      </c>
      <c r="O1679" s="1176">
        <v>1</v>
      </c>
      <c r="AA1679"/>
      <c r="AB1679"/>
    </row>
    <row r="1680" spans="3:28" ht="13.5">
      <c r="C1680" s="1181" t="s">
        <v>6360</v>
      </c>
      <c r="D1680" s="1178">
        <v>1</v>
      </c>
      <c r="E1680" s="1178">
        <v>1</v>
      </c>
      <c r="F1680" s="1179">
        <v>2</v>
      </c>
      <c r="G1680" s="1189" t="s">
        <v>6360</v>
      </c>
      <c r="H1680" s="1176">
        <v>1</v>
      </c>
      <c r="I1680" s="1176">
        <v>1</v>
      </c>
      <c r="J1680" s="1190">
        <v>2</v>
      </c>
      <c r="K1680" s="1180"/>
      <c r="L1680" s="1174">
        <v>13151070404</v>
      </c>
      <c r="M1680" s="1175">
        <v>1</v>
      </c>
      <c r="N1680" s="1175">
        <v>1</v>
      </c>
      <c r="O1680" s="1176">
        <v>2</v>
      </c>
      <c r="AA1680"/>
      <c r="AB1680"/>
    </row>
    <row r="1681" spans="3:28" ht="13.5">
      <c r="C1681" s="1181" t="s">
        <v>6361</v>
      </c>
      <c r="D1681" s="1178">
        <v>0</v>
      </c>
      <c r="E1681" s="1178">
        <v>0</v>
      </c>
      <c r="F1681" s="1179">
        <v>0</v>
      </c>
      <c r="G1681" s="1189" t="s">
        <v>6361</v>
      </c>
      <c r="H1681" s="1176">
        <v>1</v>
      </c>
      <c r="I1681" s="1176">
        <v>0</v>
      </c>
      <c r="J1681" s="1190">
        <v>1</v>
      </c>
      <c r="K1681" s="1180"/>
      <c r="L1681" s="1174">
        <v>13151070501</v>
      </c>
      <c r="M1681" s="1175">
        <v>1</v>
      </c>
      <c r="N1681" s="1175">
        <v>0</v>
      </c>
      <c r="O1681" s="1176">
        <v>1</v>
      </c>
      <c r="AA1681"/>
      <c r="AB1681"/>
    </row>
    <row r="1682" spans="3:28" ht="13.5">
      <c r="C1682" s="1181" t="s">
        <v>6362</v>
      </c>
      <c r="D1682" s="1178">
        <v>1</v>
      </c>
      <c r="E1682" s="1178">
        <v>1</v>
      </c>
      <c r="F1682" s="1179">
        <v>2</v>
      </c>
      <c r="G1682" s="1189" t="s">
        <v>6362</v>
      </c>
      <c r="H1682" s="1176">
        <v>1</v>
      </c>
      <c r="I1682" s="1176">
        <v>1</v>
      </c>
      <c r="J1682" s="1190">
        <v>2</v>
      </c>
      <c r="K1682" s="1180"/>
      <c r="L1682" s="1174">
        <v>13151070502</v>
      </c>
      <c r="M1682" s="1175">
        <v>1</v>
      </c>
      <c r="N1682" s="1175">
        <v>1</v>
      </c>
      <c r="O1682" s="1176">
        <v>2</v>
      </c>
      <c r="AA1682"/>
      <c r="AB1682"/>
    </row>
    <row r="1683" spans="3:28" ht="13.5">
      <c r="C1683" s="1181" t="s">
        <v>6363</v>
      </c>
      <c r="D1683" s="1178">
        <v>0</v>
      </c>
      <c r="E1683" s="1178">
        <v>0</v>
      </c>
      <c r="F1683" s="1179">
        <v>0</v>
      </c>
      <c r="G1683" s="1189" t="s">
        <v>6363</v>
      </c>
      <c r="H1683" s="1176">
        <v>0</v>
      </c>
      <c r="I1683" s="1176">
        <v>1</v>
      </c>
      <c r="J1683" s="1190">
        <v>0</v>
      </c>
      <c r="K1683" s="1180"/>
      <c r="L1683" s="1174">
        <v>13153020105</v>
      </c>
      <c r="M1683" s="1175">
        <v>0</v>
      </c>
      <c r="N1683" s="1175">
        <v>1</v>
      </c>
      <c r="O1683" s="1176">
        <v>0</v>
      </c>
      <c r="AA1683"/>
      <c r="AB1683"/>
    </row>
    <row r="1684" spans="3:28" ht="13.5">
      <c r="C1684" s="1181" t="s">
        <v>6364</v>
      </c>
      <c r="D1684" s="1178">
        <v>0</v>
      </c>
      <c r="E1684" s="1178">
        <v>1</v>
      </c>
      <c r="F1684" s="1179">
        <v>1</v>
      </c>
      <c r="G1684" s="1189" t="s">
        <v>6364</v>
      </c>
      <c r="H1684" s="1176">
        <v>0</v>
      </c>
      <c r="I1684" s="1176">
        <v>0</v>
      </c>
      <c r="J1684" s="1190">
        <v>0</v>
      </c>
      <c r="K1684" s="1180"/>
      <c r="L1684" s="1174">
        <v>13153020106</v>
      </c>
      <c r="M1684" s="1175">
        <v>0</v>
      </c>
      <c r="N1684" s="1175">
        <v>1</v>
      </c>
      <c r="O1684" s="1176">
        <v>1</v>
      </c>
      <c r="AA1684"/>
      <c r="AB1684"/>
    </row>
    <row r="1685" spans="3:28" ht="13.5">
      <c r="C1685" s="1181" t="s">
        <v>6365</v>
      </c>
      <c r="D1685" s="1178">
        <v>0</v>
      </c>
      <c r="E1685" s="1178">
        <v>1</v>
      </c>
      <c r="F1685" s="1179">
        <v>1</v>
      </c>
      <c r="G1685" s="1189" t="s">
        <v>6365</v>
      </c>
      <c r="H1685" s="1176">
        <v>0</v>
      </c>
      <c r="I1685" s="1176">
        <v>1</v>
      </c>
      <c r="J1685" s="1190">
        <v>1</v>
      </c>
      <c r="K1685" s="1180"/>
      <c r="L1685" s="1174">
        <v>13153020108</v>
      </c>
      <c r="M1685" s="1175">
        <v>0</v>
      </c>
      <c r="N1685" s="1175">
        <v>1</v>
      </c>
      <c r="O1685" s="1176">
        <v>1</v>
      </c>
      <c r="AA1685"/>
      <c r="AB1685"/>
    </row>
    <row r="1686" spans="3:28" ht="13.5">
      <c r="C1686" s="1181" t="s">
        <v>6366</v>
      </c>
      <c r="D1686" s="1178">
        <v>1</v>
      </c>
      <c r="E1686" s="1178">
        <v>1</v>
      </c>
      <c r="F1686" s="1179">
        <v>2</v>
      </c>
      <c r="G1686" s="1189" t="s">
        <v>6366</v>
      </c>
      <c r="H1686" s="1176">
        <v>1</v>
      </c>
      <c r="I1686" s="1176">
        <v>1</v>
      </c>
      <c r="J1686" s="1190">
        <v>2</v>
      </c>
      <c r="K1686" s="1180"/>
      <c r="L1686" s="1174">
        <v>13153020109</v>
      </c>
      <c r="M1686" s="1175">
        <v>1</v>
      </c>
      <c r="N1686" s="1175">
        <v>1</v>
      </c>
      <c r="O1686" s="1176">
        <v>2</v>
      </c>
      <c r="AA1686"/>
      <c r="AB1686"/>
    </row>
    <row r="1687" spans="3:28" ht="13.5">
      <c r="C1687" s="1181" t="s">
        <v>6367</v>
      </c>
      <c r="D1687" s="1178">
        <v>0</v>
      </c>
      <c r="E1687" s="1178">
        <v>0</v>
      </c>
      <c r="F1687" s="1179">
        <v>0</v>
      </c>
      <c r="G1687" s="1189" t="s">
        <v>6367</v>
      </c>
      <c r="H1687" s="1176">
        <v>0</v>
      </c>
      <c r="I1687" s="1176">
        <v>0</v>
      </c>
      <c r="J1687" s="1190">
        <v>0</v>
      </c>
      <c r="K1687" s="1180"/>
      <c r="L1687" s="1174">
        <v>13153020200</v>
      </c>
      <c r="M1687" s="1175">
        <v>0</v>
      </c>
      <c r="N1687" s="1175">
        <v>0</v>
      </c>
      <c r="O1687" s="1176">
        <v>0</v>
      </c>
      <c r="AA1687"/>
      <c r="AB1687"/>
    </row>
    <row r="1688" spans="3:28" ht="13.5">
      <c r="C1688" s="1181" t="s">
        <v>6368</v>
      </c>
      <c r="D1688" s="1178">
        <v>0</v>
      </c>
      <c r="E1688" s="1178">
        <v>0</v>
      </c>
      <c r="F1688" s="1179">
        <v>0</v>
      </c>
      <c r="G1688" s="1189" t="s">
        <v>6368</v>
      </c>
      <c r="H1688" s="1176">
        <v>0</v>
      </c>
      <c r="I1688" s="1176">
        <v>0</v>
      </c>
      <c r="J1688" s="1190">
        <v>0</v>
      </c>
      <c r="K1688" s="1180"/>
      <c r="L1688" s="1174">
        <v>13153020300</v>
      </c>
      <c r="M1688" s="1175">
        <v>0</v>
      </c>
      <c r="N1688" s="1175">
        <v>0</v>
      </c>
      <c r="O1688" s="1176">
        <v>0</v>
      </c>
      <c r="AA1688"/>
      <c r="AB1688"/>
    </row>
    <row r="1689" spans="3:28" ht="13.5">
      <c r="C1689" s="1181" t="s">
        <v>6369</v>
      </c>
      <c r="D1689" s="1178">
        <v>0</v>
      </c>
      <c r="E1689" s="1178">
        <v>0</v>
      </c>
      <c r="F1689" s="1179">
        <v>0</v>
      </c>
      <c r="G1689" s="1189" t="s">
        <v>6369</v>
      </c>
      <c r="H1689" s="1176">
        <v>0</v>
      </c>
      <c r="I1689" s="1176">
        <v>0</v>
      </c>
      <c r="J1689" s="1190">
        <v>0</v>
      </c>
      <c r="K1689" s="1180"/>
      <c r="L1689" s="1174">
        <v>13153020400</v>
      </c>
      <c r="M1689" s="1175">
        <v>0</v>
      </c>
      <c r="N1689" s="1175">
        <v>0</v>
      </c>
      <c r="O1689" s="1176">
        <v>0</v>
      </c>
      <c r="AA1689"/>
      <c r="AB1689"/>
    </row>
    <row r="1690" spans="3:28" ht="13.5">
      <c r="C1690" s="1181" t="s">
        <v>6370</v>
      </c>
      <c r="D1690" s="1178">
        <v>0</v>
      </c>
      <c r="E1690" s="1178">
        <v>1</v>
      </c>
      <c r="F1690" s="1179">
        <v>1</v>
      </c>
      <c r="G1690" s="1189" t="s">
        <v>6370</v>
      </c>
      <c r="H1690" s="1176">
        <v>0</v>
      </c>
      <c r="I1690" s="1176" t="s">
        <v>4455</v>
      </c>
      <c r="J1690" s="1190">
        <v>0</v>
      </c>
      <c r="K1690" s="1180"/>
      <c r="L1690" s="1174">
        <v>13153020600</v>
      </c>
      <c r="M1690" s="1175">
        <v>0</v>
      </c>
      <c r="N1690" s="1175">
        <v>1</v>
      </c>
      <c r="O1690" s="1176">
        <v>1</v>
      </c>
      <c r="AA1690"/>
      <c r="AB1690"/>
    </row>
    <row r="1691" spans="3:28" ht="13.5">
      <c r="C1691" s="1181" t="s">
        <v>6371</v>
      </c>
      <c r="D1691" s="1178">
        <v>0</v>
      </c>
      <c r="E1691" s="1178">
        <v>0</v>
      </c>
      <c r="F1691" s="1179">
        <v>0</v>
      </c>
      <c r="G1691" s="1189" t="s">
        <v>6371</v>
      </c>
      <c r="H1691" s="1176">
        <v>0</v>
      </c>
      <c r="I1691" s="1176">
        <v>0</v>
      </c>
      <c r="J1691" s="1190">
        <v>0</v>
      </c>
      <c r="K1691" s="1180"/>
      <c r="L1691" s="1174">
        <v>13153020700</v>
      </c>
      <c r="M1691" s="1175">
        <v>0</v>
      </c>
      <c r="N1691" s="1175">
        <v>0</v>
      </c>
      <c r="O1691" s="1176">
        <v>0</v>
      </c>
      <c r="AA1691"/>
      <c r="AB1691"/>
    </row>
    <row r="1692" spans="3:28" ht="13.5">
      <c r="C1692" s="1181" t="s">
        <v>6372</v>
      </c>
      <c r="D1692" s="1178">
        <v>0</v>
      </c>
      <c r="E1692" s="1178">
        <v>0</v>
      </c>
      <c r="F1692" s="1179">
        <v>0</v>
      </c>
      <c r="G1692" s="1189" t="s">
        <v>6372</v>
      </c>
      <c r="H1692" s="1176">
        <v>1</v>
      </c>
      <c r="I1692" s="1176">
        <v>0</v>
      </c>
      <c r="J1692" s="1190">
        <v>1</v>
      </c>
      <c r="K1692" s="1180"/>
      <c r="L1692" s="1174">
        <v>13153020800</v>
      </c>
      <c r="M1692" s="1175">
        <v>1</v>
      </c>
      <c r="N1692" s="1175">
        <v>0</v>
      </c>
      <c r="O1692" s="1176">
        <v>1</v>
      </c>
      <c r="AA1692"/>
      <c r="AB1692"/>
    </row>
    <row r="1693" spans="3:28" ht="13.5">
      <c r="C1693" s="1181" t="s">
        <v>6373</v>
      </c>
      <c r="D1693" s="1178">
        <v>0</v>
      </c>
      <c r="E1693" s="1178">
        <v>0</v>
      </c>
      <c r="F1693" s="1179">
        <v>0</v>
      </c>
      <c r="G1693" s="1189" t="s">
        <v>6373</v>
      </c>
      <c r="H1693" s="1176">
        <v>0</v>
      </c>
      <c r="I1693" s="1176">
        <v>0</v>
      </c>
      <c r="J1693" s="1190">
        <v>0</v>
      </c>
      <c r="K1693" s="1180"/>
      <c r="L1693" s="1174">
        <v>13153020900</v>
      </c>
      <c r="M1693" s="1175">
        <v>0</v>
      </c>
      <c r="N1693" s="1175">
        <v>0</v>
      </c>
      <c r="O1693" s="1176">
        <v>0</v>
      </c>
      <c r="AA1693"/>
      <c r="AB1693"/>
    </row>
    <row r="1694" spans="3:28" ht="13.5">
      <c r="C1694" s="1181" t="s">
        <v>6374</v>
      </c>
      <c r="D1694" s="1178">
        <v>0</v>
      </c>
      <c r="E1694" s="1178">
        <v>0</v>
      </c>
      <c r="F1694" s="1179">
        <v>0</v>
      </c>
      <c r="G1694" s="1189" t="s">
        <v>6374</v>
      </c>
      <c r="H1694" s="1176">
        <v>0</v>
      </c>
      <c r="I1694" s="1176">
        <v>1</v>
      </c>
      <c r="J1694" s="1190">
        <v>1</v>
      </c>
      <c r="K1694" s="1180"/>
      <c r="L1694" s="1174">
        <v>13153021000</v>
      </c>
      <c r="M1694" s="1175">
        <v>0</v>
      </c>
      <c r="N1694" s="1175">
        <v>1</v>
      </c>
      <c r="O1694" s="1176">
        <v>1</v>
      </c>
      <c r="AA1694"/>
      <c r="AB1694"/>
    </row>
    <row r="1695" spans="3:28" ht="13.5">
      <c r="C1695" s="1181" t="s">
        <v>6375</v>
      </c>
      <c r="D1695" s="1178">
        <v>1</v>
      </c>
      <c r="E1695" s="1178">
        <v>1</v>
      </c>
      <c r="F1695" s="1179">
        <v>2</v>
      </c>
      <c r="G1695" s="1189" t="s">
        <v>6375</v>
      </c>
      <c r="H1695" s="1176">
        <v>1</v>
      </c>
      <c r="I1695" s="1176">
        <v>1</v>
      </c>
      <c r="J1695" s="1190">
        <v>2</v>
      </c>
      <c r="K1695" s="1180"/>
      <c r="L1695" s="1174">
        <v>13153021103</v>
      </c>
      <c r="M1695" s="1175">
        <v>1</v>
      </c>
      <c r="N1695" s="1175">
        <v>1</v>
      </c>
      <c r="O1695" s="1176">
        <v>2</v>
      </c>
      <c r="AA1695"/>
      <c r="AB1695"/>
    </row>
    <row r="1696" spans="3:28" ht="13.5">
      <c r="C1696" s="1181" t="s">
        <v>6376</v>
      </c>
      <c r="D1696" s="1178">
        <v>0</v>
      </c>
      <c r="E1696" s="1178">
        <v>0</v>
      </c>
      <c r="F1696" s="1179">
        <v>0</v>
      </c>
      <c r="G1696" s="1189" t="s">
        <v>6376</v>
      </c>
      <c r="H1696" s="1176">
        <v>0</v>
      </c>
      <c r="I1696" s="1176">
        <v>0</v>
      </c>
      <c r="J1696" s="1190">
        <v>0</v>
      </c>
      <c r="K1696" s="1180"/>
      <c r="L1696" s="1174">
        <v>13153021104</v>
      </c>
      <c r="M1696" s="1175">
        <v>0</v>
      </c>
      <c r="N1696" s="1175">
        <v>0</v>
      </c>
      <c r="O1696" s="1176">
        <v>0</v>
      </c>
      <c r="AA1696"/>
      <c r="AB1696"/>
    </row>
    <row r="1697" spans="3:28" ht="13.5">
      <c r="C1697" s="1181" t="s">
        <v>6377</v>
      </c>
      <c r="D1697" s="1178">
        <v>0</v>
      </c>
      <c r="E1697" s="1178">
        <v>1</v>
      </c>
      <c r="F1697" s="1179">
        <v>1</v>
      </c>
      <c r="G1697" s="1189" t="s">
        <v>6377</v>
      </c>
      <c r="H1697" s="1176">
        <v>1</v>
      </c>
      <c r="I1697" s="1176">
        <v>0</v>
      </c>
      <c r="J1697" s="1190">
        <v>1</v>
      </c>
      <c r="K1697" s="1180"/>
      <c r="L1697" s="1174">
        <v>13153021105</v>
      </c>
      <c r="M1697" s="1175">
        <v>1</v>
      </c>
      <c r="N1697" s="1175">
        <v>1</v>
      </c>
      <c r="O1697" s="1176">
        <v>1</v>
      </c>
      <c r="AA1697"/>
      <c r="AB1697"/>
    </row>
    <row r="1698" spans="3:28" ht="13.5">
      <c r="C1698" s="1181" t="s">
        <v>6378</v>
      </c>
      <c r="D1698" s="1178">
        <v>1</v>
      </c>
      <c r="E1698" s="1178">
        <v>1</v>
      </c>
      <c r="F1698" s="1179">
        <v>2</v>
      </c>
      <c r="G1698" s="1189" t="s">
        <v>6378</v>
      </c>
      <c r="H1698" s="1176">
        <v>0</v>
      </c>
      <c r="I1698" s="1176">
        <v>1</v>
      </c>
      <c r="J1698" s="1190">
        <v>1</v>
      </c>
      <c r="K1698" s="1180"/>
      <c r="L1698" s="1174">
        <v>13153021107</v>
      </c>
      <c r="M1698" s="1175">
        <v>1</v>
      </c>
      <c r="N1698" s="1175">
        <v>1</v>
      </c>
      <c r="O1698" s="1176">
        <v>2</v>
      </c>
      <c r="AA1698"/>
      <c r="AB1698"/>
    </row>
    <row r="1699" spans="3:28" ht="13.5">
      <c r="C1699" s="1181" t="s">
        <v>6379</v>
      </c>
      <c r="D1699" s="1178">
        <v>1</v>
      </c>
      <c r="E1699" s="1178">
        <v>1</v>
      </c>
      <c r="F1699" s="1179">
        <v>2</v>
      </c>
      <c r="G1699" s="1189" t="s">
        <v>6379</v>
      </c>
      <c r="H1699" s="1176">
        <v>1</v>
      </c>
      <c r="I1699" s="1176">
        <v>1</v>
      </c>
      <c r="J1699" s="1190">
        <v>2</v>
      </c>
      <c r="K1699" s="1180"/>
      <c r="L1699" s="1174">
        <v>13153021108</v>
      </c>
      <c r="M1699" s="1175">
        <v>1</v>
      </c>
      <c r="N1699" s="1175">
        <v>1</v>
      </c>
      <c r="O1699" s="1176">
        <v>2</v>
      </c>
      <c r="AA1699"/>
      <c r="AB1699"/>
    </row>
    <row r="1700" spans="3:28" ht="13.5">
      <c r="C1700" s="1181" t="s">
        <v>6380</v>
      </c>
      <c r="D1700" s="1178">
        <v>1</v>
      </c>
      <c r="E1700" s="1178">
        <v>1</v>
      </c>
      <c r="F1700" s="1179">
        <v>2</v>
      </c>
      <c r="G1700" s="1189" t="s">
        <v>6380</v>
      </c>
      <c r="H1700" s="1176">
        <v>1</v>
      </c>
      <c r="I1700" s="1176">
        <v>1</v>
      </c>
      <c r="J1700" s="1190">
        <v>2</v>
      </c>
      <c r="K1700" s="1180"/>
      <c r="L1700" s="1174">
        <v>13153021113</v>
      </c>
      <c r="M1700" s="1175">
        <v>1</v>
      </c>
      <c r="N1700" s="1175">
        <v>1</v>
      </c>
      <c r="O1700" s="1176">
        <v>2</v>
      </c>
      <c r="AA1700"/>
      <c r="AB1700"/>
    </row>
    <row r="1701" spans="3:28" ht="13.5">
      <c r="C1701" s="1181" t="s">
        <v>6381</v>
      </c>
      <c r="D1701" s="1178">
        <v>1</v>
      </c>
      <c r="E1701" s="1178">
        <v>1</v>
      </c>
      <c r="F1701" s="1179">
        <v>2</v>
      </c>
      <c r="G1701" s="1189" t="s">
        <v>6381</v>
      </c>
      <c r="H1701" s="1176">
        <v>1</v>
      </c>
      <c r="I1701" s="1176">
        <v>1</v>
      </c>
      <c r="J1701" s="1190">
        <v>2</v>
      </c>
      <c r="K1701" s="1180"/>
      <c r="L1701" s="1174">
        <v>13153021201</v>
      </c>
      <c r="M1701" s="1175">
        <v>1</v>
      </c>
      <c r="N1701" s="1175">
        <v>1</v>
      </c>
      <c r="O1701" s="1176">
        <v>2</v>
      </c>
      <c r="AA1701"/>
      <c r="AB1701"/>
    </row>
    <row r="1702" spans="3:28" ht="13.5">
      <c r="C1702" s="1181" t="s">
        <v>6382</v>
      </c>
      <c r="D1702" s="1178">
        <v>0</v>
      </c>
      <c r="E1702" s="1178">
        <v>1</v>
      </c>
      <c r="F1702" s="1179">
        <v>1</v>
      </c>
      <c r="G1702" s="1189" t="s">
        <v>6382</v>
      </c>
      <c r="H1702" s="1176">
        <v>0</v>
      </c>
      <c r="I1702" s="1176">
        <v>1</v>
      </c>
      <c r="J1702" s="1190">
        <v>1</v>
      </c>
      <c r="K1702" s="1180"/>
      <c r="L1702" s="1174">
        <v>13153021202</v>
      </c>
      <c r="M1702" s="1175">
        <v>0</v>
      </c>
      <c r="N1702" s="1175">
        <v>1</v>
      </c>
      <c r="O1702" s="1176">
        <v>1</v>
      </c>
      <c r="AA1702"/>
      <c r="AB1702"/>
    </row>
    <row r="1703" spans="3:28" ht="13.5">
      <c r="C1703" s="1181" t="s">
        <v>6383</v>
      </c>
      <c r="D1703" s="1178">
        <v>0</v>
      </c>
      <c r="E1703" s="1178">
        <v>0</v>
      </c>
      <c r="F1703" s="1179">
        <v>0</v>
      </c>
      <c r="G1703" s="1189" t="s">
        <v>6383</v>
      </c>
      <c r="H1703" s="1176">
        <v>0</v>
      </c>
      <c r="I1703" s="1176">
        <v>0</v>
      </c>
      <c r="J1703" s="1190">
        <v>0</v>
      </c>
      <c r="K1703" s="1180"/>
      <c r="L1703" s="1174">
        <v>13153021300</v>
      </c>
      <c r="M1703" s="1175">
        <v>0</v>
      </c>
      <c r="N1703" s="1175">
        <v>0</v>
      </c>
      <c r="O1703" s="1176">
        <v>0</v>
      </c>
      <c r="AA1703"/>
      <c r="AB1703"/>
    </row>
    <row r="1704" spans="3:28" ht="13.5">
      <c r="C1704" s="1181" t="s">
        <v>6384</v>
      </c>
      <c r="D1704" s="1178">
        <v>0</v>
      </c>
      <c r="E1704" s="1178">
        <v>1</v>
      </c>
      <c r="F1704" s="1179">
        <v>1</v>
      </c>
      <c r="G1704" s="1189" t="s">
        <v>6384</v>
      </c>
      <c r="H1704" s="1176">
        <v>0</v>
      </c>
      <c r="I1704" s="1176">
        <v>1</v>
      </c>
      <c r="J1704" s="1190">
        <v>1</v>
      </c>
      <c r="K1704" s="1180"/>
      <c r="L1704" s="1174">
        <v>13153021400</v>
      </c>
      <c r="M1704" s="1175">
        <v>0</v>
      </c>
      <c r="N1704" s="1175">
        <v>1</v>
      </c>
      <c r="O1704" s="1176">
        <v>1</v>
      </c>
      <c r="AA1704"/>
      <c r="AB1704"/>
    </row>
    <row r="1705" spans="3:28" ht="13.5">
      <c r="C1705" s="1181" t="s">
        <v>6385</v>
      </c>
      <c r="D1705" s="1178">
        <v>1</v>
      </c>
      <c r="E1705" s="1178">
        <v>1</v>
      </c>
      <c r="F1705" s="1179">
        <v>2</v>
      </c>
      <c r="G1705" s="1189" t="s">
        <v>6385</v>
      </c>
      <c r="H1705" s="1176">
        <v>1</v>
      </c>
      <c r="I1705" s="1176">
        <v>1</v>
      </c>
      <c r="J1705" s="1190">
        <v>2</v>
      </c>
      <c r="K1705" s="1180"/>
      <c r="L1705" s="1174">
        <v>13153021500</v>
      </c>
      <c r="M1705" s="1175">
        <v>1</v>
      </c>
      <c r="N1705" s="1175">
        <v>1</v>
      </c>
      <c r="O1705" s="1176">
        <v>2</v>
      </c>
      <c r="AA1705"/>
      <c r="AB1705"/>
    </row>
    <row r="1706" spans="3:28" ht="13.5">
      <c r="C1706" s="1181" t="s">
        <v>6386</v>
      </c>
      <c r="D1706" s="1178">
        <v>0</v>
      </c>
      <c r="E1706" s="1178">
        <v>0</v>
      </c>
      <c r="F1706" s="1179">
        <v>0</v>
      </c>
      <c r="G1706" s="1189" t="s">
        <v>6386</v>
      </c>
      <c r="H1706" s="1176">
        <v>0</v>
      </c>
      <c r="I1706" s="1176">
        <v>0</v>
      </c>
      <c r="J1706" s="1190">
        <v>0</v>
      </c>
      <c r="K1706" s="1180"/>
      <c r="L1706" s="1174">
        <v>13155950100</v>
      </c>
      <c r="M1706" s="1175">
        <v>0</v>
      </c>
      <c r="N1706" s="1175">
        <v>0</v>
      </c>
      <c r="O1706" s="1176">
        <v>0</v>
      </c>
      <c r="AA1706"/>
      <c r="AB1706"/>
    </row>
    <row r="1707" spans="3:28" ht="13.5">
      <c r="C1707" s="1181" t="s">
        <v>6387</v>
      </c>
      <c r="D1707" s="1178">
        <v>0</v>
      </c>
      <c r="E1707" s="1178">
        <v>0</v>
      </c>
      <c r="F1707" s="1179">
        <v>0</v>
      </c>
      <c r="G1707" s="1189" t="s">
        <v>6387</v>
      </c>
      <c r="H1707" s="1176">
        <v>0</v>
      </c>
      <c r="I1707" s="1176">
        <v>0</v>
      </c>
      <c r="J1707" s="1190">
        <v>0</v>
      </c>
      <c r="K1707" s="1180"/>
      <c r="L1707" s="1174">
        <v>13155950200</v>
      </c>
      <c r="M1707" s="1175">
        <v>0</v>
      </c>
      <c r="N1707" s="1175">
        <v>0</v>
      </c>
      <c r="O1707" s="1176">
        <v>0</v>
      </c>
      <c r="AA1707"/>
      <c r="AB1707"/>
    </row>
    <row r="1708" spans="3:28" ht="13.5">
      <c r="C1708" s="1181" t="s">
        <v>6388</v>
      </c>
      <c r="D1708" s="1178">
        <v>1</v>
      </c>
      <c r="E1708" s="1178">
        <v>1</v>
      </c>
      <c r="F1708" s="1179">
        <v>2</v>
      </c>
      <c r="G1708" s="1189" t="s">
        <v>6388</v>
      </c>
      <c r="H1708" s="1176">
        <v>1</v>
      </c>
      <c r="I1708" s="1176">
        <v>1</v>
      </c>
      <c r="J1708" s="1190">
        <v>1</v>
      </c>
      <c r="K1708" s="1180"/>
      <c r="L1708" s="1174">
        <v>13157010101</v>
      </c>
      <c r="M1708" s="1175">
        <v>1</v>
      </c>
      <c r="N1708" s="1175">
        <v>1</v>
      </c>
      <c r="O1708" s="1176">
        <v>2</v>
      </c>
      <c r="AA1708"/>
      <c r="AB1708"/>
    </row>
    <row r="1709" spans="3:28" ht="13.5">
      <c r="C1709" s="1181" t="s">
        <v>6389</v>
      </c>
      <c r="D1709" s="1178">
        <v>1</v>
      </c>
      <c r="E1709" s="1178">
        <v>1</v>
      </c>
      <c r="F1709" s="1179">
        <v>2</v>
      </c>
      <c r="G1709" s="1189" t="s">
        <v>6389</v>
      </c>
      <c r="H1709" s="1176">
        <v>1</v>
      </c>
      <c r="I1709" s="1176">
        <v>1</v>
      </c>
      <c r="J1709" s="1190">
        <v>2</v>
      </c>
      <c r="K1709" s="1180"/>
      <c r="L1709" s="1174">
        <v>13157010102</v>
      </c>
      <c r="M1709" s="1175">
        <v>1</v>
      </c>
      <c r="N1709" s="1175">
        <v>1</v>
      </c>
      <c r="O1709" s="1176">
        <v>2</v>
      </c>
      <c r="AA1709"/>
      <c r="AB1709"/>
    </row>
    <row r="1710" spans="3:28" ht="13.5">
      <c r="C1710" s="1181" t="s">
        <v>6390</v>
      </c>
      <c r="D1710" s="1178">
        <v>1</v>
      </c>
      <c r="E1710" s="1178">
        <v>1</v>
      </c>
      <c r="F1710" s="1179">
        <v>2</v>
      </c>
      <c r="G1710" s="1189" t="s">
        <v>6390</v>
      </c>
      <c r="H1710" s="1176">
        <v>0</v>
      </c>
      <c r="I1710" s="1176">
        <v>1</v>
      </c>
      <c r="J1710" s="1190">
        <v>1</v>
      </c>
      <c r="K1710" s="1180"/>
      <c r="L1710" s="1174">
        <v>13157010103</v>
      </c>
      <c r="M1710" s="1175">
        <v>1</v>
      </c>
      <c r="N1710" s="1175">
        <v>1</v>
      </c>
      <c r="O1710" s="1176">
        <v>2</v>
      </c>
      <c r="AA1710"/>
      <c r="AB1710"/>
    </row>
    <row r="1711" spans="3:28" ht="13.5">
      <c r="C1711" s="1181" t="s">
        <v>6391</v>
      </c>
      <c r="D1711" s="1178">
        <v>0</v>
      </c>
      <c r="E1711" s="1178">
        <v>0</v>
      </c>
      <c r="F1711" s="1179">
        <v>0</v>
      </c>
      <c r="G1711" s="1189" t="s">
        <v>6391</v>
      </c>
      <c r="H1711" s="1176">
        <v>0</v>
      </c>
      <c r="I1711" s="1176">
        <v>0</v>
      </c>
      <c r="J1711" s="1190">
        <v>0</v>
      </c>
      <c r="K1711" s="1180"/>
      <c r="L1711" s="1174">
        <v>13157010200</v>
      </c>
      <c r="M1711" s="1175">
        <v>0</v>
      </c>
      <c r="N1711" s="1175">
        <v>0</v>
      </c>
      <c r="O1711" s="1176">
        <v>0</v>
      </c>
      <c r="AA1711"/>
      <c r="AB1711"/>
    </row>
    <row r="1712" spans="3:28" ht="13.5">
      <c r="C1712" s="1181" t="s">
        <v>6392</v>
      </c>
      <c r="D1712" s="1178">
        <v>0</v>
      </c>
      <c r="E1712" s="1178">
        <v>0</v>
      </c>
      <c r="F1712" s="1179">
        <v>0</v>
      </c>
      <c r="G1712" s="1189" t="s">
        <v>6392</v>
      </c>
      <c r="H1712" s="1176">
        <v>0</v>
      </c>
      <c r="I1712" s="1176">
        <v>0</v>
      </c>
      <c r="J1712" s="1190">
        <v>0</v>
      </c>
      <c r="K1712" s="1180"/>
      <c r="L1712" s="1174">
        <v>13157010300</v>
      </c>
      <c r="M1712" s="1175">
        <v>0</v>
      </c>
      <c r="N1712" s="1175">
        <v>0</v>
      </c>
      <c r="O1712" s="1176">
        <v>0</v>
      </c>
      <c r="AA1712"/>
      <c r="AB1712"/>
    </row>
    <row r="1713" spans="3:28" ht="13.5">
      <c r="C1713" s="1181" t="s">
        <v>6393</v>
      </c>
      <c r="D1713" s="1178">
        <v>0</v>
      </c>
      <c r="E1713" s="1178">
        <v>0</v>
      </c>
      <c r="F1713" s="1179">
        <v>0</v>
      </c>
      <c r="G1713" s="1189" t="s">
        <v>6393</v>
      </c>
      <c r="H1713" s="1176">
        <v>0</v>
      </c>
      <c r="I1713" s="1176">
        <v>0</v>
      </c>
      <c r="J1713" s="1190">
        <v>0</v>
      </c>
      <c r="K1713" s="1180"/>
      <c r="L1713" s="1174">
        <v>13157010400</v>
      </c>
      <c r="M1713" s="1175">
        <v>0</v>
      </c>
      <c r="N1713" s="1175">
        <v>0</v>
      </c>
      <c r="O1713" s="1176">
        <v>0</v>
      </c>
      <c r="AA1713"/>
      <c r="AB1713"/>
    </row>
    <row r="1714" spans="3:28" ht="13.5">
      <c r="C1714" s="1181" t="s">
        <v>6394</v>
      </c>
      <c r="D1714" s="1178">
        <v>0</v>
      </c>
      <c r="E1714" s="1178">
        <v>0</v>
      </c>
      <c r="F1714" s="1179">
        <v>0</v>
      </c>
      <c r="G1714" s="1189" t="s">
        <v>6394</v>
      </c>
      <c r="H1714" s="1176">
        <v>0</v>
      </c>
      <c r="I1714" s="1176">
        <v>0</v>
      </c>
      <c r="J1714" s="1190">
        <v>0</v>
      </c>
      <c r="K1714" s="1180"/>
      <c r="L1714" s="1174">
        <v>13157010500</v>
      </c>
      <c r="M1714" s="1175">
        <v>0</v>
      </c>
      <c r="N1714" s="1175">
        <v>0</v>
      </c>
      <c r="O1714" s="1176">
        <v>0</v>
      </c>
      <c r="AA1714"/>
      <c r="AB1714"/>
    </row>
    <row r="1715" spans="3:28" ht="13.5">
      <c r="C1715" s="1181" t="s">
        <v>6395</v>
      </c>
      <c r="D1715" s="1178">
        <v>0</v>
      </c>
      <c r="E1715" s="1178">
        <v>0</v>
      </c>
      <c r="F1715" s="1179">
        <v>0</v>
      </c>
      <c r="G1715" s="1189" t="s">
        <v>6395</v>
      </c>
      <c r="H1715" s="1176">
        <v>1</v>
      </c>
      <c r="I1715" s="1176">
        <v>0</v>
      </c>
      <c r="J1715" s="1190">
        <v>1</v>
      </c>
      <c r="K1715" s="1180"/>
      <c r="L1715" s="1174">
        <v>13157010600</v>
      </c>
      <c r="M1715" s="1175">
        <v>1</v>
      </c>
      <c r="N1715" s="1175">
        <v>0</v>
      </c>
      <c r="O1715" s="1176">
        <v>1</v>
      </c>
      <c r="AA1715"/>
      <c r="AB1715"/>
    </row>
    <row r="1716" spans="3:28" ht="13.5">
      <c r="C1716" s="1181" t="s">
        <v>6396</v>
      </c>
      <c r="D1716" s="1178">
        <v>0</v>
      </c>
      <c r="E1716" s="1178">
        <v>1</v>
      </c>
      <c r="F1716" s="1179">
        <v>1</v>
      </c>
      <c r="G1716" s="1189" t="s">
        <v>6396</v>
      </c>
      <c r="H1716" s="1176">
        <v>1</v>
      </c>
      <c r="I1716" s="1176">
        <v>1</v>
      </c>
      <c r="J1716" s="1190">
        <v>1</v>
      </c>
      <c r="K1716" s="1180"/>
      <c r="L1716" s="1174">
        <v>13157010701</v>
      </c>
      <c r="M1716" s="1175">
        <v>1</v>
      </c>
      <c r="N1716" s="1175">
        <v>1</v>
      </c>
      <c r="O1716" s="1176">
        <v>1</v>
      </c>
      <c r="AA1716"/>
      <c r="AB1716"/>
    </row>
    <row r="1717" spans="3:28" ht="13.5">
      <c r="C1717" s="1181" t="s">
        <v>6397</v>
      </c>
      <c r="D1717" s="1178">
        <v>1</v>
      </c>
      <c r="E1717" s="1178">
        <v>1</v>
      </c>
      <c r="F1717" s="1179">
        <v>2</v>
      </c>
      <c r="G1717" s="1189" t="s">
        <v>6397</v>
      </c>
      <c r="H1717" s="1176">
        <v>1</v>
      </c>
      <c r="I1717" s="1176">
        <v>1</v>
      </c>
      <c r="J1717" s="1190">
        <v>2</v>
      </c>
      <c r="K1717" s="1180"/>
      <c r="L1717" s="1174">
        <v>13157010702</v>
      </c>
      <c r="M1717" s="1175">
        <v>1</v>
      </c>
      <c r="N1717" s="1175">
        <v>1</v>
      </c>
      <c r="O1717" s="1176">
        <v>2</v>
      </c>
      <c r="AA1717"/>
      <c r="AB1717"/>
    </row>
    <row r="1718" spans="3:28" ht="13.5">
      <c r="C1718" s="1181" t="s">
        <v>6398</v>
      </c>
      <c r="D1718" s="1178">
        <v>1</v>
      </c>
      <c r="E1718" s="1178">
        <v>1</v>
      </c>
      <c r="F1718" s="1179">
        <v>2</v>
      </c>
      <c r="G1718" s="1189" t="s">
        <v>6398</v>
      </c>
      <c r="H1718" s="1176">
        <v>1</v>
      </c>
      <c r="I1718" s="1176">
        <v>1</v>
      </c>
      <c r="J1718" s="1190">
        <v>2</v>
      </c>
      <c r="K1718" s="1180"/>
      <c r="L1718" s="1174">
        <v>13157010703</v>
      </c>
      <c r="M1718" s="1175">
        <v>1</v>
      </c>
      <c r="N1718" s="1175">
        <v>1</v>
      </c>
      <c r="O1718" s="1176">
        <v>2</v>
      </c>
      <c r="AA1718"/>
      <c r="AB1718"/>
    </row>
    <row r="1719" spans="3:28" ht="13.5">
      <c r="C1719" s="1181" t="s">
        <v>6399</v>
      </c>
      <c r="D1719" s="1178">
        <v>0</v>
      </c>
      <c r="E1719" s="1178">
        <v>0</v>
      </c>
      <c r="F1719" s="1179">
        <v>0</v>
      </c>
      <c r="G1719" s="1189" t="s">
        <v>6399</v>
      </c>
      <c r="H1719" s="1176">
        <v>0</v>
      </c>
      <c r="I1719" s="1176">
        <v>0</v>
      </c>
      <c r="J1719" s="1190">
        <v>0</v>
      </c>
      <c r="K1719" s="1180"/>
      <c r="L1719" s="1174">
        <v>13159010100</v>
      </c>
      <c r="M1719" s="1175">
        <v>0</v>
      </c>
      <c r="N1719" s="1175">
        <v>0</v>
      </c>
      <c r="O1719" s="1176">
        <v>0</v>
      </c>
      <c r="AA1719"/>
      <c r="AB1719"/>
    </row>
    <row r="1720" spans="3:28" ht="13.5">
      <c r="C1720" s="1181" t="s">
        <v>6400</v>
      </c>
      <c r="D1720" s="1178">
        <v>1</v>
      </c>
      <c r="E1720" s="1178">
        <v>1</v>
      </c>
      <c r="F1720" s="1179">
        <v>2</v>
      </c>
      <c r="G1720" s="1189" t="s">
        <v>6400</v>
      </c>
      <c r="H1720" s="1176">
        <v>0</v>
      </c>
      <c r="I1720" s="1176">
        <v>0</v>
      </c>
      <c r="J1720" s="1190">
        <v>0</v>
      </c>
      <c r="K1720" s="1180"/>
      <c r="L1720" s="1174">
        <v>13159010200</v>
      </c>
      <c r="M1720" s="1175">
        <v>1</v>
      </c>
      <c r="N1720" s="1175">
        <v>1</v>
      </c>
      <c r="O1720" s="1176">
        <v>2</v>
      </c>
      <c r="AA1720"/>
      <c r="AB1720"/>
    </row>
    <row r="1721" spans="3:28" ht="13.5">
      <c r="C1721" s="1181" t="s">
        <v>6401</v>
      </c>
      <c r="D1721" s="1178">
        <v>0</v>
      </c>
      <c r="E1721" s="1178">
        <v>0</v>
      </c>
      <c r="F1721" s="1179">
        <v>0</v>
      </c>
      <c r="G1721" s="1189" t="s">
        <v>6401</v>
      </c>
      <c r="H1721" s="1176">
        <v>0</v>
      </c>
      <c r="I1721" s="1176">
        <v>0</v>
      </c>
      <c r="J1721" s="1190">
        <v>0</v>
      </c>
      <c r="K1721" s="1180"/>
      <c r="L1721" s="1174">
        <v>13159010500</v>
      </c>
      <c r="M1721" s="1175">
        <v>0</v>
      </c>
      <c r="N1721" s="1175">
        <v>0</v>
      </c>
      <c r="O1721" s="1176">
        <v>0</v>
      </c>
      <c r="AA1721"/>
      <c r="AB1721"/>
    </row>
    <row r="1722" spans="3:28" ht="13.5">
      <c r="C1722" s="1181" t="s">
        <v>6402</v>
      </c>
      <c r="D1722" s="1178">
        <v>0</v>
      </c>
      <c r="E1722" s="1178">
        <v>0</v>
      </c>
      <c r="F1722" s="1179">
        <v>0</v>
      </c>
      <c r="G1722" s="1189" t="s">
        <v>6402</v>
      </c>
      <c r="H1722" s="1176">
        <v>0</v>
      </c>
      <c r="I1722" s="1176">
        <v>0</v>
      </c>
      <c r="J1722" s="1190">
        <v>0</v>
      </c>
      <c r="K1722" s="1180"/>
      <c r="L1722" s="1174">
        <v>13161960100</v>
      </c>
      <c r="M1722" s="1175">
        <v>0</v>
      </c>
      <c r="N1722" s="1175">
        <v>0</v>
      </c>
      <c r="O1722" s="1176">
        <v>0</v>
      </c>
      <c r="AA1722"/>
      <c r="AB1722"/>
    </row>
    <row r="1723" spans="3:28" ht="13.5">
      <c r="C1723" s="1181" t="s">
        <v>6403</v>
      </c>
      <c r="D1723" s="1178">
        <v>0</v>
      </c>
      <c r="E1723" s="1178">
        <v>0</v>
      </c>
      <c r="F1723" s="1179">
        <v>0</v>
      </c>
      <c r="G1723" s="1189" t="s">
        <v>6403</v>
      </c>
      <c r="H1723" s="1176">
        <v>0</v>
      </c>
      <c r="I1723" s="1176">
        <v>0</v>
      </c>
      <c r="J1723" s="1190">
        <v>0</v>
      </c>
      <c r="K1723" s="1180"/>
      <c r="L1723" s="1174">
        <v>13161960200</v>
      </c>
      <c r="M1723" s="1175">
        <v>0</v>
      </c>
      <c r="N1723" s="1175">
        <v>0</v>
      </c>
      <c r="O1723" s="1176">
        <v>0</v>
      </c>
      <c r="AA1723"/>
      <c r="AB1723"/>
    </row>
    <row r="1724" spans="3:28" ht="13.5">
      <c r="C1724" s="1181" t="s">
        <v>6404</v>
      </c>
      <c r="D1724" s="1178">
        <v>0</v>
      </c>
      <c r="E1724" s="1178">
        <v>0</v>
      </c>
      <c r="F1724" s="1179">
        <v>0</v>
      </c>
      <c r="G1724" s="1189" t="s">
        <v>6404</v>
      </c>
      <c r="H1724" s="1176">
        <v>0</v>
      </c>
      <c r="I1724" s="1176">
        <v>0</v>
      </c>
      <c r="J1724" s="1190">
        <v>0</v>
      </c>
      <c r="K1724" s="1180"/>
      <c r="L1724" s="1174">
        <v>13161960300</v>
      </c>
      <c r="M1724" s="1175">
        <v>0</v>
      </c>
      <c r="N1724" s="1175">
        <v>0</v>
      </c>
      <c r="O1724" s="1176">
        <v>0</v>
      </c>
      <c r="AA1724"/>
      <c r="AB1724"/>
    </row>
    <row r="1725" spans="3:28" ht="13.5">
      <c r="C1725" s="1181" t="s">
        <v>6405</v>
      </c>
      <c r="D1725" s="1178">
        <v>0</v>
      </c>
      <c r="E1725" s="1178">
        <v>0</v>
      </c>
      <c r="F1725" s="1179">
        <v>0</v>
      </c>
      <c r="G1725" s="1189" t="s">
        <v>6405</v>
      </c>
      <c r="H1725" s="1176">
        <v>0</v>
      </c>
      <c r="I1725" s="1176">
        <v>0</v>
      </c>
      <c r="J1725" s="1190">
        <v>0</v>
      </c>
      <c r="K1725" s="1180"/>
      <c r="L1725" s="1174">
        <v>13163960100</v>
      </c>
      <c r="M1725" s="1175">
        <v>0</v>
      </c>
      <c r="N1725" s="1175">
        <v>0</v>
      </c>
      <c r="O1725" s="1176">
        <v>0</v>
      </c>
      <c r="AA1725"/>
      <c r="AB1725"/>
    </row>
    <row r="1726" spans="3:28" ht="13.5">
      <c r="C1726" s="1181" t="s">
        <v>6406</v>
      </c>
      <c r="D1726" s="1178">
        <v>0</v>
      </c>
      <c r="E1726" s="1178">
        <v>0</v>
      </c>
      <c r="F1726" s="1179">
        <v>0</v>
      </c>
      <c r="G1726" s="1189" t="s">
        <v>6406</v>
      </c>
      <c r="H1726" s="1176">
        <v>0</v>
      </c>
      <c r="I1726" s="1176">
        <v>0</v>
      </c>
      <c r="J1726" s="1190">
        <v>0</v>
      </c>
      <c r="K1726" s="1180"/>
      <c r="L1726" s="1174">
        <v>13163960200</v>
      </c>
      <c r="M1726" s="1175">
        <v>0</v>
      </c>
      <c r="N1726" s="1175">
        <v>0</v>
      </c>
      <c r="O1726" s="1176">
        <v>0</v>
      </c>
      <c r="AA1726"/>
      <c r="AB1726"/>
    </row>
    <row r="1727" spans="3:28" ht="13.5">
      <c r="C1727" s="1181" t="s">
        <v>6407</v>
      </c>
      <c r="D1727" s="1178">
        <v>0</v>
      </c>
      <c r="E1727" s="1178">
        <v>0</v>
      </c>
      <c r="F1727" s="1179">
        <v>0</v>
      </c>
      <c r="G1727" s="1189" t="s">
        <v>6407</v>
      </c>
      <c r="H1727" s="1176">
        <v>0</v>
      </c>
      <c r="I1727" s="1176">
        <v>0</v>
      </c>
      <c r="J1727" s="1190">
        <v>0</v>
      </c>
      <c r="K1727" s="1180"/>
      <c r="L1727" s="1174">
        <v>13163960300</v>
      </c>
      <c r="M1727" s="1175">
        <v>0</v>
      </c>
      <c r="N1727" s="1175">
        <v>0</v>
      </c>
      <c r="O1727" s="1176">
        <v>0</v>
      </c>
      <c r="AA1727"/>
      <c r="AB1727"/>
    </row>
    <row r="1728" spans="3:28" ht="13.5">
      <c r="C1728" s="1181" t="s">
        <v>6408</v>
      </c>
      <c r="D1728" s="1178">
        <v>0</v>
      </c>
      <c r="E1728" s="1178">
        <v>0</v>
      </c>
      <c r="F1728" s="1179">
        <v>0</v>
      </c>
      <c r="G1728" s="1189" t="s">
        <v>6408</v>
      </c>
      <c r="H1728" s="1176">
        <v>0</v>
      </c>
      <c r="I1728" s="1176" t="s">
        <v>4455</v>
      </c>
      <c r="J1728" s="1190">
        <v>0</v>
      </c>
      <c r="K1728" s="1180"/>
      <c r="L1728" s="1174">
        <v>13163960400</v>
      </c>
      <c r="M1728" s="1175">
        <v>0</v>
      </c>
      <c r="N1728" s="1175">
        <v>0</v>
      </c>
      <c r="O1728" s="1176">
        <v>0</v>
      </c>
      <c r="AA1728"/>
      <c r="AB1728"/>
    </row>
    <row r="1729" spans="3:28" ht="13.5">
      <c r="C1729" s="1181" t="s">
        <v>6409</v>
      </c>
      <c r="D1729" s="1178">
        <v>0</v>
      </c>
      <c r="E1729" s="1178">
        <v>0</v>
      </c>
      <c r="F1729" s="1179">
        <v>0</v>
      </c>
      <c r="G1729" s="1189" t="s">
        <v>6409</v>
      </c>
      <c r="H1729" s="1176">
        <v>0</v>
      </c>
      <c r="I1729" s="1176">
        <v>0</v>
      </c>
      <c r="J1729" s="1190">
        <v>0</v>
      </c>
      <c r="K1729" s="1180"/>
      <c r="L1729" s="1174">
        <v>13165960100</v>
      </c>
      <c r="M1729" s="1175">
        <v>0</v>
      </c>
      <c r="N1729" s="1175">
        <v>0</v>
      </c>
      <c r="O1729" s="1176">
        <v>0</v>
      </c>
      <c r="AA1729"/>
      <c r="AB1729"/>
    </row>
    <row r="1730" spans="3:28" ht="13.5">
      <c r="C1730" s="1181" t="s">
        <v>6410</v>
      </c>
      <c r="D1730" s="1178">
        <v>0</v>
      </c>
      <c r="E1730" s="1178">
        <v>0</v>
      </c>
      <c r="F1730" s="1179">
        <v>0</v>
      </c>
      <c r="G1730" s="1189" t="s">
        <v>6410</v>
      </c>
      <c r="H1730" s="1176">
        <v>0</v>
      </c>
      <c r="I1730" s="1176">
        <v>0</v>
      </c>
      <c r="J1730" s="1190">
        <v>0</v>
      </c>
      <c r="K1730" s="1180"/>
      <c r="L1730" s="1174">
        <v>13165960200</v>
      </c>
      <c r="M1730" s="1175">
        <v>0</v>
      </c>
      <c r="N1730" s="1175">
        <v>0</v>
      </c>
      <c r="O1730" s="1176">
        <v>0</v>
      </c>
      <c r="AA1730"/>
      <c r="AB1730"/>
    </row>
    <row r="1731" spans="3:28" ht="13.5">
      <c r="C1731" s="1181" t="s">
        <v>6411</v>
      </c>
      <c r="D1731" s="1178">
        <v>0</v>
      </c>
      <c r="E1731" s="1178">
        <v>0</v>
      </c>
      <c r="F1731" s="1179">
        <v>0</v>
      </c>
      <c r="G1731" s="1189" t="s">
        <v>6411</v>
      </c>
      <c r="H1731" s="1176">
        <v>0</v>
      </c>
      <c r="I1731" s="1176">
        <v>1</v>
      </c>
      <c r="J1731" s="1190">
        <v>0</v>
      </c>
      <c r="K1731" s="1180"/>
      <c r="L1731" s="1174">
        <v>13167960100</v>
      </c>
      <c r="M1731" s="1175">
        <v>0</v>
      </c>
      <c r="N1731" s="1175">
        <v>1</v>
      </c>
      <c r="O1731" s="1176">
        <v>0</v>
      </c>
      <c r="AA1731"/>
      <c r="AB1731"/>
    </row>
    <row r="1732" spans="3:28" ht="13.5">
      <c r="C1732" s="1181" t="s">
        <v>6412</v>
      </c>
      <c r="D1732" s="1178">
        <v>0</v>
      </c>
      <c r="E1732" s="1178">
        <v>0</v>
      </c>
      <c r="F1732" s="1179">
        <v>0</v>
      </c>
      <c r="G1732" s="1189" t="s">
        <v>6412</v>
      </c>
      <c r="H1732" s="1176">
        <v>0</v>
      </c>
      <c r="I1732" s="1176">
        <v>0</v>
      </c>
      <c r="J1732" s="1190">
        <v>0</v>
      </c>
      <c r="K1732" s="1180"/>
      <c r="L1732" s="1174">
        <v>13167960200</v>
      </c>
      <c r="M1732" s="1175">
        <v>0</v>
      </c>
      <c r="N1732" s="1175">
        <v>0</v>
      </c>
      <c r="O1732" s="1176">
        <v>0</v>
      </c>
      <c r="AA1732"/>
      <c r="AB1732"/>
    </row>
    <row r="1733" spans="3:28" ht="13.5">
      <c r="C1733" s="1181" t="s">
        <v>6413</v>
      </c>
      <c r="D1733" s="1178">
        <v>0</v>
      </c>
      <c r="E1733" s="1178">
        <v>0</v>
      </c>
      <c r="F1733" s="1179">
        <v>0</v>
      </c>
      <c r="G1733" s="1189" t="s">
        <v>6413</v>
      </c>
      <c r="H1733" s="1176">
        <v>1</v>
      </c>
      <c r="I1733" s="1176">
        <v>1</v>
      </c>
      <c r="J1733" s="1190">
        <v>2</v>
      </c>
      <c r="K1733" s="1180"/>
      <c r="L1733" s="1174">
        <v>13167960300</v>
      </c>
      <c r="M1733" s="1175">
        <v>1</v>
      </c>
      <c r="N1733" s="1175">
        <v>1</v>
      </c>
      <c r="O1733" s="1176">
        <v>2</v>
      </c>
      <c r="AA1733"/>
      <c r="AB1733"/>
    </row>
    <row r="1734" spans="3:28" ht="13.5">
      <c r="C1734" s="1181" t="s">
        <v>6414</v>
      </c>
      <c r="D1734" s="1178">
        <v>1</v>
      </c>
      <c r="E1734" s="1178">
        <v>1</v>
      </c>
      <c r="F1734" s="1179">
        <v>2</v>
      </c>
      <c r="G1734" s="1189" t="s">
        <v>6414</v>
      </c>
      <c r="H1734" s="1176">
        <v>1</v>
      </c>
      <c r="I1734" s="1176">
        <v>1</v>
      </c>
      <c r="J1734" s="1190">
        <v>2</v>
      </c>
      <c r="K1734" s="1180"/>
      <c r="L1734" s="1174">
        <v>13169030101</v>
      </c>
      <c r="M1734" s="1175">
        <v>1</v>
      </c>
      <c r="N1734" s="1175">
        <v>1</v>
      </c>
      <c r="O1734" s="1176">
        <v>2</v>
      </c>
      <c r="AA1734"/>
      <c r="AB1734"/>
    </row>
    <row r="1735" spans="3:28" ht="13.5">
      <c r="C1735" s="1181" t="s">
        <v>6415</v>
      </c>
      <c r="D1735" s="1178">
        <v>1</v>
      </c>
      <c r="E1735" s="1178">
        <v>1</v>
      </c>
      <c r="F1735" s="1179">
        <v>2</v>
      </c>
      <c r="G1735" s="1189" t="s">
        <v>6415</v>
      </c>
      <c r="H1735" s="1176">
        <v>1</v>
      </c>
      <c r="I1735" s="1176">
        <v>0</v>
      </c>
      <c r="J1735" s="1190">
        <v>1</v>
      </c>
      <c r="K1735" s="1180"/>
      <c r="L1735" s="1174">
        <v>13169030103</v>
      </c>
      <c r="M1735" s="1175">
        <v>1</v>
      </c>
      <c r="N1735" s="1175">
        <v>1</v>
      </c>
      <c r="O1735" s="1176">
        <v>2</v>
      </c>
      <c r="AA1735"/>
      <c r="AB1735"/>
    </row>
    <row r="1736" spans="3:28" ht="13.5">
      <c r="C1736" s="1181" t="s">
        <v>6416</v>
      </c>
      <c r="D1736" s="1178">
        <v>0</v>
      </c>
      <c r="E1736" s="1178">
        <v>0</v>
      </c>
      <c r="F1736" s="1179">
        <v>0</v>
      </c>
      <c r="G1736" s="1189" t="s">
        <v>6416</v>
      </c>
      <c r="H1736" s="1176">
        <v>0</v>
      </c>
      <c r="I1736" s="1176">
        <v>0</v>
      </c>
      <c r="J1736" s="1190">
        <v>0</v>
      </c>
      <c r="K1736" s="1180"/>
      <c r="L1736" s="1174">
        <v>13169030104</v>
      </c>
      <c r="M1736" s="1175">
        <v>0</v>
      </c>
      <c r="N1736" s="1175">
        <v>0</v>
      </c>
      <c r="O1736" s="1176">
        <v>0</v>
      </c>
      <c r="AA1736"/>
      <c r="AB1736"/>
    </row>
    <row r="1737" spans="3:28" ht="13.5">
      <c r="C1737" s="1181" t="s">
        <v>6417</v>
      </c>
      <c r="D1737" s="1178">
        <v>0</v>
      </c>
      <c r="E1737" s="1178">
        <v>0</v>
      </c>
      <c r="F1737" s="1179">
        <v>0</v>
      </c>
      <c r="G1737" s="1189" t="s">
        <v>6417</v>
      </c>
      <c r="H1737" s="1176">
        <v>0</v>
      </c>
      <c r="I1737" s="1176">
        <v>0</v>
      </c>
      <c r="J1737" s="1190">
        <v>0</v>
      </c>
      <c r="K1737" s="1180"/>
      <c r="L1737" s="1174">
        <v>13169030200</v>
      </c>
      <c r="M1737" s="1175">
        <v>0</v>
      </c>
      <c r="N1737" s="1175">
        <v>0</v>
      </c>
      <c r="O1737" s="1176">
        <v>0</v>
      </c>
      <c r="AA1737"/>
      <c r="AB1737"/>
    </row>
    <row r="1738" spans="3:28" ht="13.5">
      <c r="C1738" s="1181" t="s">
        <v>6418</v>
      </c>
      <c r="D1738" s="1178">
        <v>1</v>
      </c>
      <c r="E1738" s="1178">
        <v>1</v>
      </c>
      <c r="F1738" s="1179">
        <v>2</v>
      </c>
      <c r="G1738" s="1189" t="s">
        <v>6418</v>
      </c>
      <c r="H1738" s="1176">
        <v>1</v>
      </c>
      <c r="I1738" s="1176">
        <v>1</v>
      </c>
      <c r="J1738" s="1190">
        <v>2</v>
      </c>
      <c r="K1738" s="1180"/>
      <c r="L1738" s="1174">
        <v>13169030301</v>
      </c>
      <c r="M1738" s="1175">
        <v>1</v>
      </c>
      <c r="N1738" s="1175">
        <v>1</v>
      </c>
      <c r="O1738" s="1176">
        <v>2</v>
      </c>
      <c r="AA1738"/>
      <c r="AB1738"/>
    </row>
    <row r="1739" spans="3:28" ht="13.5">
      <c r="C1739" s="1181" t="s">
        <v>6419</v>
      </c>
      <c r="D1739" s="1178">
        <v>0</v>
      </c>
      <c r="E1739" s="1178">
        <v>1</v>
      </c>
      <c r="F1739" s="1179">
        <v>1</v>
      </c>
      <c r="G1739" s="1189" t="s">
        <v>6419</v>
      </c>
      <c r="H1739" s="1176">
        <v>0</v>
      </c>
      <c r="I1739" s="1176">
        <v>0</v>
      </c>
      <c r="J1739" s="1190">
        <v>0</v>
      </c>
      <c r="K1739" s="1180"/>
      <c r="L1739" s="1174">
        <v>13169030302</v>
      </c>
      <c r="M1739" s="1175">
        <v>0</v>
      </c>
      <c r="N1739" s="1175">
        <v>1</v>
      </c>
      <c r="O1739" s="1176">
        <v>1</v>
      </c>
      <c r="AA1739"/>
      <c r="AB1739"/>
    </row>
    <row r="1740" spans="3:28" ht="13.5">
      <c r="C1740" s="1181" t="s">
        <v>6420</v>
      </c>
      <c r="D1740" s="1178">
        <v>0</v>
      </c>
      <c r="E1740" s="1178">
        <v>0</v>
      </c>
      <c r="F1740" s="1179">
        <v>0</v>
      </c>
      <c r="G1740" s="1189" t="s">
        <v>6420</v>
      </c>
      <c r="H1740" s="1176">
        <v>0</v>
      </c>
      <c r="I1740" s="1176">
        <v>0</v>
      </c>
      <c r="J1740" s="1190">
        <v>0</v>
      </c>
      <c r="K1740" s="1180"/>
      <c r="L1740" s="1174">
        <v>13171970100</v>
      </c>
      <c r="M1740" s="1175">
        <v>0</v>
      </c>
      <c r="N1740" s="1175">
        <v>0</v>
      </c>
      <c r="O1740" s="1176">
        <v>0</v>
      </c>
      <c r="AA1740"/>
      <c r="AB1740"/>
    </row>
    <row r="1741" spans="3:28" ht="13.5">
      <c r="C1741" s="1181" t="s">
        <v>6421</v>
      </c>
      <c r="D1741" s="1178">
        <v>0</v>
      </c>
      <c r="E1741" s="1178">
        <v>0</v>
      </c>
      <c r="F1741" s="1179">
        <v>0</v>
      </c>
      <c r="G1741" s="1189" t="s">
        <v>6421</v>
      </c>
      <c r="H1741" s="1176">
        <v>0</v>
      </c>
      <c r="I1741" s="1176">
        <v>0</v>
      </c>
      <c r="J1741" s="1190">
        <v>0</v>
      </c>
      <c r="K1741" s="1180"/>
      <c r="L1741" s="1174">
        <v>13171970200</v>
      </c>
      <c r="M1741" s="1175">
        <v>0</v>
      </c>
      <c r="N1741" s="1175">
        <v>0</v>
      </c>
      <c r="O1741" s="1176">
        <v>0</v>
      </c>
      <c r="AA1741"/>
      <c r="AB1741"/>
    </row>
    <row r="1742" spans="3:28" ht="13.5">
      <c r="C1742" s="1181" t="s">
        <v>6422</v>
      </c>
      <c r="D1742" s="1178">
        <v>0</v>
      </c>
      <c r="E1742" s="1178">
        <v>0</v>
      </c>
      <c r="F1742" s="1179">
        <v>0</v>
      </c>
      <c r="G1742" s="1189" t="s">
        <v>6422</v>
      </c>
      <c r="H1742" s="1176">
        <v>0</v>
      </c>
      <c r="I1742" s="1176">
        <v>0</v>
      </c>
      <c r="J1742" s="1190">
        <v>0</v>
      </c>
      <c r="K1742" s="1180"/>
      <c r="L1742" s="1174">
        <v>13171970300</v>
      </c>
      <c r="M1742" s="1175">
        <v>0</v>
      </c>
      <c r="N1742" s="1175">
        <v>0</v>
      </c>
      <c r="O1742" s="1176">
        <v>0</v>
      </c>
      <c r="AA1742"/>
      <c r="AB1742"/>
    </row>
    <row r="1743" spans="3:28" ht="13.5">
      <c r="C1743" s="1181" t="s">
        <v>6423</v>
      </c>
      <c r="D1743" s="1178">
        <v>0</v>
      </c>
      <c r="E1743" s="1178">
        <v>0</v>
      </c>
      <c r="F1743" s="1179">
        <v>0</v>
      </c>
      <c r="G1743" s="1189" t="s">
        <v>6423</v>
      </c>
      <c r="H1743" s="1176">
        <v>0</v>
      </c>
      <c r="I1743" s="1176">
        <v>0</v>
      </c>
      <c r="J1743" s="1190">
        <v>0</v>
      </c>
      <c r="K1743" s="1180"/>
      <c r="L1743" s="1174">
        <v>13173950100</v>
      </c>
      <c r="M1743" s="1175">
        <v>0</v>
      </c>
      <c r="N1743" s="1175">
        <v>0</v>
      </c>
      <c r="O1743" s="1176">
        <v>0</v>
      </c>
      <c r="AA1743"/>
      <c r="AB1743"/>
    </row>
    <row r="1744" spans="3:28" ht="13.5">
      <c r="C1744" s="1181" t="s">
        <v>6424</v>
      </c>
      <c r="D1744" s="1178">
        <v>0</v>
      </c>
      <c r="E1744" s="1178">
        <v>0</v>
      </c>
      <c r="F1744" s="1179">
        <v>0</v>
      </c>
      <c r="G1744" s="1189" t="s">
        <v>6424</v>
      </c>
      <c r="H1744" s="1176">
        <v>0</v>
      </c>
      <c r="I1744" s="1176">
        <v>0</v>
      </c>
      <c r="J1744" s="1190">
        <v>0</v>
      </c>
      <c r="K1744" s="1180"/>
      <c r="L1744" s="1174">
        <v>13173950200</v>
      </c>
      <c r="M1744" s="1175">
        <v>0</v>
      </c>
      <c r="N1744" s="1175">
        <v>0</v>
      </c>
      <c r="O1744" s="1176">
        <v>0</v>
      </c>
      <c r="AA1744"/>
      <c r="AB1744"/>
    </row>
    <row r="1745" spans="3:28" ht="13.5">
      <c r="C1745" s="1181" t="s">
        <v>6425</v>
      </c>
      <c r="D1745" s="1178">
        <v>0</v>
      </c>
      <c r="E1745" s="1178">
        <v>0</v>
      </c>
      <c r="F1745" s="1179">
        <v>0</v>
      </c>
      <c r="G1745" s="1189" t="s">
        <v>6425</v>
      </c>
      <c r="H1745" s="1176">
        <v>0</v>
      </c>
      <c r="I1745" s="1176">
        <v>0</v>
      </c>
      <c r="J1745" s="1190">
        <v>0</v>
      </c>
      <c r="K1745" s="1180"/>
      <c r="L1745" s="1174">
        <v>13175950100</v>
      </c>
      <c r="M1745" s="1175">
        <v>0</v>
      </c>
      <c r="N1745" s="1175">
        <v>0</v>
      </c>
      <c r="O1745" s="1176">
        <v>0</v>
      </c>
      <c r="AA1745"/>
      <c r="AB1745"/>
    </row>
    <row r="1746" spans="3:28" ht="13.5">
      <c r="C1746" s="1181" t="s">
        <v>6426</v>
      </c>
      <c r="D1746" s="1178">
        <v>0</v>
      </c>
      <c r="E1746" s="1178">
        <v>1</v>
      </c>
      <c r="F1746" s="1179">
        <v>1</v>
      </c>
      <c r="G1746" s="1189" t="s">
        <v>6426</v>
      </c>
      <c r="H1746" s="1176">
        <v>1</v>
      </c>
      <c r="I1746" s="1176">
        <v>1</v>
      </c>
      <c r="J1746" s="1190">
        <v>2</v>
      </c>
      <c r="K1746" s="1180"/>
      <c r="L1746" s="1174">
        <v>13175950201</v>
      </c>
      <c r="M1746" s="1175">
        <v>1</v>
      </c>
      <c r="N1746" s="1175">
        <v>1</v>
      </c>
      <c r="O1746" s="1176">
        <v>2</v>
      </c>
      <c r="AA1746"/>
      <c r="AB1746"/>
    </row>
    <row r="1747" spans="3:28" ht="13.5">
      <c r="C1747" s="1181" t="s">
        <v>6427</v>
      </c>
      <c r="D1747" s="1178">
        <v>1</v>
      </c>
      <c r="E1747" s="1178">
        <v>1</v>
      </c>
      <c r="F1747" s="1179">
        <v>2</v>
      </c>
      <c r="G1747" s="1189" t="s">
        <v>6427</v>
      </c>
      <c r="H1747" s="1176">
        <v>1</v>
      </c>
      <c r="I1747" s="1176">
        <v>1</v>
      </c>
      <c r="J1747" s="1190">
        <v>2</v>
      </c>
      <c r="K1747" s="1180"/>
      <c r="L1747" s="1174">
        <v>13175950202</v>
      </c>
      <c r="M1747" s="1175">
        <v>1</v>
      </c>
      <c r="N1747" s="1175">
        <v>1</v>
      </c>
      <c r="O1747" s="1176">
        <v>2</v>
      </c>
      <c r="AA1747"/>
      <c r="AB1747"/>
    </row>
    <row r="1748" spans="3:28" ht="13.5">
      <c r="C1748" s="1181" t="s">
        <v>6428</v>
      </c>
      <c r="D1748" s="1178">
        <v>0</v>
      </c>
      <c r="E1748" s="1178">
        <v>0</v>
      </c>
      <c r="F1748" s="1179">
        <v>0</v>
      </c>
      <c r="G1748" s="1189" t="s">
        <v>6428</v>
      </c>
      <c r="H1748" s="1176">
        <v>0</v>
      </c>
      <c r="I1748" s="1176">
        <v>0</v>
      </c>
      <c r="J1748" s="1190">
        <v>0</v>
      </c>
      <c r="K1748" s="1180"/>
      <c r="L1748" s="1174">
        <v>13175950300</v>
      </c>
      <c r="M1748" s="1175">
        <v>0</v>
      </c>
      <c r="N1748" s="1175">
        <v>0</v>
      </c>
      <c r="O1748" s="1176">
        <v>0</v>
      </c>
      <c r="AA1748"/>
      <c r="AB1748"/>
    </row>
    <row r="1749" spans="3:28" ht="13.5">
      <c r="C1749" s="1181" t="s">
        <v>6429</v>
      </c>
      <c r="D1749" s="1178">
        <v>0</v>
      </c>
      <c r="E1749" s="1178">
        <v>0</v>
      </c>
      <c r="F1749" s="1179">
        <v>0</v>
      </c>
      <c r="G1749" s="1189" t="s">
        <v>6429</v>
      </c>
      <c r="H1749" s="1176">
        <v>0</v>
      </c>
      <c r="I1749" s="1176">
        <v>0</v>
      </c>
      <c r="J1749" s="1190">
        <v>0</v>
      </c>
      <c r="K1749" s="1180"/>
      <c r="L1749" s="1174">
        <v>13175950400</v>
      </c>
      <c r="M1749" s="1175">
        <v>0</v>
      </c>
      <c r="N1749" s="1175">
        <v>0</v>
      </c>
      <c r="O1749" s="1176">
        <v>0</v>
      </c>
      <c r="AA1749"/>
      <c r="AB1749"/>
    </row>
    <row r="1750" spans="3:28" ht="13.5">
      <c r="C1750" s="1181" t="s">
        <v>6430</v>
      </c>
      <c r="D1750" s="1178">
        <v>0</v>
      </c>
      <c r="E1750" s="1178">
        <v>0</v>
      </c>
      <c r="F1750" s="1179">
        <v>0</v>
      </c>
      <c r="G1750" s="1189" t="s">
        <v>6430</v>
      </c>
      <c r="H1750" s="1176">
        <v>0</v>
      </c>
      <c r="I1750" s="1176">
        <v>0</v>
      </c>
      <c r="J1750" s="1190">
        <v>0</v>
      </c>
      <c r="K1750" s="1180"/>
      <c r="L1750" s="1174">
        <v>13175950500</v>
      </c>
      <c r="M1750" s="1175">
        <v>0</v>
      </c>
      <c r="N1750" s="1175">
        <v>0</v>
      </c>
      <c r="O1750" s="1176">
        <v>0</v>
      </c>
      <c r="AA1750"/>
      <c r="AB1750"/>
    </row>
    <row r="1751" spans="3:28" ht="13.5">
      <c r="C1751" s="1181" t="s">
        <v>6431</v>
      </c>
      <c r="D1751" s="1178">
        <v>1</v>
      </c>
      <c r="E1751" s="1178">
        <v>0</v>
      </c>
      <c r="F1751" s="1179">
        <v>1</v>
      </c>
      <c r="G1751" s="1189" t="s">
        <v>6431</v>
      </c>
      <c r="H1751" s="1176">
        <v>0</v>
      </c>
      <c r="I1751" s="1176">
        <v>1</v>
      </c>
      <c r="J1751" s="1190">
        <v>1</v>
      </c>
      <c r="K1751" s="1180"/>
      <c r="L1751" s="1174">
        <v>13175950600</v>
      </c>
      <c r="M1751" s="1175">
        <v>1</v>
      </c>
      <c r="N1751" s="1175">
        <v>1</v>
      </c>
      <c r="O1751" s="1176">
        <v>1</v>
      </c>
      <c r="AA1751"/>
      <c r="AB1751"/>
    </row>
    <row r="1752" spans="3:28" ht="13.5">
      <c r="C1752" s="1181" t="s">
        <v>6432</v>
      </c>
      <c r="D1752" s="1178">
        <v>0</v>
      </c>
      <c r="E1752" s="1178">
        <v>0</v>
      </c>
      <c r="F1752" s="1179">
        <v>0</v>
      </c>
      <c r="G1752" s="1189" t="s">
        <v>6432</v>
      </c>
      <c r="H1752" s="1176">
        <v>0</v>
      </c>
      <c r="I1752" s="1176">
        <v>1</v>
      </c>
      <c r="J1752" s="1190">
        <v>1</v>
      </c>
      <c r="K1752" s="1180"/>
      <c r="L1752" s="1174">
        <v>13175950700</v>
      </c>
      <c r="M1752" s="1175">
        <v>0</v>
      </c>
      <c r="N1752" s="1175">
        <v>1</v>
      </c>
      <c r="O1752" s="1176">
        <v>1</v>
      </c>
      <c r="AA1752"/>
      <c r="AB1752"/>
    </row>
    <row r="1753" spans="3:28" ht="13.5">
      <c r="C1753" s="1181" t="s">
        <v>6433</v>
      </c>
      <c r="D1753" s="1178">
        <v>0</v>
      </c>
      <c r="E1753" s="1178">
        <v>0</v>
      </c>
      <c r="F1753" s="1179">
        <v>0</v>
      </c>
      <c r="G1753" s="1189" t="s">
        <v>6433</v>
      </c>
      <c r="H1753" s="1176">
        <v>0</v>
      </c>
      <c r="I1753" s="1176">
        <v>0</v>
      </c>
      <c r="J1753" s="1190">
        <v>0</v>
      </c>
      <c r="K1753" s="1180"/>
      <c r="L1753" s="1174">
        <v>13175950800</v>
      </c>
      <c r="M1753" s="1175">
        <v>0</v>
      </c>
      <c r="N1753" s="1175">
        <v>0</v>
      </c>
      <c r="O1753" s="1176">
        <v>0</v>
      </c>
      <c r="AA1753"/>
      <c r="AB1753"/>
    </row>
    <row r="1754" spans="3:28" ht="13.5">
      <c r="C1754" s="1181" t="s">
        <v>6434</v>
      </c>
      <c r="D1754" s="1178">
        <v>0</v>
      </c>
      <c r="E1754" s="1178">
        <v>0</v>
      </c>
      <c r="F1754" s="1179">
        <v>0</v>
      </c>
      <c r="G1754" s="1189" t="s">
        <v>6434</v>
      </c>
      <c r="H1754" s="1176">
        <v>0</v>
      </c>
      <c r="I1754" s="1176">
        <v>0</v>
      </c>
      <c r="J1754" s="1190">
        <v>0</v>
      </c>
      <c r="K1754" s="1180"/>
      <c r="L1754" s="1174">
        <v>13175950900</v>
      </c>
      <c r="M1754" s="1175">
        <v>0</v>
      </c>
      <c r="N1754" s="1175">
        <v>0</v>
      </c>
      <c r="O1754" s="1176">
        <v>0</v>
      </c>
      <c r="AA1754"/>
      <c r="AB1754"/>
    </row>
    <row r="1755" spans="3:28" ht="13.5">
      <c r="C1755" s="1181" t="s">
        <v>6435</v>
      </c>
      <c r="D1755" s="1178">
        <v>0</v>
      </c>
      <c r="E1755" s="1178">
        <v>0</v>
      </c>
      <c r="F1755" s="1179">
        <v>0</v>
      </c>
      <c r="G1755" s="1189" t="s">
        <v>6435</v>
      </c>
      <c r="H1755" s="1176">
        <v>0</v>
      </c>
      <c r="I1755" s="1176">
        <v>0</v>
      </c>
      <c r="J1755" s="1190">
        <v>0</v>
      </c>
      <c r="K1755" s="1180"/>
      <c r="L1755" s="1174">
        <v>13175951000</v>
      </c>
      <c r="M1755" s="1175">
        <v>0</v>
      </c>
      <c r="N1755" s="1175">
        <v>0</v>
      </c>
      <c r="O1755" s="1176">
        <v>0</v>
      </c>
      <c r="AA1755"/>
      <c r="AB1755"/>
    </row>
    <row r="1756" spans="3:28" ht="13.5">
      <c r="C1756" s="1181" t="s">
        <v>6436</v>
      </c>
      <c r="D1756" s="1178">
        <v>0</v>
      </c>
      <c r="E1756" s="1178">
        <v>0</v>
      </c>
      <c r="F1756" s="1179">
        <v>0</v>
      </c>
      <c r="G1756" s="1189" t="s">
        <v>6436</v>
      </c>
      <c r="H1756" s="1176">
        <v>0</v>
      </c>
      <c r="I1756" s="1176">
        <v>0</v>
      </c>
      <c r="J1756" s="1190">
        <v>0</v>
      </c>
      <c r="K1756" s="1180"/>
      <c r="L1756" s="1174">
        <v>13175951100</v>
      </c>
      <c r="M1756" s="1175">
        <v>0</v>
      </c>
      <c r="N1756" s="1175">
        <v>0</v>
      </c>
      <c r="O1756" s="1176">
        <v>0</v>
      </c>
      <c r="AA1756"/>
      <c r="AB1756"/>
    </row>
    <row r="1757" spans="3:28" ht="13.5">
      <c r="C1757" s="1181" t="s">
        <v>6437</v>
      </c>
      <c r="D1757" s="1178">
        <v>0</v>
      </c>
      <c r="E1757" s="1178">
        <v>0</v>
      </c>
      <c r="F1757" s="1179">
        <v>0</v>
      </c>
      <c r="G1757" s="1189" t="s">
        <v>6437</v>
      </c>
      <c r="H1757" s="1176">
        <v>0</v>
      </c>
      <c r="I1757" s="1176" t="s">
        <v>4455</v>
      </c>
      <c r="J1757" s="1190">
        <v>0</v>
      </c>
      <c r="K1757" s="1180"/>
      <c r="L1757" s="1174">
        <v>13175951400</v>
      </c>
      <c r="M1757" s="1175">
        <v>0</v>
      </c>
      <c r="N1757" s="1175">
        <v>0</v>
      </c>
      <c r="O1757" s="1176">
        <v>0</v>
      </c>
      <c r="AA1757"/>
      <c r="AB1757"/>
    </row>
    <row r="1758" spans="3:28" ht="13.5">
      <c r="C1758" s="1181" t="s">
        <v>6438</v>
      </c>
      <c r="D1758" s="1178">
        <v>1</v>
      </c>
      <c r="E1758" s="1178">
        <v>1</v>
      </c>
      <c r="F1758" s="1179">
        <v>2</v>
      </c>
      <c r="G1758" s="1189" t="s">
        <v>6438</v>
      </c>
      <c r="H1758" s="1176">
        <v>0</v>
      </c>
      <c r="I1758" s="1176">
        <v>1</v>
      </c>
      <c r="J1758" s="1190">
        <v>1</v>
      </c>
      <c r="K1758" s="1180"/>
      <c r="L1758" s="1174">
        <v>13177020100</v>
      </c>
      <c r="M1758" s="1175">
        <v>1</v>
      </c>
      <c r="N1758" s="1175">
        <v>1</v>
      </c>
      <c r="O1758" s="1176">
        <v>2</v>
      </c>
      <c r="AA1758"/>
      <c r="AB1758"/>
    </row>
    <row r="1759" spans="3:28" ht="13.5">
      <c r="C1759" s="1181" t="s">
        <v>6439</v>
      </c>
      <c r="D1759" s="1178">
        <v>0</v>
      </c>
      <c r="E1759" s="1178">
        <v>0</v>
      </c>
      <c r="F1759" s="1179">
        <v>0</v>
      </c>
      <c r="G1759" s="1189" t="s">
        <v>6439</v>
      </c>
      <c r="H1759" s="1176">
        <v>0</v>
      </c>
      <c r="I1759" s="1176" t="s">
        <v>4455</v>
      </c>
      <c r="J1759" s="1190">
        <v>0</v>
      </c>
      <c r="K1759" s="1180"/>
      <c r="L1759" s="1174">
        <v>13177020200</v>
      </c>
      <c r="M1759" s="1175">
        <v>0</v>
      </c>
      <c r="N1759" s="1175">
        <v>0</v>
      </c>
      <c r="O1759" s="1176">
        <v>0</v>
      </c>
      <c r="AA1759"/>
      <c r="AB1759"/>
    </row>
    <row r="1760" spans="3:28" ht="13.5">
      <c r="C1760" s="1181" t="s">
        <v>6440</v>
      </c>
      <c r="D1760" s="1178">
        <v>0</v>
      </c>
      <c r="E1760" s="1178">
        <v>1</v>
      </c>
      <c r="F1760" s="1179">
        <v>1</v>
      </c>
      <c r="G1760" s="1189" t="s">
        <v>6440</v>
      </c>
      <c r="H1760" s="1176">
        <v>0</v>
      </c>
      <c r="I1760" s="1176">
        <v>0</v>
      </c>
      <c r="J1760" s="1190">
        <v>0</v>
      </c>
      <c r="K1760" s="1180"/>
      <c r="L1760" s="1174">
        <v>13177020300</v>
      </c>
      <c r="M1760" s="1175">
        <v>0</v>
      </c>
      <c r="N1760" s="1175">
        <v>1</v>
      </c>
      <c r="O1760" s="1176">
        <v>1</v>
      </c>
      <c r="AA1760"/>
      <c r="AB1760"/>
    </row>
    <row r="1761" spans="3:28" ht="13.5">
      <c r="C1761" s="1181" t="s">
        <v>6441</v>
      </c>
      <c r="D1761" s="1178">
        <v>1</v>
      </c>
      <c r="E1761" s="1178">
        <v>1</v>
      </c>
      <c r="F1761" s="1179">
        <v>2</v>
      </c>
      <c r="G1761" s="1189" t="s">
        <v>6441</v>
      </c>
      <c r="H1761" s="1176">
        <v>1</v>
      </c>
      <c r="I1761" s="1176">
        <v>0</v>
      </c>
      <c r="J1761" s="1190">
        <v>1</v>
      </c>
      <c r="K1761" s="1180"/>
      <c r="L1761" s="1174">
        <v>13177020402</v>
      </c>
      <c r="M1761" s="1175">
        <v>1</v>
      </c>
      <c r="N1761" s="1175">
        <v>1</v>
      </c>
      <c r="O1761" s="1176">
        <v>2</v>
      </c>
      <c r="AA1761"/>
      <c r="AB1761"/>
    </row>
    <row r="1762" spans="3:28" ht="13.5">
      <c r="C1762" s="1181" t="s">
        <v>6442</v>
      </c>
      <c r="D1762" s="1178">
        <v>1</v>
      </c>
      <c r="E1762" s="1178">
        <v>1</v>
      </c>
      <c r="F1762" s="1179">
        <v>2</v>
      </c>
      <c r="G1762" s="1189" t="s">
        <v>6442</v>
      </c>
      <c r="H1762" s="1176">
        <v>1</v>
      </c>
      <c r="I1762" s="1176">
        <v>1</v>
      </c>
      <c r="J1762" s="1190">
        <v>2</v>
      </c>
      <c r="K1762" s="1180"/>
      <c r="L1762" s="1174">
        <v>13177020403</v>
      </c>
      <c r="M1762" s="1175">
        <v>1</v>
      </c>
      <c r="N1762" s="1175">
        <v>1</v>
      </c>
      <c r="O1762" s="1176">
        <v>2</v>
      </c>
      <c r="AA1762"/>
      <c r="AB1762"/>
    </row>
    <row r="1763" spans="3:28" ht="13.5">
      <c r="C1763" s="1181" t="s">
        <v>6443</v>
      </c>
      <c r="D1763" s="1178">
        <v>0</v>
      </c>
      <c r="E1763" s="1178">
        <v>1</v>
      </c>
      <c r="F1763" s="1179">
        <v>1</v>
      </c>
      <c r="G1763" s="1189" t="s">
        <v>6443</v>
      </c>
      <c r="H1763" s="1176">
        <v>0</v>
      </c>
      <c r="I1763" s="1176" t="s">
        <v>4455</v>
      </c>
      <c r="J1763" s="1190">
        <v>0</v>
      </c>
      <c r="K1763" s="1180"/>
      <c r="L1763" s="1174">
        <v>13179010101</v>
      </c>
      <c r="M1763" s="1175">
        <v>0</v>
      </c>
      <c r="N1763" s="1175">
        <v>1</v>
      </c>
      <c r="O1763" s="1176">
        <v>1</v>
      </c>
      <c r="AA1763"/>
      <c r="AB1763"/>
    </row>
    <row r="1764" spans="3:28" ht="13.5">
      <c r="C1764" s="1181" t="s">
        <v>6444</v>
      </c>
      <c r="D1764" s="1178">
        <v>1</v>
      </c>
      <c r="E1764" s="1178">
        <v>1</v>
      </c>
      <c r="F1764" s="1179">
        <v>2</v>
      </c>
      <c r="G1764" s="1189" t="s">
        <v>6444</v>
      </c>
      <c r="H1764" s="1176">
        <v>1</v>
      </c>
      <c r="I1764" s="1176" t="s">
        <v>4455</v>
      </c>
      <c r="J1764" s="1190">
        <v>1</v>
      </c>
      <c r="K1764" s="1180"/>
      <c r="L1764" s="1174">
        <v>13179010102</v>
      </c>
      <c r="M1764" s="1175">
        <v>1</v>
      </c>
      <c r="N1764" s="1175">
        <v>1</v>
      </c>
      <c r="O1764" s="1176">
        <v>2</v>
      </c>
      <c r="AA1764"/>
      <c r="AB1764"/>
    </row>
    <row r="1765" spans="3:28" ht="13.5">
      <c r="C1765" s="1181" t="s">
        <v>6445</v>
      </c>
      <c r="D1765" s="1178">
        <v>0</v>
      </c>
      <c r="E1765" s="1178">
        <v>1</v>
      </c>
      <c r="F1765" s="1179">
        <v>1</v>
      </c>
      <c r="G1765" s="1189" t="s">
        <v>6445</v>
      </c>
      <c r="H1765" s="1176">
        <v>0</v>
      </c>
      <c r="I1765" s="1176" t="s">
        <v>4455</v>
      </c>
      <c r="J1765" s="1190">
        <v>0</v>
      </c>
      <c r="K1765" s="1180"/>
      <c r="L1765" s="1174">
        <v>13179010103</v>
      </c>
      <c r="M1765" s="1175">
        <v>0</v>
      </c>
      <c r="N1765" s="1175">
        <v>1</v>
      </c>
      <c r="O1765" s="1176">
        <v>1</v>
      </c>
      <c r="AA1765"/>
      <c r="AB1765"/>
    </row>
    <row r="1766" spans="3:28" ht="13.5">
      <c r="C1766" s="1181" t="s">
        <v>6446</v>
      </c>
      <c r="D1766" s="1178">
        <v>0</v>
      </c>
      <c r="E1766" s="1178">
        <v>1</v>
      </c>
      <c r="F1766" s="1179">
        <v>1</v>
      </c>
      <c r="G1766" s="1189" t="s">
        <v>6446</v>
      </c>
      <c r="H1766" s="1176">
        <v>0</v>
      </c>
      <c r="I1766" s="1176">
        <v>1</v>
      </c>
      <c r="J1766" s="1190">
        <v>1</v>
      </c>
      <c r="K1766" s="1180"/>
      <c r="L1766" s="1174">
        <v>13179010202</v>
      </c>
      <c r="M1766" s="1175">
        <v>0</v>
      </c>
      <c r="N1766" s="1175">
        <v>1</v>
      </c>
      <c r="O1766" s="1176">
        <v>1</v>
      </c>
      <c r="AA1766"/>
      <c r="AB1766"/>
    </row>
    <row r="1767" spans="3:28" ht="13.5">
      <c r="C1767" s="1181" t="s">
        <v>6447</v>
      </c>
      <c r="D1767" s="1178">
        <v>0</v>
      </c>
      <c r="E1767" s="1178">
        <v>0</v>
      </c>
      <c r="F1767" s="1179">
        <v>0</v>
      </c>
      <c r="G1767" s="1189" t="s">
        <v>6447</v>
      </c>
      <c r="H1767" s="1176">
        <v>0</v>
      </c>
      <c r="I1767" s="1176">
        <v>0</v>
      </c>
      <c r="J1767" s="1190">
        <v>0</v>
      </c>
      <c r="K1767" s="1180"/>
      <c r="L1767" s="1174">
        <v>13179010204</v>
      </c>
      <c r="M1767" s="1175">
        <v>0</v>
      </c>
      <c r="N1767" s="1175">
        <v>0</v>
      </c>
      <c r="O1767" s="1176">
        <v>0</v>
      </c>
      <c r="AA1767"/>
      <c r="AB1767"/>
    </row>
    <row r="1768" spans="3:28" ht="13.5">
      <c r="C1768" s="1181" t="s">
        <v>6448</v>
      </c>
      <c r="D1768" s="1178">
        <v>0</v>
      </c>
      <c r="E1768" s="1178">
        <v>1</v>
      </c>
      <c r="F1768" s="1179">
        <v>1</v>
      </c>
      <c r="G1768" s="1189" t="s">
        <v>6448</v>
      </c>
      <c r="H1768" s="1176">
        <v>0</v>
      </c>
      <c r="I1768" s="1176">
        <v>0</v>
      </c>
      <c r="J1768" s="1190">
        <v>0</v>
      </c>
      <c r="K1768" s="1180"/>
      <c r="L1768" s="1174">
        <v>13179010205</v>
      </c>
      <c r="M1768" s="1175">
        <v>0</v>
      </c>
      <c r="N1768" s="1175">
        <v>1</v>
      </c>
      <c r="O1768" s="1176">
        <v>1</v>
      </c>
      <c r="AA1768"/>
      <c r="AB1768"/>
    </row>
    <row r="1769" spans="3:28" ht="13.5">
      <c r="C1769" s="1181" t="s">
        <v>6449</v>
      </c>
      <c r="D1769" s="1178">
        <v>0</v>
      </c>
      <c r="E1769" s="1178">
        <v>1</v>
      </c>
      <c r="F1769" s="1179">
        <v>1</v>
      </c>
      <c r="G1769" s="1189" t="s">
        <v>6449</v>
      </c>
      <c r="H1769" s="1176">
        <v>0</v>
      </c>
      <c r="I1769" s="1176">
        <v>1</v>
      </c>
      <c r="J1769" s="1190">
        <v>1</v>
      </c>
      <c r="K1769" s="1180"/>
      <c r="L1769" s="1174">
        <v>13179010206</v>
      </c>
      <c r="M1769" s="1175">
        <v>0</v>
      </c>
      <c r="N1769" s="1175">
        <v>1</v>
      </c>
      <c r="O1769" s="1176">
        <v>1</v>
      </c>
      <c r="AA1769"/>
      <c r="AB1769"/>
    </row>
    <row r="1770" spans="3:28" ht="13.5">
      <c r="C1770" s="1181" t="s">
        <v>6450</v>
      </c>
      <c r="D1770" s="1178">
        <v>0</v>
      </c>
      <c r="E1770" s="1178">
        <v>0</v>
      </c>
      <c r="F1770" s="1179">
        <v>0</v>
      </c>
      <c r="G1770" s="1189" t="s">
        <v>6450</v>
      </c>
      <c r="H1770" s="1176">
        <v>0</v>
      </c>
      <c r="I1770" s="1176">
        <v>0</v>
      </c>
      <c r="J1770" s="1190">
        <v>0</v>
      </c>
      <c r="K1770" s="1180"/>
      <c r="L1770" s="1174">
        <v>13179010207</v>
      </c>
      <c r="M1770" s="1175">
        <v>0</v>
      </c>
      <c r="N1770" s="1175">
        <v>0</v>
      </c>
      <c r="O1770" s="1176">
        <v>0</v>
      </c>
      <c r="AA1770"/>
      <c r="AB1770"/>
    </row>
    <row r="1771" spans="3:28" ht="13.5">
      <c r="C1771" s="1181" t="s">
        <v>6451</v>
      </c>
      <c r="D1771" s="1178">
        <v>0</v>
      </c>
      <c r="E1771" s="1178">
        <v>1</v>
      </c>
      <c r="F1771" s="1179">
        <v>1</v>
      </c>
      <c r="G1771" s="1189" t="s">
        <v>6451</v>
      </c>
      <c r="H1771" s="1176">
        <v>0</v>
      </c>
      <c r="I1771" s="1176" t="s">
        <v>4455</v>
      </c>
      <c r="J1771" s="1190">
        <v>0</v>
      </c>
      <c r="K1771" s="1180"/>
      <c r="L1771" s="1174">
        <v>13179010208</v>
      </c>
      <c r="M1771" s="1175">
        <v>0</v>
      </c>
      <c r="N1771" s="1175">
        <v>1</v>
      </c>
      <c r="O1771" s="1176">
        <v>1</v>
      </c>
      <c r="AA1771"/>
      <c r="AB1771"/>
    </row>
    <row r="1772" spans="3:28" ht="13.5">
      <c r="C1772" s="1181" t="s">
        <v>6452</v>
      </c>
      <c r="D1772" s="1178">
        <v>0</v>
      </c>
      <c r="E1772" s="1178">
        <v>1</v>
      </c>
      <c r="F1772" s="1179">
        <v>1</v>
      </c>
      <c r="G1772" s="1189" t="s">
        <v>6452</v>
      </c>
      <c r="H1772" s="1176">
        <v>0</v>
      </c>
      <c r="I1772" s="1176">
        <v>1</v>
      </c>
      <c r="J1772" s="1190">
        <v>1</v>
      </c>
      <c r="K1772" s="1180"/>
      <c r="L1772" s="1174">
        <v>13179010300</v>
      </c>
      <c r="M1772" s="1175">
        <v>0</v>
      </c>
      <c r="N1772" s="1175">
        <v>1</v>
      </c>
      <c r="O1772" s="1176">
        <v>1</v>
      </c>
      <c r="AA1772"/>
      <c r="AB1772"/>
    </row>
    <row r="1773" spans="3:28" ht="13.5">
      <c r="C1773" s="1181" t="s">
        <v>6453</v>
      </c>
      <c r="D1773" s="1178">
        <v>0</v>
      </c>
      <c r="E1773" s="1178">
        <v>0</v>
      </c>
      <c r="F1773" s="1179">
        <v>0</v>
      </c>
      <c r="G1773" s="1189" t="s">
        <v>6453</v>
      </c>
      <c r="H1773" s="1176">
        <v>0</v>
      </c>
      <c r="I1773" s="1176">
        <v>0</v>
      </c>
      <c r="J1773" s="1190">
        <v>0</v>
      </c>
      <c r="K1773" s="1180"/>
      <c r="L1773" s="1174">
        <v>13179010400</v>
      </c>
      <c r="M1773" s="1175">
        <v>0</v>
      </c>
      <c r="N1773" s="1175">
        <v>0</v>
      </c>
      <c r="O1773" s="1176">
        <v>0</v>
      </c>
      <c r="AA1773"/>
      <c r="AB1773"/>
    </row>
    <row r="1774" spans="3:28" ht="13.5">
      <c r="C1774" s="1181" t="s">
        <v>6454</v>
      </c>
      <c r="D1774" s="1178">
        <v>1</v>
      </c>
      <c r="E1774" s="1178">
        <v>1</v>
      </c>
      <c r="F1774" s="1179">
        <v>2</v>
      </c>
      <c r="G1774" s="1189" t="s">
        <v>6454</v>
      </c>
      <c r="H1774" s="1176">
        <v>0</v>
      </c>
      <c r="I1774" s="1176">
        <v>0</v>
      </c>
      <c r="J1774" s="1190">
        <v>0</v>
      </c>
      <c r="K1774" s="1180"/>
      <c r="L1774" s="1174">
        <v>13179010501</v>
      </c>
      <c r="M1774" s="1175">
        <v>1</v>
      </c>
      <c r="N1774" s="1175">
        <v>1</v>
      </c>
      <c r="O1774" s="1176">
        <v>2</v>
      </c>
      <c r="AA1774"/>
      <c r="AB1774"/>
    </row>
    <row r="1775" spans="3:28" ht="13.5">
      <c r="C1775" s="1181" t="s">
        <v>6455</v>
      </c>
      <c r="D1775" s="1178">
        <v>0</v>
      </c>
      <c r="E1775" s="1178">
        <v>0</v>
      </c>
      <c r="F1775" s="1179">
        <v>0</v>
      </c>
      <c r="G1775" s="1189" t="s">
        <v>6455</v>
      </c>
      <c r="H1775" s="1176">
        <v>0</v>
      </c>
      <c r="I1775" s="1176">
        <v>0</v>
      </c>
      <c r="J1775" s="1190">
        <v>0</v>
      </c>
      <c r="K1775" s="1180"/>
      <c r="L1775" s="1174">
        <v>13179010502</v>
      </c>
      <c r="M1775" s="1175">
        <v>0</v>
      </c>
      <c r="N1775" s="1175">
        <v>0</v>
      </c>
      <c r="O1775" s="1176">
        <v>0</v>
      </c>
      <c r="AA1775"/>
      <c r="AB1775"/>
    </row>
    <row r="1776" spans="3:28" ht="13.5">
      <c r="C1776" s="1181" t="s">
        <v>6456</v>
      </c>
      <c r="D1776" s="1178">
        <v>0</v>
      </c>
      <c r="E1776" s="1178">
        <v>0</v>
      </c>
      <c r="F1776" s="1179">
        <v>0</v>
      </c>
      <c r="G1776" s="1189" t="s">
        <v>6456</v>
      </c>
      <c r="H1776" s="1176">
        <v>0</v>
      </c>
      <c r="I1776" s="1176">
        <v>0</v>
      </c>
      <c r="J1776" s="1190">
        <v>0</v>
      </c>
      <c r="K1776" s="1180"/>
      <c r="L1776" s="1174">
        <v>13179010600</v>
      </c>
      <c r="M1776" s="1175">
        <v>0</v>
      </c>
      <c r="N1776" s="1175">
        <v>0</v>
      </c>
      <c r="O1776" s="1176">
        <v>0</v>
      </c>
      <c r="AA1776"/>
      <c r="AB1776"/>
    </row>
    <row r="1777" spans="3:28" ht="13.5">
      <c r="C1777" s="1181" t="s">
        <v>6457</v>
      </c>
      <c r="D1777" s="1178" t="s">
        <v>4455</v>
      </c>
      <c r="E1777" s="1178" t="s">
        <v>4455</v>
      </c>
      <c r="F1777" s="1179">
        <v>0</v>
      </c>
      <c r="G1777" s="1189" t="s">
        <v>6457</v>
      </c>
      <c r="H1777" s="1176" t="s">
        <v>4455</v>
      </c>
      <c r="I1777" s="1176" t="s">
        <v>4455</v>
      </c>
      <c r="J1777" s="1190">
        <v>0</v>
      </c>
      <c r="K1777" s="1180"/>
      <c r="L1777" s="1174">
        <v>13179990000</v>
      </c>
      <c r="M1777" s="1175">
        <v>0</v>
      </c>
      <c r="N1777" s="1175">
        <v>0</v>
      </c>
      <c r="O1777" s="1176">
        <v>0</v>
      </c>
      <c r="AA1777"/>
      <c r="AB1777"/>
    </row>
    <row r="1778" spans="3:28" ht="13.5">
      <c r="C1778" s="1181" t="s">
        <v>6458</v>
      </c>
      <c r="D1778" s="1178">
        <v>0</v>
      </c>
      <c r="E1778" s="1178">
        <v>0</v>
      </c>
      <c r="F1778" s="1179">
        <v>0</v>
      </c>
      <c r="G1778" s="1189" t="s">
        <v>6458</v>
      </c>
      <c r="H1778" s="1176">
        <v>0</v>
      </c>
      <c r="I1778" s="1176">
        <v>1</v>
      </c>
      <c r="J1778" s="1190">
        <v>1</v>
      </c>
      <c r="K1778" s="1180"/>
      <c r="L1778" s="1174">
        <v>13181970100</v>
      </c>
      <c r="M1778" s="1175">
        <v>0</v>
      </c>
      <c r="N1778" s="1175">
        <v>1</v>
      </c>
      <c r="O1778" s="1176">
        <v>1</v>
      </c>
      <c r="AA1778"/>
      <c r="AB1778"/>
    </row>
    <row r="1779" spans="3:28" ht="13.5">
      <c r="C1779" s="1181" t="s">
        <v>6459</v>
      </c>
      <c r="D1779" s="1178">
        <v>0</v>
      </c>
      <c r="E1779" s="1178">
        <v>0</v>
      </c>
      <c r="F1779" s="1179">
        <v>0</v>
      </c>
      <c r="G1779" s="1189" t="s">
        <v>6459</v>
      </c>
      <c r="H1779" s="1176">
        <v>0</v>
      </c>
      <c r="I1779" s="1176">
        <v>0</v>
      </c>
      <c r="J1779" s="1190">
        <v>0</v>
      </c>
      <c r="K1779" s="1180"/>
      <c r="L1779" s="1174">
        <v>13181970200</v>
      </c>
      <c r="M1779" s="1175">
        <v>0</v>
      </c>
      <c r="N1779" s="1175">
        <v>0</v>
      </c>
      <c r="O1779" s="1176">
        <v>0</v>
      </c>
      <c r="AA1779"/>
      <c r="AB1779"/>
    </row>
    <row r="1780" spans="3:28" ht="13.5">
      <c r="C1780" s="1181" t="s">
        <v>6460</v>
      </c>
      <c r="D1780" s="1178">
        <v>0</v>
      </c>
      <c r="E1780" s="1178">
        <v>0</v>
      </c>
      <c r="F1780" s="1179">
        <v>0</v>
      </c>
      <c r="G1780" s="1189" t="s">
        <v>6460</v>
      </c>
      <c r="H1780" s="1176">
        <v>0</v>
      </c>
      <c r="I1780" s="1176">
        <v>0</v>
      </c>
      <c r="J1780" s="1190">
        <v>0</v>
      </c>
      <c r="K1780" s="1180"/>
      <c r="L1780" s="1174">
        <v>13183970100</v>
      </c>
      <c r="M1780" s="1175">
        <v>0</v>
      </c>
      <c r="N1780" s="1175">
        <v>0</v>
      </c>
      <c r="O1780" s="1176">
        <v>0</v>
      </c>
      <c r="AA1780"/>
      <c r="AB1780"/>
    </row>
    <row r="1781" spans="3:28" ht="13.5">
      <c r="C1781" s="1181" t="s">
        <v>6461</v>
      </c>
      <c r="D1781" s="1178">
        <v>0</v>
      </c>
      <c r="E1781" s="1178">
        <v>0</v>
      </c>
      <c r="F1781" s="1179">
        <v>0</v>
      </c>
      <c r="G1781" s="1189" t="s">
        <v>6461</v>
      </c>
      <c r="H1781" s="1176">
        <v>0</v>
      </c>
      <c r="I1781" s="1176">
        <v>1</v>
      </c>
      <c r="J1781" s="1190">
        <v>1</v>
      </c>
      <c r="K1781" s="1180"/>
      <c r="L1781" s="1174">
        <v>13183970200</v>
      </c>
      <c r="M1781" s="1175">
        <v>0</v>
      </c>
      <c r="N1781" s="1175">
        <v>1</v>
      </c>
      <c r="O1781" s="1176">
        <v>1</v>
      </c>
      <c r="AA1781"/>
      <c r="AB1781"/>
    </row>
    <row r="1782" spans="3:28" ht="13.5">
      <c r="C1782" s="1181" t="s">
        <v>6462</v>
      </c>
      <c r="D1782" s="1178" t="s">
        <v>4455</v>
      </c>
      <c r="E1782" s="1178" t="s">
        <v>4455</v>
      </c>
      <c r="F1782" s="1179">
        <v>0</v>
      </c>
      <c r="G1782" s="1189" t="s">
        <v>6462</v>
      </c>
      <c r="H1782" s="1176" t="s">
        <v>4455</v>
      </c>
      <c r="I1782" s="1176" t="s">
        <v>4455</v>
      </c>
      <c r="J1782" s="1190">
        <v>0</v>
      </c>
      <c r="K1782" s="1180"/>
      <c r="L1782" s="1174">
        <v>13183980000</v>
      </c>
      <c r="M1782" s="1175">
        <v>0</v>
      </c>
      <c r="N1782" s="1175">
        <v>0</v>
      </c>
      <c r="O1782" s="1176">
        <v>0</v>
      </c>
      <c r="AA1782"/>
      <c r="AB1782"/>
    </row>
    <row r="1783" spans="3:28" ht="13.5">
      <c r="C1783" s="1181" t="s">
        <v>6463</v>
      </c>
      <c r="D1783" s="1178">
        <v>0</v>
      </c>
      <c r="E1783" s="1178">
        <v>1</v>
      </c>
      <c r="F1783" s="1179">
        <v>1</v>
      </c>
      <c r="G1783" s="1189" t="s">
        <v>6463</v>
      </c>
      <c r="H1783" s="1176">
        <v>0</v>
      </c>
      <c r="I1783" s="1176">
        <v>0</v>
      </c>
      <c r="J1783" s="1190">
        <v>0</v>
      </c>
      <c r="K1783" s="1180"/>
      <c r="L1783" s="1174">
        <v>13185010101</v>
      </c>
      <c r="M1783" s="1175">
        <v>0</v>
      </c>
      <c r="N1783" s="1175">
        <v>1</v>
      </c>
      <c r="O1783" s="1176">
        <v>1</v>
      </c>
      <c r="AA1783"/>
      <c r="AB1783"/>
    </row>
    <row r="1784" spans="3:28" ht="13.5">
      <c r="C1784" s="1181" t="s">
        <v>6464</v>
      </c>
      <c r="D1784" s="1178">
        <v>0</v>
      </c>
      <c r="E1784" s="1178">
        <v>1</v>
      </c>
      <c r="F1784" s="1179">
        <v>1</v>
      </c>
      <c r="G1784" s="1189" t="s">
        <v>6464</v>
      </c>
      <c r="H1784" s="1176">
        <v>0</v>
      </c>
      <c r="I1784" s="1176">
        <v>1</v>
      </c>
      <c r="J1784" s="1190">
        <v>1</v>
      </c>
      <c r="K1784" s="1180"/>
      <c r="L1784" s="1174">
        <v>13185010102</v>
      </c>
      <c r="M1784" s="1175">
        <v>0</v>
      </c>
      <c r="N1784" s="1175">
        <v>1</v>
      </c>
      <c r="O1784" s="1176">
        <v>1</v>
      </c>
      <c r="AA1784"/>
      <c r="AB1784"/>
    </row>
    <row r="1785" spans="3:28" ht="13.5">
      <c r="C1785" s="1181" t="s">
        <v>6465</v>
      </c>
      <c r="D1785" s="1178">
        <v>1</v>
      </c>
      <c r="E1785" s="1178">
        <v>1</v>
      </c>
      <c r="F1785" s="1179">
        <v>2</v>
      </c>
      <c r="G1785" s="1189" t="s">
        <v>6465</v>
      </c>
      <c r="H1785" s="1176">
        <v>1</v>
      </c>
      <c r="I1785" s="1176">
        <v>1</v>
      </c>
      <c r="J1785" s="1190">
        <v>2</v>
      </c>
      <c r="K1785" s="1180"/>
      <c r="L1785" s="1174">
        <v>13185010103</v>
      </c>
      <c r="M1785" s="1175">
        <v>1</v>
      </c>
      <c r="N1785" s="1175">
        <v>1</v>
      </c>
      <c r="O1785" s="1176">
        <v>2</v>
      </c>
      <c r="AA1785"/>
      <c r="AB1785"/>
    </row>
    <row r="1786" spans="3:28" ht="13.5">
      <c r="C1786" s="1181" t="s">
        <v>6466</v>
      </c>
      <c r="D1786" s="1178">
        <v>0</v>
      </c>
      <c r="E1786" s="1178">
        <v>1</v>
      </c>
      <c r="F1786" s="1179">
        <v>1</v>
      </c>
      <c r="G1786" s="1189" t="s">
        <v>6466</v>
      </c>
      <c r="H1786" s="1176">
        <v>0</v>
      </c>
      <c r="I1786" s="1176">
        <v>1</v>
      </c>
      <c r="J1786" s="1190">
        <v>1</v>
      </c>
      <c r="K1786" s="1180"/>
      <c r="L1786" s="1174">
        <v>13185010201</v>
      </c>
      <c r="M1786" s="1175">
        <v>0</v>
      </c>
      <c r="N1786" s="1175">
        <v>1</v>
      </c>
      <c r="O1786" s="1176">
        <v>1</v>
      </c>
      <c r="AA1786"/>
      <c r="AB1786"/>
    </row>
    <row r="1787" spans="3:28" ht="13.5">
      <c r="C1787" s="1181" t="s">
        <v>6467</v>
      </c>
      <c r="D1787" s="1178">
        <v>1</v>
      </c>
      <c r="E1787" s="1178">
        <v>1</v>
      </c>
      <c r="F1787" s="1179">
        <v>2</v>
      </c>
      <c r="G1787" s="1189" t="s">
        <v>6467</v>
      </c>
      <c r="H1787" s="1176">
        <v>1</v>
      </c>
      <c r="I1787" s="1176">
        <v>1</v>
      </c>
      <c r="J1787" s="1190">
        <v>2</v>
      </c>
      <c r="K1787" s="1180"/>
      <c r="L1787" s="1174">
        <v>13185010202</v>
      </c>
      <c r="M1787" s="1175">
        <v>1</v>
      </c>
      <c r="N1787" s="1175">
        <v>1</v>
      </c>
      <c r="O1787" s="1176">
        <v>2</v>
      </c>
      <c r="AA1787"/>
      <c r="AB1787"/>
    </row>
    <row r="1788" spans="3:28" ht="13.5">
      <c r="C1788" s="1181" t="s">
        <v>6468</v>
      </c>
      <c r="D1788" s="1178">
        <v>1</v>
      </c>
      <c r="E1788" s="1178">
        <v>1</v>
      </c>
      <c r="F1788" s="1179">
        <v>2</v>
      </c>
      <c r="G1788" s="1189" t="s">
        <v>6468</v>
      </c>
      <c r="H1788" s="1176">
        <v>1</v>
      </c>
      <c r="I1788" s="1176">
        <v>1</v>
      </c>
      <c r="J1788" s="1190">
        <v>2</v>
      </c>
      <c r="K1788" s="1180"/>
      <c r="L1788" s="1174">
        <v>13185010301</v>
      </c>
      <c r="M1788" s="1175">
        <v>1</v>
      </c>
      <c r="N1788" s="1175">
        <v>1</v>
      </c>
      <c r="O1788" s="1176">
        <v>2</v>
      </c>
      <c r="AA1788"/>
      <c r="AB1788"/>
    </row>
    <row r="1789" spans="3:28" ht="13.5">
      <c r="C1789" s="1181" t="s">
        <v>6469</v>
      </c>
      <c r="D1789" s="1178">
        <v>1</v>
      </c>
      <c r="E1789" s="1178">
        <v>1</v>
      </c>
      <c r="F1789" s="1179">
        <v>2</v>
      </c>
      <c r="G1789" s="1189" t="s">
        <v>6469</v>
      </c>
      <c r="H1789" s="1176">
        <v>1</v>
      </c>
      <c r="I1789" s="1176">
        <v>1</v>
      </c>
      <c r="J1789" s="1190">
        <v>2</v>
      </c>
      <c r="K1789" s="1180"/>
      <c r="L1789" s="1174">
        <v>13185010302</v>
      </c>
      <c r="M1789" s="1175">
        <v>1</v>
      </c>
      <c r="N1789" s="1175">
        <v>1</v>
      </c>
      <c r="O1789" s="1176">
        <v>2</v>
      </c>
      <c r="AA1789"/>
      <c r="AB1789"/>
    </row>
    <row r="1790" spans="3:28" ht="13.5">
      <c r="C1790" s="1181" t="s">
        <v>6470</v>
      </c>
      <c r="D1790" s="1178">
        <v>1</v>
      </c>
      <c r="E1790" s="1178">
        <v>1</v>
      </c>
      <c r="F1790" s="1179">
        <v>2</v>
      </c>
      <c r="G1790" s="1189" t="s">
        <v>6470</v>
      </c>
      <c r="H1790" s="1176">
        <v>1</v>
      </c>
      <c r="I1790" s="1176">
        <v>1</v>
      </c>
      <c r="J1790" s="1190">
        <v>2</v>
      </c>
      <c r="K1790" s="1180"/>
      <c r="L1790" s="1174">
        <v>13185010401</v>
      </c>
      <c r="M1790" s="1175">
        <v>1</v>
      </c>
      <c r="N1790" s="1175">
        <v>1</v>
      </c>
      <c r="O1790" s="1176">
        <v>2</v>
      </c>
      <c r="AA1790"/>
      <c r="AB1790"/>
    </row>
    <row r="1791" spans="3:28" ht="13.5">
      <c r="C1791" s="1181" t="s">
        <v>6471</v>
      </c>
      <c r="D1791" s="1178">
        <v>0</v>
      </c>
      <c r="E1791" s="1178">
        <v>0</v>
      </c>
      <c r="F1791" s="1179">
        <v>0</v>
      </c>
      <c r="G1791" s="1189" t="s">
        <v>6471</v>
      </c>
      <c r="H1791" s="1176">
        <v>0</v>
      </c>
      <c r="I1791" s="1176">
        <v>0</v>
      </c>
      <c r="J1791" s="1190">
        <v>0</v>
      </c>
      <c r="K1791" s="1180"/>
      <c r="L1791" s="1174">
        <v>13185010402</v>
      </c>
      <c r="M1791" s="1175">
        <v>0</v>
      </c>
      <c r="N1791" s="1175">
        <v>0</v>
      </c>
      <c r="O1791" s="1176">
        <v>0</v>
      </c>
      <c r="AA1791"/>
      <c r="AB1791"/>
    </row>
    <row r="1792" spans="3:28" ht="13.5">
      <c r="C1792" s="1181" t="s">
        <v>6472</v>
      </c>
      <c r="D1792" s="1178">
        <v>0</v>
      </c>
      <c r="E1792" s="1178">
        <v>0</v>
      </c>
      <c r="F1792" s="1179">
        <v>0</v>
      </c>
      <c r="G1792" s="1189" t="s">
        <v>6472</v>
      </c>
      <c r="H1792" s="1176">
        <v>0</v>
      </c>
      <c r="I1792" s="1176">
        <v>0</v>
      </c>
      <c r="J1792" s="1190">
        <v>0</v>
      </c>
      <c r="K1792" s="1180"/>
      <c r="L1792" s="1174">
        <v>13185010500</v>
      </c>
      <c r="M1792" s="1175">
        <v>0</v>
      </c>
      <c r="N1792" s="1175">
        <v>0</v>
      </c>
      <c r="O1792" s="1176">
        <v>0</v>
      </c>
      <c r="AA1792"/>
      <c r="AB1792"/>
    </row>
    <row r="1793" spans="3:28" ht="13.5">
      <c r="C1793" s="1181" t="s">
        <v>6473</v>
      </c>
      <c r="D1793" s="1178">
        <v>0</v>
      </c>
      <c r="E1793" s="1178">
        <v>0</v>
      </c>
      <c r="F1793" s="1179">
        <v>0</v>
      </c>
      <c r="G1793" s="1189" t="s">
        <v>6473</v>
      </c>
      <c r="H1793" s="1176">
        <v>0</v>
      </c>
      <c r="I1793" s="1176">
        <v>1</v>
      </c>
      <c r="J1793" s="1190">
        <v>1</v>
      </c>
      <c r="K1793" s="1180"/>
      <c r="L1793" s="1174">
        <v>13185010601</v>
      </c>
      <c r="M1793" s="1175">
        <v>0</v>
      </c>
      <c r="N1793" s="1175">
        <v>1</v>
      </c>
      <c r="O1793" s="1176">
        <v>1</v>
      </c>
      <c r="AA1793"/>
      <c r="AB1793"/>
    </row>
    <row r="1794" spans="3:28" ht="13.5">
      <c r="C1794" s="1181" t="s">
        <v>6474</v>
      </c>
      <c r="D1794" s="1178">
        <v>1</v>
      </c>
      <c r="E1794" s="1178">
        <v>1</v>
      </c>
      <c r="F1794" s="1179">
        <v>2</v>
      </c>
      <c r="G1794" s="1189" t="s">
        <v>6474</v>
      </c>
      <c r="H1794" s="1176">
        <v>1</v>
      </c>
      <c r="I1794" s="1176">
        <v>1</v>
      </c>
      <c r="J1794" s="1190">
        <v>2</v>
      </c>
      <c r="K1794" s="1180"/>
      <c r="L1794" s="1174">
        <v>13185010604</v>
      </c>
      <c r="M1794" s="1175">
        <v>1</v>
      </c>
      <c r="N1794" s="1175">
        <v>1</v>
      </c>
      <c r="O1794" s="1176">
        <v>2</v>
      </c>
      <c r="AA1794"/>
      <c r="AB1794"/>
    </row>
    <row r="1795" spans="3:28" ht="13.5">
      <c r="C1795" s="1181" t="s">
        <v>6475</v>
      </c>
      <c r="D1795" s="1178">
        <v>0</v>
      </c>
      <c r="E1795" s="1178">
        <v>0</v>
      </c>
      <c r="F1795" s="1179">
        <v>0</v>
      </c>
      <c r="G1795" s="1189" t="s">
        <v>6475</v>
      </c>
      <c r="H1795" s="1176">
        <v>0</v>
      </c>
      <c r="I1795" s="1176">
        <v>0</v>
      </c>
      <c r="J1795" s="1190">
        <v>0</v>
      </c>
      <c r="K1795" s="1180"/>
      <c r="L1795" s="1174">
        <v>13185010700</v>
      </c>
      <c r="M1795" s="1175">
        <v>0</v>
      </c>
      <c r="N1795" s="1175">
        <v>0</v>
      </c>
      <c r="O1795" s="1176">
        <v>0</v>
      </c>
      <c r="AA1795"/>
      <c r="AB1795"/>
    </row>
    <row r="1796" spans="3:28" ht="13.5">
      <c r="C1796" s="1181" t="s">
        <v>6476</v>
      </c>
      <c r="D1796" s="1178">
        <v>0</v>
      </c>
      <c r="E1796" s="1178">
        <v>0</v>
      </c>
      <c r="F1796" s="1179">
        <v>0</v>
      </c>
      <c r="G1796" s="1189" t="s">
        <v>6476</v>
      </c>
      <c r="H1796" s="1176">
        <v>0</v>
      </c>
      <c r="I1796" s="1176">
        <v>0</v>
      </c>
      <c r="J1796" s="1190">
        <v>0</v>
      </c>
      <c r="K1796" s="1180"/>
      <c r="L1796" s="1174">
        <v>13185010800</v>
      </c>
      <c r="M1796" s="1175">
        <v>0</v>
      </c>
      <c r="N1796" s="1175">
        <v>0</v>
      </c>
      <c r="O1796" s="1176">
        <v>0</v>
      </c>
      <c r="AA1796"/>
      <c r="AB1796"/>
    </row>
    <row r="1797" spans="3:28" ht="13.5">
      <c r="C1797" s="1181" t="s">
        <v>6477</v>
      </c>
      <c r="D1797" s="1178">
        <v>0</v>
      </c>
      <c r="E1797" s="1178">
        <v>0</v>
      </c>
      <c r="F1797" s="1179">
        <v>0</v>
      </c>
      <c r="G1797" s="1189" t="s">
        <v>6477</v>
      </c>
      <c r="H1797" s="1176">
        <v>0</v>
      </c>
      <c r="I1797" s="1176">
        <v>0</v>
      </c>
      <c r="J1797" s="1190">
        <v>0</v>
      </c>
      <c r="K1797" s="1180"/>
      <c r="L1797" s="1174">
        <v>13185010900</v>
      </c>
      <c r="M1797" s="1175">
        <v>0</v>
      </c>
      <c r="N1797" s="1175">
        <v>0</v>
      </c>
      <c r="O1797" s="1176">
        <v>0</v>
      </c>
      <c r="AA1797"/>
      <c r="AB1797"/>
    </row>
    <row r="1798" spans="3:28" ht="13.5">
      <c r="C1798" s="1181" t="s">
        <v>6478</v>
      </c>
      <c r="D1798" s="1178">
        <v>0</v>
      </c>
      <c r="E1798" s="1178">
        <v>0</v>
      </c>
      <c r="F1798" s="1179">
        <v>0</v>
      </c>
      <c r="G1798" s="1189" t="s">
        <v>6478</v>
      </c>
      <c r="H1798" s="1176">
        <v>0</v>
      </c>
      <c r="I1798" s="1176">
        <v>0</v>
      </c>
      <c r="J1798" s="1190">
        <v>0</v>
      </c>
      <c r="K1798" s="1180"/>
      <c r="L1798" s="1174">
        <v>13185011000</v>
      </c>
      <c r="M1798" s="1175">
        <v>0</v>
      </c>
      <c r="N1798" s="1175">
        <v>0</v>
      </c>
      <c r="O1798" s="1176">
        <v>0</v>
      </c>
      <c r="AA1798"/>
      <c r="AB1798"/>
    </row>
    <row r="1799" spans="3:28" ht="13.5">
      <c r="C1799" s="1181" t="s">
        <v>6479</v>
      </c>
      <c r="D1799" s="1178">
        <v>0</v>
      </c>
      <c r="E1799" s="1178">
        <v>0</v>
      </c>
      <c r="F1799" s="1179">
        <v>0</v>
      </c>
      <c r="G1799" s="1189" t="s">
        <v>6479</v>
      </c>
      <c r="H1799" s="1176">
        <v>0</v>
      </c>
      <c r="I1799" s="1176">
        <v>1</v>
      </c>
      <c r="J1799" s="1190">
        <v>1</v>
      </c>
      <c r="K1799" s="1180"/>
      <c r="L1799" s="1174">
        <v>13185011100</v>
      </c>
      <c r="M1799" s="1175">
        <v>0</v>
      </c>
      <c r="N1799" s="1175">
        <v>1</v>
      </c>
      <c r="O1799" s="1176">
        <v>1</v>
      </c>
      <c r="AA1799"/>
      <c r="AB1799"/>
    </row>
    <row r="1800" spans="3:28" ht="13.5">
      <c r="C1800" s="1181" t="s">
        <v>6480</v>
      </c>
      <c r="D1800" s="1178">
        <v>0</v>
      </c>
      <c r="E1800" s="1178">
        <v>0</v>
      </c>
      <c r="F1800" s="1179">
        <v>0</v>
      </c>
      <c r="G1800" s="1189" t="s">
        <v>6480</v>
      </c>
      <c r="H1800" s="1176">
        <v>0</v>
      </c>
      <c r="I1800" s="1176">
        <v>0</v>
      </c>
      <c r="J1800" s="1190">
        <v>0</v>
      </c>
      <c r="K1800" s="1180"/>
      <c r="L1800" s="1174">
        <v>13185011200</v>
      </c>
      <c r="M1800" s="1175">
        <v>0</v>
      </c>
      <c r="N1800" s="1175">
        <v>0</v>
      </c>
      <c r="O1800" s="1176">
        <v>0</v>
      </c>
      <c r="AA1800"/>
      <c r="AB1800"/>
    </row>
    <row r="1801" spans="3:28" ht="13.5">
      <c r="C1801" s="1181" t="s">
        <v>6481</v>
      </c>
      <c r="D1801" s="1178">
        <v>0</v>
      </c>
      <c r="E1801" s="1178">
        <v>0</v>
      </c>
      <c r="F1801" s="1179">
        <v>0</v>
      </c>
      <c r="G1801" s="1189" t="s">
        <v>6481</v>
      </c>
      <c r="H1801" s="1176">
        <v>0</v>
      </c>
      <c r="I1801" s="1176">
        <v>0</v>
      </c>
      <c r="J1801" s="1190">
        <v>0</v>
      </c>
      <c r="K1801" s="1180"/>
      <c r="L1801" s="1174">
        <v>13185011301</v>
      </c>
      <c r="M1801" s="1175">
        <v>0</v>
      </c>
      <c r="N1801" s="1175">
        <v>0</v>
      </c>
      <c r="O1801" s="1176">
        <v>0</v>
      </c>
      <c r="AA1801"/>
      <c r="AB1801"/>
    </row>
    <row r="1802" spans="3:28" ht="13.5">
      <c r="C1802" s="1181" t="s">
        <v>6482</v>
      </c>
      <c r="D1802" s="1178">
        <v>0</v>
      </c>
      <c r="E1802" s="1178">
        <v>0</v>
      </c>
      <c r="F1802" s="1179">
        <v>0</v>
      </c>
      <c r="G1802" s="1189" t="s">
        <v>6482</v>
      </c>
      <c r="H1802" s="1176">
        <v>0</v>
      </c>
      <c r="I1802" s="1176">
        <v>0</v>
      </c>
      <c r="J1802" s="1190">
        <v>0</v>
      </c>
      <c r="K1802" s="1180"/>
      <c r="L1802" s="1174">
        <v>13185011302</v>
      </c>
      <c r="M1802" s="1175">
        <v>0</v>
      </c>
      <c r="N1802" s="1175">
        <v>0</v>
      </c>
      <c r="O1802" s="1176">
        <v>0</v>
      </c>
      <c r="AA1802"/>
      <c r="AB1802"/>
    </row>
    <row r="1803" spans="3:28" ht="13.5">
      <c r="C1803" s="1181" t="s">
        <v>6483</v>
      </c>
      <c r="D1803" s="1178">
        <v>0</v>
      </c>
      <c r="E1803" s="1178">
        <v>0</v>
      </c>
      <c r="F1803" s="1179">
        <v>0</v>
      </c>
      <c r="G1803" s="1189" t="s">
        <v>6483</v>
      </c>
      <c r="H1803" s="1176">
        <v>0</v>
      </c>
      <c r="I1803" s="1176">
        <v>1</v>
      </c>
      <c r="J1803" s="1190">
        <v>1</v>
      </c>
      <c r="K1803" s="1180"/>
      <c r="L1803" s="1174">
        <v>13185011401</v>
      </c>
      <c r="M1803" s="1175">
        <v>0</v>
      </c>
      <c r="N1803" s="1175">
        <v>1</v>
      </c>
      <c r="O1803" s="1176">
        <v>1</v>
      </c>
      <c r="AA1803"/>
      <c r="AB1803"/>
    </row>
    <row r="1804" spans="3:28" ht="13.5">
      <c r="C1804" s="1181" t="s">
        <v>6484</v>
      </c>
      <c r="D1804" s="1178">
        <v>0</v>
      </c>
      <c r="E1804" s="1178">
        <v>0</v>
      </c>
      <c r="F1804" s="1179">
        <v>0</v>
      </c>
      <c r="G1804" s="1189" t="s">
        <v>6484</v>
      </c>
      <c r="H1804" s="1176">
        <v>0</v>
      </c>
      <c r="I1804" s="1176">
        <v>0</v>
      </c>
      <c r="J1804" s="1190">
        <v>0</v>
      </c>
      <c r="K1804" s="1180"/>
      <c r="L1804" s="1174">
        <v>13185011402</v>
      </c>
      <c r="M1804" s="1175">
        <v>0</v>
      </c>
      <c r="N1804" s="1175">
        <v>0</v>
      </c>
      <c r="O1804" s="1176">
        <v>0</v>
      </c>
      <c r="AA1804"/>
      <c r="AB1804"/>
    </row>
    <row r="1805" spans="3:28" ht="13.5">
      <c r="C1805" s="1181" t="s">
        <v>6485</v>
      </c>
      <c r="D1805" s="1178">
        <v>0</v>
      </c>
      <c r="E1805" s="1178">
        <v>0</v>
      </c>
      <c r="F1805" s="1179">
        <v>0</v>
      </c>
      <c r="G1805" s="1189" t="s">
        <v>6485</v>
      </c>
      <c r="H1805" s="1176">
        <v>0</v>
      </c>
      <c r="I1805" s="1176">
        <v>0</v>
      </c>
      <c r="J1805" s="1190">
        <v>0</v>
      </c>
      <c r="K1805" s="1180"/>
      <c r="L1805" s="1174">
        <v>13185011403</v>
      </c>
      <c r="M1805" s="1175">
        <v>0</v>
      </c>
      <c r="N1805" s="1175">
        <v>0</v>
      </c>
      <c r="O1805" s="1176">
        <v>0</v>
      </c>
      <c r="AA1805"/>
      <c r="AB1805"/>
    </row>
    <row r="1806" spans="3:28" ht="13.5">
      <c r="C1806" s="1181" t="s">
        <v>6486</v>
      </c>
      <c r="D1806" s="1178">
        <v>0</v>
      </c>
      <c r="E1806" s="1178">
        <v>0</v>
      </c>
      <c r="F1806" s="1179">
        <v>0</v>
      </c>
      <c r="G1806" s="1189" t="s">
        <v>6486</v>
      </c>
      <c r="H1806" s="1176">
        <v>0</v>
      </c>
      <c r="I1806" s="1176">
        <v>0</v>
      </c>
      <c r="J1806" s="1190">
        <v>0</v>
      </c>
      <c r="K1806" s="1180"/>
      <c r="L1806" s="1174">
        <v>13185011500</v>
      </c>
      <c r="M1806" s="1175">
        <v>0</v>
      </c>
      <c r="N1806" s="1175">
        <v>0</v>
      </c>
      <c r="O1806" s="1176">
        <v>0</v>
      </c>
      <c r="AA1806"/>
      <c r="AB1806"/>
    </row>
    <row r="1807" spans="3:28" ht="13.5">
      <c r="C1807" s="1181" t="s">
        <v>6487</v>
      </c>
      <c r="D1807" s="1178">
        <v>0</v>
      </c>
      <c r="E1807" s="1178">
        <v>1</v>
      </c>
      <c r="F1807" s="1179">
        <v>1</v>
      </c>
      <c r="G1807" s="1189" t="s">
        <v>6487</v>
      </c>
      <c r="H1807" s="1176">
        <v>0</v>
      </c>
      <c r="I1807" s="1176">
        <v>0</v>
      </c>
      <c r="J1807" s="1190">
        <v>0</v>
      </c>
      <c r="K1807" s="1180"/>
      <c r="L1807" s="1174">
        <v>13185011600</v>
      </c>
      <c r="M1807" s="1175">
        <v>0</v>
      </c>
      <c r="N1807" s="1175">
        <v>1</v>
      </c>
      <c r="O1807" s="1176">
        <v>1</v>
      </c>
      <c r="AA1807"/>
      <c r="AB1807"/>
    </row>
    <row r="1808" spans="3:28" ht="13.5">
      <c r="C1808" s="1181" t="s">
        <v>6488</v>
      </c>
      <c r="D1808" s="1178">
        <v>0</v>
      </c>
      <c r="E1808" s="1178">
        <v>0</v>
      </c>
      <c r="F1808" s="1179">
        <v>0</v>
      </c>
      <c r="G1808" s="1189" t="s">
        <v>6488</v>
      </c>
      <c r="H1808" s="1176">
        <v>1</v>
      </c>
      <c r="I1808" s="1176">
        <v>0</v>
      </c>
      <c r="J1808" s="1190">
        <v>1</v>
      </c>
      <c r="K1808" s="1180"/>
      <c r="L1808" s="1174">
        <v>13187960101</v>
      </c>
      <c r="M1808" s="1175">
        <v>1</v>
      </c>
      <c r="N1808" s="1175">
        <v>0</v>
      </c>
      <c r="O1808" s="1176">
        <v>1</v>
      </c>
      <c r="AA1808"/>
      <c r="AB1808"/>
    </row>
    <row r="1809" spans="3:28" ht="13.5">
      <c r="C1809" s="1181" t="s">
        <v>6489</v>
      </c>
      <c r="D1809" s="1178">
        <v>1</v>
      </c>
      <c r="E1809" s="1178">
        <v>1</v>
      </c>
      <c r="F1809" s="1179">
        <v>2</v>
      </c>
      <c r="G1809" s="1189" t="s">
        <v>6489</v>
      </c>
      <c r="H1809" s="1176">
        <v>1</v>
      </c>
      <c r="I1809" s="1176">
        <v>1</v>
      </c>
      <c r="J1809" s="1190">
        <v>2</v>
      </c>
      <c r="K1809" s="1180"/>
      <c r="L1809" s="1174">
        <v>13187960102</v>
      </c>
      <c r="M1809" s="1175">
        <v>1</v>
      </c>
      <c r="N1809" s="1175">
        <v>1</v>
      </c>
      <c r="O1809" s="1176">
        <v>2</v>
      </c>
      <c r="AA1809"/>
      <c r="AB1809"/>
    </row>
    <row r="1810" spans="3:28" ht="13.5">
      <c r="C1810" s="1181" t="s">
        <v>6490</v>
      </c>
      <c r="D1810" s="1178">
        <v>0</v>
      </c>
      <c r="E1810" s="1178">
        <v>1</v>
      </c>
      <c r="F1810" s="1179">
        <v>1</v>
      </c>
      <c r="G1810" s="1189" t="s">
        <v>6490</v>
      </c>
      <c r="H1810" s="1176">
        <v>0</v>
      </c>
      <c r="I1810" s="1176">
        <v>1</v>
      </c>
      <c r="J1810" s="1190">
        <v>1</v>
      </c>
      <c r="K1810" s="1180"/>
      <c r="L1810" s="1174">
        <v>13187960201</v>
      </c>
      <c r="M1810" s="1175">
        <v>0</v>
      </c>
      <c r="N1810" s="1175">
        <v>1</v>
      </c>
      <c r="O1810" s="1176">
        <v>1</v>
      </c>
      <c r="AA1810"/>
      <c r="AB1810"/>
    </row>
    <row r="1811" spans="3:28" ht="13.5">
      <c r="C1811" s="1181" t="s">
        <v>6491</v>
      </c>
      <c r="D1811" s="1178">
        <v>0</v>
      </c>
      <c r="E1811" s="1178">
        <v>0</v>
      </c>
      <c r="F1811" s="1179">
        <v>0</v>
      </c>
      <c r="G1811" s="1189" t="s">
        <v>6491</v>
      </c>
      <c r="H1811" s="1176">
        <v>0</v>
      </c>
      <c r="I1811" s="1176">
        <v>0</v>
      </c>
      <c r="J1811" s="1190">
        <v>0</v>
      </c>
      <c r="K1811" s="1180"/>
      <c r="L1811" s="1174">
        <v>13187960202</v>
      </c>
      <c r="M1811" s="1175">
        <v>0</v>
      </c>
      <c r="N1811" s="1175">
        <v>0</v>
      </c>
      <c r="O1811" s="1176">
        <v>0</v>
      </c>
      <c r="AA1811"/>
      <c r="AB1811"/>
    </row>
    <row r="1812" spans="3:28" ht="13.5">
      <c r="C1812" s="1181" t="s">
        <v>6492</v>
      </c>
      <c r="D1812" s="1178">
        <v>1</v>
      </c>
      <c r="E1812" s="1178">
        <v>1</v>
      </c>
      <c r="F1812" s="1179">
        <v>2</v>
      </c>
      <c r="G1812" s="1189" t="s">
        <v>6492</v>
      </c>
      <c r="H1812" s="1176">
        <v>1</v>
      </c>
      <c r="I1812" s="1176">
        <v>0</v>
      </c>
      <c r="J1812" s="1190">
        <v>1</v>
      </c>
      <c r="K1812" s="1180"/>
      <c r="L1812" s="1174">
        <v>13189950100</v>
      </c>
      <c r="M1812" s="1175">
        <v>1</v>
      </c>
      <c r="N1812" s="1175">
        <v>1</v>
      </c>
      <c r="O1812" s="1176">
        <v>2</v>
      </c>
      <c r="AA1812"/>
      <c r="AB1812"/>
    </row>
    <row r="1813" spans="3:28" ht="13.5">
      <c r="C1813" s="1181" t="s">
        <v>6493</v>
      </c>
      <c r="D1813" s="1178">
        <v>0</v>
      </c>
      <c r="E1813" s="1178">
        <v>0</v>
      </c>
      <c r="F1813" s="1179">
        <v>0</v>
      </c>
      <c r="G1813" s="1189" t="s">
        <v>6493</v>
      </c>
      <c r="H1813" s="1176">
        <v>0</v>
      </c>
      <c r="I1813" s="1176">
        <v>0</v>
      </c>
      <c r="J1813" s="1190">
        <v>0</v>
      </c>
      <c r="K1813" s="1180"/>
      <c r="L1813" s="1174">
        <v>13189950200</v>
      </c>
      <c r="M1813" s="1175">
        <v>0</v>
      </c>
      <c r="N1813" s="1175">
        <v>0</v>
      </c>
      <c r="O1813" s="1176">
        <v>0</v>
      </c>
      <c r="AA1813"/>
      <c r="AB1813"/>
    </row>
    <row r="1814" spans="3:28" ht="13.5">
      <c r="C1814" s="1181" t="s">
        <v>6494</v>
      </c>
      <c r="D1814" s="1178">
        <v>0</v>
      </c>
      <c r="E1814" s="1178">
        <v>0</v>
      </c>
      <c r="F1814" s="1179">
        <v>0</v>
      </c>
      <c r="G1814" s="1189" t="s">
        <v>6494</v>
      </c>
      <c r="H1814" s="1176">
        <v>0</v>
      </c>
      <c r="I1814" s="1176">
        <v>0</v>
      </c>
      <c r="J1814" s="1190">
        <v>0</v>
      </c>
      <c r="K1814" s="1180"/>
      <c r="L1814" s="1174">
        <v>13189950300</v>
      </c>
      <c r="M1814" s="1175">
        <v>0</v>
      </c>
      <c r="N1814" s="1175">
        <v>0</v>
      </c>
      <c r="O1814" s="1176">
        <v>0</v>
      </c>
      <c r="AA1814"/>
      <c r="AB1814"/>
    </row>
    <row r="1815" spans="3:28" ht="13.5">
      <c r="C1815" s="1181" t="s">
        <v>6495</v>
      </c>
      <c r="D1815" s="1178">
        <v>0</v>
      </c>
      <c r="E1815" s="1178">
        <v>0</v>
      </c>
      <c r="F1815" s="1179">
        <v>0</v>
      </c>
      <c r="G1815" s="1189" t="s">
        <v>6495</v>
      </c>
      <c r="H1815" s="1176">
        <v>0</v>
      </c>
      <c r="I1815" s="1176">
        <v>0</v>
      </c>
      <c r="J1815" s="1190">
        <v>0</v>
      </c>
      <c r="K1815" s="1180"/>
      <c r="L1815" s="1174">
        <v>13189950400</v>
      </c>
      <c r="M1815" s="1175">
        <v>0</v>
      </c>
      <c r="N1815" s="1175">
        <v>0</v>
      </c>
      <c r="O1815" s="1176">
        <v>0</v>
      </c>
      <c r="AA1815"/>
      <c r="AB1815"/>
    </row>
    <row r="1816" spans="3:28" ht="13.5">
      <c r="C1816" s="1181" t="s">
        <v>6496</v>
      </c>
      <c r="D1816" s="1178">
        <v>0</v>
      </c>
      <c r="E1816" s="1178">
        <v>0</v>
      </c>
      <c r="F1816" s="1179">
        <v>0</v>
      </c>
      <c r="G1816" s="1189" t="s">
        <v>6496</v>
      </c>
      <c r="H1816" s="1176">
        <v>0</v>
      </c>
      <c r="I1816" s="1176">
        <v>0</v>
      </c>
      <c r="J1816" s="1190">
        <v>0</v>
      </c>
      <c r="K1816" s="1180"/>
      <c r="L1816" s="1174">
        <v>13189950500</v>
      </c>
      <c r="M1816" s="1175">
        <v>0</v>
      </c>
      <c r="N1816" s="1175">
        <v>0</v>
      </c>
      <c r="O1816" s="1176">
        <v>0</v>
      </c>
      <c r="AA1816"/>
      <c r="AB1816"/>
    </row>
    <row r="1817" spans="3:28" ht="13.5">
      <c r="C1817" s="1181" t="s">
        <v>6497</v>
      </c>
      <c r="D1817" s="1178">
        <v>0</v>
      </c>
      <c r="E1817" s="1178">
        <v>0</v>
      </c>
      <c r="F1817" s="1179">
        <v>0</v>
      </c>
      <c r="G1817" s="1189" t="s">
        <v>6497</v>
      </c>
      <c r="H1817" s="1176">
        <v>0</v>
      </c>
      <c r="I1817" s="1176">
        <v>1</v>
      </c>
      <c r="J1817" s="1190">
        <v>1</v>
      </c>
      <c r="K1817" s="1180"/>
      <c r="L1817" s="1174">
        <v>13191110100</v>
      </c>
      <c r="M1817" s="1175">
        <v>0</v>
      </c>
      <c r="N1817" s="1175">
        <v>1</v>
      </c>
      <c r="O1817" s="1176">
        <v>1</v>
      </c>
      <c r="AA1817"/>
      <c r="AB1817"/>
    </row>
    <row r="1818" spans="3:28" ht="13.5">
      <c r="C1818" s="1181" t="s">
        <v>6498</v>
      </c>
      <c r="D1818" s="1178">
        <v>0</v>
      </c>
      <c r="E1818" s="1178">
        <v>0</v>
      </c>
      <c r="F1818" s="1179">
        <v>0</v>
      </c>
      <c r="G1818" s="1189" t="s">
        <v>6498</v>
      </c>
      <c r="H1818" s="1176">
        <v>0</v>
      </c>
      <c r="I1818" s="1176">
        <v>0</v>
      </c>
      <c r="J1818" s="1190">
        <v>0</v>
      </c>
      <c r="K1818" s="1180"/>
      <c r="L1818" s="1174">
        <v>13191110200</v>
      </c>
      <c r="M1818" s="1175">
        <v>0</v>
      </c>
      <c r="N1818" s="1175">
        <v>0</v>
      </c>
      <c r="O1818" s="1176">
        <v>0</v>
      </c>
      <c r="AA1818"/>
      <c r="AB1818"/>
    </row>
    <row r="1819" spans="3:28" ht="13.5">
      <c r="C1819" s="1181" t="s">
        <v>6499</v>
      </c>
      <c r="D1819" s="1178">
        <v>0</v>
      </c>
      <c r="E1819" s="1178">
        <v>0</v>
      </c>
      <c r="F1819" s="1179">
        <v>0</v>
      </c>
      <c r="G1819" s="1189" t="s">
        <v>6499</v>
      </c>
      <c r="H1819" s="1176">
        <v>0</v>
      </c>
      <c r="I1819" s="1176">
        <v>0</v>
      </c>
      <c r="J1819" s="1190">
        <v>0</v>
      </c>
      <c r="K1819" s="1180"/>
      <c r="L1819" s="1174">
        <v>13191110300</v>
      </c>
      <c r="M1819" s="1175">
        <v>0</v>
      </c>
      <c r="N1819" s="1175">
        <v>0</v>
      </c>
      <c r="O1819" s="1176">
        <v>0</v>
      </c>
      <c r="AA1819"/>
      <c r="AB1819"/>
    </row>
    <row r="1820" spans="3:28" ht="13.5">
      <c r="C1820" s="1181" t="s">
        <v>6500</v>
      </c>
      <c r="D1820" s="1178" t="s">
        <v>4455</v>
      </c>
      <c r="E1820" s="1178" t="s">
        <v>4455</v>
      </c>
      <c r="F1820" s="1179">
        <v>0</v>
      </c>
      <c r="G1820" s="1189" t="s">
        <v>6500</v>
      </c>
      <c r="H1820" s="1176" t="s">
        <v>4455</v>
      </c>
      <c r="I1820" s="1176" t="s">
        <v>4455</v>
      </c>
      <c r="J1820" s="1190">
        <v>0</v>
      </c>
      <c r="K1820" s="1180"/>
      <c r="L1820" s="1174">
        <v>13191980000</v>
      </c>
      <c r="M1820" s="1175">
        <v>0</v>
      </c>
      <c r="N1820" s="1175">
        <v>0</v>
      </c>
      <c r="O1820" s="1176">
        <v>0</v>
      </c>
      <c r="AA1820"/>
      <c r="AB1820"/>
    </row>
    <row r="1821" spans="3:28" ht="13.5">
      <c r="C1821" s="1181" t="s">
        <v>6501</v>
      </c>
      <c r="D1821" s="1178" t="s">
        <v>4455</v>
      </c>
      <c r="E1821" s="1178" t="s">
        <v>4455</v>
      </c>
      <c r="F1821" s="1179">
        <v>0</v>
      </c>
      <c r="G1821" s="1189" t="s">
        <v>6501</v>
      </c>
      <c r="H1821" s="1176" t="s">
        <v>4455</v>
      </c>
      <c r="I1821" s="1176" t="s">
        <v>4455</v>
      </c>
      <c r="J1821" s="1190">
        <v>0</v>
      </c>
      <c r="K1821" s="1180"/>
      <c r="L1821" s="1174">
        <v>13191990000</v>
      </c>
      <c r="M1821" s="1175">
        <v>0</v>
      </c>
      <c r="N1821" s="1175">
        <v>0</v>
      </c>
      <c r="O1821" s="1176">
        <v>0</v>
      </c>
      <c r="AA1821"/>
      <c r="AB1821"/>
    </row>
    <row r="1822" spans="3:28" ht="13.5">
      <c r="C1822" s="1181" t="s">
        <v>6502</v>
      </c>
      <c r="D1822" s="1178">
        <v>0</v>
      </c>
      <c r="E1822" s="1178">
        <v>0</v>
      </c>
      <c r="F1822" s="1179">
        <v>0</v>
      </c>
      <c r="G1822" s="1189" t="s">
        <v>6502</v>
      </c>
      <c r="H1822" s="1176">
        <v>0</v>
      </c>
      <c r="I1822" s="1176" t="s">
        <v>4455</v>
      </c>
      <c r="J1822" s="1190">
        <v>0</v>
      </c>
      <c r="K1822" s="1180"/>
      <c r="L1822" s="1174">
        <v>13193000100</v>
      </c>
      <c r="M1822" s="1175">
        <v>0</v>
      </c>
      <c r="N1822" s="1175">
        <v>0</v>
      </c>
      <c r="O1822" s="1176">
        <v>0</v>
      </c>
      <c r="AA1822"/>
      <c r="AB1822"/>
    </row>
    <row r="1823" spans="3:28" ht="13.5">
      <c r="C1823" s="1181" t="s">
        <v>6503</v>
      </c>
      <c r="D1823" s="1178">
        <v>0</v>
      </c>
      <c r="E1823" s="1178">
        <v>0</v>
      </c>
      <c r="F1823" s="1179">
        <v>0</v>
      </c>
      <c r="G1823" s="1189" t="s">
        <v>6503</v>
      </c>
      <c r="H1823" s="1176">
        <v>0</v>
      </c>
      <c r="I1823" s="1176">
        <v>0</v>
      </c>
      <c r="J1823" s="1190">
        <v>0</v>
      </c>
      <c r="K1823" s="1180"/>
      <c r="L1823" s="1174">
        <v>13193000200</v>
      </c>
      <c r="M1823" s="1175">
        <v>0</v>
      </c>
      <c r="N1823" s="1175">
        <v>0</v>
      </c>
      <c r="O1823" s="1176">
        <v>0</v>
      </c>
      <c r="AA1823"/>
      <c r="AB1823"/>
    </row>
    <row r="1824" spans="3:28" ht="13.5">
      <c r="C1824" s="1181" t="s">
        <v>6504</v>
      </c>
      <c r="D1824" s="1178">
        <v>0</v>
      </c>
      <c r="E1824" s="1178">
        <v>0</v>
      </c>
      <c r="F1824" s="1179">
        <v>0</v>
      </c>
      <c r="G1824" s="1189" t="s">
        <v>6504</v>
      </c>
      <c r="H1824" s="1176">
        <v>0</v>
      </c>
      <c r="I1824" s="1176">
        <v>1</v>
      </c>
      <c r="J1824" s="1190">
        <v>1</v>
      </c>
      <c r="K1824" s="1180"/>
      <c r="L1824" s="1174">
        <v>13193000300</v>
      </c>
      <c r="M1824" s="1175">
        <v>0</v>
      </c>
      <c r="N1824" s="1175">
        <v>1</v>
      </c>
      <c r="O1824" s="1176">
        <v>1</v>
      </c>
      <c r="AA1824"/>
      <c r="AB1824"/>
    </row>
    <row r="1825" spans="3:28" ht="13.5">
      <c r="C1825" s="1181" t="s">
        <v>6505</v>
      </c>
      <c r="D1825" s="1178">
        <v>0</v>
      </c>
      <c r="E1825" s="1178">
        <v>0</v>
      </c>
      <c r="F1825" s="1179">
        <v>0</v>
      </c>
      <c r="G1825" s="1189" t="s">
        <v>6505</v>
      </c>
      <c r="H1825" s="1176">
        <v>0</v>
      </c>
      <c r="I1825" s="1176">
        <v>0</v>
      </c>
      <c r="J1825" s="1190">
        <v>0</v>
      </c>
      <c r="K1825" s="1180"/>
      <c r="L1825" s="1174">
        <v>13193000400</v>
      </c>
      <c r="M1825" s="1175">
        <v>0</v>
      </c>
      <c r="N1825" s="1175">
        <v>0</v>
      </c>
      <c r="O1825" s="1176">
        <v>0</v>
      </c>
      <c r="AA1825"/>
      <c r="AB1825"/>
    </row>
    <row r="1826" spans="3:28" ht="13.5">
      <c r="C1826" s="1181" t="s">
        <v>6506</v>
      </c>
      <c r="D1826" s="1178">
        <v>0</v>
      </c>
      <c r="E1826" s="1178">
        <v>0</v>
      </c>
      <c r="F1826" s="1179">
        <v>0</v>
      </c>
      <c r="G1826" s="1189" t="s">
        <v>6506</v>
      </c>
      <c r="H1826" s="1176">
        <v>0</v>
      </c>
      <c r="I1826" s="1176">
        <v>0</v>
      </c>
      <c r="J1826" s="1190">
        <v>0</v>
      </c>
      <c r="K1826" s="1180"/>
      <c r="L1826" s="1174">
        <v>13195020100</v>
      </c>
      <c r="M1826" s="1175">
        <v>0</v>
      </c>
      <c r="N1826" s="1175">
        <v>0</v>
      </c>
      <c r="O1826" s="1176">
        <v>0</v>
      </c>
      <c r="AA1826"/>
      <c r="AB1826"/>
    </row>
    <row r="1827" spans="3:28" ht="13.5">
      <c r="C1827" s="1181" t="s">
        <v>6507</v>
      </c>
      <c r="D1827" s="1178">
        <v>0</v>
      </c>
      <c r="E1827" s="1178">
        <v>0</v>
      </c>
      <c r="F1827" s="1179">
        <v>0</v>
      </c>
      <c r="G1827" s="1189" t="s">
        <v>6507</v>
      </c>
      <c r="H1827" s="1176">
        <v>0</v>
      </c>
      <c r="I1827" s="1176">
        <v>0</v>
      </c>
      <c r="J1827" s="1190">
        <v>0</v>
      </c>
      <c r="K1827" s="1180"/>
      <c r="L1827" s="1174">
        <v>13195020200</v>
      </c>
      <c r="M1827" s="1175">
        <v>0</v>
      </c>
      <c r="N1827" s="1175">
        <v>0</v>
      </c>
      <c r="O1827" s="1176">
        <v>0</v>
      </c>
      <c r="AA1827"/>
      <c r="AB1827"/>
    </row>
    <row r="1828" spans="3:28" ht="13.5">
      <c r="C1828" s="1181" t="s">
        <v>6508</v>
      </c>
      <c r="D1828" s="1178">
        <v>0</v>
      </c>
      <c r="E1828" s="1178">
        <v>0</v>
      </c>
      <c r="F1828" s="1179">
        <v>0</v>
      </c>
      <c r="G1828" s="1189" t="s">
        <v>6508</v>
      </c>
      <c r="H1828" s="1176">
        <v>0</v>
      </c>
      <c r="I1828" s="1176">
        <v>0</v>
      </c>
      <c r="J1828" s="1190">
        <v>0</v>
      </c>
      <c r="K1828" s="1180"/>
      <c r="L1828" s="1174">
        <v>13195020300</v>
      </c>
      <c r="M1828" s="1175">
        <v>0</v>
      </c>
      <c r="N1828" s="1175">
        <v>0</v>
      </c>
      <c r="O1828" s="1176">
        <v>0</v>
      </c>
      <c r="AA1828"/>
      <c r="AB1828"/>
    </row>
    <row r="1829" spans="3:28" ht="13.5">
      <c r="C1829" s="1181" t="s">
        <v>6509</v>
      </c>
      <c r="D1829" s="1178">
        <v>1</v>
      </c>
      <c r="E1829" s="1178">
        <v>1</v>
      </c>
      <c r="F1829" s="1179">
        <v>2</v>
      </c>
      <c r="G1829" s="1189" t="s">
        <v>6509</v>
      </c>
      <c r="H1829" s="1176">
        <v>0</v>
      </c>
      <c r="I1829" s="1176">
        <v>0</v>
      </c>
      <c r="J1829" s="1190">
        <v>0</v>
      </c>
      <c r="K1829" s="1180"/>
      <c r="L1829" s="1174">
        <v>13195020400</v>
      </c>
      <c r="M1829" s="1175">
        <v>1</v>
      </c>
      <c r="N1829" s="1175">
        <v>1</v>
      </c>
      <c r="O1829" s="1176">
        <v>2</v>
      </c>
      <c r="AA1829"/>
      <c r="AB1829"/>
    </row>
    <row r="1830" spans="3:28" ht="13.5">
      <c r="C1830" s="1181" t="s">
        <v>6510</v>
      </c>
      <c r="D1830" s="1178">
        <v>0</v>
      </c>
      <c r="E1830" s="1178">
        <v>1</v>
      </c>
      <c r="F1830" s="1179">
        <v>1</v>
      </c>
      <c r="G1830" s="1189" t="s">
        <v>6510</v>
      </c>
      <c r="H1830" s="1176">
        <v>0</v>
      </c>
      <c r="I1830" s="1176">
        <v>0</v>
      </c>
      <c r="J1830" s="1190">
        <v>0</v>
      </c>
      <c r="K1830" s="1180"/>
      <c r="L1830" s="1174">
        <v>13195020500</v>
      </c>
      <c r="M1830" s="1175">
        <v>0</v>
      </c>
      <c r="N1830" s="1175">
        <v>1</v>
      </c>
      <c r="O1830" s="1176">
        <v>1</v>
      </c>
      <c r="AA1830"/>
      <c r="AB1830"/>
    </row>
    <row r="1831" spans="3:28" ht="13.5">
      <c r="C1831" s="1181" t="s">
        <v>6511</v>
      </c>
      <c r="D1831" s="1178">
        <v>1</v>
      </c>
      <c r="E1831" s="1178">
        <v>0</v>
      </c>
      <c r="F1831" s="1179">
        <v>1</v>
      </c>
      <c r="G1831" s="1189" t="s">
        <v>6511</v>
      </c>
      <c r="H1831" s="1176">
        <v>0</v>
      </c>
      <c r="I1831" s="1176">
        <v>0</v>
      </c>
      <c r="J1831" s="1190">
        <v>0</v>
      </c>
      <c r="K1831" s="1180"/>
      <c r="L1831" s="1174">
        <v>13195020600</v>
      </c>
      <c r="M1831" s="1175">
        <v>1</v>
      </c>
      <c r="N1831" s="1175">
        <v>0</v>
      </c>
      <c r="O1831" s="1176">
        <v>1</v>
      </c>
      <c r="AA1831"/>
      <c r="AB1831"/>
    </row>
    <row r="1832" spans="3:28" ht="13.5">
      <c r="C1832" s="1181" t="s">
        <v>6512</v>
      </c>
      <c r="D1832" s="1178">
        <v>0</v>
      </c>
      <c r="E1832" s="1178">
        <v>0</v>
      </c>
      <c r="F1832" s="1179">
        <v>0</v>
      </c>
      <c r="G1832" s="1189" t="s">
        <v>6512</v>
      </c>
      <c r="H1832" s="1176">
        <v>0</v>
      </c>
      <c r="I1832" s="1176">
        <v>0</v>
      </c>
      <c r="J1832" s="1190">
        <v>0</v>
      </c>
      <c r="K1832" s="1180"/>
      <c r="L1832" s="1174">
        <v>13197920100</v>
      </c>
      <c r="M1832" s="1175">
        <v>0</v>
      </c>
      <c r="N1832" s="1175">
        <v>0</v>
      </c>
      <c r="O1832" s="1176">
        <v>0</v>
      </c>
      <c r="AA1832"/>
      <c r="AB1832"/>
    </row>
    <row r="1833" spans="3:28" ht="13.5">
      <c r="C1833" s="1181" t="s">
        <v>6513</v>
      </c>
      <c r="D1833" s="1178">
        <v>0</v>
      </c>
      <c r="E1833" s="1178">
        <v>0</v>
      </c>
      <c r="F1833" s="1179">
        <v>0</v>
      </c>
      <c r="G1833" s="1189" t="s">
        <v>6513</v>
      </c>
      <c r="H1833" s="1176">
        <v>0</v>
      </c>
      <c r="I1833" s="1176">
        <v>0</v>
      </c>
      <c r="J1833" s="1190">
        <v>0</v>
      </c>
      <c r="K1833" s="1180"/>
      <c r="L1833" s="1174">
        <v>13197920200</v>
      </c>
      <c r="M1833" s="1175">
        <v>0</v>
      </c>
      <c r="N1833" s="1175">
        <v>0</v>
      </c>
      <c r="O1833" s="1176">
        <v>0</v>
      </c>
      <c r="AA1833"/>
      <c r="AB1833"/>
    </row>
    <row r="1834" spans="3:28" ht="13.5">
      <c r="C1834" s="1181" t="s">
        <v>6514</v>
      </c>
      <c r="D1834" s="1178">
        <v>0</v>
      </c>
      <c r="E1834" s="1178">
        <v>0</v>
      </c>
      <c r="F1834" s="1179">
        <v>0</v>
      </c>
      <c r="G1834" s="1189" t="s">
        <v>6514</v>
      </c>
      <c r="H1834" s="1176">
        <v>0</v>
      </c>
      <c r="I1834" s="1176">
        <v>0</v>
      </c>
      <c r="J1834" s="1190">
        <v>0</v>
      </c>
      <c r="K1834" s="1180"/>
      <c r="L1834" s="1174">
        <v>13199970500</v>
      </c>
      <c r="M1834" s="1175">
        <v>0</v>
      </c>
      <c r="N1834" s="1175">
        <v>0</v>
      </c>
      <c r="O1834" s="1176">
        <v>0</v>
      </c>
      <c r="AA1834"/>
      <c r="AB1834"/>
    </row>
    <row r="1835" spans="3:28" ht="13.5">
      <c r="C1835" s="1181" t="s">
        <v>6515</v>
      </c>
      <c r="D1835" s="1178">
        <v>0</v>
      </c>
      <c r="E1835" s="1178">
        <v>0</v>
      </c>
      <c r="F1835" s="1179">
        <v>0</v>
      </c>
      <c r="G1835" s="1189" t="s">
        <v>6515</v>
      </c>
      <c r="H1835" s="1176">
        <v>0</v>
      </c>
      <c r="I1835" s="1176">
        <v>0</v>
      </c>
      <c r="J1835" s="1190">
        <v>0</v>
      </c>
      <c r="K1835" s="1180"/>
      <c r="L1835" s="1174">
        <v>13199970600</v>
      </c>
      <c r="M1835" s="1175">
        <v>0</v>
      </c>
      <c r="N1835" s="1175">
        <v>0</v>
      </c>
      <c r="O1835" s="1176">
        <v>0</v>
      </c>
      <c r="AA1835"/>
      <c r="AB1835"/>
    </row>
    <row r="1836" spans="3:28" ht="13.5">
      <c r="C1836" s="1181" t="s">
        <v>6516</v>
      </c>
      <c r="D1836" s="1178">
        <v>0</v>
      </c>
      <c r="E1836" s="1178">
        <v>0</v>
      </c>
      <c r="F1836" s="1179">
        <v>0</v>
      </c>
      <c r="G1836" s="1189" t="s">
        <v>6516</v>
      </c>
      <c r="H1836" s="1176">
        <v>0</v>
      </c>
      <c r="I1836" s="1176">
        <v>0</v>
      </c>
      <c r="J1836" s="1190">
        <v>0</v>
      </c>
      <c r="K1836" s="1180"/>
      <c r="L1836" s="1174">
        <v>13199970700</v>
      </c>
      <c r="M1836" s="1175">
        <v>0</v>
      </c>
      <c r="N1836" s="1175">
        <v>0</v>
      </c>
      <c r="O1836" s="1176">
        <v>0</v>
      </c>
      <c r="AA1836"/>
      <c r="AB1836"/>
    </row>
    <row r="1837" spans="3:28" ht="13.5">
      <c r="C1837" s="1181" t="s">
        <v>6517</v>
      </c>
      <c r="D1837" s="1178">
        <v>0</v>
      </c>
      <c r="E1837" s="1178">
        <v>0</v>
      </c>
      <c r="F1837" s="1179">
        <v>0</v>
      </c>
      <c r="G1837" s="1189" t="s">
        <v>6517</v>
      </c>
      <c r="H1837" s="1176">
        <v>0</v>
      </c>
      <c r="I1837" s="1176">
        <v>0</v>
      </c>
      <c r="J1837" s="1190">
        <v>0</v>
      </c>
      <c r="K1837" s="1180"/>
      <c r="L1837" s="1174">
        <v>13199970800</v>
      </c>
      <c r="M1837" s="1175">
        <v>0</v>
      </c>
      <c r="N1837" s="1175">
        <v>0</v>
      </c>
      <c r="O1837" s="1176">
        <v>0</v>
      </c>
      <c r="AA1837"/>
      <c r="AB1837"/>
    </row>
    <row r="1838" spans="3:28" ht="13.5">
      <c r="C1838" s="1181" t="s">
        <v>6518</v>
      </c>
      <c r="D1838" s="1178">
        <v>0</v>
      </c>
      <c r="E1838" s="1178">
        <v>0</v>
      </c>
      <c r="F1838" s="1179">
        <v>0</v>
      </c>
      <c r="G1838" s="1189" t="s">
        <v>6518</v>
      </c>
      <c r="H1838" s="1176">
        <v>0</v>
      </c>
      <c r="I1838" s="1176">
        <v>0</v>
      </c>
      <c r="J1838" s="1190">
        <v>0</v>
      </c>
      <c r="K1838" s="1180"/>
      <c r="L1838" s="1174">
        <v>13201950100</v>
      </c>
      <c r="M1838" s="1175">
        <v>0</v>
      </c>
      <c r="N1838" s="1175">
        <v>0</v>
      </c>
      <c r="O1838" s="1176">
        <v>0</v>
      </c>
      <c r="AA1838"/>
      <c r="AB1838"/>
    </row>
    <row r="1839" spans="3:28" ht="13.5">
      <c r="C1839" s="1181" t="s">
        <v>6519</v>
      </c>
      <c r="D1839" s="1178">
        <v>0</v>
      </c>
      <c r="E1839" s="1178">
        <v>0</v>
      </c>
      <c r="F1839" s="1179">
        <v>0</v>
      </c>
      <c r="G1839" s="1189" t="s">
        <v>6519</v>
      </c>
      <c r="H1839" s="1176">
        <v>0</v>
      </c>
      <c r="I1839" s="1176">
        <v>0</v>
      </c>
      <c r="J1839" s="1190">
        <v>0</v>
      </c>
      <c r="K1839" s="1180"/>
      <c r="L1839" s="1174">
        <v>13201950200</v>
      </c>
      <c r="M1839" s="1175">
        <v>0</v>
      </c>
      <c r="N1839" s="1175">
        <v>0</v>
      </c>
      <c r="O1839" s="1176">
        <v>0</v>
      </c>
      <c r="AA1839"/>
      <c r="AB1839"/>
    </row>
    <row r="1840" spans="3:28" ht="13.5">
      <c r="C1840" s="1181" t="s">
        <v>6520</v>
      </c>
      <c r="D1840" s="1178">
        <v>1</v>
      </c>
      <c r="E1840" s="1178">
        <v>0</v>
      </c>
      <c r="F1840" s="1179">
        <v>1</v>
      </c>
      <c r="G1840" s="1189" t="s">
        <v>6520</v>
      </c>
      <c r="H1840" s="1176">
        <v>1</v>
      </c>
      <c r="I1840" s="1176">
        <v>1</v>
      </c>
      <c r="J1840" s="1190">
        <v>2</v>
      </c>
      <c r="K1840" s="1180"/>
      <c r="L1840" s="1174">
        <v>13201950300</v>
      </c>
      <c r="M1840" s="1175">
        <v>1</v>
      </c>
      <c r="N1840" s="1175">
        <v>1</v>
      </c>
      <c r="O1840" s="1176">
        <v>2</v>
      </c>
      <c r="AA1840"/>
      <c r="AB1840"/>
    </row>
    <row r="1841" spans="3:28" ht="13.5">
      <c r="C1841" s="1181" t="s">
        <v>6521</v>
      </c>
      <c r="D1841" s="1178">
        <v>0</v>
      </c>
      <c r="E1841" s="1178">
        <v>0</v>
      </c>
      <c r="F1841" s="1179">
        <v>0</v>
      </c>
      <c r="G1841" s="1189" t="s">
        <v>6521</v>
      </c>
      <c r="H1841" s="1176">
        <v>0</v>
      </c>
      <c r="I1841" s="1176">
        <v>0</v>
      </c>
      <c r="J1841" s="1190">
        <v>0</v>
      </c>
      <c r="K1841" s="1180"/>
      <c r="L1841" s="1174">
        <v>13205090100</v>
      </c>
      <c r="M1841" s="1175">
        <v>0</v>
      </c>
      <c r="N1841" s="1175">
        <v>0</v>
      </c>
      <c r="O1841" s="1176">
        <v>0</v>
      </c>
      <c r="AA1841"/>
      <c r="AB1841"/>
    </row>
    <row r="1842" spans="3:28" ht="13.5">
      <c r="C1842" s="1181" t="s">
        <v>6522</v>
      </c>
      <c r="D1842" s="1178">
        <v>0</v>
      </c>
      <c r="E1842" s="1178">
        <v>0</v>
      </c>
      <c r="F1842" s="1179">
        <v>0</v>
      </c>
      <c r="G1842" s="1189" t="s">
        <v>6522</v>
      </c>
      <c r="H1842" s="1176">
        <v>0</v>
      </c>
      <c r="I1842" s="1176">
        <v>0</v>
      </c>
      <c r="J1842" s="1190">
        <v>0</v>
      </c>
      <c r="K1842" s="1180"/>
      <c r="L1842" s="1174">
        <v>13205090200</v>
      </c>
      <c r="M1842" s="1175">
        <v>0</v>
      </c>
      <c r="N1842" s="1175">
        <v>0</v>
      </c>
      <c r="O1842" s="1176">
        <v>0</v>
      </c>
      <c r="AA1842"/>
      <c r="AB1842"/>
    </row>
    <row r="1843" spans="3:28" ht="13.5">
      <c r="C1843" s="1181" t="s">
        <v>6523</v>
      </c>
      <c r="D1843" s="1178">
        <v>0</v>
      </c>
      <c r="E1843" s="1178">
        <v>0</v>
      </c>
      <c r="F1843" s="1179">
        <v>0</v>
      </c>
      <c r="G1843" s="1189" t="s">
        <v>6523</v>
      </c>
      <c r="H1843" s="1176">
        <v>0</v>
      </c>
      <c r="I1843" s="1176">
        <v>0</v>
      </c>
      <c r="J1843" s="1190">
        <v>0</v>
      </c>
      <c r="K1843" s="1180"/>
      <c r="L1843" s="1174">
        <v>13205090300</v>
      </c>
      <c r="M1843" s="1175">
        <v>0</v>
      </c>
      <c r="N1843" s="1175">
        <v>0</v>
      </c>
      <c r="O1843" s="1176">
        <v>0</v>
      </c>
      <c r="AA1843"/>
      <c r="AB1843"/>
    </row>
    <row r="1844" spans="3:28" ht="13.5">
      <c r="C1844" s="1181" t="s">
        <v>6524</v>
      </c>
      <c r="D1844" s="1178">
        <v>0</v>
      </c>
      <c r="E1844" s="1178">
        <v>0</v>
      </c>
      <c r="F1844" s="1179">
        <v>0</v>
      </c>
      <c r="G1844" s="1189" t="s">
        <v>6524</v>
      </c>
      <c r="H1844" s="1176">
        <v>0</v>
      </c>
      <c r="I1844" s="1176">
        <v>0</v>
      </c>
      <c r="J1844" s="1190">
        <v>0</v>
      </c>
      <c r="K1844" s="1180"/>
      <c r="L1844" s="1174">
        <v>13205090400</v>
      </c>
      <c r="M1844" s="1175">
        <v>0</v>
      </c>
      <c r="N1844" s="1175">
        <v>0</v>
      </c>
      <c r="O1844" s="1176">
        <v>0</v>
      </c>
      <c r="AA1844"/>
      <c r="AB1844"/>
    </row>
    <row r="1845" spans="3:28" ht="13.5">
      <c r="C1845" s="1181" t="s">
        <v>6525</v>
      </c>
      <c r="D1845" s="1178">
        <v>0</v>
      </c>
      <c r="E1845" s="1178">
        <v>0</v>
      </c>
      <c r="F1845" s="1179">
        <v>0</v>
      </c>
      <c r="G1845" s="1189" t="s">
        <v>6525</v>
      </c>
      <c r="H1845" s="1176">
        <v>0</v>
      </c>
      <c r="I1845" s="1176">
        <v>0</v>
      </c>
      <c r="J1845" s="1190">
        <v>0</v>
      </c>
      <c r="K1845" s="1180"/>
      <c r="L1845" s="1174">
        <v>13205090500</v>
      </c>
      <c r="M1845" s="1175">
        <v>0</v>
      </c>
      <c r="N1845" s="1175">
        <v>0</v>
      </c>
      <c r="O1845" s="1176">
        <v>0</v>
      </c>
      <c r="AA1845"/>
      <c r="AB1845"/>
    </row>
    <row r="1846" spans="3:28" ht="13.5">
      <c r="C1846" s="1181" t="s">
        <v>6526</v>
      </c>
      <c r="D1846" s="1178">
        <v>0</v>
      </c>
      <c r="E1846" s="1178">
        <v>0</v>
      </c>
      <c r="F1846" s="1179">
        <v>0</v>
      </c>
      <c r="G1846" s="1189" t="s">
        <v>6526</v>
      </c>
      <c r="H1846" s="1176">
        <v>0</v>
      </c>
      <c r="I1846" s="1176">
        <v>0</v>
      </c>
      <c r="J1846" s="1190">
        <v>0</v>
      </c>
      <c r="K1846" s="1180"/>
      <c r="L1846" s="1174">
        <v>13207050101</v>
      </c>
      <c r="M1846" s="1175">
        <v>0</v>
      </c>
      <c r="N1846" s="1175">
        <v>0</v>
      </c>
      <c r="O1846" s="1176">
        <v>0</v>
      </c>
      <c r="AA1846"/>
      <c r="AB1846"/>
    </row>
    <row r="1847" spans="3:28" ht="13.5">
      <c r="C1847" s="1181" t="s">
        <v>6527</v>
      </c>
      <c r="D1847" s="1178">
        <v>0</v>
      </c>
      <c r="E1847" s="1178">
        <v>0</v>
      </c>
      <c r="F1847" s="1179">
        <v>0</v>
      </c>
      <c r="G1847" s="1189" t="s">
        <v>6527</v>
      </c>
      <c r="H1847" s="1176">
        <v>0</v>
      </c>
      <c r="I1847" s="1176">
        <v>0</v>
      </c>
      <c r="J1847" s="1190">
        <v>0</v>
      </c>
      <c r="K1847" s="1180"/>
      <c r="L1847" s="1174">
        <v>13207050102</v>
      </c>
      <c r="M1847" s="1175">
        <v>0</v>
      </c>
      <c r="N1847" s="1175">
        <v>0</v>
      </c>
      <c r="O1847" s="1176">
        <v>0</v>
      </c>
      <c r="AA1847"/>
      <c r="AB1847"/>
    </row>
    <row r="1848" spans="3:28" ht="13.5">
      <c r="C1848" s="1181" t="s">
        <v>6528</v>
      </c>
      <c r="D1848" s="1178">
        <v>0</v>
      </c>
      <c r="E1848" s="1178">
        <v>0</v>
      </c>
      <c r="F1848" s="1179">
        <v>0</v>
      </c>
      <c r="G1848" s="1189" t="s">
        <v>6528</v>
      </c>
      <c r="H1848" s="1176">
        <v>0</v>
      </c>
      <c r="I1848" s="1176">
        <v>0</v>
      </c>
      <c r="J1848" s="1190">
        <v>0</v>
      </c>
      <c r="K1848" s="1180"/>
      <c r="L1848" s="1174">
        <v>13207050200</v>
      </c>
      <c r="M1848" s="1175">
        <v>0</v>
      </c>
      <c r="N1848" s="1175">
        <v>0</v>
      </c>
      <c r="O1848" s="1176">
        <v>0</v>
      </c>
      <c r="AA1848"/>
      <c r="AB1848"/>
    </row>
    <row r="1849" spans="3:28" ht="13.5">
      <c r="C1849" s="1181" t="s">
        <v>6529</v>
      </c>
      <c r="D1849" s="1178">
        <v>0</v>
      </c>
      <c r="E1849" s="1178">
        <v>1</v>
      </c>
      <c r="F1849" s="1179">
        <v>1</v>
      </c>
      <c r="G1849" s="1189" t="s">
        <v>6529</v>
      </c>
      <c r="H1849" s="1176">
        <v>0</v>
      </c>
      <c r="I1849" s="1176">
        <v>1</v>
      </c>
      <c r="J1849" s="1190">
        <v>1</v>
      </c>
      <c r="K1849" s="1180"/>
      <c r="L1849" s="1174">
        <v>13207050301</v>
      </c>
      <c r="M1849" s="1175">
        <v>0</v>
      </c>
      <c r="N1849" s="1175">
        <v>1</v>
      </c>
      <c r="O1849" s="1176">
        <v>1</v>
      </c>
      <c r="AA1849"/>
      <c r="AB1849"/>
    </row>
    <row r="1850" spans="3:28" ht="13.5">
      <c r="C1850" s="1181" t="s">
        <v>6530</v>
      </c>
      <c r="D1850" s="1178">
        <v>1</v>
      </c>
      <c r="E1850" s="1178">
        <v>1</v>
      </c>
      <c r="F1850" s="1179">
        <v>2</v>
      </c>
      <c r="G1850" s="1189" t="s">
        <v>6530</v>
      </c>
      <c r="H1850" s="1176">
        <v>1</v>
      </c>
      <c r="I1850" s="1176">
        <v>1</v>
      </c>
      <c r="J1850" s="1190">
        <v>2</v>
      </c>
      <c r="K1850" s="1180"/>
      <c r="L1850" s="1174">
        <v>13207050302</v>
      </c>
      <c r="M1850" s="1175">
        <v>1</v>
      </c>
      <c r="N1850" s="1175">
        <v>1</v>
      </c>
      <c r="O1850" s="1176">
        <v>2</v>
      </c>
      <c r="AA1850"/>
      <c r="AB1850"/>
    </row>
    <row r="1851" spans="3:28" ht="13.5">
      <c r="C1851" s="1181" t="s">
        <v>6531</v>
      </c>
      <c r="D1851" s="1178">
        <v>0</v>
      </c>
      <c r="E1851" s="1178">
        <v>0</v>
      </c>
      <c r="F1851" s="1179">
        <v>0</v>
      </c>
      <c r="G1851" s="1189" t="s">
        <v>6531</v>
      </c>
      <c r="H1851" s="1176">
        <v>0</v>
      </c>
      <c r="I1851" s="1176">
        <v>0</v>
      </c>
      <c r="J1851" s="1190">
        <v>0</v>
      </c>
      <c r="K1851" s="1180"/>
      <c r="L1851" s="1174">
        <v>13209950100</v>
      </c>
      <c r="M1851" s="1175">
        <v>0</v>
      </c>
      <c r="N1851" s="1175">
        <v>0</v>
      </c>
      <c r="O1851" s="1176">
        <v>0</v>
      </c>
      <c r="AA1851"/>
      <c r="AB1851"/>
    </row>
    <row r="1852" spans="3:28" ht="13.5">
      <c r="C1852" s="1181" t="s">
        <v>6532</v>
      </c>
      <c r="D1852" s="1178">
        <v>0</v>
      </c>
      <c r="E1852" s="1178">
        <v>0</v>
      </c>
      <c r="F1852" s="1179">
        <v>0</v>
      </c>
      <c r="G1852" s="1189" t="s">
        <v>6532</v>
      </c>
      <c r="H1852" s="1176">
        <v>0</v>
      </c>
      <c r="I1852" s="1176">
        <v>1</v>
      </c>
      <c r="J1852" s="1190">
        <v>1</v>
      </c>
      <c r="K1852" s="1180"/>
      <c r="L1852" s="1174">
        <v>13209950200</v>
      </c>
      <c r="M1852" s="1175">
        <v>0</v>
      </c>
      <c r="N1852" s="1175">
        <v>1</v>
      </c>
      <c r="O1852" s="1176">
        <v>1</v>
      </c>
      <c r="AA1852"/>
      <c r="AB1852"/>
    </row>
    <row r="1853" spans="3:28" ht="13.5">
      <c r="C1853" s="1181" t="s">
        <v>6533</v>
      </c>
      <c r="D1853" s="1178">
        <v>0</v>
      </c>
      <c r="E1853" s="1178">
        <v>0</v>
      </c>
      <c r="F1853" s="1179">
        <v>0</v>
      </c>
      <c r="G1853" s="1189" t="s">
        <v>6533</v>
      </c>
      <c r="H1853" s="1176">
        <v>0</v>
      </c>
      <c r="I1853" s="1176">
        <v>0</v>
      </c>
      <c r="J1853" s="1190">
        <v>0</v>
      </c>
      <c r="K1853" s="1180"/>
      <c r="L1853" s="1174">
        <v>13209950300</v>
      </c>
      <c r="M1853" s="1175">
        <v>0</v>
      </c>
      <c r="N1853" s="1175">
        <v>0</v>
      </c>
      <c r="O1853" s="1176">
        <v>0</v>
      </c>
      <c r="AA1853"/>
      <c r="AB1853"/>
    </row>
    <row r="1854" spans="3:28" ht="13.5">
      <c r="C1854" s="1181" t="s">
        <v>6534</v>
      </c>
      <c r="D1854" s="1178">
        <v>1</v>
      </c>
      <c r="E1854" s="1178">
        <v>1</v>
      </c>
      <c r="F1854" s="1179">
        <v>2</v>
      </c>
      <c r="G1854" s="1189" t="s">
        <v>6534</v>
      </c>
      <c r="H1854" s="1176">
        <v>1</v>
      </c>
      <c r="I1854" s="1176">
        <v>1</v>
      </c>
      <c r="J1854" s="1190">
        <v>2</v>
      </c>
      <c r="K1854" s="1180"/>
      <c r="L1854" s="1174">
        <v>13211010100</v>
      </c>
      <c r="M1854" s="1175">
        <v>1</v>
      </c>
      <c r="N1854" s="1175">
        <v>1</v>
      </c>
      <c r="O1854" s="1176">
        <v>2</v>
      </c>
      <c r="AA1854"/>
      <c r="AB1854"/>
    </row>
    <row r="1855" spans="3:28" ht="13.5">
      <c r="C1855" s="1181" t="s">
        <v>6535</v>
      </c>
      <c r="D1855" s="1178">
        <v>0</v>
      </c>
      <c r="E1855" s="1178">
        <v>0</v>
      </c>
      <c r="F1855" s="1179">
        <v>0</v>
      </c>
      <c r="G1855" s="1189" t="s">
        <v>6535</v>
      </c>
      <c r="H1855" s="1176">
        <v>0</v>
      </c>
      <c r="I1855" s="1176">
        <v>0</v>
      </c>
      <c r="J1855" s="1190">
        <v>0</v>
      </c>
      <c r="K1855" s="1180"/>
      <c r="L1855" s="1174">
        <v>13211010200</v>
      </c>
      <c r="M1855" s="1175">
        <v>0</v>
      </c>
      <c r="N1855" s="1175">
        <v>0</v>
      </c>
      <c r="O1855" s="1176">
        <v>0</v>
      </c>
      <c r="AA1855"/>
      <c r="AB1855"/>
    </row>
    <row r="1856" spans="3:28" ht="13.5">
      <c r="C1856" s="1181" t="s">
        <v>6536</v>
      </c>
      <c r="D1856" s="1178">
        <v>1</v>
      </c>
      <c r="E1856" s="1178">
        <v>1</v>
      </c>
      <c r="F1856" s="1179">
        <v>2</v>
      </c>
      <c r="G1856" s="1189" t="s">
        <v>6536</v>
      </c>
      <c r="H1856" s="1176">
        <v>0</v>
      </c>
      <c r="I1856" s="1176">
        <v>1</v>
      </c>
      <c r="J1856" s="1190">
        <v>1</v>
      </c>
      <c r="K1856" s="1180"/>
      <c r="L1856" s="1174">
        <v>13211010300</v>
      </c>
      <c r="M1856" s="1175">
        <v>1</v>
      </c>
      <c r="N1856" s="1175">
        <v>1</v>
      </c>
      <c r="O1856" s="1176">
        <v>2</v>
      </c>
      <c r="AA1856"/>
      <c r="AB1856"/>
    </row>
    <row r="1857" spans="3:28" ht="13.5">
      <c r="C1857" s="1181" t="s">
        <v>6537</v>
      </c>
      <c r="D1857" s="1178">
        <v>1</v>
      </c>
      <c r="E1857" s="1178">
        <v>0</v>
      </c>
      <c r="F1857" s="1179">
        <v>1</v>
      </c>
      <c r="G1857" s="1189" t="s">
        <v>6537</v>
      </c>
      <c r="H1857" s="1176">
        <v>1</v>
      </c>
      <c r="I1857" s="1176">
        <v>0</v>
      </c>
      <c r="J1857" s="1190">
        <v>1</v>
      </c>
      <c r="K1857" s="1180"/>
      <c r="L1857" s="1174">
        <v>13211010400</v>
      </c>
      <c r="M1857" s="1175">
        <v>1</v>
      </c>
      <c r="N1857" s="1175">
        <v>0</v>
      </c>
      <c r="O1857" s="1176">
        <v>1</v>
      </c>
      <c r="AA1857"/>
      <c r="AB1857"/>
    </row>
    <row r="1858" spans="3:28" ht="13.5">
      <c r="C1858" s="1181" t="s">
        <v>6538</v>
      </c>
      <c r="D1858" s="1178">
        <v>1</v>
      </c>
      <c r="E1858" s="1178">
        <v>1</v>
      </c>
      <c r="F1858" s="1179">
        <v>2</v>
      </c>
      <c r="G1858" s="1189" t="s">
        <v>6538</v>
      </c>
      <c r="H1858" s="1176">
        <v>1</v>
      </c>
      <c r="I1858" s="1176">
        <v>0</v>
      </c>
      <c r="J1858" s="1190">
        <v>1</v>
      </c>
      <c r="K1858" s="1180"/>
      <c r="L1858" s="1174">
        <v>13211010500</v>
      </c>
      <c r="M1858" s="1175">
        <v>1</v>
      </c>
      <c r="N1858" s="1175">
        <v>1</v>
      </c>
      <c r="O1858" s="1176">
        <v>2</v>
      </c>
      <c r="AA1858"/>
      <c r="AB1858"/>
    </row>
    <row r="1859" spans="3:28" ht="13.5">
      <c r="C1859" s="1181" t="s">
        <v>6539</v>
      </c>
      <c r="D1859" s="1178">
        <v>0</v>
      </c>
      <c r="E1859" s="1178">
        <v>0</v>
      </c>
      <c r="F1859" s="1179">
        <v>0</v>
      </c>
      <c r="G1859" s="1189" t="s">
        <v>6539</v>
      </c>
      <c r="H1859" s="1176">
        <v>0</v>
      </c>
      <c r="I1859" s="1176">
        <v>0</v>
      </c>
      <c r="J1859" s="1190">
        <v>0</v>
      </c>
      <c r="K1859" s="1180"/>
      <c r="L1859" s="1174">
        <v>13213010100</v>
      </c>
      <c r="M1859" s="1175">
        <v>0</v>
      </c>
      <c r="N1859" s="1175">
        <v>0</v>
      </c>
      <c r="O1859" s="1176">
        <v>0</v>
      </c>
      <c r="AA1859"/>
      <c r="AB1859"/>
    </row>
    <row r="1860" spans="3:28" ht="13.5">
      <c r="C1860" s="1181" t="s">
        <v>6540</v>
      </c>
      <c r="D1860" s="1178">
        <v>0</v>
      </c>
      <c r="E1860" s="1178">
        <v>0</v>
      </c>
      <c r="F1860" s="1179">
        <v>0</v>
      </c>
      <c r="G1860" s="1189" t="s">
        <v>6540</v>
      </c>
      <c r="H1860" s="1176">
        <v>0</v>
      </c>
      <c r="I1860" s="1176">
        <v>0</v>
      </c>
      <c r="J1860" s="1190">
        <v>0</v>
      </c>
      <c r="K1860" s="1180"/>
      <c r="L1860" s="1174">
        <v>13213010201</v>
      </c>
      <c r="M1860" s="1175">
        <v>0</v>
      </c>
      <c r="N1860" s="1175">
        <v>0</v>
      </c>
      <c r="O1860" s="1176">
        <v>0</v>
      </c>
      <c r="AA1860"/>
      <c r="AB1860"/>
    </row>
    <row r="1861" spans="3:28" ht="13.5">
      <c r="C1861" s="1181" t="s">
        <v>6541</v>
      </c>
      <c r="D1861" s="1178">
        <v>0</v>
      </c>
      <c r="E1861" s="1178">
        <v>0</v>
      </c>
      <c r="F1861" s="1179">
        <v>0</v>
      </c>
      <c r="G1861" s="1189" t="s">
        <v>6541</v>
      </c>
      <c r="H1861" s="1176">
        <v>0</v>
      </c>
      <c r="I1861" s="1176">
        <v>0</v>
      </c>
      <c r="J1861" s="1190">
        <v>0</v>
      </c>
      <c r="K1861" s="1180"/>
      <c r="L1861" s="1174">
        <v>13213010202</v>
      </c>
      <c r="M1861" s="1175">
        <v>0</v>
      </c>
      <c r="N1861" s="1175">
        <v>0</v>
      </c>
      <c r="O1861" s="1176">
        <v>0</v>
      </c>
      <c r="AA1861"/>
      <c r="AB1861"/>
    </row>
    <row r="1862" spans="3:28" ht="13.5">
      <c r="C1862" s="1181" t="s">
        <v>6542</v>
      </c>
      <c r="D1862" s="1178">
        <v>0</v>
      </c>
      <c r="E1862" s="1178">
        <v>0</v>
      </c>
      <c r="F1862" s="1179">
        <v>0</v>
      </c>
      <c r="G1862" s="1189" t="s">
        <v>6542</v>
      </c>
      <c r="H1862" s="1176">
        <v>0</v>
      </c>
      <c r="I1862" s="1176">
        <v>0</v>
      </c>
      <c r="J1862" s="1190">
        <v>0</v>
      </c>
      <c r="K1862" s="1180"/>
      <c r="L1862" s="1174">
        <v>13213010300</v>
      </c>
      <c r="M1862" s="1175">
        <v>0</v>
      </c>
      <c r="N1862" s="1175">
        <v>0</v>
      </c>
      <c r="O1862" s="1176">
        <v>0</v>
      </c>
      <c r="AA1862"/>
      <c r="AB1862"/>
    </row>
    <row r="1863" spans="3:28" ht="13.5">
      <c r="C1863" s="1181" t="s">
        <v>6543</v>
      </c>
      <c r="D1863" s="1178">
        <v>0</v>
      </c>
      <c r="E1863" s="1178">
        <v>0</v>
      </c>
      <c r="F1863" s="1179">
        <v>0</v>
      </c>
      <c r="G1863" s="1189" t="s">
        <v>6543</v>
      </c>
      <c r="H1863" s="1176">
        <v>0</v>
      </c>
      <c r="I1863" s="1176">
        <v>0</v>
      </c>
      <c r="J1863" s="1190">
        <v>0</v>
      </c>
      <c r="K1863" s="1180"/>
      <c r="L1863" s="1174">
        <v>13213010400</v>
      </c>
      <c r="M1863" s="1175">
        <v>0</v>
      </c>
      <c r="N1863" s="1175">
        <v>0</v>
      </c>
      <c r="O1863" s="1176">
        <v>0</v>
      </c>
      <c r="AA1863"/>
      <c r="AB1863"/>
    </row>
    <row r="1864" spans="3:28" ht="13.5">
      <c r="C1864" s="1181" t="s">
        <v>6544</v>
      </c>
      <c r="D1864" s="1178">
        <v>0</v>
      </c>
      <c r="E1864" s="1178">
        <v>0</v>
      </c>
      <c r="F1864" s="1179">
        <v>0</v>
      </c>
      <c r="G1864" s="1189" t="s">
        <v>6544</v>
      </c>
      <c r="H1864" s="1176">
        <v>0</v>
      </c>
      <c r="I1864" s="1176">
        <v>0</v>
      </c>
      <c r="J1864" s="1190">
        <v>0</v>
      </c>
      <c r="K1864" s="1180"/>
      <c r="L1864" s="1174">
        <v>13213010500</v>
      </c>
      <c r="M1864" s="1175">
        <v>0</v>
      </c>
      <c r="N1864" s="1175">
        <v>0</v>
      </c>
      <c r="O1864" s="1176">
        <v>0</v>
      </c>
      <c r="AA1864"/>
      <c r="AB1864"/>
    </row>
    <row r="1865" spans="3:28" ht="13.5">
      <c r="C1865" s="1181" t="s">
        <v>6545</v>
      </c>
      <c r="D1865" s="1178">
        <v>0</v>
      </c>
      <c r="E1865" s="1178">
        <v>0</v>
      </c>
      <c r="F1865" s="1179">
        <v>0</v>
      </c>
      <c r="G1865" s="1189" t="s">
        <v>6545</v>
      </c>
      <c r="H1865" s="1176">
        <v>0</v>
      </c>
      <c r="I1865" s="1176">
        <v>0</v>
      </c>
      <c r="J1865" s="1190">
        <v>0</v>
      </c>
      <c r="K1865" s="1180"/>
      <c r="L1865" s="1174">
        <v>13213010600</v>
      </c>
      <c r="M1865" s="1175">
        <v>0</v>
      </c>
      <c r="N1865" s="1175">
        <v>0</v>
      </c>
      <c r="O1865" s="1176">
        <v>0</v>
      </c>
      <c r="AA1865"/>
      <c r="AB1865"/>
    </row>
    <row r="1866" spans="3:28" ht="13.5">
      <c r="C1866" s="1181" t="s">
        <v>6546</v>
      </c>
      <c r="D1866" s="1178">
        <v>0</v>
      </c>
      <c r="E1866" s="1178">
        <v>0</v>
      </c>
      <c r="F1866" s="1179">
        <v>0</v>
      </c>
      <c r="G1866" s="1189" t="s">
        <v>6546</v>
      </c>
      <c r="H1866" s="1176">
        <v>0</v>
      </c>
      <c r="I1866" s="1176">
        <v>0</v>
      </c>
      <c r="J1866" s="1190">
        <v>0</v>
      </c>
      <c r="K1866" s="1180"/>
      <c r="L1866" s="1174">
        <v>13213010700</v>
      </c>
      <c r="M1866" s="1175">
        <v>0</v>
      </c>
      <c r="N1866" s="1175">
        <v>0</v>
      </c>
      <c r="O1866" s="1176">
        <v>0</v>
      </c>
      <c r="AA1866"/>
      <c r="AB1866"/>
    </row>
    <row r="1867" spans="3:28" ht="13.5">
      <c r="C1867" s="1181" t="s">
        <v>6547</v>
      </c>
      <c r="D1867" s="1178">
        <v>0</v>
      </c>
      <c r="E1867" s="1178">
        <v>1</v>
      </c>
      <c r="F1867" s="1179">
        <v>1</v>
      </c>
      <c r="G1867" s="1189" t="s">
        <v>6547</v>
      </c>
      <c r="H1867" s="1176">
        <v>0</v>
      </c>
      <c r="I1867" s="1176">
        <v>1</v>
      </c>
      <c r="J1867" s="1190">
        <v>1</v>
      </c>
      <c r="K1867" s="1180"/>
      <c r="L1867" s="1174">
        <v>13215000200</v>
      </c>
      <c r="M1867" s="1175">
        <v>0</v>
      </c>
      <c r="N1867" s="1175">
        <v>1</v>
      </c>
      <c r="O1867" s="1176">
        <v>1</v>
      </c>
      <c r="AA1867"/>
      <c r="AB1867"/>
    </row>
    <row r="1868" spans="3:28" ht="13.5">
      <c r="C1868" s="1181" t="s">
        <v>6548</v>
      </c>
      <c r="D1868" s="1178">
        <v>0</v>
      </c>
      <c r="E1868" s="1178">
        <v>0</v>
      </c>
      <c r="F1868" s="1179">
        <v>0</v>
      </c>
      <c r="G1868" s="1189" t="s">
        <v>6548</v>
      </c>
      <c r="H1868" s="1176">
        <v>0</v>
      </c>
      <c r="I1868" s="1176">
        <v>0</v>
      </c>
      <c r="J1868" s="1190">
        <v>0</v>
      </c>
      <c r="K1868" s="1180"/>
      <c r="L1868" s="1174">
        <v>13215000300</v>
      </c>
      <c r="M1868" s="1175">
        <v>0</v>
      </c>
      <c r="N1868" s="1175">
        <v>0</v>
      </c>
      <c r="O1868" s="1176">
        <v>0</v>
      </c>
      <c r="AA1868"/>
      <c r="AB1868"/>
    </row>
    <row r="1869" spans="3:28" ht="13.5">
      <c r="C1869" s="1181" t="s">
        <v>6549</v>
      </c>
      <c r="D1869" s="1178">
        <v>0</v>
      </c>
      <c r="E1869" s="1178">
        <v>0</v>
      </c>
      <c r="F1869" s="1179">
        <v>0</v>
      </c>
      <c r="G1869" s="1189" t="s">
        <v>6549</v>
      </c>
      <c r="H1869" s="1176">
        <v>0</v>
      </c>
      <c r="I1869" s="1176">
        <v>0</v>
      </c>
      <c r="J1869" s="1190">
        <v>0</v>
      </c>
      <c r="K1869" s="1180"/>
      <c r="L1869" s="1174">
        <v>13215000400</v>
      </c>
      <c r="M1869" s="1175">
        <v>0</v>
      </c>
      <c r="N1869" s="1175">
        <v>0</v>
      </c>
      <c r="O1869" s="1176">
        <v>0</v>
      </c>
      <c r="AA1869"/>
      <c r="AB1869"/>
    </row>
    <row r="1870" spans="3:28" ht="13.5">
      <c r="C1870" s="1181" t="s">
        <v>6550</v>
      </c>
      <c r="D1870" s="1178">
        <v>0</v>
      </c>
      <c r="E1870" s="1178">
        <v>0</v>
      </c>
      <c r="F1870" s="1179">
        <v>0</v>
      </c>
      <c r="G1870" s="1189" t="s">
        <v>6550</v>
      </c>
      <c r="H1870" s="1176">
        <v>0</v>
      </c>
      <c r="I1870" s="1176">
        <v>0</v>
      </c>
      <c r="J1870" s="1190">
        <v>0</v>
      </c>
      <c r="K1870" s="1180"/>
      <c r="L1870" s="1174">
        <v>13215000800</v>
      </c>
      <c r="M1870" s="1175">
        <v>0</v>
      </c>
      <c r="N1870" s="1175">
        <v>0</v>
      </c>
      <c r="O1870" s="1176">
        <v>0</v>
      </c>
      <c r="AA1870"/>
      <c r="AB1870"/>
    </row>
    <row r="1871" spans="3:28" ht="13.5">
      <c r="C1871" s="1181" t="s">
        <v>6551</v>
      </c>
      <c r="D1871" s="1178">
        <v>0</v>
      </c>
      <c r="E1871" s="1178">
        <v>0</v>
      </c>
      <c r="F1871" s="1179">
        <v>0</v>
      </c>
      <c r="G1871" s="1189" t="s">
        <v>6551</v>
      </c>
      <c r="H1871" s="1176">
        <v>0</v>
      </c>
      <c r="I1871" s="1176">
        <v>0</v>
      </c>
      <c r="J1871" s="1190">
        <v>0</v>
      </c>
      <c r="K1871" s="1180"/>
      <c r="L1871" s="1174">
        <v>13215000900</v>
      </c>
      <c r="M1871" s="1175">
        <v>0</v>
      </c>
      <c r="N1871" s="1175">
        <v>0</v>
      </c>
      <c r="O1871" s="1176">
        <v>0</v>
      </c>
      <c r="AA1871"/>
      <c r="AB1871"/>
    </row>
    <row r="1872" spans="3:28" ht="13.5">
      <c r="C1872" s="1181" t="s">
        <v>6552</v>
      </c>
      <c r="D1872" s="1178">
        <v>0</v>
      </c>
      <c r="E1872" s="1178">
        <v>0</v>
      </c>
      <c r="F1872" s="1179">
        <v>0</v>
      </c>
      <c r="G1872" s="1189" t="s">
        <v>6552</v>
      </c>
      <c r="H1872" s="1176">
        <v>0</v>
      </c>
      <c r="I1872" s="1176">
        <v>0</v>
      </c>
      <c r="J1872" s="1190">
        <v>0</v>
      </c>
      <c r="K1872" s="1180"/>
      <c r="L1872" s="1174">
        <v>13215001000</v>
      </c>
      <c r="M1872" s="1175">
        <v>0</v>
      </c>
      <c r="N1872" s="1175">
        <v>0</v>
      </c>
      <c r="O1872" s="1176">
        <v>0</v>
      </c>
      <c r="AA1872"/>
      <c r="AB1872"/>
    </row>
    <row r="1873" spans="3:28" ht="13.5">
      <c r="C1873" s="1181" t="s">
        <v>6553</v>
      </c>
      <c r="D1873" s="1178">
        <v>1</v>
      </c>
      <c r="E1873" s="1178">
        <v>1</v>
      </c>
      <c r="F1873" s="1179">
        <v>2</v>
      </c>
      <c r="G1873" s="1189" t="s">
        <v>6553</v>
      </c>
      <c r="H1873" s="1176">
        <v>1</v>
      </c>
      <c r="I1873" s="1176">
        <v>1</v>
      </c>
      <c r="J1873" s="1190">
        <v>2</v>
      </c>
      <c r="K1873" s="1180"/>
      <c r="L1873" s="1174">
        <v>13215001100</v>
      </c>
      <c r="M1873" s="1175">
        <v>1</v>
      </c>
      <c r="N1873" s="1175">
        <v>1</v>
      </c>
      <c r="O1873" s="1176">
        <v>2</v>
      </c>
      <c r="AA1873"/>
      <c r="AB1873"/>
    </row>
    <row r="1874" spans="3:28" ht="13.5">
      <c r="C1874" s="1181" t="s">
        <v>6554</v>
      </c>
      <c r="D1874" s="1178">
        <v>1</v>
      </c>
      <c r="E1874" s="1178">
        <v>1</v>
      </c>
      <c r="F1874" s="1179">
        <v>2</v>
      </c>
      <c r="G1874" s="1189" t="s">
        <v>6554</v>
      </c>
      <c r="H1874" s="1176">
        <v>1</v>
      </c>
      <c r="I1874" s="1176">
        <v>1</v>
      </c>
      <c r="J1874" s="1190">
        <v>2</v>
      </c>
      <c r="K1874" s="1180"/>
      <c r="L1874" s="1174">
        <v>13215001200</v>
      </c>
      <c r="M1874" s="1175">
        <v>1</v>
      </c>
      <c r="N1874" s="1175">
        <v>1</v>
      </c>
      <c r="O1874" s="1176">
        <v>2</v>
      </c>
      <c r="AA1874"/>
      <c r="AB1874"/>
    </row>
    <row r="1875" spans="3:28" ht="13.5">
      <c r="C1875" s="1181" t="s">
        <v>6555</v>
      </c>
      <c r="D1875" s="1178">
        <v>0</v>
      </c>
      <c r="E1875" s="1178">
        <v>0</v>
      </c>
      <c r="F1875" s="1179">
        <v>0</v>
      </c>
      <c r="G1875" s="1189" t="s">
        <v>6555</v>
      </c>
      <c r="H1875" s="1176">
        <v>0</v>
      </c>
      <c r="I1875" s="1176">
        <v>0</v>
      </c>
      <c r="J1875" s="1190">
        <v>0</v>
      </c>
      <c r="K1875" s="1180"/>
      <c r="L1875" s="1174">
        <v>13215001400</v>
      </c>
      <c r="M1875" s="1175">
        <v>0</v>
      </c>
      <c r="N1875" s="1175">
        <v>0</v>
      </c>
      <c r="O1875" s="1176">
        <v>0</v>
      </c>
      <c r="AA1875"/>
      <c r="AB1875"/>
    </row>
    <row r="1876" spans="3:28" ht="13.5">
      <c r="C1876" s="1181" t="s">
        <v>6556</v>
      </c>
      <c r="D1876" s="1178">
        <v>0</v>
      </c>
      <c r="E1876" s="1178">
        <v>0</v>
      </c>
      <c r="F1876" s="1179">
        <v>0</v>
      </c>
      <c r="G1876" s="1189" t="s">
        <v>6556</v>
      </c>
      <c r="H1876" s="1176">
        <v>0</v>
      </c>
      <c r="I1876" s="1176" t="s">
        <v>4455</v>
      </c>
      <c r="J1876" s="1190">
        <v>0</v>
      </c>
      <c r="K1876" s="1180"/>
      <c r="L1876" s="1174">
        <v>13215001600</v>
      </c>
      <c r="M1876" s="1175">
        <v>0</v>
      </c>
      <c r="N1876" s="1175">
        <v>0</v>
      </c>
      <c r="O1876" s="1176">
        <v>0</v>
      </c>
      <c r="AA1876"/>
      <c r="AB1876"/>
    </row>
    <row r="1877" spans="3:28" ht="13.5">
      <c r="C1877" s="1181" t="s">
        <v>6557</v>
      </c>
      <c r="D1877" s="1178">
        <v>0</v>
      </c>
      <c r="E1877" s="1178">
        <v>0</v>
      </c>
      <c r="F1877" s="1179">
        <v>0</v>
      </c>
      <c r="G1877" s="1189" t="s">
        <v>6557</v>
      </c>
      <c r="H1877" s="1176">
        <v>0</v>
      </c>
      <c r="I1877" s="1176">
        <v>0</v>
      </c>
      <c r="J1877" s="1190">
        <v>0</v>
      </c>
      <c r="K1877" s="1180"/>
      <c r="L1877" s="1174">
        <v>13215001800</v>
      </c>
      <c r="M1877" s="1175">
        <v>0</v>
      </c>
      <c r="N1877" s="1175">
        <v>0</v>
      </c>
      <c r="O1877" s="1176">
        <v>0</v>
      </c>
      <c r="AA1877"/>
      <c r="AB1877"/>
    </row>
    <row r="1878" spans="3:28" ht="13.5">
      <c r="C1878" s="1181" t="s">
        <v>6558</v>
      </c>
      <c r="D1878" s="1178">
        <v>0</v>
      </c>
      <c r="E1878" s="1178">
        <v>0</v>
      </c>
      <c r="F1878" s="1179">
        <v>0</v>
      </c>
      <c r="G1878" s="1189" t="s">
        <v>6558</v>
      </c>
      <c r="H1878" s="1176">
        <v>0</v>
      </c>
      <c r="I1878" s="1176">
        <v>0</v>
      </c>
      <c r="J1878" s="1190">
        <v>0</v>
      </c>
      <c r="K1878" s="1180"/>
      <c r="L1878" s="1174">
        <v>13215002000</v>
      </c>
      <c r="M1878" s="1175">
        <v>0</v>
      </c>
      <c r="N1878" s="1175">
        <v>0</v>
      </c>
      <c r="O1878" s="1176">
        <v>0</v>
      </c>
      <c r="AA1878"/>
      <c r="AB1878"/>
    </row>
    <row r="1879" spans="3:28" ht="13.5">
      <c r="C1879" s="1181" t="s">
        <v>6559</v>
      </c>
      <c r="D1879" s="1178">
        <v>0</v>
      </c>
      <c r="E1879" s="1178">
        <v>0</v>
      </c>
      <c r="F1879" s="1179">
        <v>0</v>
      </c>
      <c r="G1879" s="1189" t="s">
        <v>6559</v>
      </c>
      <c r="H1879" s="1176">
        <v>0</v>
      </c>
      <c r="I1879" s="1176">
        <v>0</v>
      </c>
      <c r="J1879" s="1190">
        <v>0</v>
      </c>
      <c r="K1879" s="1180"/>
      <c r="L1879" s="1174">
        <v>13215002100</v>
      </c>
      <c r="M1879" s="1175">
        <v>0</v>
      </c>
      <c r="N1879" s="1175">
        <v>0</v>
      </c>
      <c r="O1879" s="1176">
        <v>0</v>
      </c>
      <c r="AA1879"/>
      <c r="AB1879"/>
    </row>
    <row r="1880" spans="3:28" ht="13.5">
      <c r="C1880" s="1181" t="s">
        <v>6560</v>
      </c>
      <c r="D1880" s="1178">
        <v>0</v>
      </c>
      <c r="E1880" s="1178">
        <v>0</v>
      </c>
      <c r="F1880" s="1179">
        <v>0</v>
      </c>
      <c r="G1880" s="1189" t="s">
        <v>6560</v>
      </c>
      <c r="H1880" s="1176">
        <v>0</v>
      </c>
      <c r="I1880" s="1176">
        <v>0</v>
      </c>
      <c r="J1880" s="1190">
        <v>0</v>
      </c>
      <c r="K1880" s="1180"/>
      <c r="L1880" s="1174">
        <v>13215002200</v>
      </c>
      <c r="M1880" s="1175">
        <v>0</v>
      </c>
      <c r="N1880" s="1175">
        <v>0</v>
      </c>
      <c r="O1880" s="1176">
        <v>0</v>
      </c>
      <c r="AA1880"/>
      <c r="AB1880"/>
    </row>
    <row r="1881" spans="3:28" ht="13.5">
      <c r="C1881" s="1181" t="s">
        <v>6561</v>
      </c>
      <c r="D1881" s="1178">
        <v>0</v>
      </c>
      <c r="E1881" s="1178">
        <v>0</v>
      </c>
      <c r="F1881" s="1179">
        <v>0</v>
      </c>
      <c r="G1881" s="1189" t="s">
        <v>6561</v>
      </c>
      <c r="H1881" s="1176">
        <v>0</v>
      </c>
      <c r="I1881" s="1176">
        <v>0</v>
      </c>
      <c r="J1881" s="1190">
        <v>0</v>
      </c>
      <c r="K1881" s="1180"/>
      <c r="L1881" s="1174">
        <v>13215002300</v>
      </c>
      <c r="M1881" s="1175">
        <v>0</v>
      </c>
      <c r="N1881" s="1175">
        <v>0</v>
      </c>
      <c r="O1881" s="1176">
        <v>0</v>
      </c>
      <c r="AA1881"/>
      <c r="AB1881"/>
    </row>
    <row r="1882" spans="3:28" ht="13.5">
      <c r="C1882" s="1181" t="s">
        <v>6562</v>
      </c>
      <c r="D1882" s="1178">
        <v>0</v>
      </c>
      <c r="E1882" s="1178">
        <v>0</v>
      </c>
      <c r="F1882" s="1179">
        <v>0</v>
      </c>
      <c r="G1882" s="1189" t="s">
        <v>6562</v>
      </c>
      <c r="H1882" s="1176">
        <v>0</v>
      </c>
      <c r="I1882" s="1176">
        <v>0</v>
      </c>
      <c r="J1882" s="1190">
        <v>0</v>
      </c>
      <c r="K1882" s="1180"/>
      <c r="L1882" s="1174">
        <v>13215002400</v>
      </c>
      <c r="M1882" s="1175">
        <v>0</v>
      </c>
      <c r="N1882" s="1175">
        <v>0</v>
      </c>
      <c r="O1882" s="1176">
        <v>0</v>
      </c>
      <c r="AA1882"/>
      <c r="AB1882"/>
    </row>
    <row r="1883" spans="3:28" ht="13.5">
      <c r="C1883" s="1181" t="s">
        <v>6563</v>
      </c>
      <c r="D1883" s="1178">
        <v>0</v>
      </c>
      <c r="E1883" s="1178">
        <v>0</v>
      </c>
      <c r="F1883" s="1179">
        <v>0</v>
      </c>
      <c r="G1883" s="1189" t="s">
        <v>6563</v>
      </c>
      <c r="H1883" s="1176">
        <v>0</v>
      </c>
      <c r="I1883" s="1176">
        <v>0</v>
      </c>
      <c r="J1883" s="1190">
        <v>0</v>
      </c>
      <c r="K1883" s="1180"/>
      <c r="L1883" s="1174">
        <v>13215002500</v>
      </c>
      <c r="M1883" s="1175">
        <v>0</v>
      </c>
      <c r="N1883" s="1175">
        <v>0</v>
      </c>
      <c r="O1883" s="1176">
        <v>0</v>
      </c>
      <c r="AA1883"/>
      <c r="AB1883"/>
    </row>
    <row r="1884" spans="3:28" ht="13.5">
      <c r="C1884" s="1181" t="s">
        <v>6564</v>
      </c>
      <c r="D1884" s="1178">
        <v>0</v>
      </c>
      <c r="E1884" s="1178">
        <v>0</v>
      </c>
      <c r="F1884" s="1179">
        <v>0</v>
      </c>
      <c r="G1884" s="1189" t="s">
        <v>6564</v>
      </c>
      <c r="H1884" s="1176">
        <v>0</v>
      </c>
      <c r="I1884" s="1176">
        <v>0</v>
      </c>
      <c r="J1884" s="1190">
        <v>0</v>
      </c>
      <c r="K1884" s="1180"/>
      <c r="L1884" s="1174">
        <v>13215002700</v>
      </c>
      <c r="M1884" s="1175">
        <v>0</v>
      </c>
      <c r="N1884" s="1175">
        <v>0</v>
      </c>
      <c r="O1884" s="1176">
        <v>0</v>
      </c>
      <c r="AA1884"/>
      <c r="AB1884"/>
    </row>
    <row r="1885" spans="3:28" ht="13.5">
      <c r="C1885" s="1181" t="s">
        <v>6565</v>
      </c>
      <c r="D1885" s="1178">
        <v>0</v>
      </c>
      <c r="E1885" s="1178">
        <v>0</v>
      </c>
      <c r="F1885" s="1179">
        <v>0</v>
      </c>
      <c r="G1885" s="1189" t="s">
        <v>6565</v>
      </c>
      <c r="H1885" s="1176">
        <v>0</v>
      </c>
      <c r="I1885" s="1176">
        <v>0</v>
      </c>
      <c r="J1885" s="1190">
        <v>0</v>
      </c>
      <c r="K1885" s="1180"/>
      <c r="L1885" s="1174">
        <v>13215002800</v>
      </c>
      <c r="M1885" s="1175">
        <v>0</v>
      </c>
      <c r="N1885" s="1175">
        <v>0</v>
      </c>
      <c r="O1885" s="1176">
        <v>0</v>
      </c>
      <c r="AA1885"/>
      <c r="AB1885"/>
    </row>
    <row r="1886" spans="3:28" ht="13.5">
      <c r="C1886" s="1181" t="s">
        <v>6566</v>
      </c>
      <c r="D1886" s="1178">
        <v>0</v>
      </c>
      <c r="E1886" s="1178">
        <v>0</v>
      </c>
      <c r="F1886" s="1179">
        <v>0</v>
      </c>
      <c r="G1886" s="1189" t="s">
        <v>6566</v>
      </c>
      <c r="H1886" s="1176">
        <v>0</v>
      </c>
      <c r="I1886" s="1176">
        <v>0</v>
      </c>
      <c r="J1886" s="1190">
        <v>0</v>
      </c>
      <c r="K1886" s="1180"/>
      <c r="L1886" s="1174">
        <v>13215002901</v>
      </c>
      <c r="M1886" s="1175">
        <v>0</v>
      </c>
      <c r="N1886" s="1175">
        <v>0</v>
      </c>
      <c r="O1886" s="1176">
        <v>0</v>
      </c>
      <c r="AA1886"/>
      <c r="AB1886"/>
    </row>
    <row r="1887" spans="3:28" ht="13.5">
      <c r="C1887" s="1181" t="s">
        <v>6567</v>
      </c>
      <c r="D1887" s="1178">
        <v>0</v>
      </c>
      <c r="E1887" s="1178">
        <v>0</v>
      </c>
      <c r="F1887" s="1179">
        <v>0</v>
      </c>
      <c r="G1887" s="1189" t="s">
        <v>6567</v>
      </c>
      <c r="H1887" s="1176">
        <v>0</v>
      </c>
      <c r="I1887" s="1176">
        <v>0</v>
      </c>
      <c r="J1887" s="1190">
        <v>0</v>
      </c>
      <c r="K1887" s="1180"/>
      <c r="L1887" s="1174">
        <v>13215002902</v>
      </c>
      <c r="M1887" s="1175">
        <v>0</v>
      </c>
      <c r="N1887" s="1175">
        <v>0</v>
      </c>
      <c r="O1887" s="1176">
        <v>0</v>
      </c>
      <c r="AA1887"/>
      <c r="AB1887"/>
    </row>
    <row r="1888" spans="3:28" ht="13.5">
      <c r="C1888" s="1181" t="s">
        <v>6568</v>
      </c>
      <c r="D1888" s="1178">
        <v>0</v>
      </c>
      <c r="E1888" s="1178">
        <v>0</v>
      </c>
      <c r="F1888" s="1179">
        <v>0</v>
      </c>
      <c r="G1888" s="1189" t="s">
        <v>6568</v>
      </c>
      <c r="H1888" s="1176">
        <v>0</v>
      </c>
      <c r="I1888" s="1176" t="s">
        <v>4455</v>
      </c>
      <c r="J1888" s="1190">
        <v>0</v>
      </c>
      <c r="K1888" s="1180"/>
      <c r="L1888" s="1174">
        <v>13215003000</v>
      </c>
      <c r="M1888" s="1175">
        <v>0</v>
      </c>
      <c r="N1888" s="1175">
        <v>0</v>
      </c>
      <c r="O1888" s="1176">
        <v>0</v>
      </c>
      <c r="AA1888"/>
      <c r="AB1888"/>
    </row>
    <row r="1889" spans="3:28" ht="13.5">
      <c r="C1889" s="1181" t="s">
        <v>6569</v>
      </c>
      <c r="D1889" s="1178">
        <v>0</v>
      </c>
      <c r="E1889" s="1178">
        <v>0</v>
      </c>
      <c r="F1889" s="1179">
        <v>0</v>
      </c>
      <c r="G1889" s="1189" t="s">
        <v>6569</v>
      </c>
      <c r="H1889" s="1176">
        <v>0</v>
      </c>
      <c r="I1889" s="1176">
        <v>0</v>
      </c>
      <c r="J1889" s="1190">
        <v>0</v>
      </c>
      <c r="K1889" s="1180"/>
      <c r="L1889" s="1174">
        <v>13215003200</v>
      </c>
      <c r="M1889" s="1175">
        <v>0</v>
      </c>
      <c r="N1889" s="1175">
        <v>0</v>
      </c>
      <c r="O1889" s="1176">
        <v>0</v>
      </c>
      <c r="AA1889"/>
      <c r="AB1889"/>
    </row>
    <row r="1890" spans="3:28" ht="13.5">
      <c r="C1890" s="1181" t="s">
        <v>6570</v>
      </c>
      <c r="D1890" s="1178">
        <v>0</v>
      </c>
      <c r="E1890" s="1178">
        <v>0</v>
      </c>
      <c r="F1890" s="1179">
        <v>0</v>
      </c>
      <c r="G1890" s="1189" t="s">
        <v>6570</v>
      </c>
      <c r="H1890" s="1176">
        <v>0</v>
      </c>
      <c r="I1890" s="1176">
        <v>0</v>
      </c>
      <c r="J1890" s="1190">
        <v>0</v>
      </c>
      <c r="K1890" s="1180"/>
      <c r="L1890" s="1174">
        <v>13215003301</v>
      </c>
      <c r="M1890" s="1175">
        <v>0</v>
      </c>
      <c r="N1890" s="1175">
        <v>0</v>
      </c>
      <c r="O1890" s="1176">
        <v>0</v>
      </c>
      <c r="AA1890"/>
      <c r="AB1890"/>
    </row>
    <row r="1891" spans="3:28" ht="13.5">
      <c r="C1891" s="1181" t="s">
        <v>6571</v>
      </c>
      <c r="D1891" s="1178">
        <v>0</v>
      </c>
      <c r="E1891" s="1178">
        <v>0</v>
      </c>
      <c r="F1891" s="1179">
        <v>0</v>
      </c>
      <c r="G1891" s="1189" t="s">
        <v>6571</v>
      </c>
      <c r="H1891" s="1176">
        <v>0</v>
      </c>
      <c r="I1891" s="1176">
        <v>0</v>
      </c>
      <c r="J1891" s="1190">
        <v>0</v>
      </c>
      <c r="K1891" s="1180"/>
      <c r="L1891" s="1174">
        <v>13215003302</v>
      </c>
      <c r="M1891" s="1175">
        <v>0</v>
      </c>
      <c r="N1891" s="1175">
        <v>0</v>
      </c>
      <c r="O1891" s="1176">
        <v>0</v>
      </c>
      <c r="AA1891"/>
      <c r="AB1891"/>
    </row>
    <row r="1892" spans="3:28" ht="13.5">
      <c r="C1892" s="1181" t="s">
        <v>6572</v>
      </c>
      <c r="D1892" s="1178">
        <v>0</v>
      </c>
      <c r="E1892" s="1178">
        <v>0</v>
      </c>
      <c r="F1892" s="1179">
        <v>0</v>
      </c>
      <c r="G1892" s="1189" t="s">
        <v>6572</v>
      </c>
      <c r="H1892" s="1176">
        <v>0</v>
      </c>
      <c r="I1892" s="1176">
        <v>0</v>
      </c>
      <c r="J1892" s="1190">
        <v>0</v>
      </c>
      <c r="K1892" s="1180"/>
      <c r="L1892" s="1174">
        <v>13215003400</v>
      </c>
      <c r="M1892" s="1175">
        <v>0</v>
      </c>
      <c r="N1892" s="1175">
        <v>0</v>
      </c>
      <c r="O1892" s="1176">
        <v>0</v>
      </c>
      <c r="AA1892"/>
      <c r="AB1892"/>
    </row>
    <row r="1893" spans="3:28" ht="13.5">
      <c r="C1893" s="1181" t="s">
        <v>6573</v>
      </c>
      <c r="D1893" s="1178">
        <v>1</v>
      </c>
      <c r="E1893" s="1178">
        <v>1</v>
      </c>
      <c r="F1893" s="1179">
        <v>2</v>
      </c>
      <c r="G1893" s="1189" t="s">
        <v>6573</v>
      </c>
      <c r="H1893" s="1176">
        <v>1</v>
      </c>
      <c r="I1893" s="1176">
        <v>1</v>
      </c>
      <c r="J1893" s="1190">
        <v>2</v>
      </c>
      <c r="K1893" s="1180"/>
      <c r="L1893" s="1174">
        <v>13215010104</v>
      </c>
      <c r="M1893" s="1175">
        <v>1</v>
      </c>
      <c r="N1893" s="1175">
        <v>1</v>
      </c>
      <c r="O1893" s="1176">
        <v>2</v>
      </c>
      <c r="AA1893"/>
      <c r="AB1893"/>
    </row>
    <row r="1894" spans="3:28" ht="13.5">
      <c r="C1894" s="1181" t="s">
        <v>6574</v>
      </c>
      <c r="D1894" s="1178">
        <v>0</v>
      </c>
      <c r="E1894" s="1178">
        <v>1</v>
      </c>
      <c r="F1894" s="1179">
        <v>1</v>
      </c>
      <c r="G1894" s="1189" t="s">
        <v>6574</v>
      </c>
      <c r="H1894" s="1176">
        <v>0</v>
      </c>
      <c r="I1894" s="1176">
        <v>1</v>
      </c>
      <c r="J1894" s="1190">
        <v>1</v>
      </c>
      <c r="K1894" s="1180"/>
      <c r="L1894" s="1174">
        <v>13215010106</v>
      </c>
      <c r="M1894" s="1175">
        <v>0</v>
      </c>
      <c r="N1894" s="1175">
        <v>1</v>
      </c>
      <c r="O1894" s="1176">
        <v>1</v>
      </c>
      <c r="AA1894"/>
      <c r="AB1894"/>
    </row>
    <row r="1895" spans="3:28" ht="13.5">
      <c r="C1895" s="1181" t="s">
        <v>6575</v>
      </c>
      <c r="D1895" s="1178">
        <v>1</v>
      </c>
      <c r="E1895" s="1178">
        <v>1</v>
      </c>
      <c r="F1895" s="1179">
        <v>2</v>
      </c>
      <c r="G1895" s="1189" t="s">
        <v>6575</v>
      </c>
      <c r="H1895" s="1176">
        <v>1</v>
      </c>
      <c r="I1895" s="1176">
        <v>1</v>
      </c>
      <c r="J1895" s="1190">
        <v>2</v>
      </c>
      <c r="K1895" s="1180"/>
      <c r="L1895" s="1174">
        <v>13215010107</v>
      </c>
      <c r="M1895" s="1175">
        <v>1</v>
      </c>
      <c r="N1895" s="1175">
        <v>1</v>
      </c>
      <c r="O1895" s="1176">
        <v>2</v>
      </c>
      <c r="AA1895"/>
      <c r="AB1895"/>
    </row>
    <row r="1896" spans="3:28" ht="13.5">
      <c r="C1896" s="1181" t="s">
        <v>6576</v>
      </c>
      <c r="D1896" s="1178">
        <v>1</v>
      </c>
      <c r="E1896" s="1178">
        <v>1</v>
      </c>
      <c r="F1896" s="1179">
        <v>2</v>
      </c>
      <c r="G1896" s="1189" t="s">
        <v>6576</v>
      </c>
      <c r="H1896" s="1176">
        <v>1</v>
      </c>
      <c r="I1896" s="1176">
        <v>1</v>
      </c>
      <c r="J1896" s="1190">
        <v>2</v>
      </c>
      <c r="K1896" s="1180"/>
      <c r="L1896" s="1174">
        <v>13215010201</v>
      </c>
      <c r="M1896" s="1175">
        <v>1</v>
      </c>
      <c r="N1896" s="1175">
        <v>1</v>
      </c>
      <c r="O1896" s="1176">
        <v>2</v>
      </c>
      <c r="AA1896"/>
      <c r="AB1896"/>
    </row>
    <row r="1897" spans="3:28" ht="13.5">
      <c r="C1897" s="1181" t="s">
        <v>6577</v>
      </c>
      <c r="D1897" s="1178">
        <v>1</v>
      </c>
      <c r="E1897" s="1178">
        <v>1</v>
      </c>
      <c r="F1897" s="1179">
        <v>2</v>
      </c>
      <c r="G1897" s="1189" t="s">
        <v>6577</v>
      </c>
      <c r="H1897" s="1176">
        <v>1</v>
      </c>
      <c r="I1897" s="1176">
        <v>1</v>
      </c>
      <c r="J1897" s="1190">
        <v>2</v>
      </c>
      <c r="K1897" s="1180"/>
      <c r="L1897" s="1174">
        <v>13215010203</v>
      </c>
      <c r="M1897" s="1175">
        <v>1</v>
      </c>
      <c r="N1897" s="1175">
        <v>1</v>
      </c>
      <c r="O1897" s="1176">
        <v>2</v>
      </c>
      <c r="AA1897"/>
      <c r="AB1897"/>
    </row>
    <row r="1898" spans="3:28" ht="13.5">
      <c r="C1898" s="1181" t="s">
        <v>6578</v>
      </c>
      <c r="D1898" s="1178">
        <v>1</v>
      </c>
      <c r="E1898" s="1178">
        <v>1</v>
      </c>
      <c r="F1898" s="1179">
        <v>2</v>
      </c>
      <c r="G1898" s="1189" t="s">
        <v>6578</v>
      </c>
      <c r="H1898" s="1176">
        <v>1</v>
      </c>
      <c r="I1898" s="1176">
        <v>1</v>
      </c>
      <c r="J1898" s="1190">
        <v>2</v>
      </c>
      <c r="K1898" s="1180"/>
      <c r="L1898" s="1174">
        <v>13215010204</v>
      </c>
      <c r="M1898" s="1175">
        <v>1</v>
      </c>
      <c r="N1898" s="1175">
        <v>1</v>
      </c>
      <c r="O1898" s="1176">
        <v>2</v>
      </c>
      <c r="AA1898"/>
      <c r="AB1898"/>
    </row>
    <row r="1899" spans="3:28" ht="13.5">
      <c r="C1899" s="1181" t="s">
        <v>6579</v>
      </c>
      <c r="D1899" s="1178">
        <v>1</v>
      </c>
      <c r="E1899" s="1178">
        <v>1</v>
      </c>
      <c r="F1899" s="1179">
        <v>2</v>
      </c>
      <c r="G1899" s="1189" t="s">
        <v>6579</v>
      </c>
      <c r="H1899" s="1176">
        <v>1</v>
      </c>
      <c r="I1899" s="1176">
        <v>1</v>
      </c>
      <c r="J1899" s="1190">
        <v>2</v>
      </c>
      <c r="K1899" s="1180"/>
      <c r="L1899" s="1174">
        <v>13215010205</v>
      </c>
      <c r="M1899" s="1175">
        <v>1</v>
      </c>
      <c r="N1899" s="1175">
        <v>1</v>
      </c>
      <c r="O1899" s="1176">
        <v>2</v>
      </c>
      <c r="AA1899"/>
      <c r="AB1899"/>
    </row>
    <row r="1900" spans="3:28" ht="13.5">
      <c r="C1900" s="1181" t="s">
        <v>6580</v>
      </c>
      <c r="D1900" s="1178">
        <v>1</v>
      </c>
      <c r="E1900" s="1178">
        <v>1</v>
      </c>
      <c r="F1900" s="1179">
        <v>2</v>
      </c>
      <c r="G1900" s="1189" t="s">
        <v>6580</v>
      </c>
      <c r="H1900" s="1176">
        <v>1</v>
      </c>
      <c r="I1900" s="1176">
        <v>1</v>
      </c>
      <c r="J1900" s="1190">
        <v>2</v>
      </c>
      <c r="K1900" s="1180"/>
      <c r="L1900" s="1174">
        <v>13215010301</v>
      </c>
      <c r="M1900" s="1175">
        <v>1</v>
      </c>
      <c r="N1900" s="1175">
        <v>1</v>
      </c>
      <c r="O1900" s="1176">
        <v>2</v>
      </c>
      <c r="AA1900"/>
      <c r="AB1900"/>
    </row>
    <row r="1901" spans="3:28" ht="13.5">
      <c r="C1901" s="1181" t="s">
        <v>6581</v>
      </c>
      <c r="D1901" s="1178">
        <v>1</v>
      </c>
      <c r="E1901" s="1178">
        <v>1</v>
      </c>
      <c r="F1901" s="1179">
        <v>2</v>
      </c>
      <c r="G1901" s="1189" t="s">
        <v>6581</v>
      </c>
      <c r="H1901" s="1176">
        <v>1</v>
      </c>
      <c r="I1901" s="1176">
        <v>1</v>
      </c>
      <c r="J1901" s="1190">
        <v>2</v>
      </c>
      <c r="K1901" s="1180"/>
      <c r="L1901" s="1174">
        <v>13215010302</v>
      </c>
      <c r="M1901" s="1175">
        <v>1</v>
      </c>
      <c r="N1901" s="1175">
        <v>1</v>
      </c>
      <c r="O1901" s="1176">
        <v>2</v>
      </c>
      <c r="AA1901"/>
      <c r="AB1901"/>
    </row>
    <row r="1902" spans="3:28" ht="13.5">
      <c r="C1902" s="1181" t="s">
        <v>6582</v>
      </c>
      <c r="D1902" s="1178">
        <v>1</v>
      </c>
      <c r="E1902" s="1178">
        <v>1</v>
      </c>
      <c r="F1902" s="1179">
        <v>2</v>
      </c>
      <c r="G1902" s="1189" t="s">
        <v>6582</v>
      </c>
      <c r="H1902" s="1176">
        <v>1</v>
      </c>
      <c r="I1902" s="1176">
        <v>1</v>
      </c>
      <c r="J1902" s="1190">
        <v>2</v>
      </c>
      <c r="K1902" s="1180"/>
      <c r="L1902" s="1174">
        <v>13215010401</v>
      </c>
      <c r="M1902" s="1175">
        <v>1</v>
      </c>
      <c r="N1902" s="1175">
        <v>1</v>
      </c>
      <c r="O1902" s="1176">
        <v>2</v>
      </c>
      <c r="AA1902"/>
      <c r="AB1902"/>
    </row>
    <row r="1903" spans="3:28" ht="13.5">
      <c r="C1903" s="1181" t="s">
        <v>6583</v>
      </c>
      <c r="D1903" s="1178">
        <v>1</v>
      </c>
      <c r="E1903" s="1178">
        <v>0</v>
      </c>
      <c r="F1903" s="1179">
        <v>1</v>
      </c>
      <c r="G1903" s="1189" t="s">
        <v>6583</v>
      </c>
      <c r="H1903" s="1176">
        <v>1</v>
      </c>
      <c r="I1903" s="1176">
        <v>0</v>
      </c>
      <c r="J1903" s="1190">
        <v>0</v>
      </c>
      <c r="K1903" s="1180"/>
      <c r="L1903" s="1174">
        <v>13215010402</v>
      </c>
      <c r="M1903" s="1175">
        <v>1</v>
      </c>
      <c r="N1903" s="1175">
        <v>0</v>
      </c>
      <c r="O1903" s="1176">
        <v>1</v>
      </c>
      <c r="AA1903"/>
      <c r="AB1903"/>
    </row>
    <row r="1904" spans="3:28" ht="13.5">
      <c r="C1904" s="1181" t="s">
        <v>6584</v>
      </c>
      <c r="D1904" s="1178">
        <v>1</v>
      </c>
      <c r="E1904" s="1178">
        <v>0</v>
      </c>
      <c r="F1904" s="1179">
        <v>1</v>
      </c>
      <c r="G1904" s="1189" t="s">
        <v>6584</v>
      </c>
      <c r="H1904" s="1176">
        <v>0</v>
      </c>
      <c r="I1904" s="1176">
        <v>1</v>
      </c>
      <c r="J1904" s="1190">
        <v>1</v>
      </c>
      <c r="K1904" s="1180"/>
      <c r="L1904" s="1174">
        <v>13215010501</v>
      </c>
      <c r="M1904" s="1175">
        <v>1</v>
      </c>
      <c r="N1904" s="1175">
        <v>1</v>
      </c>
      <c r="O1904" s="1176">
        <v>1</v>
      </c>
      <c r="AA1904"/>
      <c r="AB1904"/>
    </row>
    <row r="1905" spans="3:28" ht="13.5">
      <c r="C1905" s="1181" t="s">
        <v>6585</v>
      </c>
      <c r="D1905" s="1178">
        <v>0</v>
      </c>
      <c r="E1905" s="1178">
        <v>0</v>
      </c>
      <c r="F1905" s="1179">
        <v>0</v>
      </c>
      <c r="G1905" s="1189" t="s">
        <v>6585</v>
      </c>
      <c r="H1905" s="1176">
        <v>0</v>
      </c>
      <c r="I1905" s="1176">
        <v>0</v>
      </c>
      <c r="J1905" s="1190">
        <v>0</v>
      </c>
      <c r="K1905" s="1180"/>
      <c r="L1905" s="1174">
        <v>13215010502</v>
      </c>
      <c r="M1905" s="1175">
        <v>0</v>
      </c>
      <c r="N1905" s="1175">
        <v>0</v>
      </c>
      <c r="O1905" s="1176">
        <v>0</v>
      </c>
      <c r="AA1905"/>
      <c r="AB1905"/>
    </row>
    <row r="1906" spans="3:28" ht="13.5">
      <c r="C1906" s="1181" t="s">
        <v>6586</v>
      </c>
      <c r="D1906" s="1178">
        <v>0</v>
      </c>
      <c r="E1906" s="1178">
        <v>0</v>
      </c>
      <c r="F1906" s="1179">
        <v>0</v>
      </c>
      <c r="G1906" s="1189" t="s">
        <v>6586</v>
      </c>
      <c r="H1906" s="1176">
        <v>0</v>
      </c>
      <c r="I1906" s="1176">
        <v>0</v>
      </c>
      <c r="J1906" s="1190">
        <v>0</v>
      </c>
      <c r="K1906" s="1180"/>
      <c r="L1906" s="1174">
        <v>13215010602</v>
      </c>
      <c r="M1906" s="1175">
        <v>0</v>
      </c>
      <c r="N1906" s="1175">
        <v>0</v>
      </c>
      <c r="O1906" s="1176">
        <v>0</v>
      </c>
      <c r="AA1906"/>
      <c r="AB1906"/>
    </row>
    <row r="1907" spans="3:28" ht="13.5">
      <c r="C1907" s="1181" t="s">
        <v>6587</v>
      </c>
      <c r="D1907" s="1178">
        <v>0</v>
      </c>
      <c r="E1907" s="1178">
        <v>0</v>
      </c>
      <c r="F1907" s="1179">
        <v>0</v>
      </c>
      <c r="G1907" s="1189" t="s">
        <v>6587</v>
      </c>
      <c r="H1907" s="1176">
        <v>0</v>
      </c>
      <c r="I1907" s="1176">
        <v>1</v>
      </c>
      <c r="J1907" s="1190">
        <v>1</v>
      </c>
      <c r="K1907" s="1180"/>
      <c r="L1907" s="1174">
        <v>13215010605</v>
      </c>
      <c r="M1907" s="1175">
        <v>0</v>
      </c>
      <c r="N1907" s="1175">
        <v>1</v>
      </c>
      <c r="O1907" s="1176">
        <v>1</v>
      </c>
      <c r="AA1907"/>
      <c r="AB1907"/>
    </row>
    <row r="1908" spans="3:28" ht="13.5">
      <c r="C1908" s="1181" t="s">
        <v>6588</v>
      </c>
      <c r="D1908" s="1178" t="s">
        <v>4455</v>
      </c>
      <c r="E1908" s="1178">
        <v>0</v>
      </c>
      <c r="F1908" s="1179">
        <v>0</v>
      </c>
      <c r="G1908" s="1189" t="s">
        <v>6588</v>
      </c>
      <c r="H1908" s="1176" t="s">
        <v>4455</v>
      </c>
      <c r="I1908" s="1176" t="s">
        <v>4455</v>
      </c>
      <c r="J1908" s="1190">
        <v>0</v>
      </c>
      <c r="K1908" s="1180"/>
      <c r="L1908" s="1174">
        <v>13215010606</v>
      </c>
      <c r="M1908" s="1175">
        <v>0</v>
      </c>
      <c r="N1908" s="1175">
        <v>0</v>
      </c>
      <c r="O1908" s="1176">
        <v>0</v>
      </c>
      <c r="AA1908"/>
      <c r="AB1908"/>
    </row>
    <row r="1909" spans="3:28" ht="13.5">
      <c r="C1909" s="1181" t="s">
        <v>6589</v>
      </c>
      <c r="D1909" s="1178">
        <v>0</v>
      </c>
      <c r="E1909" s="1178">
        <v>0</v>
      </c>
      <c r="F1909" s="1179">
        <v>0</v>
      </c>
      <c r="G1909" s="1189" t="s">
        <v>6589</v>
      </c>
      <c r="H1909" s="1176">
        <v>0</v>
      </c>
      <c r="I1909" s="1176">
        <v>0</v>
      </c>
      <c r="J1909" s="1190">
        <v>0</v>
      </c>
      <c r="K1909" s="1180"/>
      <c r="L1909" s="1174">
        <v>13215010607</v>
      </c>
      <c r="M1909" s="1175">
        <v>0</v>
      </c>
      <c r="N1909" s="1175">
        <v>0</v>
      </c>
      <c r="O1909" s="1176">
        <v>0</v>
      </c>
      <c r="AA1909"/>
      <c r="AB1909"/>
    </row>
    <row r="1910" spans="3:28" ht="13.5">
      <c r="C1910" s="1181" t="s">
        <v>6590</v>
      </c>
      <c r="D1910" s="1178">
        <v>0</v>
      </c>
      <c r="E1910" s="1178">
        <v>0</v>
      </c>
      <c r="F1910" s="1179">
        <v>0</v>
      </c>
      <c r="G1910" s="1189" t="s">
        <v>6590</v>
      </c>
      <c r="H1910" s="1176">
        <v>0</v>
      </c>
      <c r="I1910" s="1176">
        <v>0</v>
      </c>
      <c r="J1910" s="1190">
        <v>0</v>
      </c>
      <c r="K1910" s="1180"/>
      <c r="L1910" s="1174">
        <v>13215010608</v>
      </c>
      <c r="M1910" s="1175">
        <v>0</v>
      </c>
      <c r="N1910" s="1175">
        <v>0</v>
      </c>
      <c r="O1910" s="1176">
        <v>0</v>
      </c>
      <c r="AA1910"/>
      <c r="AB1910"/>
    </row>
    <row r="1911" spans="3:28" ht="13.5">
      <c r="C1911" s="1181" t="s">
        <v>6591</v>
      </c>
      <c r="D1911" s="1178">
        <v>0</v>
      </c>
      <c r="E1911" s="1178">
        <v>0</v>
      </c>
      <c r="F1911" s="1179">
        <v>0</v>
      </c>
      <c r="G1911" s="1189" t="s">
        <v>6591</v>
      </c>
      <c r="H1911" s="1176">
        <v>0</v>
      </c>
      <c r="I1911" s="1176">
        <v>0</v>
      </c>
      <c r="J1911" s="1190">
        <v>0</v>
      </c>
      <c r="K1911" s="1180"/>
      <c r="L1911" s="1174">
        <v>13215010701</v>
      </c>
      <c r="M1911" s="1175">
        <v>0</v>
      </c>
      <c r="N1911" s="1175">
        <v>0</v>
      </c>
      <c r="O1911" s="1176">
        <v>0</v>
      </c>
      <c r="AA1911"/>
      <c r="AB1911"/>
    </row>
    <row r="1912" spans="3:28" ht="13.5">
      <c r="C1912" s="1181" t="s">
        <v>6592</v>
      </c>
      <c r="D1912" s="1178">
        <v>0</v>
      </c>
      <c r="E1912" s="1178">
        <v>0</v>
      </c>
      <c r="F1912" s="1179">
        <v>0</v>
      </c>
      <c r="G1912" s="1189" t="s">
        <v>6592</v>
      </c>
      <c r="H1912" s="1176">
        <v>1</v>
      </c>
      <c r="I1912" s="1176">
        <v>0</v>
      </c>
      <c r="J1912" s="1190">
        <v>0</v>
      </c>
      <c r="K1912" s="1180"/>
      <c r="L1912" s="1174">
        <v>13215010702</v>
      </c>
      <c r="M1912" s="1175">
        <v>1</v>
      </c>
      <c r="N1912" s="1175">
        <v>0</v>
      </c>
      <c r="O1912" s="1176">
        <v>0</v>
      </c>
      <c r="AA1912"/>
      <c r="AB1912"/>
    </row>
    <row r="1913" spans="3:28" ht="13.5">
      <c r="C1913" s="1181" t="s">
        <v>6593</v>
      </c>
      <c r="D1913" s="1178">
        <v>0</v>
      </c>
      <c r="E1913" s="1178">
        <v>0</v>
      </c>
      <c r="F1913" s="1179">
        <v>0</v>
      </c>
      <c r="G1913" s="1189" t="s">
        <v>6593</v>
      </c>
      <c r="H1913" s="1176">
        <v>0</v>
      </c>
      <c r="I1913" s="1176">
        <v>0</v>
      </c>
      <c r="J1913" s="1190">
        <v>0</v>
      </c>
      <c r="K1913" s="1180"/>
      <c r="L1913" s="1174">
        <v>13215010703</v>
      </c>
      <c r="M1913" s="1175">
        <v>0</v>
      </c>
      <c r="N1913" s="1175">
        <v>0</v>
      </c>
      <c r="O1913" s="1176">
        <v>0</v>
      </c>
      <c r="AA1913"/>
      <c r="AB1913"/>
    </row>
    <row r="1914" spans="3:28" ht="13.5">
      <c r="C1914" s="1181" t="s">
        <v>6594</v>
      </c>
      <c r="D1914" s="1178">
        <v>0</v>
      </c>
      <c r="E1914" s="1178">
        <v>1</v>
      </c>
      <c r="F1914" s="1179">
        <v>1</v>
      </c>
      <c r="G1914" s="1189" t="s">
        <v>6594</v>
      </c>
      <c r="H1914" s="1176">
        <v>0</v>
      </c>
      <c r="I1914" s="1176" t="s">
        <v>4455</v>
      </c>
      <c r="J1914" s="1190">
        <v>0</v>
      </c>
      <c r="K1914" s="1180"/>
      <c r="L1914" s="1174">
        <v>13215010801</v>
      </c>
      <c r="M1914" s="1175">
        <v>0</v>
      </c>
      <c r="N1914" s="1175">
        <v>1</v>
      </c>
      <c r="O1914" s="1176">
        <v>1</v>
      </c>
      <c r="AA1914"/>
      <c r="AB1914"/>
    </row>
    <row r="1915" spans="3:28" ht="13.5">
      <c r="C1915" s="1181" t="s">
        <v>6595</v>
      </c>
      <c r="D1915" s="1178">
        <v>0</v>
      </c>
      <c r="E1915" s="1178">
        <v>1</v>
      </c>
      <c r="F1915" s="1179">
        <v>1</v>
      </c>
      <c r="G1915" s="1189" t="s">
        <v>6595</v>
      </c>
      <c r="H1915" s="1176">
        <v>1</v>
      </c>
      <c r="I1915" s="1176" t="s">
        <v>4455</v>
      </c>
      <c r="J1915" s="1190">
        <v>1</v>
      </c>
      <c r="K1915" s="1180"/>
      <c r="L1915" s="1174">
        <v>13215010802</v>
      </c>
      <c r="M1915" s="1175">
        <v>1</v>
      </c>
      <c r="N1915" s="1175">
        <v>1</v>
      </c>
      <c r="O1915" s="1176">
        <v>1</v>
      </c>
      <c r="AA1915"/>
      <c r="AB1915"/>
    </row>
    <row r="1916" spans="3:28" ht="13.5">
      <c r="C1916" s="1181" t="s">
        <v>6596</v>
      </c>
      <c r="D1916" s="1178">
        <v>0</v>
      </c>
      <c r="E1916" s="1178">
        <v>0</v>
      </c>
      <c r="F1916" s="1179">
        <v>0</v>
      </c>
      <c r="G1916" s="1189" t="s">
        <v>6596</v>
      </c>
      <c r="H1916" s="1176">
        <v>0</v>
      </c>
      <c r="I1916" s="1176">
        <v>0</v>
      </c>
      <c r="J1916" s="1190">
        <v>0</v>
      </c>
      <c r="K1916" s="1180"/>
      <c r="L1916" s="1174">
        <v>13215011100</v>
      </c>
      <c r="M1916" s="1175">
        <v>0</v>
      </c>
      <c r="N1916" s="1175">
        <v>0</v>
      </c>
      <c r="O1916" s="1176">
        <v>0</v>
      </c>
      <c r="AA1916"/>
      <c r="AB1916"/>
    </row>
    <row r="1917" spans="3:28" ht="13.5">
      <c r="C1917" s="1181" t="s">
        <v>6597</v>
      </c>
      <c r="D1917" s="1178">
        <v>0</v>
      </c>
      <c r="E1917" s="1178">
        <v>0</v>
      </c>
      <c r="F1917" s="1179">
        <v>0</v>
      </c>
      <c r="G1917" s="1189" t="s">
        <v>6597</v>
      </c>
      <c r="H1917" s="1176">
        <v>0</v>
      </c>
      <c r="I1917" s="1176">
        <v>0</v>
      </c>
      <c r="J1917" s="1190">
        <v>0</v>
      </c>
      <c r="K1917" s="1180"/>
      <c r="L1917" s="1174">
        <v>13215011200</v>
      </c>
      <c r="M1917" s="1175">
        <v>0</v>
      </c>
      <c r="N1917" s="1175">
        <v>0</v>
      </c>
      <c r="O1917" s="1176">
        <v>0</v>
      </c>
      <c r="AA1917"/>
      <c r="AB1917"/>
    </row>
    <row r="1918" spans="3:28" ht="13.5">
      <c r="C1918" s="1181" t="s">
        <v>6598</v>
      </c>
      <c r="D1918" s="1178">
        <v>0</v>
      </c>
      <c r="E1918" s="1178">
        <v>0</v>
      </c>
      <c r="F1918" s="1179">
        <v>0</v>
      </c>
      <c r="G1918" s="1189" t="s">
        <v>6598</v>
      </c>
      <c r="H1918" s="1176">
        <v>0</v>
      </c>
      <c r="I1918" s="1176">
        <v>0</v>
      </c>
      <c r="J1918" s="1190">
        <v>0</v>
      </c>
      <c r="K1918" s="1180"/>
      <c r="L1918" s="1174">
        <v>13215011400</v>
      </c>
      <c r="M1918" s="1175">
        <v>0</v>
      </c>
      <c r="N1918" s="1175">
        <v>0</v>
      </c>
      <c r="O1918" s="1176">
        <v>0</v>
      </c>
      <c r="AA1918"/>
      <c r="AB1918"/>
    </row>
    <row r="1919" spans="3:28" ht="13.5">
      <c r="C1919" s="1181" t="s">
        <v>6599</v>
      </c>
      <c r="D1919" s="1178">
        <v>0</v>
      </c>
      <c r="E1919" s="1178">
        <v>0</v>
      </c>
      <c r="F1919" s="1179">
        <v>0</v>
      </c>
      <c r="G1919" s="1189" t="s">
        <v>6599</v>
      </c>
      <c r="H1919" s="1176">
        <v>0</v>
      </c>
      <c r="I1919" s="1176">
        <v>0</v>
      </c>
      <c r="J1919" s="1190">
        <v>0</v>
      </c>
      <c r="K1919" s="1180"/>
      <c r="L1919" s="1174">
        <v>13215011500</v>
      </c>
      <c r="M1919" s="1175">
        <v>0</v>
      </c>
      <c r="N1919" s="1175">
        <v>0</v>
      </c>
      <c r="O1919" s="1176">
        <v>0</v>
      </c>
      <c r="AA1919"/>
      <c r="AB1919"/>
    </row>
    <row r="1920" spans="3:28" ht="13.5">
      <c r="C1920" s="1181" t="s">
        <v>6600</v>
      </c>
      <c r="D1920" s="1178">
        <v>0</v>
      </c>
      <c r="E1920" s="1178">
        <v>1</v>
      </c>
      <c r="F1920" s="1179">
        <v>1</v>
      </c>
      <c r="G1920" s="1189" t="s">
        <v>6600</v>
      </c>
      <c r="H1920" s="1176">
        <v>0</v>
      </c>
      <c r="I1920" s="1176">
        <v>1</v>
      </c>
      <c r="J1920" s="1190">
        <v>1</v>
      </c>
      <c r="K1920" s="1180"/>
      <c r="L1920" s="1174">
        <v>13217100100</v>
      </c>
      <c r="M1920" s="1175">
        <v>0</v>
      </c>
      <c r="N1920" s="1175">
        <v>1</v>
      </c>
      <c r="O1920" s="1176">
        <v>1</v>
      </c>
      <c r="AA1920"/>
      <c r="AB1920"/>
    </row>
    <row r="1921" spans="3:28" ht="13.5">
      <c r="C1921" s="1181" t="s">
        <v>6601</v>
      </c>
      <c r="D1921" s="1178">
        <v>1</v>
      </c>
      <c r="E1921" s="1178">
        <v>1</v>
      </c>
      <c r="F1921" s="1179">
        <v>2</v>
      </c>
      <c r="G1921" s="1189" t="s">
        <v>6601</v>
      </c>
      <c r="H1921" s="1176">
        <v>1</v>
      </c>
      <c r="I1921" s="1176">
        <v>1</v>
      </c>
      <c r="J1921" s="1190">
        <v>2</v>
      </c>
      <c r="K1921" s="1180"/>
      <c r="L1921" s="1174">
        <v>13217100201</v>
      </c>
      <c r="M1921" s="1175">
        <v>1</v>
      </c>
      <c r="N1921" s="1175">
        <v>1</v>
      </c>
      <c r="O1921" s="1176">
        <v>2</v>
      </c>
      <c r="AA1921"/>
      <c r="AB1921"/>
    </row>
    <row r="1922" spans="3:28" ht="13.5">
      <c r="C1922" s="1181" t="s">
        <v>6602</v>
      </c>
      <c r="D1922" s="1178">
        <v>1</v>
      </c>
      <c r="E1922" s="1178">
        <v>1</v>
      </c>
      <c r="F1922" s="1179">
        <v>2</v>
      </c>
      <c r="G1922" s="1189" t="s">
        <v>6602</v>
      </c>
      <c r="H1922" s="1176">
        <v>1</v>
      </c>
      <c r="I1922" s="1176">
        <v>1</v>
      </c>
      <c r="J1922" s="1190">
        <v>2</v>
      </c>
      <c r="K1922" s="1180"/>
      <c r="L1922" s="1174">
        <v>13217100202</v>
      </c>
      <c r="M1922" s="1175">
        <v>1</v>
      </c>
      <c r="N1922" s="1175">
        <v>1</v>
      </c>
      <c r="O1922" s="1176">
        <v>2</v>
      </c>
      <c r="AA1922"/>
      <c r="AB1922"/>
    </row>
    <row r="1923" spans="3:28" ht="13.5">
      <c r="C1923" s="1181" t="s">
        <v>6603</v>
      </c>
      <c r="D1923" s="1178">
        <v>0</v>
      </c>
      <c r="E1923" s="1178">
        <v>0</v>
      </c>
      <c r="F1923" s="1179">
        <v>0</v>
      </c>
      <c r="G1923" s="1189" t="s">
        <v>6603</v>
      </c>
      <c r="H1923" s="1176">
        <v>0</v>
      </c>
      <c r="I1923" s="1176">
        <v>1</v>
      </c>
      <c r="J1923" s="1190">
        <v>1</v>
      </c>
      <c r="K1923" s="1180"/>
      <c r="L1923" s="1174">
        <v>13217100300</v>
      </c>
      <c r="M1923" s="1175">
        <v>0</v>
      </c>
      <c r="N1923" s="1175">
        <v>1</v>
      </c>
      <c r="O1923" s="1176">
        <v>1</v>
      </c>
      <c r="AA1923"/>
      <c r="AB1923"/>
    </row>
    <row r="1924" spans="3:28" ht="13.5">
      <c r="C1924" s="1181" t="s">
        <v>6604</v>
      </c>
      <c r="D1924" s="1178">
        <v>0</v>
      </c>
      <c r="E1924" s="1178">
        <v>0</v>
      </c>
      <c r="F1924" s="1179">
        <v>0</v>
      </c>
      <c r="G1924" s="1189" t="s">
        <v>6604</v>
      </c>
      <c r="H1924" s="1176">
        <v>0</v>
      </c>
      <c r="I1924" s="1176">
        <v>0</v>
      </c>
      <c r="J1924" s="1190">
        <v>0</v>
      </c>
      <c r="K1924" s="1180"/>
      <c r="L1924" s="1174">
        <v>13217100400</v>
      </c>
      <c r="M1924" s="1175">
        <v>0</v>
      </c>
      <c r="N1924" s="1175">
        <v>0</v>
      </c>
      <c r="O1924" s="1176">
        <v>0</v>
      </c>
      <c r="AA1924"/>
      <c r="AB1924"/>
    </row>
    <row r="1925" spans="3:28" ht="13.5">
      <c r="C1925" s="1181" t="s">
        <v>6605</v>
      </c>
      <c r="D1925" s="1178">
        <v>0</v>
      </c>
      <c r="E1925" s="1178">
        <v>0</v>
      </c>
      <c r="F1925" s="1179">
        <v>0</v>
      </c>
      <c r="G1925" s="1189" t="s">
        <v>6605</v>
      </c>
      <c r="H1925" s="1176">
        <v>0</v>
      </c>
      <c r="I1925" s="1176">
        <v>1</v>
      </c>
      <c r="J1925" s="1190">
        <v>1</v>
      </c>
      <c r="K1925" s="1180"/>
      <c r="L1925" s="1174">
        <v>13217100501</v>
      </c>
      <c r="M1925" s="1175">
        <v>0</v>
      </c>
      <c r="N1925" s="1175">
        <v>1</v>
      </c>
      <c r="O1925" s="1176">
        <v>1</v>
      </c>
      <c r="AA1925"/>
      <c r="AB1925"/>
    </row>
    <row r="1926" spans="3:28" ht="13.5">
      <c r="C1926" s="1181" t="s">
        <v>6606</v>
      </c>
      <c r="D1926" s="1178">
        <v>0</v>
      </c>
      <c r="E1926" s="1178">
        <v>0</v>
      </c>
      <c r="F1926" s="1179">
        <v>0</v>
      </c>
      <c r="G1926" s="1189" t="s">
        <v>6606</v>
      </c>
      <c r="H1926" s="1176">
        <v>0</v>
      </c>
      <c r="I1926" s="1176">
        <v>0</v>
      </c>
      <c r="J1926" s="1190">
        <v>0</v>
      </c>
      <c r="K1926" s="1180"/>
      <c r="L1926" s="1174">
        <v>13217100502</v>
      </c>
      <c r="M1926" s="1175">
        <v>0</v>
      </c>
      <c r="N1926" s="1175">
        <v>0</v>
      </c>
      <c r="O1926" s="1176">
        <v>0</v>
      </c>
      <c r="AA1926"/>
      <c r="AB1926"/>
    </row>
    <row r="1927" spans="3:28" ht="13.5">
      <c r="C1927" s="1181" t="s">
        <v>6607</v>
      </c>
      <c r="D1927" s="1178">
        <v>0</v>
      </c>
      <c r="E1927" s="1178">
        <v>0</v>
      </c>
      <c r="F1927" s="1179">
        <v>0</v>
      </c>
      <c r="G1927" s="1189" t="s">
        <v>6607</v>
      </c>
      <c r="H1927" s="1176">
        <v>0</v>
      </c>
      <c r="I1927" s="1176">
        <v>0</v>
      </c>
      <c r="J1927" s="1190">
        <v>0</v>
      </c>
      <c r="K1927" s="1180"/>
      <c r="L1927" s="1174">
        <v>13217100600</v>
      </c>
      <c r="M1927" s="1175">
        <v>0</v>
      </c>
      <c r="N1927" s="1175">
        <v>0</v>
      </c>
      <c r="O1927" s="1176">
        <v>0</v>
      </c>
      <c r="AA1927"/>
      <c r="AB1927"/>
    </row>
    <row r="1928" spans="3:28" ht="13.5">
      <c r="C1928" s="1181" t="s">
        <v>6608</v>
      </c>
      <c r="D1928" s="1178">
        <v>0</v>
      </c>
      <c r="E1928" s="1178">
        <v>0</v>
      </c>
      <c r="F1928" s="1179">
        <v>0</v>
      </c>
      <c r="G1928" s="1189" t="s">
        <v>6608</v>
      </c>
      <c r="H1928" s="1176">
        <v>0</v>
      </c>
      <c r="I1928" s="1176">
        <v>0</v>
      </c>
      <c r="J1928" s="1190">
        <v>0</v>
      </c>
      <c r="K1928" s="1180"/>
      <c r="L1928" s="1174">
        <v>13217100700</v>
      </c>
      <c r="M1928" s="1175">
        <v>0</v>
      </c>
      <c r="N1928" s="1175">
        <v>0</v>
      </c>
      <c r="O1928" s="1176">
        <v>0</v>
      </c>
      <c r="AA1928"/>
      <c r="AB1928"/>
    </row>
    <row r="1929" spans="3:28" ht="13.5">
      <c r="C1929" s="1181" t="s">
        <v>6609</v>
      </c>
      <c r="D1929" s="1178">
        <v>0</v>
      </c>
      <c r="E1929" s="1178">
        <v>1</v>
      </c>
      <c r="F1929" s="1179">
        <v>1</v>
      </c>
      <c r="G1929" s="1189" t="s">
        <v>6609</v>
      </c>
      <c r="H1929" s="1176">
        <v>0</v>
      </c>
      <c r="I1929" s="1176">
        <v>0</v>
      </c>
      <c r="J1929" s="1190">
        <v>0</v>
      </c>
      <c r="K1929" s="1180"/>
      <c r="L1929" s="1174">
        <v>13217100800</v>
      </c>
      <c r="M1929" s="1175">
        <v>0</v>
      </c>
      <c r="N1929" s="1175">
        <v>1</v>
      </c>
      <c r="O1929" s="1176">
        <v>1</v>
      </c>
      <c r="AA1929"/>
      <c r="AB1929"/>
    </row>
    <row r="1930" spans="3:28" ht="13.5">
      <c r="C1930" s="1181" t="s">
        <v>6610</v>
      </c>
      <c r="D1930" s="1178">
        <v>0</v>
      </c>
      <c r="E1930" s="1178">
        <v>1</v>
      </c>
      <c r="F1930" s="1179">
        <v>1</v>
      </c>
      <c r="G1930" s="1189" t="s">
        <v>6610</v>
      </c>
      <c r="H1930" s="1176">
        <v>0</v>
      </c>
      <c r="I1930" s="1176">
        <v>1</v>
      </c>
      <c r="J1930" s="1190">
        <v>1</v>
      </c>
      <c r="K1930" s="1180"/>
      <c r="L1930" s="1174">
        <v>13217100901</v>
      </c>
      <c r="M1930" s="1175">
        <v>0</v>
      </c>
      <c r="N1930" s="1175">
        <v>1</v>
      </c>
      <c r="O1930" s="1176">
        <v>1</v>
      </c>
      <c r="AA1930"/>
      <c r="AB1930"/>
    </row>
    <row r="1931" spans="3:28" ht="13.5">
      <c r="C1931" s="1181" t="s">
        <v>6611</v>
      </c>
      <c r="D1931" s="1178">
        <v>0</v>
      </c>
      <c r="E1931" s="1178">
        <v>0</v>
      </c>
      <c r="F1931" s="1179">
        <v>0</v>
      </c>
      <c r="G1931" s="1189" t="s">
        <v>6611</v>
      </c>
      <c r="H1931" s="1176">
        <v>0</v>
      </c>
      <c r="I1931" s="1176">
        <v>0</v>
      </c>
      <c r="J1931" s="1190">
        <v>0</v>
      </c>
      <c r="K1931" s="1180"/>
      <c r="L1931" s="1174">
        <v>13217100902</v>
      </c>
      <c r="M1931" s="1175">
        <v>0</v>
      </c>
      <c r="N1931" s="1175">
        <v>0</v>
      </c>
      <c r="O1931" s="1176">
        <v>0</v>
      </c>
      <c r="AA1931"/>
      <c r="AB1931"/>
    </row>
    <row r="1932" spans="3:28" ht="13.5">
      <c r="C1932" s="1181" t="s">
        <v>6612</v>
      </c>
      <c r="D1932" s="1178">
        <v>0</v>
      </c>
      <c r="E1932" s="1178">
        <v>0</v>
      </c>
      <c r="F1932" s="1179">
        <v>0</v>
      </c>
      <c r="G1932" s="1189" t="s">
        <v>6612</v>
      </c>
      <c r="H1932" s="1176">
        <v>0</v>
      </c>
      <c r="I1932" s="1176">
        <v>0</v>
      </c>
      <c r="J1932" s="1190">
        <v>0</v>
      </c>
      <c r="K1932" s="1180"/>
      <c r="L1932" s="1174">
        <v>13217100903</v>
      </c>
      <c r="M1932" s="1175">
        <v>0</v>
      </c>
      <c r="N1932" s="1175">
        <v>0</v>
      </c>
      <c r="O1932" s="1176">
        <v>0</v>
      </c>
      <c r="AA1932"/>
      <c r="AB1932"/>
    </row>
    <row r="1933" spans="3:28" ht="13.5">
      <c r="C1933" s="1181" t="s">
        <v>6613</v>
      </c>
      <c r="D1933" s="1178">
        <v>1</v>
      </c>
      <c r="E1933" s="1178">
        <v>1</v>
      </c>
      <c r="F1933" s="1179">
        <v>2</v>
      </c>
      <c r="G1933" s="1189" t="s">
        <v>6613</v>
      </c>
      <c r="H1933" s="1176">
        <v>1</v>
      </c>
      <c r="I1933" s="1176">
        <v>1</v>
      </c>
      <c r="J1933" s="1190">
        <v>2</v>
      </c>
      <c r="K1933" s="1180"/>
      <c r="L1933" s="1174">
        <v>13219030100</v>
      </c>
      <c r="M1933" s="1175">
        <v>1</v>
      </c>
      <c r="N1933" s="1175">
        <v>1</v>
      </c>
      <c r="O1933" s="1176">
        <v>2</v>
      </c>
      <c r="AA1933"/>
      <c r="AB1933"/>
    </row>
    <row r="1934" spans="3:28" ht="13.5">
      <c r="C1934" s="1181" t="s">
        <v>6614</v>
      </c>
      <c r="D1934" s="1178">
        <v>1</v>
      </c>
      <c r="E1934" s="1178">
        <v>1</v>
      </c>
      <c r="F1934" s="1179">
        <v>2</v>
      </c>
      <c r="G1934" s="1189" t="s">
        <v>6614</v>
      </c>
      <c r="H1934" s="1176">
        <v>1</v>
      </c>
      <c r="I1934" s="1176">
        <v>1</v>
      </c>
      <c r="J1934" s="1190">
        <v>2</v>
      </c>
      <c r="K1934" s="1180"/>
      <c r="L1934" s="1174">
        <v>13219030200</v>
      </c>
      <c r="M1934" s="1175">
        <v>1</v>
      </c>
      <c r="N1934" s="1175">
        <v>1</v>
      </c>
      <c r="O1934" s="1176">
        <v>2</v>
      </c>
      <c r="AA1934"/>
      <c r="AB1934"/>
    </row>
    <row r="1935" spans="3:28" ht="13.5">
      <c r="C1935" s="1181" t="s">
        <v>6615</v>
      </c>
      <c r="D1935" s="1178">
        <v>1</v>
      </c>
      <c r="E1935" s="1178">
        <v>1</v>
      </c>
      <c r="F1935" s="1179">
        <v>2</v>
      </c>
      <c r="G1935" s="1189" t="s">
        <v>6615</v>
      </c>
      <c r="H1935" s="1176">
        <v>1</v>
      </c>
      <c r="I1935" s="1176">
        <v>1</v>
      </c>
      <c r="J1935" s="1190">
        <v>2</v>
      </c>
      <c r="K1935" s="1180"/>
      <c r="L1935" s="1174">
        <v>13219030300</v>
      </c>
      <c r="M1935" s="1175">
        <v>1</v>
      </c>
      <c r="N1935" s="1175">
        <v>1</v>
      </c>
      <c r="O1935" s="1176">
        <v>2</v>
      </c>
      <c r="AA1935"/>
      <c r="AB1935"/>
    </row>
    <row r="1936" spans="3:28" ht="13.5">
      <c r="C1936" s="1181" t="s">
        <v>6616</v>
      </c>
      <c r="D1936" s="1178">
        <v>1</v>
      </c>
      <c r="E1936" s="1178">
        <v>1</v>
      </c>
      <c r="F1936" s="1179">
        <v>2</v>
      </c>
      <c r="G1936" s="1189" t="s">
        <v>6616</v>
      </c>
      <c r="H1936" s="1176">
        <v>1</v>
      </c>
      <c r="I1936" s="1176">
        <v>1</v>
      </c>
      <c r="J1936" s="1190">
        <v>2</v>
      </c>
      <c r="K1936" s="1180"/>
      <c r="L1936" s="1174">
        <v>13219030400</v>
      </c>
      <c r="M1936" s="1175">
        <v>1</v>
      </c>
      <c r="N1936" s="1175">
        <v>1</v>
      </c>
      <c r="O1936" s="1176">
        <v>2</v>
      </c>
      <c r="AA1936"/>
      <c r="AB1936"/>
    </row>
    <row r="1937" spans="3:28" ht="13.5">
      <c r="C1937" s="1181" t="s">
        <v>6617</v>
      </c>
      <c r="D1937" s="1178">
        <v>1</v>
      </c>
      <c r="E1937" s="1178">
        <v>1</v>
      </c>
      <c r="F1937" s="1179">
        <v>2</v>
      </c>
      <c r="G1937" s="1189" t="s">
        <v>6617</v>
      </c>
      <c r="H1937" s="1176">
        <v>1</v>
      </c>
      <c r="I1937" s="1176">
        <v>1</v>
      </c>
      <c r="J1937" s="1190">
        <v>2</v>
      </c>
      <c r="K1937" s="1180"/>
      <c r="L1937" s="1174">
        <v>13219030500</v>
      </c>
      <c r="M1937" s="1175">
        <v>1</v>
      </c>
      <c r="N1937" s="1175">
        <v>1</v>
      </c>
      <c r="O1937" s="1176">
        <v>2</v>
      </c>
      <c r="AA1937"/>
      <c r="AB1937"/>
    </row>
    <row r="1938" spans="3:28" ht="13.5">
      <c r="C1938" s="1181" t="s">
        <v>6618</v>
      </c>
      <c r="D1938" s="1178">
        <v>1</v>
      </c>
      <c r="E1938" s="1178">
        <v>1</v>
      </c>
      <c r="F1938" s="1179">
        <v>2</v>
      </c>
      <c r="G1938" s="1189" t="s">
        <v>6618</v>
      </c>
      <c r="H1938" s="1176">
        <v>1</v>
      </c>
      <c r="I1938" s="1176">
        <v>1</v>
      </c>
      <c r="J1938" s="1190">
        <v>2</v>
      </c>
      <c r="K1938" s="1180"/>
      <c r="L1938" s="1174">
        <v>13219030600</v>
      </c>
      <c r="M1938" s="1175">
        <v>1</v>
      </c>
      <c r="N1938" s="1175">
        <v>1</v>
      </c>
      <c r="O1938" s="1176">
        <v>2</v>
      </c>
      <c r="AA1938"/>
      <c r="AB1938"/>
    </row>
    <row r="1939" spans="3:28" ht="13.5">
      <c r="C1939" s="1181" t="s">
        <v>6619</v>
      </c>
      <c r="D1939" s="1178">
        <v>0</v>
      </c>
      <c r="E1939" s="1178">
        <v>0</v>
      </c>
      <c r="F1939" s="1179">
        <v>0</v>
      </c>
      <c r="G1939" s="1189" t="s">
        <v>6619</v>
      </c>
      <c r="H1939" s="1176">
        <v>0</v>
      </c>
      <c r="I1939" s="1176">
        <v>0</v>
      </c>
      <c r="J1939" s="1190">
        <v>0</v>
      </c>
      <c r="K1939" s="1180"/>
      <c r="L1939" s="1174">
        <v>13221960100</v>
      </c>
      <c r="M1939" s="1175">
        <v>0</v>
      </c>
      <c r="N1939" s="1175">
        <v>0</v>
      </c>
      <c r="O1939" s="1176">
        <v>0</v>
      </c>
      <c r="AA1939"/>
      <c r="AB1939"/>
    </row>
    <row r="1940" spans="3:28" ht="13.5">
      <c r="C1940" s="1181" t="s">
        <v>6620</v>
      </c>
      <c r="D1940" s="1178">
        <v>1</v>
      </c>
      <c r="E1940" s="1178">
        <v>1</v>
      </c>
      <c r="F1940" s="1179">
        <v>2</v>
      </c>
      <c r="G1940" s="1189" t="s">
        <v>6620</v>
      </c>
      <c r="H1940" s="1176">
        <v>1</v>
      </c>
      <c r="I1940" s="1176">
        <v>1</v>
      </c>
      <c r="J1940" s="1190">
        <v>2</v>
      </c>
      <c r="K1940" s="1180"/>
      <c r="L1940" s="1174">
        <v>13221960201</v>
      </c>
      <c r="M1940" s="1175">
        <v>1</v>
      </c>
      <c r="N1940" s="1175">
        <v>1</v>
      </c>
      <c r="O1940" s="1176">
        <v>2</v>
      </c>
      <c r="AA1940"/>
      <c r="AB1940"/>
    </row>
    <row r="1941" spans="3:28" ht="13.5">
      <c r="C1941" s="1181" t="s">
        <v>6621</v>
      </c>
      <c r="D1941" s="1178">
        <v>0</v>
      </c>
      <c r="E1941" s="1178">
        <v>0</v>
      </c>
      <c r="F1941" s="1179">
        <v>0</v>
      </c>
      <c r="G1941" s="1189" t="s">
        <v>6621</v>
      </c>
      <c r="H1941" s="1176">
        <v>0</v>
      </c>
      <c r="I1941" s="1176">
        <v>1</v>
      </c>
      <c r="J1941" s="1190">
        <v>1</v>
      </c>
      <c r="K1941" s="1180"/>
      <c r="L1941" s="1174">
        <v>13221960202</v>
      </c>
      <c r="M1941" s="1175">
        <v>0</v>
      </c>
      <c r="N1941" s="1175">
        <v>1</v>
      </c>
      <c r="O1941" s="1176">
        <v>1</v>
      </c>
      <c r="AA1941"/>
      <c r="AB1941"/>
    </row>
    <row r="1942" spans="3:28" ht="13.5">
      <c r="C1942" s="1181" t="s">
        <v>6622</v>
      </c>
      <c r="D1942" s="1178">
        <v>0</v>
      </c>
      <c r="E1942" s="1178">
        <v>0</v>
      </c>
      <c r="F1942" s="1179">
        <v>0</v>
      </c>
      <c r="G1942" s="1189" t="s">
        <v>6622</v>
      </c>
      <c r="H1942" s="1176">
        <v>0</v>
      </c>
      <c r="I1942" s="1176">
        <v>0</v>
      </c>
      <c r="J1942" s="1190">
        <v>0</v>
      </c>
      <c r="K1942" s="1180"/>
      <c r="L1942" s="1174">
        <v>13221960300</v>
      </c>
      <c r="M1942" s="1175">
        <v>0</v>
      </c>
      <c r="N1942" s="1175">
        <v>0</v>
      </c>
      <c r="O1942" s="1176">
        <v>0</v>
      </c>
      <c r="AA1942"/>
      <c r="AB1942"/>
    </row>
    <row r="1943" spans="3:28" ht="13.5">
      <c r="C1943" s="1181" t="s">
        <v>6623</v>
      </c>
      <c r="D1943" s="1178">
        <v>1</v>
      </c>
      <c r="E1943" s="1178">
        <v>1</v>
      </c>
      <c r="F1943" s="1179">
        <v>2</v>
      </c>
      <c r="G1943" s="1189" t="s">
        <v>6623</v>
      </c>
      <c r="H1943" s="1176">
        <v>1</v>
      </c>
      <c r="I1943" s="1176">
        <v>1</v>
      </c>
      <c r="J1943" s="1190">
        <v>2</v>
      </c>
      <c r="K1943" s="1180"/>
      <c r="L1943" s="1174">
        <v>13223120101</v>
      </c>
      <c r="M1943" s="1175">
        <v>1</v>
      </c>
      <c r="N1943" s="1175">
        <v>1</v>
      </c>
      <c r="O1943" s="1176">
        <v>2</v>
      </c>
      <c r="AA1943"/>
      <c r="AB1943"/>
    </row>
    <row r="1944" spans="3:28" ht="13.5">
      <c r="C1944" s="1181" t="s">
        <v>6624</v>
      </c>
      <c r="D1944" s="1178">
        <v>1</v>
      </c>
      <c r="E1944" s="1178">
        <v>1</v>
      </c>
      <c r="F1944" s="1179">
        <v>2</v>
      </c>
      <c r="G1944" s="1189" t="s">
        <v>6624</v>
      </c>
      <c r="H1944" s="1176">
        <v>1</v>
      </c>
      <c r="I1944" s="1176">
        <v>1</v>
      </c>
      <c r="J1944" s="1190">
        <v>2</v>
      </c>
      <c r="K1944" s="1180"/>
      <c r="L1944" s="1174">
        <v>13223120102</v>
      </c>
      <c r="M1944" s="1175">
        <v>1</v>
      </c>
      <c r="N1944" s="1175">
        <v>1</v>
      </c>
      <c r="O1944" s="1176">
        <v>2</v>
      </c>
      <c r="AA1944"/>
      <c r="AB1944"/>
    </row>
    <row r="1945" spans="3:28" ht="13.5">
      <c r="C1945" s="1181" t="s">
        <v>6625</v>
      </c>
      <c r="D1945" s="1178">
        <v>1</v>
      </c>
      <c r="E1945" s="1178">
        <v>1</v>
      </c>
      <c r="F1945" s="1179">
        <v>2</v>
      </c>
      <c r="G1945" s="1189" t="s">
        <v>6625</v>
      </c>
      <c r="H1945" s="1176">
        <v>1</v>
      </c>
      <c r="I1945" s="1176" t="s">
        <v>4455</v>
      </c>
      <c r="J1945" s="1190">
        <v>1</v>
      </c>
      <c r="K1945" s="1180"/>
      <c r="L1945" s="1174">
        <v>13223120103</v>
      </c>
      <c r="M1945" s="1175">
        <v>1</v>
      </c>
      <c r="N1945" s="1175">
        <v>1</v>
      </c>
      <c r="O1945" s="1176">
        <v>2</v>
      </c>
      <c r="AA1945"/>
      <c r="AB1945"/>
    </row>
    <row r="1946" spans="3:28" ht="13.5">
      <c r="C1946" s="1181" t="s">
        <v>6626</v>
      </c>
      <c r="D1946" s="1178">
        <v>1</v>
      </c>
      <c r="E1946" s="1178">
        <v>1</v>
      </c>
      <c r="F1946" s="1179">
        <v>2</v>
      </c>
      <c r="G1946" s="1189" t="s">
        <v>6626</v>
      </c>
      <c r="H1946" s="1176">
        <v>1</v>
      </c>
      <c r="I1946" s="1176" t="s">
        <v>4455</v>
      </c>
      <c r="J1946" s="1190">
        <v>1</v>
      </c>
      <c r="K1946" s="1180"/>
      <c r="L1946" s="1174">
        <v>13223120104</v>
      </c>
      <c r="M1946" s="1175">
        <v>1</v>
      </c>
      <c r="N1946" s="1175">
        <v>1</v>
      </c>
      <c r="O1946" s="1176">
        <v>2</v>
      </c>
      <c r="AA1946"/>
      <c r="AB1946"/>
    </row>
    <row r="1947" spans="3:28" ht="13.5">
      <c r="C1947" s="1181" t="s">
        <v>6627</v>
      </c>
      <c r="D1947" s="1178">
        <v>1</v>
      </c>
      <c r="E1947" s="1178">
        <v>1</v>
      </c>
      <c r="F1947" s="1179">
        <v>2</v>
      </c>
      <c r="G1947" s="1189" t="s">
        <v>6627</v>
      </c>
      <c r="H1947" s="1176">
        <v>1</v>
      </c>
      <c r="I1947" s="1176">
        <v>1</v>
      </c>
      <c r="J1947" s="1190">
        <v>2</v>
      </c>
      <c r="K1947" s="1180"/>
      <c r="L1947" s="1174">
        <v>13223120202</v>
      </c>
      <c r="M1947" s="1175">
        <v>1</v>
      </c>
      <c r="N1947" s="1175">
        <v>1</v>
      </c>
      <c r="O1947" s="1176">
        <v>2</v>
      </c>
      <c r="AA1947"/>
      <c r="AB1947"/>
    </row>
    <row r="1948" spans="3:28" ht="13.5">
      <c r="C1948" s="1181" t="s">
        <v>6628</v>
      </c>
      <c r="D1948" s="1178">
        <v>1</v>
      </c>
      <c r="E1948" s="1178">
        <v>1</v>
      </c>
      <c r="F1948" s="1179">
        <v>2</v>
      </c>
      <c r="G1948" s="1189" t="s">
        <v>6628</v>
      </c>
      <c r="H1948" s="1176">
        <v>1</v>
      </c>
      <c r="I1948" s="1176">
        <v>1</v>
      </c>
      <c r="J1948" s="1190">
        <v>2</v>
      </c>
      <c r="K1948" s="1180"/>
      <c r="L1948" s="1174">
        <v>13223120203</v>
      </c>
      <c r="M1948" s="1175">
        <v>1</v>
      </c>
      <c r="N1948" s="1175">
        <v>1</v>
      </c>
      <c r="O1948" s="1176">
        <v>2</v>
      </c>
      <c r="AA1948"/>
      <c r="AB1948"/>
    </row>
    <row r="1949" spans="3:28" ht="13.5">
      <c r="C1949" s="1181" t="s">
        <v>6629</v>
      </c>
      <c r="D1949" s="1178">
        <v>1</v>
      </c>
      <c r="E1949" s="1178">
        <v>1</v>
      </c>
      <c r="F1949" s="1179">
        <v>2</v>
      </c>
      <c r="G1949" s="1189" t="s">
        <v>6629</v>
      </c>
      <c r="H1949" s="1176">
        <v>1</v>
      </c>
      <c r="I1949" s="1176">
        <v>1</v>
      </c>
      <c r="J1949" s="1190">
        <v>2</v>
      </c>
      <c r="K1949" s="1180"/>
      <c r="L1949" s="1174">
        <v>13223120204</v>
      </c>
      <c r="M1949" s="1175">
        <v>1</v>
      </c>
      <c r="N1949" s="1175">
        <v>1</v>
      </c>
      <c r="O1949" s="1176">
        <v>2</v>
      </c>
      <c r="AA1949"/>
      <c r="AB1949"/>
    </row>
    <row r="1950" spans="3:28" ht="13.5">
      <c r="C1950" s="1181" t="s">
        <v>6630</v>
      </c>
      <c r="D1950" s="1178">
        <v>1</v>
      </c>
      <c r="E1950" s="1178">
        <v>0</v>
      </c>
      <c r="F1950" s="1179">
        <v>1</v>
      </c>
      <c r="G1950" s="1189" t="s">
        <v>6630</v>
      </c>
      <c r="H1950" s="1176">
        <v>1</v>
      </c>
      <c r="I1950" s="1176">
        <v>1</v>
      </c>
      <c r="J1950" s="1190">
        <v>2</v>
      </c>
      <c r="K1950" s="1180"/>
      <c r="L1950" s="1174">
        <v>13223120301</v>
      </c>
      <c r="M1950" s="1175">
        <v>1</v>
      </c>
      <c r="N1950" s="1175">
        <v>1</v>
      </c>
      <c r="O1950" s="1176">
        <v>2</v>
      </c>
      <c r="AA1950"/>
      <c r="AB1950"/>
    </row>
    <row r="1951" spans="3:28" ht="13.5">
      <c r="C1951" s="1181" t="s">
        <v>6631</v>
      </c>
      <c r="D1951" s="1178">
        <v>1</v>
      </c>
      <c r="E1951" s="1178">
        <v>0</v>
      </c>
      <c r="F1951" s="1179">
        <v>1</v>
      </c>
      <c r="G1951" s="1189" t="s">
        <v>6631</v>
      </c>
      <c r="H1951" s="1176">
        <v>1</v>
      </c>
      <c r="I1951" s="1176">
        <v>0</v>
      </c>
      <c r="J1951" s="1190">
        <v>1</v>
      </c>
      <c r="K1951" s="1180"/>
      <c r="L1951" s="1174">
        <v>13223120302</v>
      </c>
      <c r="M1951" s="1175">
        <v>1</v>
      </c>
      <c r="N1951" s="1175">
        <v>0</v>
      </c>
      <c r="O1951" s="1176">
        <v>1</v>
      </c>
      <c r="AA1951"/>
      <c r="AB1951"/>
    </row>
    <row r="1952" spans="3:28" ht="13.5">
      <c r="C1952" s="1181" t="s">
        <v>6632</v>
      </c>
      <c r="D1952" s="1178">
        <v>1</v>
      </c>
      <c r="E1952" s="1178">
        <v>1</v>
      </c>
      <c r="F1952" s="1179">
        <v>2</v>
      </c>
      <c r="G1952" s="1189" t="s">
        <v>6632</v>
      </c>
      <c r="H1952" s="1176">
        <v>0</v>
      </c>
      <c r="I1952" s="1176">
        <v>0</v>
      </c>
      <c r="J1952" s="1190">
        <v>0</v>
      </c>
      <c r="K1952" s="1180"/>
      <c r="L1952" s="1174">
        <v>13223120303</v>
      </c>
      <c r="M1952" s="1175">
        <v>1</v>
      </c>
      <c r="N1952" s="1175">
        <v>1</v>
      </c>
      <c r="O1952" s="1176">
        <v>2</v>
      </c>
      <c r="AA1952"/>
      <c r="AB1952"/>
    </row>
    <row r="1953" spans="3:28" ht="13.5">
      <c r="C1953" s="1181" t="s">
        <v>6633</v>
      </c>
      <c r="D1953" s="1178">
        <v>0</v>
      </c>
      <c r="E1953" s="1178">
        <v>1</v>
      </c>
      <c r="F1953" s="1179">
        <v>1</v>
      </c>
      <c r="G1953" s="1189" t="s">
        <v>6633</v>
      </c>
      <c r="H1953" s="1176">
        <v>1</v>
      </c>
      <c r="I1953" s="1176">
        <v>1</v>
      </c>
      <c r="J1953" s="1190">
        <v>2</v>
      </c>
      <c r="K1953" s="1180"/>
      <c r="L1953" s="1174">
        <v>13223120400</v>
      </c>
      <c r="M1953" s="1175">
        <v>1</v>
      </c>
      <c r="N1953" s="1175">
        <v>1</v>
      </c>
      <c r="O1953" s="1176">
        <v>2</v>
      </c>
      <c r="AA1953"/>
      <c r="AB1953"/>
    </row>
    <row r="1954" spans="3:28" ht="13.5">
      <c r="C1954" s="1181" t="s">
        <v>6634</v>
      </c>
      <c r="D1954" s="1178">
        <v>1</v>
      </c>
      <c r="E1954" s="1178">
        <v>1</v>
      </c>
      <c r="F1954" s="1179">
        <v>2</v>
      </c>
      <c r="G1954" s="1189" t="s">
        <v>6634</v>
      </c>
      <c r="H1954" s="1176">
        <v>1</v>
      </c>
      <c r="I1954" s="1176">
        <v>1</v>
      </c>
      <c r="J1954" s="1190">
        <v>1</v>
      </c>
      <c r="K1954" s="1180"/>
      <c r="L1954" s="1174">
        <v>13223120501</v>
      </c>
      <c r="M1954" s="1175">
        <v>1</v>
      </c>
      <c r="N1954" s="1175">
        <v>1</v>
      </c>
      <c r="O1954" s="1176">
        <v>2</v>
      </c>
      <c r="AA1954"/>
      <c r="AB1954"/>
    </row>
    <row r="1955" spans="3:28" ht="13.5">
      <c r="C1955" s="1181" t="s">
        <v>6635</v>
      </c>
      <c r="D1955" s="1178">
        <v>1</v>
      </c>
      <c r="E1955" s="1178">
        <v>1</v>
      </c>
      <c r="F1955" s="1179">
        <v>2</v>
      </c>
      <c r="G1955" s="1189" t="s">
        <v>6635</v>
      </c>
      <c r="H1955" s="1176">
        <v>1</v>
      </c>
      <c r="I1955" s="1176">
        <v>0</v>
      </c>
      <c r="J1955" s="1190">
        <v>1</v>
      </c>
      <c r="K1955" s="1180"/>
      <c r="L1955" s="1174">
        <v>13223120502</v>
      </c>
      <c r="M1955" s="1175">
        <v>1</v>
      </c>
      <c r="N1955" s="1175">
        <v>1</v>
      </c>
      <c r="O1955" s="1176">
        <v>2</v>
      </c>
      <c r="AA1955"/>
      <c r="AB1955"/>
    </row>
    <row r="1956" spans="3:28" ht="13.5">
      <c r="C1956" s="1181" t="s">
        <v>6636</v>
      </c>
      <c r="D1956" s="1178">
        <v>1</v>
      </c>
      <c r="E1956" s="1178">
        <v>1</v>
      </c>
      <c r="F1956" s="1179">
        <v>2</v>
      </c>
      <c r="G1956" s="1189" t="s">
        <v>6636</v>
      </c>
      <c r="H1956" s="1176">
        <v>0</v>
      </c>
      <c r="I1956" s="1176">
        <v>1</v>
      </c>
      <c r="J1956" s="1190">
        <v>1</v>
      </c>
      <c r="K1956" s="1180"/>
      <c r="L1956" s="1174">
        <v>13223120503</v>
      </c>
      <c r="M1956" s="1175">
        <v>1</v>
      </c>
      <c r="N1956" s="1175">
        <v>1</v>
      </c>
      <c r="O1956" s="1176">
        <v>2</v>
      </c>
      <c r="AA1956"/>
      <c r="AB1956"/>
    </row>
    <row r="1957" spans="3:28" ht="13.5">
      <c r="C1957" s="1181" t="s">
        <v>6637</v>
      </c>
      <c r="D1957" s="1178">
        <v>1</v>
      </c>
      <c r="E1957" s="1178">
        <v>1</v>
      </c>
      <c r="F1957" s="1179">
        <v>2</v>
      </c>
      <c r="G1957" s="1189" t="s">
        <v>6637</v>
      </c>
      <c r="H1957" s="1176">
        <v>1</v>
      </c>
      <c r="I1957" s="1176">
        <v>0</v>
      </c>
      <c r="J1957" s="1190">
        <v>1</v>
      </c>
      <c r="K1957" s="1180"/>
      <c r="L1957" s="1174">
        <v>13223120601</v>
      </c>
      <c r="M1957" s="1175">
        <v>1</v>
      </c>
      <c r="N1957" s="1175">
        <v>1</v>
      </c>
      <c r="O1957" s="1176">
        <v>2</v>
      </c>
      <c r="AA1957"/>
      <c r="AB1957"/>
    </row>
    <row r="1958" spans="3:28" ht="13.5">
      <c r="C1958" s="1181" t="s">
        <v>6638</v>
      </c>
      <c r="D1958" s="1178">
        <v>1</v>
      </c>
      <c r="E1958" s="1178">
        <v>1</v>
      </c>
      <c r="F1958" s="1179">
        <v>2</v>
      </c>
      <c r="G1958" s="1189" t="s">
        <v>6638</v>
      </c>
      <c r="H1958" s="1176">
        <v>1</v>
      </c>
      <c r="I1958" s="1176" t="s">
        <v>4455</v>
      </c>
      <c r="J1958" s="1190">
        <v>1</v>
      </c>
      <c r="K1958" s="1180"/>
      <c r="L1958" s="1174">
        <v>13223120602</v>
      </c>
      <c r="M1958" s="1175">
        <v>1</v>
      </c>
      <c r="N1958" s="1175">
        <v>1</v>
      </c>
      <c r="O1958" s="1176">
        <v>2</v>
      </c>
      <c r="AA1958"/>
      <c r="AB1958"/>
    </row>
    <row r="1959" spans="3:28" ht="13.5">
      <c r="C1959" s="1181" t="s">
        <v>6639</v>
      </c>
      <c r="D1959" s="1178">
        <v>1</v>
      </c>
      <c r="E1959" s="1178">
        <v>1</v>
      </c>
      <c r="F1959" s="1179">
        <v>2</v>
      </c>
      <c r="G1959" s="1189" t="s">
        <v>6639</v>
      </c>
      <c r="H1959" s="1176">
        <v>0</v>
      </c>
      <c r="I1959" s="1176">
        <v>1</v>
      </c>
      <c r="J1959" s="1190">
        <v>1</v>
      </c>
      <c r="K1959" s="1180"/>
      <c r="L1959" s="1174">
        <v>13223120603</v>
      </c>
      <c r="M1959" s="1175">
        <v>1</v>
      </c>
      <c r="N1959" s="1175">
        <v>1</v>
      </c>
      <c r="O1959" s="1176">
        <v>2</v>
      </c>
      <c r="AA1959"/>
      <c r="AB1959"/>
    </row>
    <row r="1960" spans="3:28" ht="13.5">
      <c r="C1960" s="1181" t="s">
        <v>6640</v>
      </c>
      <c r="D1960" s="1178">
        <v>1</v>
      </c>
      <c r="E1960" s="1178">
        <v>1</v>
      </c>
      <c r="F1960" s="1179">
        <v>2</v>
      </c>
      <c r="G1960" s="1189" t="s">
        <v>6640</v>
      </c>
      <c r="H1960" s="1176">
        <v>1</v>
      </c>
      <c r="I1960" s="1176">
        <v>1</v>
      </c>
      <c r="J1960" s="1190">
        <v>2</v>
      </c>
      <c r="K1960" s="1180"/>
      <c r="L1960" s="1174">
        <v>13223120604</v>
      </c>
      <c r="M1960" s="1175">
        <v>1</v>
      </c>
      <c r="N1960" s="1175">
        <v>1</v>
      </c>
      <c r="O1960" s="1176">
        <v>2</v>
      </c>
      <c r="AA1960"/>
      <c r="AB1960"/>
    </row>
    <row r="1961" spans="3:28" ht="13.5">
      <c r="C1961" s="1181" t="s">
        <v>6641</v>
      </c>
      <c r="D1961" s="1178">
        <v>1</v>
      </c>
      <c r="E1961" s="1178">
        <v>1</v>
      </c>
      <c r="F1961" s="1179">
        <v>2</v>
      </c>
      <c r="G1961" s="1189" t="s">
        <v>6641</v>
      </c>
      <c r="H1961" s="1176">
        <v>1</v>
      </c>
      <c r="I1961" s="1176">
        <v>0</v>
      </c>
      <c r="J1961" s="1190">
        <v>1</v>
      </c>
      <c r="K1961" s="1180"/>
      <c r="L1961" s="1174">
        <v>13223120605</v>
      </c>
      <c r="M1961" s="1175">
        <v>1</v>
      </c>
      <c r="N1961" s="1175">
        <v>1</v>
      </c>
      <c r="O1961" s="1176">
        <v>2</v>
      </c>
      <c r="AA1961"/>
      <c r="AB1961"/>
    </row>
    <row r="1962" spans="3:28" ht="13.5">
      <c r="C1962" s="1181" t="s">
        <v>6642</v>
      </c>
      <c r="D1962" s="1178">
        <v>1</v>
      </c>
      <c r="E1962" s="1178">
        <v>1</v>
      </c>
      <c r="F1962" s="1179">
        <v>2</v>
      </c>
      <c r="G1962" s="1189" t="s">
        <v>6642</v>
      </c>
      <c r="H1962" s="1176">
        <v>1</v>
      </c>
      <c r="I1962" s="1176">
        <v>1</v>
      </c>
      <c r="J1962" s="1190">
        <v>2</v>
      </c>
      <c r="K1962" s="1180"/>
      <c r="L1962" s="1174">
        <v>13225040101</v>
      </c>
      <c r="M1962" s="1175">
        <v>1</v>
      </c>
      <c r="N1962" s="1175">
        <v>1</v>
      </c>
      <c r="O1962" s="1176">
        <v>2</v>
      </c>
      <c r="AA1962"/>
      <c r="AB1962"/>
    </row>
    <row r="1963" spans="3:28" ht="13.5">
      <c r="C1963" s="1181" t="s">
        <v>6643</v>
      </c>
      <c r="D1963" s="1178">
        <v>1</v>
      </c>
      <c r="E1963" s="1178">
        <v>1</v>
      </c>
      <c r="F1963" s="1179">
        <v>2</v>
      </c>
      <c r="G1963" s="1189" t="s">
        <v>6643</v>
      </c>
      <c r="H1963" s="1176">
        <v>0</v>
      </c>
      <c r="I1963" s="1176">
        <v>1</v>
      </c>
      <c r="J1963" s="1190">
        <v>1</v>
      </c>
      <c r="K1963" s="1180"/>
      <c r="L1963" s="1174">
        <v>13225040102</v>
      </c>
      <c r="M1963" s="1175">
        <v>1</v>
      </c>
      <c r="N1963" s="1175">
        <v>1</v>
      </c>
      <c r="O1963" s="1176">
        <v>2</v>
      </c>
      <c r="AA1963"/>
      <c r="AB1963"/>
    </row>
    <row r="1964" spans="3:28" ht="13.5">
      <c r="C1964" s="1181" t="s">
        <v>6644</v>
      </c>
      <c r="D1964" s="1178">
        <v>0</v>
      </c>
      <c r="E1964" s="1178">
        <v>0</v>
      </c>
      <c r="F1964" s="1179">
        <v>0</v>
      </c>
      <c r="G1964" s="1189" t="s">
        <v>6644</v>
      </c>
      <c r="H1964" s="1176">
        <v>0</v>
      </c>
      <c r="I1964" s="1176">
        <v>0</v>
      </c>
      <c r="J1964" s="1190">
        <v>0</v>
      </c>
      <c r="K1964" s="1180"/>
      <c r="L1964" s="1174">
        <v>13225040200</v>
      </c>
      <c r="M1964" s="1175">
        <v>0</v>
      </c>
      <c r="N1964" s="1175">
        <v>0</v>
      </c>
      <c r="O1964" s="1176">
        <v>0</v>
      </c>
      <c r="AA1964"/>
      <c r="AB1964"/>
    </row>
    <row r="1965" spans="3:28" ht="13.5">
      <c r="C1965" s="1181" t="s">
        <v>6645</v>
      </c>
      <c r="D1965" s="1178">
        <v>1</v>
      </c>
      <c r="E1965" s="1178">
        <v>0</v>
      </c>
      <c r="F1965" s="1179">
        <v>1</v>
      </c>
      <c r="G1965" s="1189" t="s">
        <v>6645</v>
      </c>
      <c r="H1965" s="1176">
        <v>0</v>
      </c>
      <c r="I1965" s="1176">
        <v>0</v>
      </c>
      <c r="J1965" s="1190">
        <v>0</v>
      </c>
      <c r="K1965" s="1180"/>
      <c r="L1965" s="1174">
        <v>13225040301</v>
      </c>
      <c r="M1965" s="1175">
        <v>1</v>
      </c>
      <c r="N1965" s="1175">
        <v>0</v>
      </c>
      <c r="O1965" s="1176">
        <v>1</v>
      </c>
      <c r="AA1965"/>
      <c r="AB1965"/>
    </row>
    <row r="1966" spans="3:28" ht="13.5">
      <c r="C1966" s="1181" t="s">
        <v>6646</v>
      </c>
      <c r="D1966" s="1178">
        <v>0</v>
      </c>
      <c r="E1966" s="1178">
        <v>0</v>
      </c>
      <c r="F1966" s="1179">
        <v>0</v>
      </c>
      <c r="G1966" s="1189" t="s">
        <v>6646</v>
      </c>
      <c r="H1966" s="1176">
        <v>0</v>
      </c>
      <c r="I1966" s="1176">
        <v>0</v>
      </c>
      <c r="J1966" s="1190">
        <v>0</v>
      </c>
      <c r="K1966" s="1180"/>
      <c r="L1966" s="1174">
        <v>13225040302</v>
      </c>
      <c r="M1966" s="1175">
        <v>0</v>
      </c>
      <c r="N1966" s="1175">
        <v>0</v>
      </c>
      <c r="O1966" s="1176">
        <v>0</v>
      </c>
      <c r="AA1966"/>
      <c r="AB1966"/>
    </row>
    <row r="1967" spans="3:28" ht="13.5">
      <c r="C1967" s="1181" t="s">
        <v>6647</v>
      </c>
      <c r="D1967" s="1178">
        <v>0</v>
      </c>
      <c r="E1967" s="1178">
        <v>0</v>
      </c>
      <c r="F1967" s="1179">
        <v>0</v>
      </c>
      <c r="G1967" s="1189" t="s">
        <v>6647</v>
      </c>
      <c r="H1967" s="1176">
        <v>0</v>
      </c>
      <c r="I1967" s="1176" t="s">
        <v>4455</v>
      </c>
      <c r="J1967" s="1190">
        <v>0</v>
      </c>
      <c r="K1967" s="1180"/>
      <c r="L1967" s="1174">
        <v>13225040400</v>
      </c>
      <c r="M1967" s="1175">
        <v>0</v>
      </c>
      <c r="N1967" s="1175">
        <v>0</v>
      </c>
      <c r="O1967" s="1176">
        <v>0</v>
      </c>
      <c r="AA1967"/>
      <c r="AB1967"/>
    </row>
    <row r="1968" spans="3:28" ht="13.5">
      <c r="C1968" s="1181" t="s">
        <v>6648</v>
      </c>
      <c r="D1968" s="1178">
        <v>1</v>
      </c>
      <c r="E1968" s="1178">
        <v>1</v>
      </c>
      <c r="F1968" s="1179">
        <v>2</v>
      </c>
      <c r="G1968" s="1189" t="s">
        <v>6648</v>
      </c>
      <c r="H1968" s="1176">
        <v>1</v>
      </c>
      <c r="I1968" s="1176">
        <v>1</v>
      </c>
      <c r="J1968" s="1190">
        <v>2</v>
      </c>
      <c r="K1968" s="1180"/>
      <c r="L1968" s="1174">
        <v>13227050100</v>
      </c>
      <c r="M1968" s="1175">
        <v>1</v>
      </c>
      <c r="N1968" s="1175">
        <v>1</v>
      </c>
      <c r="O1968" s="1176">
        <v>2</v>
      </c>
      <c r="AA1968"/>
      <c r="AB1968"/>
    </row>
    <row r="1969" spans="3:28" ht="13.5">
      <c r="C1969" s="1181" t="s">
        <v>6649</v>
      </c>
      <c r="D1969" s="1178">
        <v>0</v>
      </c>
      <c r="E1969" s="1178">
        <v>0</v>
      </c>
      <c r="F1969" s="1179">
        <v>0</v>
      </c>
      <c r="G1969" s="1189" t="s">
        <v>6649</v>
      </c>
      <c r="H1969" s="1176">
        <v>0</v>
      </c>
      <c r="I1969" s="1176">
        <v>0</v>
      </c>
      <c r="J1969" s="1190">
        <v>0</v>
      </c>
      <c r="K1969" s="1180"/>
      <c r="L1969" s="1174">
        <v>13227050200</v>
      </c>
      <c r="M1969" s="1175">
        <v>0</v>
      </c>
      <c r="N1969" s="1175">
        <v>0</v>
      </c>
      <c r="O1969" s="1176">
        <v>0</v>
      </c>
      <c r="AA1969"/>
      <c r="AB1969"/>
    </row>
    <row r="1970" spans="3:28" ht="13.5">
      <c r="C1970" s="1181" t="s">
        <v>6650</v>
      </c>
      <c r="D1970" s="1178">
        <v>0</v>
      </c>
      <c r="E1970" s="1178">
        <v>1</v>
      </c>
      <c r="F1970" s="1179">
        <v>1</v>
      </c>
      <c r="G1970" s="1189" t="s">
        <v>6650</v>
      </c>
      <c r="H1970" s="1176">
        <v>0</v>
      </c>
      <c r="I1970" s="1176">
        <v>0</v>
      </c>
      <c r="J1970" s="1190">
        <v>0</v>
      </c>
      <c r="K1970" s="1180"/>
      <c r="L1970" s="1174">
        <v>13227050300</v>
      </c>
      <c r="M1970" s="1175">
        <v>0</v>
      </c>
      <c r="N1970" s="1175">
        <v>1</v>
      </c>
      <c r="O1970" s="1176">
        <v>1</v>
      </c>
      <c r="AA1970"/>
      <c r="AB1970"/>
    </row>
    <row r="1971" spans="3:28" ht="13.5">
      <c r="C1971" s="1181" t="s">
        <v>6651</v>
      </c>
      <c r="D1971" s="1178">
        <v>0</v>
      </c>
      <c r="E1971" s="1178">
        <v>0</v>
      </c>
      <c r="F1971" s="1179">
        <v>0</v>
      </c>
      <c r="G1971" s="1189" t="s">
        <v>6651</v>
      </c>
      <c r="H1971" s="1176">
        <v>0</v>
      </c>
      <c r="I1971" s="1176">
        <v>1</v>
      </c>
      <c r="J1971" s="1190">
        <v>1</v>
      </c>
      <c r="K1971" s="1180"/>
      <c r="L1971" s="1174">
        <v>13227050400</v>
      </c>
      <c r="M1971" s="1175">
        <v>0</v>
      </c>
      <c r="N1971" s="1175">
        <v>1</v>
      </c>
      <c r="O1971" s="1176">
        <v>1</v>
      </c>
      <c r="AA1971"/>
      <c r="AB1971"/>
    </row>
    <row r="1972" spans="3:28" ht="13.5">
      <c r="C1972" s="1181" t="s">
        <v>6652</v>
      </c>
      <c r="D1972" s="1178">
        <v>1</v>
      </c>
      <c r="E1972" s="1178">
        <v>1</v>
      </c>
      <c r="F1972" s="1179">
        <v>2</v>
      </c>
      <c r="G1972" s="1189" t="s">
        <v>6652</v>
      </c>
      <c r="H1972" s="1176">
        <v>0</v>
      </c>
      <c r="I1972" s="1176">
        <v>0</v>
      </c>
      <c r="J1972" s="1190">
        <v>0</v>
      </c>
      <c r="K1972" s="1180"/>
      <c r="L1972" s="1174">
        <v>13227050500</v>
      </c>
      <c r="M1972" s="1175">
        <v>1</v>
      </c>
      <c r="N1972" s="1175">
        <v>1</v>
      </c>
      <c r="O1972" s="1176">
        <v>2</v>
      </c>
      <c r="AA1972"/>
      <c r="AB1972"/>
    </row>
    <row r="1973" spans="3:28" ht="13.5">
      <c r="C1973" s="1181" t="s">
        <v>6653</v>
      </c>
      <c r="D1973" s="1178">
        <v>1</v>
      </c>
      <c r="E1973" s="1178">
        <v>1</v>
      </c>
      <c r="F1973" s="1179">
        <v>2</v>
      </c>
      <c r="G1973" s="1189" t="s">
        <v>6653</v>
      </c>
      <c r="H1973" s="1176">
        <v>1</v>
      </c>
      <c r="I1973" s="1176">
        <v>1</v>
      </c>
      <c r="J1973" s="1190">
        <v>2</v>
      </c>
      <c r="K1973" s="1180"/>
      <c r="L1973" s="1174">
        <v>13227050600</v>
      </c>
      <c r="M1973" s="1175">
        <v>1</v>
      </c>
      <c r="N1973" s="1175">
        <v>1</v>
      </c>
      <c r="O1973" s="1176">
        <v>2</v>
      </c>
      <c r="AA1973"/>
      <c r="AB1973"/>
    </row>
    <row r="1974" spans="3:28" ht="13.5">
      <c r="C1974" s="1181" t="s">
        <v>6654</v>
      </c>
      <c r="D1974" s="1178">
        <v>0</v>
      </c>
      <c r="E1974" s="1178">
        <v>0</v>
      </c>
      <c r="F1974" s="1179">
        <v>0</v>
      </c>
      <c r="G1974" s="1189" t="s">
        <v>6654</v>
      </c>
      <c r="H1974" s="1176">
        <v>0</v>
      </c>
      <c r="I1974" s="1176">
        <v>0</v>
      </c>
      <c r="J1974" s="1190">
        <v>0</v>
      </c>
      <c r="K1974" s="1180"/>
      <c r="L1974" s="1174">
        <v>13229960100</v>
      </c>
      <c r="M1974" s="1175">
        <v>0</v>
      </c>
      <c r="N1974" s="1175">
        <v>0</v>
      </c>
      <c r="O1974" s="1176">
        <v>0</v>
      </c>
      <c r="AA1974"/>
      <c r="AB1974"/>
    </row>
    <row r="1975" spans="3:28" ht="13.5">
      <c r="C1975" s="1181" t="s">
        <v>6655</v>
      </c>
      <c r="D1975" s="1178">
        <v>0</v>
      </c>
      <c r="E1975" s="1178">
        <v>0</v>
      </c>
      <c r="F1975" s="1179">
        <v>0</v>
      </c>
      <c r="G1975" s="1189" t="s">
        <v>6655</v>
      </c>
      <c r="H1975" s="1176">
        <v>0</v>
      </c>
      <c r="I1975" s="1176">
        <v>0</v>
      </c>
      <c r="J1975" s="1190">
        <v>0</v>
      </c>
      <c r="K1975" s="1180"/>
      <c r="L1975" s="1174">
        <v>13229960200</v>
      </c>
      <c r="M1975" s="1175">
        <v>0</v>
      </c>
      <c r="N1975" s="1175">
        <v>0</v>
      </c>
      <c r="O1975" s="1176">
        <v>0</v>
      </c>
      <c r="AA1975"/>
      <c r="AB1975"/>
    </row>
    <row r="1976" spans="3:28" ht="13.5">
      <c r="C1976" s="1181" t="s">
        <v>6656</v>
      </c>
      <c r="D1976" s="1178">
        <v>0</v>
      </c>
      <c r="E1976" s="1178">
        <v>0</v>
      </c>
      <c r="F1976" s="1179">
        <v>0</v>
      </c>
      <c r="G1976" s="1189" t="s">
        <v>6656</v>
      </c>
      <c r="H1976" s="1176">
        <v>0</v>
      </c>
      <c r="I1976" s="1176">
        <v>0</v>
      </c>
      <c r="J1976" s="1190">
        <v>0</v>
      </c>
      <c r="K1976" s="1180"/>
      <c r="L1976" s="1174">
        <v>13229960300</v>
      </c>
      <c r="M1976" s="1175">
        <v>0</v>
      </c>
      <c r="N1976" s="1175">
        <v>0</v>
      </c>
      <c r="O1976" s="1176">
        <v>0</v>
      </c>
      <c r="AA1976"/>
      <c r="AB1976"/>
    </row>
    <row r="1977" spans="3:28" ht="13.5">
      <c r="C1977" s="1181" t="s">
        <v>6657</v>
      </c>
      <c r="D1977" s="1178">
        <v>0</v>
      </c>
      <c r="E1977" s="1178">
        <v>1</v>
      </c>
      <c r="F1977" s="1179">
        <v>1</v>
      </c>
      <c r="G1977" s="1189" t="s">
        <v>6657</v>
      </c>
      <c r="H1977" s="1176">
        <v>0</v>
      </c>
      <c r="I1977" s="1176">
        <v>0</v>
      </c>
      <c r="J1977" s="1190">
        <v>0</v>
      </c>
      <c r="K1977" s="1180"/>
      <c r="L1977" s="1174">
        <v>13229960400</v>
      </c>
      <c r="M1977" s="1175">
        <v>0</v>
      </c>
      <c r="N1977" s="1175">
        <v>1</v>
      </c>
      <c r="O1977" s="1176">
        <v>1</v>
      </c>
      <c r="AA1977"/>
      <c r="AB1977"/>
    </row>
    <row r="1978" spans="3:28" ht="13.5">
      <c r="C1978" s="1181" t="s">
        <v>6658</v>
      </c>
      <c r="D1978" s="1178">
        <v>0</v>
      </c>
      <c r="E1978" s="1178">
        <v>1</v>
      </c>
      <c r="F1978" s="1179">
        <v>1</v>
      </c>
      <c r="G1978" s="1189" t="s">
        <v>6658</v>
      </c>
      <c r="H1978" s="1176">
        <v>0</v>
      </c>
      <c r="I1978" s="1176">
        <v>1</v>
      </c>
      <c r="J1978" s="1190">
        <v>1</v>
      </c>
      <c r="K1978" s="1180"/>
      <c r="L1978" s="1174">
        <v>13231010100</v>
      </c>
      <c r="M1978" s="1175">
        <v>0</v>
      </c>
      <c r="N1978" s="1175">
        <v>1</v>
      </c>
      <c r="O1978" s="1176">
        <v>1</v>
      </c>
      <c r="AA1978"/>
      <c r="AB1978"/>
    </row>
    <row r="1979" spans="3:28" ht="13.5">
      <c r="C1979" s="1181" t="s">
        <v>6659</v>
      </c>
      <c r="D1979" s="1178">
        <v>1</v>
      </c>
      <c r="E1979" s="1178">
        <v>1</v>
      </c>
      <c r="F1979" s="1179">
        <v>2</v>
      </c>
      <c r="G1979" s="1189" t="s">
        <v>6659</v>
      </c>
      <c r="H1979" s="1176">
        <v>1</v>
      </c>
      <c r="I1979" s="1176">
        <v>1</v>
      </c>
      <c r="J1979" s="1190">
        <v>2</v>
      </c>
      <c r="K1979" s="1180"/>
      <c r="L1979" s="1174">
        <v>13231010200</v>
      </c>
      <c r="M1979" s="1175">
        <v>1</v>
      </c>
      <c r="N1979" s="1175">
        <v>1</v>
      </c>
      <c r="O1979" s="1176">
        <v>2</v>
      </c>
      <c r="AA1979"/>
      <c r="AB1979"/>
    </row>
    <row r="1980" spans="3:28" ht="13.5">
      <c r="C1980" s="1181" t="s">
        <v>6660</v>
      </c>
      <c r="D1980" s="1178">
        <v>0</v>
      </c>
      <c r="E1980" s="1178">
        <v>1</v>
      </c>
      <c r="F1980" s="1179">
        <v>1</v>
      </c>
      <c r="G1980" s="1189" t="s">
        <v>6660</v>
      </c>
      <c r="H1980" s="1176">
        <v>0</v>
      </c>
      <c r="I1980" s="1176">
        <v>0</v>
      </c>
      <c r="J1980" s="1190">
        <v>0</v>
      </c>
      <c r="K1980" s="1180"/>
      <c r="L1980" s="1174">
        <v>13231010300</v>
      </c>
      <c r="M1980" s="1175">
        <v>0</v>
      </c>
      <c r="N1980" s="1175">
        <v>1</v>
      </c>
      <c r="O1980" s="1176">
        <v>1</v>
      </c>
      <c r="AA1980"/>
      <c r="AB1980"/>
    </row>
    <row r="1981" spans="3:28" ht="13.5">
      <c r="C1981" s="1181" t="s">
        <v>6661</v>
      </c>
      <c r="D1981" s="1178">
        <v>0</v>
      </c>
      <c r="E1981" s="1178">
        <v>1</v>
      </c>
      <c r="F1981" s="1179">
        <v>1</v>
      </c>
      <c r="G1981" s="1189" t="s">
        <v>6661</v>
      </c>
      <c r="H1981" s="1176">
        <v>0</v>
      </c>
      <c r="I1981" s="1176">
        <v>0</v>
      </c>
      <c r="J1981" s="1190">
        <v>0</v>
      </c>
      <c r="K1981" s="1180"/>
      <c r="L1981" s="1174">
        <v>13231010400</v>
      </c>
      <c r="M1981" s="1175">
        <v>0</v>
      </c>
      <c r="N1981" s="1175">
        <v>1</v>
      </c>
      <c r="O1981" s="1176">
        <v>1</v>
      </c>
      <c r="AA1981"/>
      <c r="AB1981"/>
    </row>
    <row r="1982" spans="3:28" ht="13.5">
      <c r="C1982" s="1181" t="s">
        <v>6662</v>
      </c>
      <c r="D1982" s="1178">
        <v>0</v>
      </c>
      <c r="E1982" s="1178">
        <v>0</v>
      </c>
      <c r="F1982" s="1179">
        <v>0</v>
      </c>
      <c r="G1982" s="1189" t="s">
        <v>6662</v>
      </c>
      <c r="H1982" s="1176">
        <v>0</v>
      </c>
      <c r="I1982" s="1176">
        <v>0</v>
      </c>
      <c r="J1982" s="1190">
        <v>0</v>
      </c>
      <c r="K1982" s="1180"/>
      <c r="L1982" s="1174">
        <v>13233010100</v>
      </c>
      <c r="M1982" s="1175">
        <v>0</v>
      </c>
      <c r="N1982" s="1175">
        <v>0</v>
      </c>
      <c r="O1982" s="1176">
        <v>0</v>
      </c>
      <c r="AA1982"/>
      <c r="AB1982"/>
    </row>
    <row r="1983" spans="3:28" ht="13.5">
      <c r="C1983" s="1181" t="s">
        <v>6663</v>
      </c>
      <c r="D1983" s="1178">
        <v>0</v>
      </c>
      <c r="E1983" s="1178">
        <v>0</v>
      </c>
      <c r="F1983" s="1179">
        <v>0</v>
      </c>
      <c r="G1983" s="1189" t="s">
        <v>6663</v>
      </c>
      <c r="H1983" s="1176">
        <v>0</v>
      </c>
      <c r="I1983" s="1176">
        <v>1</v>
      </c>
      <c r="J1983" s="1190">
        <v>1</v>
      </c>
      <c r="K1983" s="1180"/>
      <c r="L1983" s="1174">
        <v>13233010200</v>
      </c>
      <c r="M1983" s="1175">
        <v>0</v>
      </c>
      <c r="N1983" s="1175">
        <v>1</v>
      </c>
      <c r="O1983" s="1176">
        <v>1</v>
      </c>
      <c r="AA1983"/>
      <c r="AB1983"/>
    </row>
    <row r="1984" spans="3:28" ht="13.5">
      <c r="C1984" s="1181" t="s">
        <v>6664</v>
      </c>
      <c r="D1984" s="1178">
        <v>0</v>
      </c>
      <c r="E1984" s="1178">
        <v>0</v>
      </c>
      <c r="F1984" s="1179">
        <v>0</v>
      </c>
      <c r="G1984" s="1189" t="s">
        <v>6664</v>
      </c>
      <c r="H1984" s="1176">
        <v>0</v>
      </c>
      <c r="I1984" s="1176">
        <v>0</v>
      </c>
      <c r="J1984" s="1190">
        <v>0</v>
      </c>
      <c r="K1984" s="1180"/>
      <c r="L1984" s="1174">
        <v>13233010300</v>
      </c>
      <c r="M1984" s="1175">
        <v>0</v>
      </c>
      <c r="N1984" s="1175">
        <v>0</v>
      </c>
      <c r="O1984" s="1176">
        <v>0</v>
      </c>
      <c r="AA1984"/>
      <c r="AB1984"/>
    </row>
    <row r="1985" spans="3:28" ht="13.5">
      <c r="C1985" s="1181" t="s">
        <v>6665</v>
      </c>
      <c r="D1985" s="1178">
        <v>0</v>
      </c>
      <c r="E1985" s="1178">
        <v>0</v>
      </c>
      <c r="F1985" s="1179">
        <v>0</v>
      </c>
      <c r="G1985" s="1189" t="s">
        <v>6665</v>
      </c>
      <c r="H1985" s="1176">
        <v>0</v>
      </c>
      <c r="I1985" s="1176">
        <v>0</v>
      </c>
      <c r="J1985" s="1190">
        <v>0</v>
      </c>
      <c r="K1985" s="1180"/>
      <c r="L1985" s="1174">
        <v>13233010400</v>
      </c>
      <c r="M1985" s="1175">
        <v>0</v>
      </c>
      <c r="N1985" s="1175">
        <v>0</v>
      </c>
      <c r="O1985" s="1176">
        <v>0</v>
      </c>
      <c r="AA1985"/>
      <c r="AB1985"/>
    </row>
    <row r="1986" spans="3:28" ht="13.5">
      <c r="C1986" s="1181" t="s">
        <v>6666</v>
      </c>
      <c r="D1986" s="1178">
        <v>0</v>
      </c>
      <c r="E1986" s="1178">
        <v>0</v>
      </c>
      <c r="F1986" s="1179">
        <v>0</v>
      </c>
      <c r="G1986" s="1189" t="s">
        <v>6666</v>
      </c>
      <c r="H1986" s="1176">
        <v>0</v>
      </c>
      <c r="I1986" s="1176">
        <v>0</v>
      </c>
      <c r="J1986" s="1190">
        <v>0</v>
      </c>
      <c r="K1986" s="1180"/>
      <c r="L1986" s="1174">
        <v>13233010500</v>
      </c>
      <c r="M1986" s="1175">
        <v>0</v>
      </c>
      <c r="N1986" s="1175">
        <v>0</v>
      </c>
      <c r="O1986" s="1176">
        <v>0</v>
      </c>
      <c r="AA1986"/>
      <c r="AB1986"/>
    </row>
    <row r="1987" spans="3:28" ht="13.5">
      <c r="C1987" s="1181" t="s">
        <v>6667</v>
      </c>
      <c r="D1987" s="1178">
        <v>0</v>
      </c>
      <c r="E1987" s="1178">
        <v>0</v>
      </c>
      <c r="F1987" s="1179">
        <v>0</v>
      </c>
      <c r="G1987" s="1189" t="s">
        <v>6667</v>
      </c>
      <c r="H1987" s="1176">
        <v>0</v>
      </c>
      <c r="I1987" s="1176">
        <v>1</v>
      </c>
      <c r="J1987" s="1190">
        <v>1</v>
      </c>
      <c r="K1987" s="1180"/>
      <c r="L1987" s="1174">
        <v>13233010600</v>
      </c>
      <c r="M1987" s="1175">
        <v>0</v>
      </c>
      <c r="N1987" s="1175">
        <v>1</v>
      </c>
      <c r="O1987" s="1176">
        <v>1</v>
      </c>
      <c r="AA1987"/>
      <c r="AB1987"/>
    </row>
    <row r="1988" spans="3:28" ht="13.5">
      <c r="C1988" s="1181" t="s">
        <v>6668</v>
      </c>
      <c r="D1988" s="1178">
        <v>0</v>
      </c>
      <c r="E1988" s="1178">
        <v>0</v>
      </c>
      <c r="F1988" s="1179">
        <v>0</v>
      </c>
      <c r="G1988" s="1189" t="s">
        <v>6668</v>
      </c>
      <c r="H1988" s="1176">
        <v>0</v>
      </c>
      <c r="I1988" s="1176">
        <v>0</v>
      </c>
      <c r="J1988" s="1190">
        <v>0</v>
      </c>
      <c r="K1988" s="1180"/>
      <c r="L1988" s="1174">
        <v>13233010700</v>
      </c>
      <c r="M1988" s="1175">
        <v>0</v>
      </c>
      <c r="N1988" s="1175">
        <v>0</v>
      </c>
      <c r="O1988" s="1176">
        <v>0</v>
      </c>
      <c r="AA1988"/>
      <c r="AB1988"/>
    </row>
    <row r="1989" spans="3:28" ht="13.5">
      <c r="C1989" s="1181" t="s">
        <v>6669</v>
      </c>
      <c r="D1989" s="1178">
        <v>0</v>
      </c>
      <c r="E1989" s="1178">
        <v>0</v>
      </c>
      <c r="F1989" s="1179">
        <v>0</v>
      </c>
      <c r="G1989" s="1189" t="s">
        <v>6669</v>
      </c>
      <c r="H1989" s="1176">
        <v>0</v>
      </c>
      <c r="I1989" s="1176">
        <v>0</v>
      </c>
      <c r="J1989" s="1190">
        <v>0</v>
      </c>
      <c r="K1989" s="1180"/>
      <c r="L1989" s="1174">
        <v>13235950100</v>
      </c>
      <c r="M1989" s="1175">
        <v>0</v>
      </c>
      <c r="N1989" s="1175">
        <v>0</v>
      </c>
      <c r="O1989" s="1176">
        <v>0</v>
      </c>
      <c r="AA1989"/>
      <c r="AB1989"/>
    </row>
    <row r="1990" spans="3:28" ht="13.5">
      <c r="C1990" s="1181" t="s">
        <v>6670</v>
      </c>
      <c r="D1990" s="1178">
        <v>0</v>
      </c>
      <c r="E1990" s="1178">
        <v>0</v>
      </c>
      <c r="F1990" s="1179">
        <v>0</v>
      </c>
      <c r="G1990" s="1189" t="s">
        <v>6670</v>
      </c>
      <c r="H1990" s="1176">
        <v>0</v>
      </c>
      <c r="I1990" s="1176">
        <v>1</v>
      </c>
      <c r="J1990" s="1190">
        <v>1</v>
      </c>
      <c r="K1990" s="1180"/>
      <c r="L1990" s="1174">
        <v>13235950200</v>
      </c>
      <c r="M1990" s="1175">
        <v>0</v>
      </c>
      <c r="N1990" s="1175">
        <v>1</v>
      </c>
      <c r="O1990" s="1176">
        <v>1</v>
      </c>
      <c r="AA1990"/>
      <c r="AB1990"/>
    </row>
    <row r="1991" spans="3:28" ht="13.5">
      <c r="C1991" s="1181" t="s">
        <v>6671</v>
      </c>
      <c r="D1991" s="1178">
        <v>0</v>
      </c>
      <c r="E1991" s="1178">
        <v>0</v>
      </c>
      <c r="F1991" s="1179">
        <v>0</v>
      </c>
      <c r="G1991" s="1189" t="s">
        <v>6671</v>
      </c>
      <c r="H1991" s="1176">
        <v>0</v>
      </c>
      <c r="I1991" s="1176">
        <v>0</v>
      </c>
      <c r="J1991" s="1190">
        <v>0</v>
      </c>
      <c r="K1991" s="1180"/>
      <c r="L1991" s="1174">
        <v>13235950300</v>
      </c>
      <c r="M1991" s="1175">
        <v>0</v>
      </c>
      <c r="N1991" s="1175">
        <v>0</v>
      </c>
      <c r="O1991" s="1176">
        <v>0</v>
      </c>
      <c r="AA1991"/>
      <c r="AB1991"/>
    </row>
    <row r="1992" spans="3:28" ht="13.5">
      <c r="C1992" s="1181" t="s">
        <v>6672</v>
      </c>
      <c r="D1992" s="1178">
        <v>0</v>
      </c>
      <c r="E1992" s="1178">
        <v>0</v>
      </c>
      <c r="F1992" s="1179">
        <v>0</v>
      </c>
      <c r="G1992" s="1189" t="s">
        <v>6672</v>
      </c>
      <c r="H1992" s="1176">
        <v>0</v>
      </c>
      <c r="I1992" s="1176">
        <v>1</v>
      </c>
      <c r="J1992" s="1190">
        <v>1</v>
      </c>
      <c r="K1992" s="1180"/>
      <c r="L1992" s="1174">
        <v>13237960101</v>
      </c>
      <c r="M1992" s="1175">
        <v>0</v>
      </c>
      <c r="N1992" s="1175">
        <v>1</v>
      </c>
      <c r="O1992" s="1176">
        <v>1</v>
      </c>
      <c r="AA1992"/>
      <c r="AB1992"/>
    </row>
    <row r="1993" spans="3:28" ht="13.5">
      <c r="C1993" s="1181" t="s">
        <v>6673</v>
      </c>
      <c r="D1993" s="1178">
        <v>1</v>
      </c>
      <c r="E1993" s="1178">
        <v>1</v>
      </c>
      <c r="F1993" s="1179">
        <v>2</v>
      </c>
      <c r="G1993" s="1189" t="s">
        <v>6673</v>
      </c>
      <c r="H1993" s="1176">
        <v>1</v>
      </c>
      <c r="I1993" s="1176" t="s">
        <v>4455</v>
      </c>
      <c r="J1993" s="1190">
        <v>1</v>
      </c>
      <c r="K1993" s="1180"/>
      <c r="L1993" s="1174">
        <v>13237960102</v>
      </c>
      <c r="M1993" s="1175">
        <v>1</v>
      </c>
      <c r="N1993" s="1175">
        <v>1</v>
      </c>
      <c r="O1993" s="1176">
        <v>2</v>
      </c>
      <c r="AA1993"/>
      <c r="AB1993"/>
    </row>
    <row r="1994" spans="3:28" ht="13.5">
      <c r="C1994" s="1181" t="s">
        <v>6674</v>
      </c>
      <c r="D1994" s="1178">
        <v>0</v>
      </c>
      <c r="E1994" s="1178">
        <v>0</v>
      </c>
      <c r="F1994" s="1179">
        <v>0</v>
      </c>
      <c r="G1994" s="1189" t="s">
        <v>6674</v>
      </c>
      <c r="H1994" s="1176">
        <v>0</v>
      </c>
      <c r="I1994" s="1176" t="s">
        <v>4455</v>
      </c>
      <c r="J1994" s="1190">
        <v>0</v>
      </c>
      <c r="K1994" s="1180"/>
      <c r="L1994" s="1174">
        <v>13237960201</v>
      </c>
      <c r="M1994" s="1175">
        <v>0</v>
      </c>
      <c r="N1994" s="1175">
        <v>0</v>
      </c>
      <c r="O1994" s="1176">
        <v>0</v>
      </c>
      <c r="AA1994"/>
      <c r="AB1994"/>
    </row>
    <row r="1995" spans="3:28" ht="13.5">
      <c r="C1995" s="1181" t="s">
        <v>6675</v>
      </c>
      <c r="D1995" s="1178">
        <v>0</v>
      </c>
      <c r="E1995" s="1178">
        <v>0</v>
      </c>
      <c r="F1995" s="1179">
        <v>0</v>
      </c>
      <c r="G1995" s="1189" t="s">
        <v>6675</v>
      </c>
      <c r="H1995" s="1176">
        <v>0</v>
      </c>
      <c r="I1995" s="1176">
        <v>0</v>
      </c>
      <c r="J1995" s="1190">
        <v>0</v>
      </c>
      <c r="K1995" s="1180"/>
      <c r="L1995" s="1174">
        <v>13237960202</v>
      </c>
      <c r="M1995" s="1175">
        <v>0</v>
      </c>
      <c r="N1995" s="1175">
        <v>0</v>
      </c>
      <c r="O1995" s="1176">
        <v>0</v>
      </c>
      <c r="AA1995"/>
      <c r="AB1995"/>
    </row>
    <row r="1996" spans="3:28" ht="13.5">
      <c r="C1996" s="1181" t="s">
        <v>6676</v>
      </c>
      <c r="D1996" s="1178">
        <v>0</v>
      </c>
      <c r="E1996" s="1178">
        <v>1</v>
      </c>
      <c r="F1996" s="1179">
        <v>1</v>
      </c>
      <c r="G1996" s="1189" t="s">
        <v>6676</v>
      </c>
      <c r="H1996" s="1176">
        <v>0</v>
      </c>
      <c r="I1996" s="1176">
        <v>0</v>
      </c>
      <c r="J1996" s="1190">
        <v>0</v>
      </c>
      <c r="K1996" s="1180"/>
      <c r="L1996" s="1174">
        <v>13237960300</v>
      </c>
      <c r="M1996" s="1175">
        <v>0</v>
      </c>
      <c r="N1996" s="1175">
        <v>1</v>
      </c>
      <c r="O1996" s="1176">
        <v>1</v>
      </c>
      <c r="AA1996"/>
      <c r="AB1996"/>
    </row>
    <row r="1997" spans="3:28" ht="13.5">
      <c r="C1997" s="1181" t="s">
        <v>6677</v>
      </c>
      <c r="D1997" s="1178">
        <v>0</v>
      </c>
      <c r="E1997" s="1178">
        <v>0</v>
      </c>
      <c r="F1997" s="1179">
        <v>0</v>
      </c>
      <c r="G1997" s="1189" t="s">
        <v>6677</v>
      </c>
      <c r="H1997" s="1176">
        <v>0</v>
      </c>
      <c r="I1997" s="1176">
        <v>0</v>
      </c>
      <c r="J1997" s="1190">
        <v>0</v>
      </c>
      <c r="K1997" s="1180"/>
      <c r="L1997" s="1174">
        <v>13239960300</v>
      </c>
      <c r="M1997" s="1175">
        <v>0</v>
      </c>
      <c r="N1997" s="1175">
        <v>0</v>
      </c>
      <c r="O1997" s="1176">
        <v>0</v>
      </c>
      <c r="AA1997"/>
      <c r="AB1997"/>
    </row>
    <row r="1998" spans="3:28" ht="13.5">
      <c r="C1998" s="1181" t="s">
        <v>6678</v>
      </c>
      <c r="D1998" s="1178">
        <v>0</v>
      </c>
      <c r="E1998" s="1178">
        <v>0</v>
      </c>
      <c r="F1998" s="1179">
        <v>0</v>
      </c>
      <c r="G1998" s="1189" t="s">
        <v>6678</v>
      </c>
      <c r="H1998" s="1176">
        <v>0</v>
      </c>
      <c r="I1998" s="1176">
        <v>1</v>
      </c>
      <c r="J1998" s="1190">
        <v>1</v>
      </c>
      <c r="K1998" s="1180"/>
      <c r="L1998" s="1174">
        <v>13241970100</v>
      </c>
      <c r="M1998" s="1175">
        <v>0</v>
      </c>
      <c r="N1998" s="1175">
        <v>1</v>
      </c>
      <c r="O1998" s="1176">
        <v>1</v>
      </c>
      <c r="AA1998"/>
      <c r="AB1998"/>
    </row>
    <row r="1999" spans="3:28" ht="13.5">
      <c r="C1999" s="1181" t="s">
        <v>6679</v>
      </c>
      <c r="D1999" s="1178">
        <v>0</v>
      </c>
      <c r="E1999" s="1178">
        <v>0</v>
      </c>
      <c r="F1999" s="1179">
        <v>0</v>
      </c>
      <c r="G1999" s="1189" t="s">
        <v>6679</v>
      </c>
      <c r="H1999" s="1176">
        <v>0</v>
      </c>
      <c r="I1999" s="1176">
        <v>0</v>
      </c>
      <c r="J1999" s="1190">
        <v>0</v>
      </c>
      <c r="K1999" s="1180"/>
      <c r="L1999" s="1174">
        <v>13241970201</v>
      </c>
      <c r="M1999" s="1175">
        <v>0</v>
      </c>
      <c r="N1999" s="1175">
        <v>0</v>
      </c>
      <c r="O1999" s="1176">
        <v>0</v>
      </c>
      <c r="AA1999"/>
      <c r="AB1999"/>
    </row>
    <row r="2000" spans="3:28" ht="13.5">
      <c r="C2000" s="1181" t="s">
        <v>6680</v>
      </c>
      <c r="D2000" s="1178">
        <v>0</v>
      </c>
      <c r="E2000" s="1178">
        <v>0</v>
      </c>
      <c r="F2000" s="1179">
        <v>0</v>
      </c>
      <c r="G2000" s="1189" t="s">
        <v>6680</v>
      </c>
      <c r="H2000" s="1176">
        <v>0</v>
      </c>
      <c r="I2000" s="1176">
        <v>0</v>
      </c>
      <c r="J2000" s="1190">
        <v>0</v>
      </c>
      <c r="K2000" s="1180"/>
      <c r="L2000" s="1174">
        <v>13241970202</v>
      </c>
      <c r="M2000" s="1175">
        <v>0</v>
      </c>
      <c r="N2000" s="1175">
        <v>0</v>
      </c>
      <c r="O2000" s="1176">
        <v>0</v>
      </c>
      <c r="AA2000"/>
      <c r="AB2000"/>
    </row>
    <row r="2001" spans="3:28" ht="13.5">
      <c r="C2001" s="1181" t="s">
        <v>6681</v>
      </c>
      <c r="D2001" s="1178">
        <v>0</v>
      </c>
      <c r="E2001" s="1178">
        <v>0</v>
      </c>
      <c r="F2001" s="1179">
        <v>0</v>
      </c>
      <c r="G2001" s="1189" t="s">
        <v>6681</v>
      </c>
      <c r="H2001" s="1176">
        <v>0</v>
      </c>
      <c r="I2001" s="1176">
        <v>1</v>
      </c>
      <c r="J2001" s="1190">
        <v>1</v>
      </c>
      <c r="K2001" s="1180"/>
      <c r="L2001" s="1174">
        <v>13241970301</v>
      </c>
      <c r="M2001" s="1175">
        <v>0</v>
      </c>
      <c r="N2001" s="1175">
        <v>1</v>
      </c>
      <c r="O2001" s="1176">
        <v>1</v>
      </c>
      <c r="AA2001"/>
      <c r="AB2001"/>
    </row>
    <row r="2002" spans="3:28" ht="13.5">
      <c r="C2002" s="1181" t="s">
        <v>6682</v>
      </c>
      <c r="D2002" s="1178">
        <v>0</v>
      </c>
      <c r="E2002" s="1178">
        <v>0</v>
      </c>
      <c r="F2002" s="1179">
        <v>0</v>
      </c>
      <c r="G2002" s="1189" t="s">
        <v>6682</v>
      </c>
      <c r="H2002" s="1176">
        <v>0</v>
      </c>
      <c r="I2002" s="1176">
        <v>0</v>
      </c>
      <c r="J2002" s="1190">
        <v>0</v>
      </c>
      <c r="K2002" s="1180"/>
      <c r="L2002" s="1174">
        <v>13241970302</v>
      </c>
      <c r="M2002" s="1175">
        <v>0</v>
      </c>
      <c r="N2002" s="1175">
        <v>0</v>
      </c>
      <c r="O2002" s="1176">
        <v>0</v>
      </c>
      <c r="AA2002"/>
      <c r="AB2002"/>
    </row>
    <row r="2003" spans="3:28" ht="13.5">
      <c r="C2003" s="1181" t="s">
        <v>6683</v>
      </c>
      <c r="D2003" s="1178">
        <v>0</v>
      </c>
      <c r="E2003" s="1178">
        <v>0</v>
      </c>
      <c r="F2003" s="1179">
        <v>0</v>
      </c>
      <c r="G2003" s="1189" t="s">
        <v>6683</v>
      </c>
      <c r="H2003" s="1176">
        <v>0</v>
      </c>
      <c r="I2003" s="1176">
        <v>0</v>
      </c>
      <c r="J2003" s="1190">
        <v>0</v>
      </c>
      <c r="K2003" s="1180"/>
      <c r="L2003" s="1174">
        <v>13243790100</v>
      </c>
      <c r="M2003" s="1175">
        <v>0</v>
      </c>
      <c r="N2003" s="1175">
        <v>0</v>
      </c>
      <c r="O2003" s="1176">
        <v>0</v>
      </c>
      <c r="AA2003"/>
      <c r="AB2003"/>
    </row>
    <row r="2004" spans="3:28" ht="13.5">
      <c r="C2004" s="1181" t="s">
        <v>6684</v>
      </c>
      <c r="D2004" s="1178">
        <v>0</v>
      </c>
      <c r="E2004" s="1178">
        <v>0</v>
      </c>
      <c r="F2004" s="1179">
        <v>0</v>
      </c>
      <c r="G2004" s="1189" t="s">
        <v>6684</v>
      </c>
      <c r="H2004" s="1176">
        <v>0</v>
      </c>
      <c r="I2004" s="1176">
        <v>0</v>
      </c>
      <c r="J2004" s="1190">
        <v>0</v>
      </c>
      <c r="K2004" s="1180"/>
      <c r="L2004" s="1174">
        <v>13243790200</v>
      </c>
      <c r="M2004" s="1175">
        <v>0</v>
      </c>
      <c r="N2004" s="1175">
        <v>0</v>
      </c>
      <c r="O2004" s="1176">
        <v>0</v>
      </c>
      <c r="AA2004"/>
      <c r="AB2004"/>
    </row>
    <row r="2005" spans="3:28" ht="13.5">
      <c r="C2005" s="1181" t="s">
        <v>6685</v>
      </c>
      <c r="D2005" s="1178">
        <v>0</v>
      </c>
      <c r="E2005" s="1178">
        <v>0</v>
      </c>
      <c r="F2005" s="1179">
        <v>0</v>
      </c>
      <c r="G2005" s="1189" t="s">
        <v>6685</v>
      </c>
      <c r="H2005" s="1176">
        <v>0</v>
      </c>
      <c r="I2005" s="1176">
        <v>0</v>
      </c>
      <c r="J2005" s="1190">
        <v>0</v>
      </c>
      <c r="K2005" s="1180"/>
      <c r="L2005" s="1174">
        <v>13245000100</v>
      </c>
      <c r="M2005" s="1175">
        <v>0</v>
      </c>
      <c r="N2005" s="1175">
        <v>0</v>
      </c>
      <c r="O2005" s="1176">
        <v>0</v>
      </c>
      <c r="AA2005"/>
      <c r="AB2005"/>
    </row>
    <row r="2006" spans="3:28" ht="13.5">
      <c r="C2006" s="1181" t="s">
        <v>6686</v>
      </c>
      <c r="D2006" s="1178">
        <v>0</v>
      </c>
      <c r="E2006" s="1178">
        <v>0</v>
      </c>
      <c r="F2006" s="1179">
        <v>0</v>
      </c>
      <c r="G2006" s="1189" t="s">
        <v>6686</v>
      </c>
      <c r="H2006" s="1176">
        <v>0</v>
      </c>
      <c r="I2006" s="1176">
        <v>0</v>
      </c>
      <c r="J2006" s="1190">
        <v>0</v>
      </c>
      <c r="K2006" s="1180"/>
      <c r="L2006" s="1174">
        <v>13245000200</v>
      </c>
      <c r="M2006" s="1175">
        <v>0</v>
      </c>
      <c r="N2006" s="1175">
        <v>0</v>
      </c>
      <c r="O2006" s="1176">
        <v>0</v>
      </c>
      <c r="AA2006"/>
      <c r="AB2006"/>
    </row>
    <row r="2007" spans="3:28" ht="13.5">
      <c r="C2007" s="1181" t="s">
        <v>6687</v>
      </c>
      <c r="D2007" s="1178">
        <v>0</v>
      </c>
      <c r="E2007" s="1178">
        <v>0</v>
      </c>
      <c r="F2007" s="1179">
        <v>0</v>
      </c>
      <c r="G2007" s="1189" t="s">
        <v>6687</v>
      </c>
      <c r="H2007" s="1176">
        <v>0</v>
      </c>
      <c r="I2007" s="1176">
        <v>0</v>
      </c>
      <c r="J2007" s="1190">
        <v>0</v>
      </c>
      <c r="K2007" s="1180"/>
      <c r="L2007" s="1174">
        <v>13245000300</v>
      </c>
      <c r="M2007" s="1175">
        <v>0</v>
      </c>
      <c r="N2007" s="1175">
        <v>0</v>
      </c>
      <c r="O2007" s="1176">
        <v>0</v>
      </c>
      <c r="AA2007"/>
      <c r="AB2007"/>
    </row>
    <row r="2008" spans="3:28" ht="13.5">
      <c r="C2008" s="1181" t="s">
        <v>6688</v>
      </c>
      <c r="D2008" s="1178">
        <v>0</v>
      </c>
      <c r="E2008" s="1178">
        <v>0</v>
      </c>
      <c r="F2008" s="1179">
        <v>0</v>
      </c>
      <c r="G2008" s="1189" t="s">
        <v>6688</v>
      </c>
      <c r="H2008" s="1176">
        <v>0</v>
      </c>
      <c r="I2008" s="1176" t="s">
        <v>4455</v>
      </c>
      <c r="J2008" s="1190">
        <v>0</v>
      </c>
      <c r="K2008" s="1180"/>
      <c r="L2008" s="1174">
        <v>13245000600</v>
      </c>
      <c r="M2008" s="1175">
        <v>0</v>
      </c>
      <c r="N2008" s="1175">
        <v>0</v>
      </c>
      <c r="O2008" s="1176">
        <v>0</v>
      </c>
      <c r="AA2008"/>
      <c r="AB2008"/>
    </row>
    <row r="2009" spans="3:28" ht="13.5">
      <c r="C2009" s="1181" t="s">
        <v>6689</v>
      </c>
      <c r="D2009" s="1178">
        <v>0</v>
      </c>
      <c r="E2009" s="1178">
        <v>0</v>
      </c>
      <c r="F2009" s="1179">
        <v>0</v>
      </c>
      <c r="G2009" s="1189" t="s">
        <v>6689</v>
      </c>
      <c r="H2009" s="1176">
        <v>0</v>
      </c>
      <c r="I2009" s="1176">
        <v>0</v>
      </c>
      <c r="J2009" s="1190">
        <v>0</v>
      </c>
      <c r="K2009" s="1180"/>
      <c r="L2009" s="1174">
        <v>13245000700</v>
      </c>
      <c r="M2009" s="1175">
        <v>0</v>
      </c>
      <c r="N2009" s="1175">
        <v>0</v>
      </c>
      <c r="O2009" s="1176">
        <v>0</v>
      </c>
      <c r="AA2009"/>
      <c r="AB2009"/>
    </row>
    <row r="2010" spans="3:28" ht="13.5">
      <c r="C2010" s="1181" t="s">
        <v>6690</v>
      </c>
      <c r="D2010" s="1178">
        <v>0</v>
      </c>
      <c r="E2010" s="1178">
        <v>0</v>
      </c>
      <c r="F2010" s="1179">
        <v>0</v>
      </c>
      <c r="G2010" s="1189" t="s">
        <v>6690</v>
      </c>
      <c r="H2010" s="1176">
        <v>0</v>
      </c>
      <c r="I2010" s="1176">
        <v>0</v>
      </c>
      <c r="J2010" s="1190">
        <v>0</v>
      </c>
      <c r="K2010" s="1180"/>
      <c r="L2010" s="1174">
        <v>13245000900</v>
      </c>
      <c r="M2010" s="1175">
        <v>0</v>
      </c>
      <c r="N2010" s="1175">
        <v>0</v>
      </c>
      <c r="O2010" s="1176">
        <v>0</v>
      </c>
      <c r="AA2010"/>
      <c r="AB2010"/>
    </row>
    <row r="2011" spans="3:28" ht="13.5">
      <c r="C2011" s="1181" t="s">
        <v>6691</v>
      </c>
      <c r="D2011" s="1178">
        <v>0</v>
      </c>
      <c r="E2011" s="1178">
        <v>0</v>
      </c>
      <c r="F2011" s="1179">
        <v>0</v>
      </c>
      <c r="G2011" s="1189" t="s">
        <v>6691</v>
      </c>
      <c r="H2011" s="1176">
        <v>0</v>
      </c>
      <c r="I2011" s="1176">
        <v>0</v>
      </c>
      <c r="J2011" s="1190">
        <v>0</v>
      </c>
      <c r="K2011" s="1180"/>
      <c r="L2011" s="1174">
        <v>13245001000</v>
      </c>
      <c r="M2011" s="1175">
        <v>0</v>
      </c>
      <c r="N2011" s="1175">
        <v>0</v>
      </c>
      <c r="O2011" s="1176">
        <v>0</v>
      </c>
      <c r="AA2011"/>
      <c r="AB2011"/>
    </row>
    <row r="2012" spans="3:28" ht="13.5">
      <c r="C2012" s="1181" t="s">
        <v>6692</v>
      </c>
      <c r="D2012" s="1178">
        <v>1</v>
      </c>
      <c r="E2012" s="1178">
        <v>1</v>
      </c>
      <c r="F2012" s="1179">
        <v>2</v>
      </c>
      <c r="G2012" s="1189" t="s">
        <v>6692</v>
      </c>
      <c r="H2012" s="1176">
        <v>1</v>
      </c>
      <c r="I2012" s="1176" t="s">
        <v>4455</v>
      </c>
      <c r="J2012" s="1190">
        <v>1</v>
      </c>
      <c r="K2012" s="1180"/>
      <c r="L2012" s="1174">
        <v>13245001100</v>
      </c>
      <c r="M2012" s="1175">
        <v>1</v>
      </c>
      <c r="N2012" s="1175">
        <v>1</v>
      </c>
      <c r="O2012" s="1176">
        <v>2</v>
      </c>
      <c r="AA2012"/>
      <c r="AB2012"/>
    </row>
    <row r="2013" spans="3:28" ht="13.5">
      <c r="C2013" s="1181" t="s">
        <v>6693</v>
      </c>
      <c r="D2013" s="1178">
        <v>0</v>
      </c>
      <c r="E2013" s="1178">
        <v>0</v>
      </c>
      <c r="F2013" s="1179">
        <v>0</v>
      </c>
      <c r="G2013" s="1189" t="s">
        <v>6693</v>
      </c>
      <c r="H2013" s="1176">
        <v>0</v>
      </c>
      <c r="I2013" s="1176">
        <v>0</v>
      </c>
      <c r="J2013" s="1190">
        <v>0</v>
      </c>
      <c r="K2013" s="1180"/>
      <c r="L2013" s="1174">
        <v>13245001200</v>
      </c>
      <c r="M2013" s="1175">
        <v>0</v>
      </c>
      <c r="N2013" s="1175">
        <v>0</v>
      </c>
      <c r="O2013" s="1176">
        <v>0</v>
      </c>
      <c r="AA2013"/>
      <c r="AB2013"/>
    </row>
    <row r="2014" spans="3:28" ht="13.5">
      <c r="C2014" s="1181" t="s">
        <v>6694</v>
      </c>
      <c r="D2014" s="1178">
        <v>0</v>
      </c>
      <c r="E2014" s="1178">
        <v>0</v>
      </c>
      <c r="F2014" s="1179">
        <v>0</v>
      </c>
      <c r="G2014" s="1189" t="s">
        <v>6694</v>
      </c>
      <c r="H2014" s="1176">
        <v>0</v>
      </c>
      <c r="I2014" s="1176">
        <v>0</v>
      </c>
      <c r="J2014" s="1190">
        <v>0</v>
      </c>
      <c r="K2014" s="1180"/>
      <c r="L2014" s="1174">
        <v>13245001300</v>
      </c>
      <c r="M2014" s="1175">
        <v>0</v>
      </c>
      <c r="N2014" s="1175">
        <v>0</v>
      </c>
      <c r="O2014" s="1176">
        <v>0</v>
      </c>
      <c r="AA2014"/>
      <c r="AB2014"/>
    </row>
    <row r="2015" spans="3:28" ht="13.5">
      <c r="C2015" s="1181" t="s">
        <v>6695</v>
      </c>
      <c r="D2015" s="1178">
        <v>0</v>
      </c>
      <c r="E2015" s="1178">
        <v>0</v>
      </c>
      <c r="F2015" s="1179">
        <v>0</v>
      </c>
      <c r="G2015" s="1189" t="s">
        <v>6695</v>
      </c>
      <c r="H2015" s="1176">
        <v>0</v>
      </c>
      <c r="I2015" s="1176">
        <v>0</v>
      </c>
      <c r="J2015" s="1190">
        <v>0</v>
      </c>
      <c r="K2015" s="1180"/>
      <c r="L2015" s="1174">
        <v>13245001400</v>
      </c>
      <c r="M2015" s="1175">
        <v>0</v>
      </c>
      <c r="N2015" s="1175">
        <v>0</v>
      </c>
      <c r="O2015" s="1176">
        <v>0</v>
      </c>
      <c r="AA2015"/>
      <c r="AB2015"/>
    </row>
    <row r="2016" spans="3:28" ht="13.5">
      <c r="C2016" s="1181" t="s">
        <v>6696</v>
      </c>
      <c r="D2016" s="1178">
        <v>0</v>
      </c>
      <c r="E2016" s="1178">
        <v>0</v>
      </c>
      <c r="F2016" s="1179">
        <v>0</v>
      </c>
      <c r="G2016" s="1189" t="s">
        <v>6696</v>
      </c>
      <c r="H2016" s="1176">
        <v>0</v>
      </c>
      <c r="I2016" s="1176" t="s">
        <v>4455</v>
      </c>
      <c r="J2016" s="1190">
        <v>0</v>
      </c>
      <c r="K2016" s="1180"/>
      <c r="L2016" s="1174">
        <v>13245001500</v>
      </c>
      <c r="M2016" s="1175">
        <v>0</v>
      </c>
      <c r="N2016" s="1175">
        <v>0</v>
      </c>
      <c r="O2016" s="1176">
        <v>0</v>
      </c>
      <c r="AA2016"/>
      <c r="AB2016"/>
    </row>
    <row r="2017" spans="3:28" ht="13.5">
      <c r="C2017" s="1181" t="s">
        <v>6697</v>
      </c>
      <c r="D2017" s="1178">
        <v>0</v>
      </c>
      <c r="E2017" s="1178">
        <v>0</v>
      </c>
      <c r="F2017" s="1179">
        <v>0</v>
      </c>
      <c r="G2017" s="1189" t="s">
        <v>6697</v>
      </c>
      <c r="H2017" s="1176">
        <v>0</v>
      </c>
      <c r="I2017" s="1176">
        <v>0</v>
      </c>
      <c r="J2017" s="1190">
        <v>0</v>
      </c>
      <c r="K2017" s="1180"/>
      <c r="L2017" s="1174">
        <v>13245001601</v>
      </c>
      <c r="M2017" s="1175">
        <v>0</v>
      </c>
      <c r="N2017" s="1175">
        <v>0</v>
      </c>
      <c r="O2017" s="1176">
        <v>0</v>
      </c>
      <c r="AA2017"/>
      <c r="AB2017"/>
    </row>
    <row r="2018" spans="3:28" ht="13.5">
      <c r="C2018" s="1181" t="s">
        <v>6698</v>
      </c>
      <c r="D2018" s="1178">
        <v>1</v>
      </c>
      <c r="E2018" s="1178">
        <v>1</v>
      </c>
      <c r="F2018" s="1179">
        <v>2</v>
      </c>
      <c r="G2018" s="1189" t="s">
        <v>6698</v>
      </c>
      <c r="H2018" s="1176">
        <v>1</v>
      </c>
      <c r="I2018" s="1176">
        <v>1</v>
      </c>
      <c r="J2018" s="1190">
        <v>2</v>
      </c>
      <c r="K2018" s="1180"/>
      <c r="L2018" s="1174">
        <v>13245001602</v>
      </c>
      <c r="M2018" s="1175">
        <v>1</v>
      </c>
      <c r="N2018" s="1175">
        <v>1</v>
      </c>
      <c r="O2018" s="1176">
        <v>2</v>
      </c>
      <c r="AA2018"/>
      <c r="AB2018"/>
    </row>
    <row r="2019" spans="3:28" ht="13.5">
      <c r="C2019" s="1181" t="s">
        <v>6699</v>
      </c>
      <c r="D2019" s="1178">
        <v>0</v>
      </c>
      <c r="E2019" s="1178">
        <v>0</v>
      </c>
      <c r="F2019" s="1179">
        <v>0</v>
      </c>
      <c r="G2019" s="1189" t="s">
        <v>6699</v>
      </c>
      <c r="H2019" s="1176">
        <v>1</v>
      </c>
      <c r="I2019" s="1176">
        <v>0</v>
      </c>
      <c r="J2019" s="1190">
        <v>1</v>
      </c>
      <c r="K2019" s="1180"/>
      <c r="L2019" s="1174">
        <v>13245010101</v>
      </c>
      <c r="M2019" s="1175">
        <v>1</v>
      </c>
      <c r="N2019" s="1175">
        <v>0</v>
      </c>
      <c r="O2019" s="1176">
        <v>1</v>
      </c>
      <c r="AA2019"/>
      <c r="AB2019"/>
    </row>
    <row r="2020" spans="3:28" ht="13.5">
      <c r="C2020" s="1181" t="s">
        <v>6700</v>
      </c>
      <c r="D2020" s="1178">
        <v>1</v>
      </c>
      <c r="E2020" s="1178">
        <v>1</v>
      </c>
      <c r="F2020" s="1179">
        <v>2</v>
      </c>
      <c r="G2020" s="1189" t="s">
        <v>6700</v>
      </c>
      <c r="H2020" s="1176">
        <v>1</v>
      </c>
      <c r="I2020" s="1176">
        <v>0</v>
      </c>
      <c r="J2020" s="1190">
        <v>1</v>
      </c>
      <c r="K2020" s="1180"/>
      <c r="L2020" s="1174">
        <v>13245010104</v>
      </c>
      <c r="M2020" s="1175">
        <v>1</v>
      </c>
      <c r="N2020" s="1175">
        <v>1</v>
      </c>
      <c r="O2020" s="1176">
        <v>2</v>
      </c>
      <c r="AA2020"/>
      <c r="AB2020"/>
    </row>
    <row r="2021" spans="3:28" ht="13.5">
      <c r="C2021" s="1181" t="s">
        <v>6701</v>
      </c>
      <c r="D2021" s="1178">
        <v>0</v>
      </c>
      <c r="E2021" s="1178">
        <v>0</v>
      </c>
      <c r="F2021" s="1179">
        <v>0</v>
      </c>
      <c r="G2021" s="1189" t="s">
        <v>6701</v>
      </c>
      <c r="H2021" s="1176">
        <v>0</v>
      </c>
      <c r="I2021" s="1176">
        <v>0</v>
      </c>
      <c r="J2021" s="1190">
        <v>0</v>
      </c>
      <c r="K2021" s="1180"/>
      <c r="L2021" s="1174">
        <v>13245010105</v>
      </c>
      <c r="M2021" s="1175">
        <v>0</v>
      </c>
      <c r="N2021" s="1175">
        <v>0</v>
      </c>
      <c r="O2021" s="1176">
        <v>0</v>
      </c>
      <c r="AA2021"/>
      <c r="AB2021"/>
    </row>
    <row r="2022" spans="3:28" ht="13.5">
      <c r="C2022" s="1181" t="s">
        <v>6702</v>
      </c>
      <c r="D2022" s="1178">
        <v>1</v>
      </c>
      <c r="E2022" s="1178">
        <v>0</v>
      </c>
      <c r="F2022" s="1179">
        <v>1</v>
      </c>
      <c r="G2022" s="1189" t="s">
        <v>6702</v>
      </c>
      <c r="H2022" s="1176">
        <v>1</v>
      </c>
      <c r="I2022" s="1176">
        <v>1</v>
      </c>
      <c r="J2022" s="1190">
        <v>2</v>
      </c>
      <c r="K2022" s="1180"/>
      <c r="L2022" s="1174">
        <v>13245010106</v>
      </c>
      <c r="M2022" s="1175">
        <v>1</v>
      </c>
      <c r="N2022" s="1175">
        <v>1</v>
      </c>
      <c r="O2022" s="1176">
        <v>2</v>
      </c>
      <c r="AA2022"/>
      <c r="AB2022"/>
    </row>
    <row r="2023" spans="3:28" ht="13.5">
      <c r="C2023" s="1181" t="s">
        <v>6703</v>
      </c>
      <c r="D2023" s="1178">
        <v>1</v>
      </c>
      <c r="E2023" s="1178">
        <v>0</v>
      </c>
      <c r="F2023" s="1179">
        <v>1</v>
      </c>
      <c r="G2023" s="1189" t="s">
        <v>6703</v>
      </c>
      <c r="H2023" s="1176">
        <v>1</v>
      </c>
      <c r="I2023" s="1176">
        <v>1</v>
      </c>
      <c r="J2023" s="1190">
        <v>2</v>
      </c>
      <c r="K2023" s="1180"/>
      <c r="L2023" s="1174">
        <v>13245010107</v>
      </c>
      <c r="M2023" s="1175">
        <v>1</v>
      </c>
      <c r="N2023" s="1175">
        <v>1</v>
      </c>
      <c r="O2023" s="1176">
        <v>2</v>
      </c>
      <c r="AA2023"/>
      <c r="AB2023"/>
    </row>
    <row r="2024" spans="3:28" ht="13.5">
      <c r="C2024" s="1181" t="s">
        <v>6704</v>
      </c>
      <c r="D2024" s="1178">
        <v>1</v>
      </c>
      <c r="E2024" s="1178">
        <v>1</v>
      </c>
      <c r="F2024" s="1179">
        <v>2</v>
      </c>
      <c r="G2024" s="1189" t="s">
        <v>6704</v>
      </c>
      <c r="H2024" s="1176">
        <v>1</v>
      </c>
      <c r="I2024" s="1176">
        <v>1</v>
      </c>
      <c r="J2024" s="1190">
        <v>2</v>
      </c>
      <c r="K2024" s="1180"/>
      <c r="L2024" s="1174">
        <v>13245010201</v>
      </c>
      <c r="M2024" s="1175">
        <v>1</v>
      </c>
      <c r="N2024" s="1175">
        <v>1</v>
      </c>
      <c r="O2024" s="1176">
        <v>2</v>
      </c>
      <c r="AA2024"/>
      <c r="AB2024"/>
    </row>
    <row r="2025" spans="3:28" ht="13.5">
      <c r="C2025" s="1181" t="s">
        <v>6705</v>
      </c>
      <c r="D2025" s="1178">
        <v>0</v>
      </c>
      <c r="E2025" s="1178">
        <v>0</v>
      </c>
      <c r="F2025" s="1179">
        <v>0</v>
      </c>
      <c r="G2025" s="1189" t="s">
        <v>6705</v>
      </c>
      <c r="H2025" s="1176">
        <v>0</v>
      </c>
      <c r="I2025" s="1176">
        <v>0</v>
      </c>
      <c r="J2025" s="1190">
        <v>0</v>
      </c>
      <c r="K2025" s="1180"/>
      <c r="L2025" s="1174">
        <v>13245010203</v>
      </c>
      <c r="M2025" s="1175">
        <v>0</v>
      </c>
      <c r="N2025" s="1175">
        <v>0</v>
      </c>
      <c r="O2025" s="1176">
        <v>0</v>
      </c>
      <c r="AA2025"/>
      <c r="AB2025"/>
    </row>
    <row r="2026" spans="3:28" ht="13.5">
      <c r="C2026" s="1181" t="s">
        <v>6706</v>
      </c>
      <c r="D2026" s="1178">
        <v>0</v>
      </c>
      <c r="E2026" s="1178">
        <v>0</v>
      </c>
      <c r="F2026" s="1179">
        <v>0</v>
      </c>
      <c r="G2026" s="1189" t="s">
        <v>6706</v>
      </c>
      <c r="H2026" s="1176">
        <v>0</v>
      </c>
      <c r="I2026" s="1176">
        <v>0</v>
      </c>
      <c r="J2026" s="1190">
        <v>0</v>
      </c>
      <c r="K2026" s="1180"/>
      <c r="L2026" s="1174">
        <v>13245010204</v>
      </c>
      <c r="M2026" s="1175">
        <v>0</v>
      </c>
      <c r="N2026" s="1175">
        <v>0</v>
      </c>
      <c r="O2026" s="1176">
        <v>0</v>
      </c>
      <c r="AA2026"/>
      <c r="AB2026"/>
    </row>
    <row r="2027" spans="3:28" ht="13.5">
      <c r="C2027" s="1181" t="s">
        <v>6707</v>
      </c>
      <c r="D2027" s="1178">
        <v>0</v>
      </c>
      <c r="E2027" s="1178">
        <v>0</v>
      </c>
      <c r="F2027" s="1179">
        <v>0</v>
      </c>
      <c r="G2027" s="1189" t="s">
        <v>6707</v>
      </c>
      <c r="H2027" s="1176">
        <v>0</v>
      </c>
      <c r="I2027" s="1176">
        <v>0</v>
      </c>
      <c r="J2027" s="1190">
        <v>0</v>
      </c>
      <c r="K2027" s="1180"/>
      <c r="L2027" s="1174">
        <v>13245010300</v>
      </c>
      <c r="M2027" s="1175">
        <v>0</v>
      </c>
      <c r="N2027" s="1175">
        <v>0</v>
      </c>
      <c r="O2027" s="1176">
        <v>0</v>
      </c>
      <c r="AA2027"/>
      <c r="AB2027"/>
    </row>
    <row r="2028" spans="3:28" ht="13.5">
      <c r="C2028" s="1181" t="s">
        <v>6708</v>
      </c>
      <c r="D2028" s="1178">
        <v>0</v>
      </c>
      <c r="E2028" s="1178">
        <v>0</v>
      </c>
      <c r="F2028" s="1179">
        <v>0</v>
      </c>
      <c r="G2028" s="1189" t="s">
        <v>6708</v>
      </c>
      <c r="H2028" s="1176">
        <v>0</v>
      </c>
      <c r="I2028" s="1176">
        <v>0</v>
      </c>
      <c r="J2028" s="1190">
        <v>0</v>
      </c>
      <c r="K2028" s="1180"/>
      <c r="L2028" s="1174">
        <v>13245010400</v>
      </c>
      <c r="M2028" s="1175">
        <v>0</v>
      </c>
      <c r="N2028" s="1175">
        <v>0</v>
      </c>
      <c r="O2028" s="1176">
        <v>0</v>
      </c>
      <c r="AA2028"/>
      <c r="AB2028"/>
    </row>
    <row r="2029" spans="3:28" ht="13.5">
      <c r="C2029" s="1181" t="s">
        <v>6709</v>
      </c>
      <c r="D2029" s="1178">
        <v>0</v>
      </c>
      <c r="E2029" s="1178">
        <v>0</v>
      </c>
      <c r="F2029" s="1179">
        <v>0</v>
      </c>
      <c r="G2029" s="1189" t="s">
        <v>6709</v>
      </c>
      <c r="H2029" s="1176">
        <v>0</v>
      </c>
      <c r="I2029" s="1176">
        <v>0</v>
      </c>
      <c r="J2029" s="1190">
        <v>0</v>
      </c>
      <c r="K2029" s="1180"/>
      <c r="L2029" s="1174">
        <v>13245010504</v>
      </c>
      <c r="M2029" s="1175">
        <v>0</v>
      </c>
      <c r="N2029" s="1175">
        <v>0</v>
      </c>
      <c r="O2029" s="1176">
        <v>0</v>
      </c>
      <c r="AA2029"/>
      <c r="AB2029"/>
    </row>
    <row r="2030" spans="3:28" ht="13.5">
      <c r="C2030" s="1181" t="s">
        <v>6710</v>
      </c>
      <c r="D2030" s="1178">
        <v>0</v>
      </c>
      <c r="E2030" s="1178">
        <v>0</v>
      </c>
      <c r="F2030" s="1179">
        <v>0</v>
      </c>
      <c r="G2030" s="1189" t="s">
        <v>6710</v>
      </c>
      <c r="H2030" s="1176">
        <v>0</v>
      </c>
      <c r="I2030" s="1176">
        <v>1</v>
      </c>
      <c r="J2030" s="1190">
        <v>1</v>
      </c>
      <c r="K2030" s="1180"/>
      <c r="L2030" s="1174">
        <v>13245010506</v>
      </c>
      <c r="M2030" s="1175">
        <v>0</v>
      </c>
      <c r="N2030" s="1175">
        <v>1</v>
      </c>
      <c r="O2030" s="1176">
        <v>1</v>
      </c>
      <c r="AA2030"/>
      <c r="AB2030"/>
    </row>
    <row r="2031" spans="3:28" ht="13.5">
      <c r="C2031" s="1181" t="s">
        <v>6711</v>
      </c>
      <c r="D2031" s="1178">
        <v>0</v>
      </c>
      <c r="E2031" s="1178">
        <v>0</v>
      </c>
      <c r="F2031" s="1179">
        <v>0</v>
      </c>
      <c r="G2031" s="1189" t="s">
        <v>6711</v>
      </c>
      <c r="H2031" s="1176">
        <v>0</v>
      </c>
      <c r="I2031" s="1176">
        <v>0</v>
      </c>
      <c r="J2031" s="1190">
        <v>0</v>
      </c>
      <c r="K2031" s="1180"/>
      <c r="L2031" s="1174">
        <v>13245010507</v>
      </c>
      <c r="M2031" s="1175">
        <v>0</v>
      </c>
      <c r="N2031" s="1175">
        <v>0</v>
      </c>
      <c r="O2031" s="1176">
        <v>0</v>
      </c>
      <c r="AA2031"/>
      <c r="AB2031"/>
    </row>
    <row r="2032" spans="3:28" ht="13.5">
      <c r="C2032" s="1181" t="s">
        <v>6712</v>
      </c>
      <c r="D2032" s="1178">
        <v>0</v>
      </c>
      <c r="E2032" s="1178">
        <v>0</v>
      </c>
      <c r="F2032" s="1179">
        <v>0</v>
      </c>
      <c r="G2032" s="1189" t="s">
        <v>6712</v>
      </c>
      <c r="H2032" s="1176">
        <v>0</v>
      </c>
      <c r="I2032" s="1176">
        <v>0</v>
      </c>
      <c r="J2032" s="1190">
        <v>0</v>
      </c>
      <c r="K2032" s="1180"/>
      <c r="L2032" s="1174">
        <v>13245010508</v>
      </c>
      <c r="M2032" s="1175">
        <v>0</v>
      </c>
      <c r="N2032" s="1175">
        <v>0</v>
      </c>
      <c r="O2032" s="1176">
        <v>0</v>
      </c>
      <c r="AA2032"/>
      <c r="AB2032"/>
    </row>
    <row r="2033" spans="3:28" ht="13.5">
      <c r="C2033" s="1181" t="s">
        <v>6713</v>
      </c>
      <c r="D2033" s="1178">
        <v>0</v>
      </c>
      <c r="E2033" s="1178">
        <v>0</v>
      </c>
      <c r="F2033" s="1179">
        <v>0</v>
      </c>
      <c r="G2033" s="1189" t="s">
        <v>6713</v>
      </c>
      <c r="H2033" s="1176">
        <v>0</v>
      </c>
      <c r="I2033" s="1176">
        <v>0</v>
      </c>
      <c r="J2033" s="1190">
        <v>0</v>
      </c>
      <c r="K2033" s="1180"/>
      <c r="L2033" s="1174">
        <v>13245010509</v>
      </c>
      <c r="M2033" s="1175">
        <v>0</v>
      </c>
      <c r="N2033" s="1175">
        <v>0</v>
      </c>
      <c r="O2033" s="1176">
        <v>0</v>
      </c>
      <c r="AA2033"/>
      <c r="AB2033"/>
    </row>
    <row r="2034" spans="3:28" ht="13.5">
      <c r="C2034" s="1181" t="s">
        <v>6714</v>
      </c>
      <c r="D2034" s="1178">
        <v>0</v>
      </c>
      <c r="E2034" s="1178">
        <v>0</v>
      </c>
      <c r="F2034" s="1179">
        <v>0</v>
      </c>
      <c r="G2034" s="1189" t="s">
        <v>6714</v>
      </c>
      <c r="H2034" s="1176">
        <v>0</v>
      </c>
      <c r="I2034" s="1176">
        <v>0</v>
      </c>
      <c r="J2034" s="1190">
        <v>0</v>
      </c>
      <c r="K2034" s="1180"/>
      <c r="L2034" s="1174">
        <v>13245010510</v>
      </c>
      <c r="M2034" s="1175">
        <v>0</v>
      </c>
      <c r="N2034" s="1175">
        <v>0</v>
      </c>
      <c r="O2034" s="1176">
        <v>0</v>
      </c>
      <c r="AA2034"/>
      <c r="AB2034"/>
    </row>
    <row r="2035" spans="3:28" ht="13.5">
      <c r="C2035" s="1181" t="s">
        <v>6715</v>
      </c>
      <c r="D2035" s="1178">
        <v>0</v>
      </c>
      <c r="E2035" s="1178">
        <v>0</v>
      </c>
      <c r="F2035" s="1179">
        <v>0</v>
      </c>
      <c r="G2035" s="1189" t="s">
        <v>6715</v>
      </c>
      <c r="H2035" s="1176">
        <v>0</v>
      </c>
      <c r="I2035" s="1176">
        <v>0</v>
      </c>
      <c r="J2035" s="1190">
        <v>0</v>
      </c>
      <c r="K2035" s="1180"/>
      <c r="L2035" s="1174">
        <v>13245010511</v>
      </c>
      <c r="M2035" s="1175">
        <v>0</v>
      </c>
      <c r="N2035" s="1175">
        <v>0</v>
      </c>
      <c r="O2035" s="1176">
        <v>0</v>
      </c>
      <c r="AA2035"/>
      <c r="AB2035"/>
    </row>
    <row r="2036" spans="3:28" ht="13.5">
      <c r="C2036" s="1181" t="s">
        <v>6716</v>
      </c>
      <c r="D2036" s="1178">
        <v>0</v>
      </c>
      <c r="E2036" s="1178">
        <v>0</v>
      </c>
      <c r="F2036" s="1179">
        <v>0</v>
      </c>
      <c r="G2036" s="1189" t="s">
        <v>6716</v>
      </c>
      <c r="H2036" s="1176">
        <v>0</v>
      </c>
      <c r="I2036" s="1176">
        <v>0</v>
      </c>
      <c r="J2036" s="1190">
        <v>0</v>
      </c>
      <c r="K2036" s="1180"/>
      <c r="L2036" s="1174">
        <v>13245010512</v>
      </c>
      <c r="M2036" s="1175">
        <v>0</v>
      </c>
      <c r="N2036" s="1175">
        <v>0</v>
      </c>
      <c r="O2036" s="1176">
        <v>0</v>
      </c>
      <c r="AA2036"/>
      <c r="AB2036"/>
    </row>
    <row r="2037" spans="3:28" ht="13.5">
      <c r="C2037" s="1181" t="s">
        <v>6717</v>
      </c>
      <c r="D2037" s="1178">
        <v>0</v>
      </c>
      <c r="E2037" s="1178">
        <v>0</v>
      </c>
      <c r="F2037" s="1179">
        <v>0</v>
      </c>
      <c r="G2037" s="1189" t="s">
        <v>6717</v>
      </c>
      <c r="H2037" s="1176">
        <v>0</v>
      </c>
      <c r="I2037" s="1176" t="s">
        <v>4455</v>
      </c>
      <c r="J2037" s="1190">
        <v>0</v>
      </c>
      <c r="K2037" s="1180"/>
      <c r="L2037" s="1174">
        <v>13245010513</v>
      </c>
      <c r="M2037" s="1175">
        <v>0</v>
      </c>
      <c r="N2037" s="1175">
        <v>0</v>
      </c>
      <c r="O2037" s="1176">
        <v>0</v>
      </c>
      <c r="AA2037"/>
      <c r="AB2037"/>
    </row>
    <row r="2038" spans="3:28" ht="13.5">
      <c r="C2038" s="1181" t="s">
        <v>6718</v>
      </c>
      <c r="D2038" s="1178">
        <v>0</v>
      </c>
      <c r="E2038" s="1178">
        <v>0</v>
      </c>
      <c r="F2038" s="1179">
        <v>0</v>
      </c>
      <c r="G2038" s="1189" t="s">
        <v>6718</v>
      </c>
      <c r="H2038" s="1176">
        <v>0</v>
      </c>
      <c r="I2038" s="1176">
        <v>0</v>
      </c>
      <c r="J2038" s="1190">
        <v>0</v>
      </c>
      <c r="K2038" s="1180"/>
      <c r="L2038" s="1174">
        <v>13245010600</v>
      </c>
      <c r="M2038" s="1175">
        <v>0</v>
      </c>
      <c r="N2038" s="1175">
        <v>0</v>
      </c>
      <c r="O2038" s="1176">
        <v>0</v>
      </c>
      <c r="AA2038"/>
      <c r="AB2038"/>
    </row>
    <row r="2039" spans="3:28" ht="13.5">
      <c r="C2039" s="1181" t="s">
        <v>6719</v>
      </c>
      <c r="D2039" s="1178">
        <v>0</v>
      </c>
      <c r="E2039" s="1178">
        <v>0</v>
      </c>
      <c r="F2039" s="1179">
        <v>0</v>
      </c>
      <c r="G2039" s="1189" t="s">
        <v>6719</v>
      </c>
      <c r="H2039" s="1176">
        <v>0</v>
      </c>
      <c r="I2039" s="1176">
        <v>0</v>
      </c>
      <c r="J2039" s="1190">
        <v>0</v>
      </c>
      <c r="K2039" s="1180"/>
      <c r="L2039" s="1174">
        <v>13245010706</v>
      </c>
      <c r="M2039" s="1175">
        <v>0</v>
      </c>
      <c r="N2039" s="1175">
        <v>0</v>
      </c>
      <c r="O2039" s="1176">
        <v>0</v>
      </c>
      <c r="AA2039"/>
      <c r="AB2039"/>
    </row>
    <row r="2040" spans="3:28" ht="13.5">
      <c r="C2040" s="1181" t="s">
        <v>6720</v>
      </c>
      <c r="D2040" s="1178">
        <v>0</v>
      </c>
      <c r="E2040" s="1178">
        <v>0</v>
      </c>
      <c r="F2040" s="1179">
        <v>0</v>
      </c>
      <c r="G2040" s="1189" t="s">
        <v>6720</v>
      </c>
      <c r="H2040" s="1176">
        <v>0</v>
      </c>
      <c r="I2040" s="1176">
        <v>0</v>
      </c>
      <c r="J2040" s="1190">
        <v>0</v>
      </c>
      <c r="K2040" s="1180"/>
      <c r="L2040" s="1174">
        <v>13245010707</v>
      </c>
      <c r="M2040" s="1175">
        <v>0</v>
      </c>
      <c r="N2040" s="1175">
        <v>0</v>
      </c>
      <c r="O2040" s="1176">
        <v>0</v>
      </c>
      <c r="AA2040"/>
      <c r="AB2040"/>
    </row>
    <row r="2041" spans="3:28" ht="13.5">
      <c r="C2041" s="1181" t="s">
        <v>6721</v>
      </c>
      <c r="D2041" s="1178">
        <v>0</v>
      </c>
      <c r="E2041" s="1178">
        <v>0</v>
      </c>
      <c r="F2041" s="1179">
        <v>0</v>
      </c>
      <c r="G2041" s="1189" t="s">
        <v>6721</v>
      </c>
      <c r="H2041" s="1176">
        <v>0</v>
      </c>
      <c r="I2041" s="1176">
        <v>1</v>
      </c>
      <c r="J2041" s="1190">
        <v>1</v>
      </c>
      <c r="K2041" s="1180"/>
      <c r="L2041" s="1174">
        <v>13245010708</v>
      </c>
      <c r="M2041" s="1175">
        <v>0</v>
      </c>
      <c r="N2041" s="1175">
        <v>1</v>
      </c>
      <c r="O2041" s="1176">
        <v>1</v>
      </c>
      <c r="AA2041"/>
      <c r="AB2041"/>
    </row>
    <row r="2042" spans="3:28" ht="13.5">
      <c r="C2042" s="1181" t="s">
        <v>6722</v>
      </c>
      <c r="D2042" s="1178">
        <v>1</v>
      </c>
      <c r="E2042" s="1178">
        <v>0</v>
      </c>
      <c r="F2042" s="1179">
        <v>1</v>
      </c>
      <c r="G2042" s="1189" t="s">
        <v>6722</v>
      </c>
      <c r="H2042" s="1176">
        <v>1</v>
      </c>
      <c r="I2042" s="1176">
        <v>1</v>
      </c>
      <c r="J2042" s="1190">
        <v>2</v>
      </c>
      <c r="K2042" s="1180"/>
      <c r="L2042" s="1174">
        <v>13245010709</v>
      </c>
      <c r="M2042" s="1175">
        <v>1</v>
      </c>
      <c r="N2042" s="1175">
        <v>1</v>
      </c>
      <c r="O2042" s="1176">
        <v>2</v>
      </c>
      <c r="AA2042"/>
      <c r="AB2042"/>
    </row>
    <row r="2043" spans="3:28" ht="13.5">
      <c r="C2043" s="1181" t="s">
        <v>6723</v>
      </c>
      <c r="D2043" s="1178">
        <v>0</v>
      </c>
      <c r="E2043" s="1178">
        <v>0</v>
      </c>
      <c r="F2043" s="1179">
        <v>0</v>
      </c>
      <c r="G2043" s="1189" t="s">
        <v>6723</v>
      </c>
      <c r="H2043" s="1176">
        <v>0</v>
      </c>
      <c r="I2043" s="1176" t="s">
        <v>4455</v>
      </c>
      <c r="J2043" s="1190">
        <v>0</v>
      </c>
      <c r="K2043" s="1180"/>
      <c r="L2043" s="1174">
        <v>13245010710</v>
      </c>
      <c r="M2043" s="1175">
        <v>0</v>
      </c>
      <c r="N2043" s="1175">
        <v>0</v>
      </c>
      <c r="O2043" s="1176">
        <v>0</v>
      </c>
      <c r="AA2043"/>
      <c r="AB2043"/>
    </row>
    <row r="2044" spans="3:28" ht="13.5">
      <c r="C2044" s="1181" t="s">
        <v>6724</v>
      </c>
      <c r="D2044" s="1178">
        <v>0</v>
      </c>
      <c r="E2044" s="1178">
        <v>0</v>
      </c>
      <c r="F2044" s="1179">
        <v>0</v>
      </c>
      <c r="G2044" s="1189" t="s">
        <v>6724</v>
      </c>
      <c r="H2044" s="1176">
        <v>0</v>
      </c>
      <c r="I2044" s="1176">
        <v>0</v>
      </c>
      <c r="J2044" s="1190">
        <v>0</v>
      </c>
      <c r="K2044" s="1180"/>
      <c r="L2044" s="1174">
        <v>13245010711</v>
      </c>
      <c r="M2044" s="1175">
        <v>0</v>
      </c>
      <c r="N2044" s="1175">
        <v>0</v>
      </c>
      <c r="O2044" s="1176">
        <v>0</v>
      </c>
      <c r="AA2044"/>
      <c r="AB2044"/>
    </row>
    <row r="2045" spans="3:28" ht="13.5">
      <c r="C2045" s="1181" t="s">
        <v>6725</v>
      </c>
      <c r="D2045" s="1178">
        <v>0</v>
      </c>
      <c r="E2045" s="1178">
        <v>0</v>
      </c>
      <c r="F2045" s="1179">
        <v>0</v>
      </c>
      <c r="G2045" s="1189" t="s">
        <v>6725</v>
      </c>
      <c r="H2045" s="1176">
        <v>0</v>
      </c>
      <c r="I2045" s="1176">
        <v>0</v>
      </c>
      <c r="J2045" s="1190">
        <v>0</v>
      </c>
      <c r="K2045" s="1180"/>
      <c r="L2045" s="1174">
        <v>13245010712</v>
      </c>
      <c r="M2045" s="1175">
        <v>0</v>
      </c>
      <c r="N2045" s="1175">
        <v>0</v>
      </c>
      <c r="O2045" s="1176">
        <v>0</v>
      </c>
      <c r="AA2045"/>
      <c r="AB2045"/>
    </row>
    <row r="2046" spans="3:28" ht="13.5">
      <c r="C2046" s="1181" t="s">
        <v>6726</v>
      </c>
      <c r="D2046" s="1178">
        <v>0</v>
      </c>
      <c r="E2046" s="1178">
        <v>1</v>
      </c>
      <c r="F2046" s="1179">
        <v>1</v>
      </c>
      <c r="G2046" s="1189" t="s">
        <v>6726</v>
      </c>
      <c r="H2046" s="1176">
        <v>0</v>
      </c>
      <c r="I2046" s="1176" t="s">
        <v>4455</v>
      </c>
      <c r="J2046" s="1190">
        <v>0</v>
      </c>
      <c r="K2046" s="1180"/>
      <c r="L2046" s="1174">
        <v>13245010800</v>
      </c>
      <c r="M2046" s="1175">
        <v>0</v>
      </c>
      <c r="N2046" s="1175">
        <v>1</v>
      </c>
      <c r="O2046" s="1176">
        <v>1</v>
      </c>
      <c r="AA2046"/>
      <c r="AB2046"/>
    </row>
    <row r="2047" spans="3:28" ht="13.5">
      <c r="C2047" s="1181" t="s">
        <v>6727</v>
      </c>
      <c r="D2047" s="1178">
        <v>0</v>
      </c>
      <c r="E2047" s="1178">
        <v>0</v>
      </c>
      <c r="F2047" s="1179">
        <v>0</v>
      </c>
      <c r="G2047" s="1189" t="s">
        <v>6727</v>
      </c>
      <c r="H2047" s="1176">
        <v>0</v>
      </c>
      <c r="I2047" s="1176">
        <v>0</v>
      </c>
      <c r="J2047" s="1190">
        <v>0</v>
      </c>
      <c r="K2047" s="1180"/>
      <c r="L2047" s="1174">
        <v>13245010903</v>
      </c>
      <c r="M2047" s="1175">
        <v>0</v>
      </c>
      <c r="N2047" s="1175">
        <v>0</v>
      </c>
      <c r="O2047" s="1176">
        <v>0</v>
      </c>
      <c r="AA2047"/>
      <c r="AB2047"/>
    </row>
    <row r="2048" spans="3:28" ht="13.5">
      <c r="C2048" s="1181" t="s">
        <v>6728</v>
      </c>
      <c r="D2048" s="1178">
        <v>0</v>
      </c>
      <c r="E2048" s="1178">
        <v>0</v>
      </c>
      <c r="F2048" s="1179">
        <v>0</v>
      </c>
      <c r="G2048" s="1189" t="s">
        <v>6728</v>
      </c>
      <c r="H2048" s="1176">
        <v>0</v>
      </c>
      <c r="I2048" s="1176">
        <v>0</v>
      </c>
      <c r="J2048" s="1190">
        <v>0</v>
      </c>
      <c r="K2048" s="1180"/>
      <c r="L2048" s="1174">
        <v>13245010904</v>
      </c>
      <c r="M2048" s="1175">
        <v>0</v>
      </c>
      <c r="N2048" s="1175">
        <v>0</v>
      </c>
      <c r="O2048" s="1176">
        <v>0</v>
      </c>
      <c r="AA2048"/>
      <c r="AB2048"/>
    </row>
    <row r="2049" spans="3:28" ht="13.5">
      <c r="C2049" s="1181" t="s">
        <v>6729</v>
      </c>
      <c r="D2049" s="1178">
        <v>0</v>
      </c>
      <c r="E2049" s="1178">
        <v>0</v>
      </c>
      <c r="F2049" s="1179">
        <v>0</v>
      </c>
      <c r="G2049" s="1189" t="s">
        <v>6729</v>
      </c>
      <c r="H2049" s="1176">
        <v>0</v>
      </c>
      <c r="I2049" s="1176">
        <v>0</v>
      </c>
      <c r="J2049" s="1190">
        <v>0</v>
      </c>
      <c r="K2049" s="1180"/>
      <c r="L2049" s="1174">
        <v>13245010905</v>
      </c>
      <c r="M2049" s="1175">
        <v>0</v>
      </c>
      <c r="N2049" s="1175">
        <v>0</v>
      </c>
      <c r="O2049" s="1176">
        <v>0</v>
      </c>
      <c r="AA2049"/>
      <c r="AB2049"/>
    </row>
    <row r="2050" spans="3:28" ht="13.5">
      <c r="C2050" s="1181" t="s">
        <v>6730</v>
      </c>
      <c r="D2050" s="1178">
        <v>0</v>
      </c>
      <c r="E2050" s="1178">
        <v>1</v>
      </c>
      <c r="F2050" s="1179">
        <v>1</v>
      </c>
      <c r="G2050" s="1189" t="s">
        <v>6730</v>
      </c>
      <c r="H2050" s="1176">
        <v>0</v>
      </c>
      <c r="I2050" s="1176">
        <v>1</v>
      </c>
      <c r="J2050" s="1190">
        <v>1</v>
      </c>
      <c r="K2050" s="1180"/>
      <c r="L2050" s="1174">
        <v>13245010906</v>
      </c>
      <c r="M2050" s="1175">
        <v>0</v>
      </c>
      <c r="N2050" s="1175">
        <v>1</v>
      </c>
      <c r="O2050" s="1176">
        <v>1</v>
      </c>
      <c r="AA2050"/>
      <c r="AB2050"/>
    </row>
    <row r="2051" spans="3:28" ht="13.5">
      <c r="C2051" s="1181" t="s">
        <v>6731</v>
      </c>
      <c r="D2051" s="1178">
        <v>0</v>
      </c>
      <c r="E2051" s="1178">
        <v>0</v>
      </c>
      <c r="F2051" s="1179">
        <v>0</v>
      </c>
      <c r="G2051" s="1189" t="s">
        <v>6731</v>
      </c>
      <c r="H2051" s="1176">
        <v>0</v>
      </c>
      <c r="I2051" s="1176">
        <v>0</v>
      </c>
      <c r="J2051" s="1190">
        <v>0</v>
      </c>
      <c r="K2051" s="1180"/>
      <c r="L2051" s="1174">
        <v>13245011000</v>
      </c>
      <c r="M2051" s="1175">
        <v>0</v>
      </c>
      <c r="N2051" s="1175">
        <v>0</v>
      </c>
      <c r="O2051" s="1176">
        <v>0</v>
      </c>
      <c r="AA2051"/>
      <c r="AB2051"/>
    </row>
    <row r="2052" spans="3:28" ht="13.5">
      <c r="C2052" s="1181" t="s">
        <v>6732</v>
      </c>
      <c r="D2052" s="1178">
        <v>0</v>
      </c>
      <c r="E2052" s="1178">
        <v>1</v>
      </c>
      <c r="F2052" s="1179">
        <v>1</v>
      </c>
      <c r="G2052" s="1189" t="s">
        <v>6732</v>
      </c>
      <c r="H2052" s="1176">
        <v>1</v>
      </c>
      <c r="I2052" s="1176">
        <v>1</v>
      </c>
      <c r="J2052" s="1190">
        <v>2</v>
      </c>
      <c r="K2052" s="1180"/>
      <c r="L2052" s="1174">
        <v>13247060101</v>
      </c>
      <c r="M2052" s="1175">
        <v>1</v>
      </c>
      <c r="N2052" s="1175">
        <v>1</v>
      </c>
      <c r="O2052" s="1176">
        <v>2</v>
      </c>
      <c r="AA2052"/>
      <c r="AB2052"/>
    </row>
    <row r="2053" spans="3:28" ht="13.5">
      <c r="C2053" s="1181" t="s">
        <v>6733</v>
      </c>
      <c r="D2053" s="1178">
        <v>0</v>
      </c>
      <c r="E2053" s="1178">
        <v>1</v>
      </c>
      <c r="F2053" s="1179">
        <v>1</v>
      </c>
      <c r="G2053" s="1189" t="s">
        <v>6733</v>
      </c>
      <c r="H2053" s="1176">
        <v>1</v>
      </c>
      <c r="I2053" s="1176">
        <v>1</v>
      </c>
      <c r="J2053" s="1190">
        <v>2</v>
      </c>
      <c r="K2053" s="1180"/>
      <c r="L2053" s="1174">
        <v>13247060102</v>
      </c>
      <c r="M2053" s="1175">
        <v>1</v>
      </c>
      <c r="N2053" s="1175">
        <v>1</v>
      </c>
      <c r="O2053" s="1176">
        <v>2</v>
      </c>
      <c r="AA2053"/>
      <c r="AB2053"/>
    </row>
    <row r="2054" spans="3:28" ht="13.5">
      <c r="C2054" s="1181" t="s">
        <v>6734</v>
      </c>
      <c r="D2054" s="1178">
        <v>0</v>
      </c>
      <c r="E2054" s="1178">
        <v>0</v>
      </c>
      <c r="F2054" s="1179">
        <v>0</v>
      </c>
      <c r="G2054" s="1189" t="s">
        <v>6734</v>
      </c>
      <c r="H2054" s="1176">
        <v>0</v>
      </c>
      <c r="I2054" s="1176">
        <v>0</v>
      </c>
      <c r="J2054" s="1190">
        <v>0</v>
      </c>
      <c r="K2054" s="1180"/>
      <c r="L2054" s="1174">
        <v>13247060201</v>
      </c>
      <c r="M2054" s="1175">
        <v>0</v>
      </c>
      <c r="N2054" s="1175">
        <v>0</v>
      </c>
      <c r="O2054" s="1176">
        <v>0</v>
      </c>
      <c r="AA2054"/>
      <c r="AB2054"/>
    </row>
    <row r="2055" spans="3:28" ht="13.5">
      <c r="C2055" s="1181" t="s">
        <v>6735</v>
      </c>
      <c r="D2055" s="1178">
        <v>1</v>
      </c>
      <c r="E2055" s="1178">
        <v>1</v>
      </c>
      <c r="F2055" s="1179">
        <v>2</v>
      </c>
      <c r="G2055" s="1189" t="s">
        <v>6735</v>
      </c>
      <c r="H2055" s="1176">
        <v>1</v>
      </c>
      <c r="I2055" s="1176">
        <v>1</v>
      </c>
      <c r="J2055" s="1190">
        <v>2</v>
      </c>
      <c r="K2055" s="1180"/>
      <c r="L2055" s="1174">
        <v>13247060202</v>
      </c>
      <c r="M2055" s="1175">
        <v>1</v>
      </c>
      <c r="N2055" s="1175">
        <v>1</v>
      </c>
      <c r="O2055" s="1176">
        <v>2</v>
      </c>
      <c r="AA2055"/>
      <c r="AB2055"/>
    </row>
    <row r="2056" spans="3:28" ht="13.5">
      <c r="C2056" s="1181" t="s">
        <v>6736</v>
      </c>
      <c r="D2056" s="1178">
        <v>0</v>
      </c>
      <c r="E2056" s="1178">
        <v>0</v>
      </c>
      <c r="F2056" s="1179">
        <v>0</v>
      </c>
      <c r="G2056" s="1189" t="s">
        <v>6736</v>
      </c>
      <c r="H2056" s="1176">
        <v>0</v>
      </c>
      <c r="I2056" s="1176">
        <v>0</v>
      </c>
      <c r="J2056" s="1190">
        <v>0</v>
      </c>
      <c r="K2056" s="1180"/>
      <c r="L2056" s="1174">
        <v>13247060304</v>
      </c>
      <c r="M2056" s="1175">
        <v>0</v>
      </c>
      <c r="N2056" s="1175">
        <v>0</v>
      </c>
      <c r="O2056" s="1176">
        <v>0</v>
      </c>
      <c r="AA2056"/>
      <c r="AB2056"/>
    </row>
    <row r="2057" spans="3:28" ht="13.5">
      <c r="C2057" s="1181" t="s">
        <v>6737</v>
      </c>
      <c r="D2057" s="1178">
        <v>0</v>
      </c>
      <c r="E2057" s="1178">
        <v>0</v>
      </c>
      <c r="F2057" s="1179">
        <v>0</v>
      </c>
      <c r="G2057" s="1189" t="s">
        <v>6737</v>
      </c>
      <c r="H2057" s="1176">
        <v>0</v>
      </c>
      <c r="I2057" s="1176">
        <v>0</v>
      </c>
      <c r="J2057" s="1190">
        <v>0</v>
      </c>
      <c r="K2057" s="1180"/>
      <c r="L2057" s="1174">
        <v>13247060305</v>
      </c>
      <c r="M2057" s="1175">
        <v>0</v>
      </c>
      <c r="N2057" s="1175">
        <v>0</v>
      </c>
      <c r="O2057" s="1176">
        <v>0</v>
      </c>
      <c r="AA2057"/>
      <c r="AB2057"/>
    </row>
    <row r="2058" spans="3:28" ht="13.5">
      <c r="C2058" s="1181" t="s">
        <v>6738</v>
      </c>
      <c r="D2058" s="1178">
        <v>1</v>
      </c>
      <c r="E2058" s="1178">
        <v>1</v>
      </c>
      <c r="F2058" s="1179">
        <v>2</v>
      </c>
      <c r="G2058" s="1189" t="s">
        <v>6738</v>
      </c>
      <c r="H2058" s="1176">
        <v>1</v>
      </c>
      <c r="I2058" s="1176">
        <v>1</v>
      </c>
      <c r="J2058" s="1190">
        <v>2</v>
      </c>
      <c r="K2058" s="1180"/>
      <c r="L2058" s="1174">
        <v>13247060306</v>
      </c>
      <c r="M2058" s="1175">
        <v>1</v>
      </c>
      <c r="N2058" s="1175">
        <v>1</v>
      </c>
      <c r="O2058" s="1176">
        <v>2</v>
      </c>
      <c r="AA2058"/>
      <c r="AB2058"/>
    </row>
    <row r="2059" spans="3:28" ht="13.5">
      <c r="C2059" s="1181" t="s">
        <v>6739</v>
      </c>
      <c r="D2059" s="1178">
        <v>0</v>
      </c>
      <c r="E2059" s="1178">
        <v>1</v>
      </c>
      <c r="F2059" s="1179">
        <v>1</v>
      </c>
      <c r="G2059" s="1189" t="s">
        <v>6739</v>
      </c>
      <c r="H2059" s="1176">
        <v>0</v>
      </c>
      <c r="I2059" s="1176">
        <v>1</v>
      </c>
      <c r="J2059" s="1190">
        <v>1</v>
      </c>
      <c r="K2059" s="1180"/>
      <c r="L2059" s="1174">
        <v>13247060307</v>
      </c>
      <c r="M2059" s="1175">
        <v>0</v>
      </c>
      <c r="N2059" s="1175">
        <v>1</v>
      </c>
      <c r="O2059" s="1176">
        <v>1</v>
      </c>
      <c r="AA2059"/>
      <c r="AB2059"/>
    </row>
    <row r="2060" spans="3:28" ht="13.5">
      <c r="C2060" s="1181" t="s">
        <v>6740</v>
      </c>
      <c r="D2060" s="1178">
        <v>0</v>
      </c>
      <c r="E2060" s="1178">
        <v>0</v>
      </c>
      <c r="F2060" s="1179">
        <v>0</v>
      </c>
      <c r="G2060" s="1189" t="s">
        <v>6740</v>
      </c>
      <c r="H2060" s="1176">
        <v>0</v>
      </c>
      <c r="I2060" s="1176">
        <v>0</v>
      </c>
      <c r="J2060" s="1190">
        <v>0</v>
      </c>
      <c r="K2060" s="1180"/>
      <c r="L2060" s="1174">
        <v>13247060308</v>
      </c>
      <c r="M2060" s="1175">
        <v>0</v>
      </c>
      <c r="N2060" s="1175">
        <v>0</v>
      </c>
      <c r="O2060" s="1176">
        <v>0</v>
      </c>
      <c r="AA2060"/>
      <c r="AB2060"/>
    </row>
    <row r="2061" spans="3:28" ht="13.5">
      <c r="C2061" s="1181" t="s">
        <v>6741</v>
      </c>
      <c r="D2061" s="1178">
        <v>0</v>
      </c>
      <c r="E2061" s="1178">
        <v>0</v>
      </c>
      <c r="F2061" s="1179">
        <v>0</v>
      </c>
      <c r="G2061" s="1189" t="s">
        <v>6741</v>
      </c>
      <c r="H2061" s="1176">
        <v>0</v>
      </c>
      <c r="I2061" s="1176">
        <v>0</v>
      </c>
      <c r="J2061" s="1190">
        <v>0</v>
      </c>
      <c r="K2061" s="1180"/>
      <c r="L2061" s="1174">
        <v>13247060309</v>
      </c>
      <c r="M2061" s="1175">
        <v>0</v>
      </c>
      <c r="N2061" s="1175">
        <v>0</v>
      </c>
      <c r="O2061" s="1176">
        <v>0</v>
      </c>
      <c r="AA2061"/>
      <c r="AB2061"/>
    </row>
    <row r="2062" spans="3:28" ht="13.5">
      <c r="C2062" s="1181" t="s">
        <v>6742</v>
      </c>
      <c r="D2062" s="1178">
        <v>1</v>
      </c>
      <c r="E2062" s="1178">
        <v>1</v>
      </c>
      <c r="F2062" s="1179">
        <v>2</v>
      </c>
      <c r="G2062" s="1189" t="s">
        <v>6742</v>
      </c>
      <c r="H2062" s="1176">
        <v>1</v>
      </c>
      <c r="I2062" s="1176">
        <v>0</v>
      </c>
      <c r="J2062" s="1190">
        <v>1</v>
      </c>
      <c r="K2062" s="1180"/>
      <c r="L2062" s="1174">
        <v>13247060403</v>
      </c>
      <c r="M2062" s="1175">
        <v>1</v>
      </c>
      <c r="N2062" s="1175">
        <v>1</v>
      </c>
      <c r="O2062" s="1176">
        <v>2</v>
      </c>
      <c r="AA2062"/>
      <c r="AB2062"/>
    </row>
    <row r="2063" spans="3:28" ht="13.5">
      <c r="C2063" s="1181" t="s">
        <v>6743</v>
      </c>
      <c r="D2063" s="1178">
        <v>1</v>
      </c>
      <c r="E2063" s="1178">
        <v>1</v>
      </c>
      <c r="F2063" s="1179">
        <v>2</v>
      </c>
      <c r="G2063" s="1189" t="s">
        <v>6743</v>
      </c>
      <c r="H2063" s="1176">
        <v>1</v>
      </c>
      <c r="I2063" s="1176">
        <v>1</v>
      </c>
      <c r="J2063" s="1190">
        <v>2</v>
      </c>
      <c r="K2063" s="1180"/>
      <c r="L2063" s="1174">
        <v>13247060404</v>
      </c>
      <c r="M2063" s="1175">
        <v>1</v>
      </c>
      <c r="N2063" s="1175">
        <v>1</v>
      </c>
      <c r="O2063" s="1176">
        <v>2</v>
      </c>
      <c r="AA2063"/>
      <c r="AB2063"/>
    </row>
    <row r="2064" spans="3:28" ht="13.5">
      <c r="C2064" s="1181" t="s">
        <v>6744</v>
      </c>
      <c r="D2064" s="1178">
        <v>1</v>
      </c>
      <c r="E2064" s="1178">
        <v>1</v>
      </c>
      <c r="F2064" s="1179">
        <v>2</v>
      </c>
      <c r="G2064" s="1189" t="s">
        <v>6744</v>
      </c>
      <c r="H2064" s="1176">
        <v>0</v>
      </c>
      <c r="I2064" s="1176">
        <v>1</v>
      </c>
      <c r="J2064" s="1190">
        <v>1</v>
      </c>
      <c r="K2064" s="1180"/>
      <c r="L2064" s="1174">
        <v>13247060405</v>
      </c>
      <c r="M2064" s="1175">
        <v>1</v>
      </c>
      <c r="N2064" s="1175">
        <v>1</v>
      </c>
      <c r="O2064" s="1176">
        <v>2</v>
      </c>
      <c r="AA2064"/>
      <c r="AB2064"/>
    </row>
    <row r="2065" spans="3:28" ht="13.5">
      <c r="C2065" s="1181" t="s">
        <v>6745</v>
      </c>
      <c r="D2065" s="1178">
        <v>1</v>
      </c>
      <c r="E2065" s="1178">
        <v>1</v>
      </c>
      <c r="F2065" s="1179">
        <v>2</v>
      </c>
      <c r="G2065" s="1189" t="s">
        <v>6745</v>
      </c>
      <c r="H2065" s="1176">
        <v>1</v>
      </c>
      <c r="I2065" s="1176">
        <v>1</v>
      </c>
      <c r="J2065" s="1190">
        <v>2</v>
      </c>
      <c r="K2065" s="1180"/>
      <c r="L2065" s="1174">
        <v>13247060406</v>
      </c>
      <c r="M2065" s="1175">
        <v>1</v>
      </c>
      <c r="N2065" s="1175">
        <v>1</v>
      </c>
      <c r="O2065" s="1176">
        <v>2</v>
      </c>
      <c r="AA2065"/>
      <c r="AB2065"/>
    </row>
    <row r="2066" spans="3:28" ht="13.5">
      <c r="C2066" s="1181" t="s">
        <v>6746</v>
      </c>
      <c r="D2066" s="1178">
        <v>0</v>
      </c>
      <c r="E2066" s="1178">
        <v>1</v>
      </c>
      <c r="F2066" s="1179">
        <v>1</v>
      </c>
      <c r="G2066" s="1189" t="s">
        <v>6746</v>
      </c>
      <c r="H2066" s="1176">
        <v>0</v>
      </c>
      <c r="I2066" s="1176">
        <v>1</v>
      </c>
      <c r="J2066" s="1190">
        <v>1</v>
      </c>
      <c r="K2066" s="1180"/>
      <c r="L2066" s="1174">
        <v>13247060407</v>
      </c>
      <c r="M2066" s="1175">
        <v>0</v>
      </c>
      <c r="N2066" s="1175">
        <v>1</v>
      </c>
      <c r="O2066" s="1176">
        <v>1</v>
      </c>
      <c r="AA2066"/>
      <c r="AB2066"/>
    </row>
    <row r="2067" spans="3:28" ht="13.5">
      <c r="C2067" s="1181" t="s">
        <v>6747</v>
      </c>
      <c r="D2067" s="1178">
        <v>0</v>
      </c>
      <c r="E2067" s="1178">
        <v>0</v>
      </c>
      <c r="F2067" s="1179">
        <v>0</v>
      </c>
      <c r="G2067" s="1189" t="s">
        <v>6747</v>
      </c>
      <c r="H2067" s="1176">
        <v>0</v>
      </c>
      <c r="I2067" s="1176">
        <v>1</v>
      </c>
      <c r="J2067" s="1190">
        <v>1</v>
      </c>
      <c r="K2067" s="1180"/>
      <c r="L2067" s="1174">
        <v>13249960100</v>
      </c>
      <c r="M2067" s="1175">
        <v>0</v>
      </c>
      <c r="N2067" s="1175">
        <v>1</v>
      </c>
      <c r="O2067" s="1176">
        <v>1</v>
      </c>
      <c r="AA2067"/>
      <c r="AB2067"/>
    </row>
    <row r="2068" spans="3:28" ht="13.5">
      <c r="C2068" s="1181" t="s">
        <v>6748</v>
      </c>
      <c r="D2068" s="1178">
        <v>0</v>
      </c>
      <c r="E2068" s="1178">
        <v>0</v>
      </c>
      <c r="F2068" s="1179">
        <v>0</v>
      </c>
      <c r="G2068" s="1189" t="s">
        <v>6748</v>
      </c>
      <c r="H2068" s="1176">
        <v>0</v>
      </c>
      <c r="I2068" s="1176">
        <v>0</v>
      </c>
      <c r="J2068" s="1190">
        <v>0</v>
      </c>
      <c r="K2068" s="1180"/>
      <c r="L2068" s="1174">
        <v>13249960200</v>
      </c>
      <c r="M2068" s="1175">
        <v>0</v>
      </c>
      <c r="N2068" s="1175">
        <v>0</v>
      </c>
      <c r="O2068" s="1176">
        <v>0</v>
      </c>
      <c r="AA2068"/>
      <c r="AB2068"/>
    </row>
    <row r="2069" spans="3:28" ht="13.5">
      <c r="C2069" s="1181" t="s">
        <v>6749</v>
      </c>
      <c r="D2069" s="1178">
        <v>0</v>
      </c>
      <c r="E2069" s="1178">
        <v>0</v>
      </c>
      <c r="F2069" s="1179">
        <v>0</v>
      </c>
      <c r="G2069" s="1189" t="s">
        <v>6749</v>
      </c>
      <c r="H2069" s="1176">
        <v>0</v>
      </c>
      <c r="I2069" s="1176">
        <v>0</v>
      </c>
      <c r="J2069" s="1190">
        <v>0</v>
      </c>
      <c r="K2069" s="1180"/>
      <c r="L2069" s="1174">
        <v>13251970200</v>
      </c>
      <c r="M2069" s="1175">
        <v>0</v>
      </c>
      <c r="N2069" s="1175">
        <v>0</v>
      </c>
      <c r="O2069" s="1176">
        <v>0</v>
      </c>
      <c r="AA2069"/>
      <c r="AB2069"/>
    </row>
    <row r="2070" spans="3:28" ht="13.5">
      <c r="C2070" s="1181" t="s">
        <v>6750</v>
      </c>
      <c r="D2070" s="1178">
        <v>0</v>
      </c>
      <c r="E2070" s="1178">
        <v>0</v>
      </c>
      <c r="F2070" s="1179">
        <v>0</v>
      </c>
      <c r="G2070" s="1189" t="s">
        <v>6750</v>
      </c>
      <c r="H2070" s="1176">
        <v>0</v>
      </c>
      <c r="I2070" s="1176">
        <v>0</v>
      </c>
      <c r="J2070" s="1190">
        <v>0</v>
      </c>
      <c r="K2070" s="1180"/>
      <c r="L2070" s="1174">
        <v>13251970300</v>
      </c>
      <c r="M2070" s="1175">
        <v>0</v>
      </c>
      <c r="N2070" s="1175">
        <v>0</v>
      </c>
      <c r="O2070" s="1176">
        <v>0</v>
      </c>
      <c r="AA2070"/>
      <c r="AB2070"/>
    </row>
    <row r="2071" spans="3:28" ht="13.5">
      <c r="C2071" s="1181" t="s">
        <v>6751</v>
      </c>
      <c r="D2071" s="1178">
        <v>0</v>
      </c>
      <c r="E2071" s="1178">
        <v>0</v>
      </c>
      <c r="F2071" s="1179">
        <v>0</v>
      </c>
      <c r="G2071" s="1189" t="s">
        <v>6751</v>
      </c>
      <c r="H2071" s="1176">
        <v>0</v>
      </c>
      <c r="I2071" s="1176">
        <v>0</v>
      </c>
      <c r="J2071" s="1190">
        <v>0</v>
      </c>
      <c r="K2071" s="1180"/>
      <c r="L2071" s="1174">
        <v>13251970400</v>
      </c>
      <c r="M2071" s="1175">
        <v>0</v>
      </c>
      <c r="N2071" s="1175">
        <v>0</v>
      </c>
      <c r="O2071" s="1176">
        <v>0</v>
      </c>
      <c r="AA2071"/>
      <c r="AB2071"/>
    </row>
    <row r="2072" spans="3:28" ht="13.5">
      <c r="C2072" s="1181" t="s">
        <v>6752</v>
      </c>
      <c r="D2072" s="1178">
        <v>0</v>
      </c>
      <c r="E2072" s="1178">
        <v>0</v>
      </c>
      <c r="F2072" s="1179">
        <v>0</v>
      </c>
      <c r="G2072" s="1189" t="s">
        <v>6752</v>
      </c>
      <c r="H2072" s="1176">
        <v>0</v>
      </c>
      <c r="I2072" s="1176">
        <v>0</v>
      </c>
      <c r="J2072" s="1190">
        <v>0</v>
      </c>
      <c r="K2072" s="1180"/>
      <c r="L2072" s="1174">
        <v>13251970500</v>
      </c>
      <c r="M2072" s="1175">
        <v>0</v>
      </c>
      <c r="N2072" s="1175">
        <v>0</v>
      </c>
      <c r="O2072" s="1176">
        <v>0</v>
      </c>
      <c r="AA2072"/>
      <c r="AB2072"/>
    </row>
    <row r="2073" spans="3:28" ht="13.5">
      <c r="C2073" s="1181" t="s">
        <v>6753</v>
      </c>
      <c r="D2073" s="1178">
        <v>0</v>
      </c>
      <c r="E2073" s="1178">
        <v>0</v>
      </c>
      <c r="F2073" s="1179">
        <v>0</v>
      </c>
      <c r="G2073" s="1189" t="s">
        <v>6753</v>
      </c>
      <c r="H2073" s="1176">
        <v>0</v>
      </c>
      <c r="I2073" s="1176">
        <v>0</v>
      </c>
      <c r="J2073" s="1190">
        <v>0</v>
      </c>
      <c r="K2073" s="1180"/>
      <c r="L2073" s="1174">
        <v>13251970600</v>
      </c>
      <c r="M2073" s="1175">
        <v>0</v>
      </c>
      <c r="N2073" s="1175">
        <v>0</v>
      </c>
      <c r="O2073" s="1176">
        <v>0</v>
      </c>
      <c r="AA2073"/>
      <c r="AB2073"/>
    </row>
    <row r="2074" spans="3:28" ht="13.5">
      <c r="C2074" s="1181" t="s">
        <v>6754</v>
      </c>
      <c r="D2074" s="1178">
        <v>0</v>
      </c>
      <c r="E2074" s="1178">
        <v>0</v>
      </c>
      <c r="F2074" s="1179">
        <v>0</v>
      </c>
      <c r="G2074" s="1189" t="s">
        <v>6754</v>
      </c>
      <c r="H2074" s="1176">
        <v>0</v>
      </c>
      <c r="I2074" s="1176">
        <v>0</v>
      </c>
      <c r="J2074" s="1190">
        <v>0</v>
      </c>
      <c r="K2074" s="1180"/>
      <c r="L2074" s="1174">
        <v>13253200100</v>
      </c>
      <c r="M2074" s="1175">
        <v>0</v>
      </c>
      <c r="N2074" s="1175">
        <v>0</v>
      </c>
      <c r="O2074" s="1176">
        <v>0</v>
      </c>
      <c r="AA2074"/>
      <c r="AB2074"/>
    </row>
    <row r="2075" spans="3:28" ht="13.5">
      <c r="C2075" s="1181" t="s">
        <v>6755</v>
      </c>
      <c r="D2075" s="1178">
        <v>0</v>
      </c>
      <c r="E2075" s="1178">
        <v>0</v>
      </c>
      <c r="F2075" s="1179">
        <v>0</v>
      </c>
      <c r="G2075" s="1189" t="s">
        <v>6755</v>
      </c>
      <c r="H2075" s="1176">
        <v>0</v>
      </c>
      <c r="I2075" s="1176">
        <v>0</v>
      </c>
      <c r="J2075" s="1190">
        <v>0</v>
      </c>
      <c r="K2075" s="1180"/>
      <c r="L2075" s="1174">
        <v>13253200200</v>
      </c>
      <c r="M2075" s="1175">
        <v>0</v>
      </c>
      <c r="N2075" s="1175">
        <v>0</v>
      </c>
      <c r="O2075" s="1176">
        <v>0</v>
      </c>
      <c r="AA2075"/>
      <c r="AB2075"/>
    </row>
    <row r="2076" spans="3:28" ht="13.5">
      <c r="C2076" s="1181" t="s">
        <v>6756</v>
      </c>
      <c r="D2076" s="1178">
        <v>0</v>
      </c>
      <c r="E2076" s="1178">
        <v>0</v>
      </c>
      <c r="F2076" s="1179">
        <v>0</v>
      </c>
      <c r="G2076" s="1189" t="s">
        <v>6756</v>
      </c>
      <c r="H2076" s="1176">
        <v>0</v>
      </c>
      <c r="I2076" s="1176">
        <v>0</v>
      </c>
      <c r="J2076" s="1190">
        <v>0</v>
      </c>
      <c r="K2076" s="1180"/>
      <c r="L2076" s="1174">
        <v>13253200300</v>
      </c>
      <c r="M2076" s="1175">
        <v>0</v>
      </c>
      <c r="N2076" s="1175">
        <v>0</v>
      </c>
      <c r="O2076" s="1176">
        <v>0</v>
      </c>
      <c r="AA2076"/>
      <c r="AB2076"/>
    </row>
    <row r="2077" spans="3:28" ht="13.5">
      <c r="C2077" s="1181" t="s">
        <v>6757</v>
      </c>
      <c r="D2077" s="1178">
        <v>0</v>
      </c>
      <c r="E2077" s="1178">
        <v>1</v>
      </c>
      <c r="F2077" s="1179">
        <v>1</v>
      </c>
      <c r="G2077" s="1189" t="s">
        <v>6757</v>
      </c>
      <c r="H2077" s="1176">
        <v>0</v>
      </c>
      <c r="I2077" s="1176">
        <v>0</v>
      </c>
      <c r="J2077" s="1190">
        <v>0</v>
      </c>
      <c r="K2077" s="1180"/>
      <c r="L2077" s="1174">
        <v>13255160100</v>
      </c>
      <c r="M2077" s="1175">
        <v>0</v>
      </c>
      <c r="N2077" s="1175">
        <v>1</v>
      </c>
      <c r="O2077" s="1176">
        <v>1</v>
      </c>
      <c r="AA2077"/>
      <c r="AB2077"/>
    </row>
    <row r="2078" spans="3:28" ht="13.5">
      <c r="C2078" s="1181" t="s">
        <v>6758</v>
      </c>
      <c r="D2078" s="1178">
        <v>0</v>
      </c>
      <c r="E2078" s="1178">
        <v>0</v>
      </c>
      <c r="F2078" s="1179">
        <v>0</v>
      </c>
      <c r="G2078" s="1189" t="s">
        <v>6758</v>
      </c>
      <c r="H2078" s="1176">
        <v>0</v>
      </c>
      <c r="I2078" s="1176">
        <v>0</v>
      </c>
      <c r="J2078" s="1190">
        <v>0</v>
      </c>
      <c r="K2078" s="1180"/>
      <c r="L2078" s="1174">
        <v>13255160200</v>
      </c>
      <c r="M2078" s="1175">
        <v>0</v>
      </c>
      <c r="N2078" s="1175">
        <v>0</v>
      </c>
      <c r="O2078" s="1176">
        <v>0</v>
      </c>
      <c r="AA2078"/>
      <c r="AB2078"/>
    </row>
    <row r="2079" spans="3:28" ht="13.5">
      <c r="C2079" s="1181" t="s">
        <v>6759</v>
      </c>
      <c r="D2079" s="1178">
        <v>0</v>
      </c>
      <c r="E2079" s="1178">
        <v>0</v>
      </c>
      <c r="F2079" s="1179">
        <v>0</v>
      </c>
      <c r="G2079" s="1189" t="s">
        <v>6759</v>
      </c>
      <c r="H2079" s="1176">
        <v>0</v>
      </c>
      <c r="I2079" s="1176">
        <v>0</v>
      </c>
      <c r="J2079" s="1190">
        <v>0</v>
      </c>
      <c r="K2079" s="1180"/>
      <c r="L2079" s="1174">
        <v>13255160300</v>
      </c>
      <c r="M2079" s="1175">
        <v>0</v>
      </c>
      <c r="N2079" s="1175">
        <v>0</v>
      </c>
      <c r="O2079" s="1176">
        <v>0</v>
      </c>
      <c r="AA2079"/>
      <c r="AB2079"/>
    </row>
    <row r="2080" spans="3:28" ht="13.5">
      <c r="C2080" s="1181" t="s">
        <v>6760</v>
      </c>
      <c r="D2080" s="1178">
        <v>0</v>
      </c>
      <c r="E2080" s="1178">
        <v>0</v>
      </c>
      <c r="F2080" s="1179">
        <v>0</v>
      </c>
      <c r="G2080" s="1189" t="s">
        <v>6760</v>
      </c>
      <c r="H2080" s="1176">
        <v>0</v>
      </c>
      <c r="I2080" s="1176">
        <v>0</v>
      </c>
      <c r="J2080" s="1190">
        <v>0</v>
      </c>
      <c r="K2080" s="1180"/>
      <c r="L2080" s="1174">
        <v>13255160400</v>
      </c>
      <c r="M2080" s="1175">
        <v>0</v>
      </c>
      <c r="N2080" s="1175">
        <v>0</v>
      </c>
      <c r="O2080" s="1176">
        <v>0</v>
      </c>
      <c r="AA2080"/>
      <c r="AB2080"/>
    </row>
    <row r="2081" spans="3:28" ht="13.5">
      <c r="C2081" s="1181" t="s">
        <v>6761</v>
      </c>
      <c r="D2081" s="1178">
        <v>0</v>
      </c>
      <c r="E2081" s="1178">
        <v>0</v>
      </c>
      <c r="F2081" s="1179">
        <v>0</v>
      </c>
      <c r="G2081" s="1189" t="s">
        <v>6761</v>
      </c>
      <c r="H2081" s="1176">
        <v>0</v>
      </c>
      <c r="I2081" s="1176">
        <v>0</v>
      </c>
      <c r="J2081" s="1190">
        <v>0</v>
      </c>
      <c r="K2081" s="1180"/>
      <c r="L2081" s="1174">
        <v>13255160500</v>
      </c>
      <c r="M2081" s="1175">
        <v>0</v>
      </c>
      <c r="N2081" s="1175">
        <v>0</v>
      </c>
      <c r="O2081" s="1176">
        <v>0</v>
      </c>
      <c r="AA2081"/>
      <c r="AB2081"/>
    </row>
    <row r="2082" spans="3:28" ht="13.5">
      <c r="C2082" s="1181" t="s">
        <v>6762</v>
      </c>
      <c r="D2082" s="1178">
        <v>1</v>
      </c>
      <c r="E2082" s="1178">
        <v>1</v>
      </c>
      <c r="F2082" s="1179">
        <v>2</v>
      </c>
      <c r="G2082" s="1189" t="s">
        <v>6762</v>
      </c>
      <c r="H2082" s="1176">
        <v>0</v>
      </c>
      <c r="I2082" s="1176">
        <v>0</v>
      </c>
      <c r="J2082" s="1190">
        <v>0</v>
      </c>
      <c r="K2082" s="1180"/>
      <c r="L2082" s="1174">
        <v>13255160600</v>
      </c>
      <c r="M2082" s="1175">
        <v>1</v>
      </c>
      <c r="N2082" s="1175">
        <v>1</v>
      </c>
      <c r="O2082" s="1176">
        <v>2</v>
      </c>
      <c r="AA2082"/>
      <c r="AB2082"/>
    </row>
    <row r="2083" spans="3:28" ht="13.5">
      <c r="C2083" s="1181" t="s">
        <v>6763</v>
      </c>
      <c r="D2083" s="1178">
        <v>0</v>
      </c>
      <c r="E2083" s="1178">
        <v>0</v>
      </c>
      <c r="F2083" s="1179">
        <v>0</v>
      </c>
      <c r="G2083" s="1189" t="s">
        <v>6763</v>
      </c>
      <c r="H2083" s="1176">
        <v>0</v>
      </c>
      <c r="I2083" s="1176">
        <v>0</v>
      </c>
      <c r="J2083" s="1190">
        <v>0</v>
      </c>
      <c r="K2083" s="1180"/>
      <c r="L2083" s="1174">
        <v>13255160700</v>
      </c>
      <c r="M2083" s="1175">
        <v>0</v>
      </c>
      <c r="N2083" s="1175">
        <v>0</v>
      </c>
      <c r="O2083" s="1176">
        <v>0</v>
      </c>
      <c r="AA2083"/>
      <c r="AB2083"/>
    </row>
    <row r="2084" spans="3:28" ht="13.5">
      <c r="C2084" s="1181" t="s">
        <v>6764</v>
      </c>
      <c r="D2084" s="1178">
        <v>0</v>
      </c>
      <c r="E2084" s="1178">
        <v>0</v>
      </c>
      <c r="F2084" s="1179">
        <v>0</v>
      </c>
      <c r="G2084" s="1189" t="s">
        <v>6764</v>
      </c>
      <c r="H2084" s="1176">
        <v>0</v>
      </c>
      <c r="I2084" s="1176">
        <v>0</v>
      </c>
      <c r="J2084" s="1190">
        <v>0</v>
      </c>
      <c r="K2084" s="1180"/>
      <c r="L2084" s="1174">
        <v>13255160800</v>
      </c>
      <c r="M2084" s="1175">
        <v>0</v>
      </c>
      <c r="N2084" s="1175">
        <v>0</v>
      </c>
      <c r="O2084" s="1176">
        <v>0</v>
      </c>
      <c r="AA2084"/>
      <c r="AB2084"/>
    </row>
    <row r="2085" spans="3:28" ht="13.5">
      <c r="C2085" s="1181" t="s">
        <v>6765</v>
      </c>
      <c r="D2085" s="1178">
        <v>0</v>
      </c>
      <c r="E2085" s="1178">
        <v>0</v>
      </c>
      <c r="F2085" s="1179">
        <v>0</v>
      </c>
      <c r="G2085" s="1189" t="s">
        <v>6765</v>
      </c>
      <c r="H2085" s="1176">
        <v>0</v>
      </c>
      <c r="I2085" s="1176">
        <v>0</v>
      </c>
      <c r="J2085" s="1190">
        <v>0</v>
      </c>
      <c r="K2085" s="1180"/>
      <c r="L2085" s="1174">
        <v>13255160900</v>
      </c>
      <c r="M2085" s="1175">
        <v>0</v>
      </c>
      <c r="N2085" s="1175">
        <v>0</v>
      </c>
      <c r="O2085" s="1176">
        <v>0</v>
      </c>
      <c r="AA2085"/>
      <c r="AB2085"/>
    </row>
    <row r="2086" spans="3:28" ht="13.5">
      <c r="C2086" s="1181" t="s">
        <v>6766</v>
      </c>
      <c r="D2086" s="1178">
        <v>0</v>
      </c>
      <c r="E2086" s="1178">
        <v>1</v>
      </c>
      <c r="F2086" s="1179">
        <v>1</v>
      </c>
      <c r="G2086" s="1189" t="s">
        <v>6766</v>
      </c>
      <c r="H2086" s="1176">
        <v>0</v>
      </c>
      <c r="I2086" s="1176">
        <v>0</v>
      </c>
      <c r="J2086" s="1190">
        <v>0</v>
      </c>
      <c r="K2086" s="1180"/>
      <c r="L2086" s="1174">
        <v>13255161000</v>
      </c>
      <c r="M2086" s="1175">
        <v>0</v>
      </c>
      <c r="N2086" s="1175">
        <v>1</v>
      </c>
      <c r="O2086" s="1176">
        <v>1</v>
      </c>
      <c r="AA2086"/>
      <c r="AB2086"/>
    </row>
    <row r="2087" spans="3:28" ht="13.5">
      <c r="C2087" s="1181" t="s">
        <v>6767</v>
      </c>
      <c r="D2087" s="1178">
        <v>1</v>
      </c>
      <c r="E2087" s="1178">
        <v>1</v>
      </c>
      <c r="F2087" s="1179">
        <v>2</v>
      </c>
      <c r="G2087" s="1189" t="s">
        <v>6767</v>
      </c>
      <c r="H2087" s="1176">
        <v>1</v>
      </c>
      <c r="I2087" s="1176">
        <v>1</v>
      </c>
      <c r="J2087" s="1190">
        <v>2</v>
      </c>
      <c r="K2087" s="1180"/>
      <c r="L2087" s="1174">
        <v>13255161100</v>
      </c>
      <c r="M2087" s="1175">
        <v>1</v>
      </c>
      <c r="N2087" s="1175">
        <v>1</v>
      </c>
      <c r="O2087" s="1176">
        <v>2</v>
      </c>
      <c r="AA2087"/>
      <c r="AB2087"/>
    </row>
    <row r="2088" spans="3:28" ht="13.5">
      <c r="C2088" s="1181" t="s">
        <v>6768</v>
      </c>
      <c r="D2088" s="1178">
        <v>0</v>
      </c>
      <c r="E2088" s="1178">
        <v>0</v>
      </c>
      <c r="F2088" s="1179">
        <v>0</v>
      </c>
      <c r="G2088" s="1189" t="s">
        <v>6768</v>
      </c>
      <c r="H2088" s="1176">
        <v>0</v>
      </c>
      <c r="I2088" s="1176">
        <v>1</v>
      </c>
      <c r="J2088" s="1190">
        <v>1</v>
      </c>
      <c r="K2088" s="1180"/>
      <c r="L2088" s="1174">
        <v>13255161200</v>
      </c>
      <c r="M2088" s="1175">
        <v>0</v>
      </c>
      <c r="N2088" s="1175">
        <v>1</v>
      </c>
      <c r="O2088" s="1176">
        <v>1</v>
      </c>
      <c r="AA2088"/>
      <c r="AB2088"/>
    </row>
    <row r="2089" spans="3:28" ht="13.5">
      <c r="C2089" s="1181" t="s">
        <v>6769</v>
      </c>
      <c r="D2089" s="1178">
        <v>0</v>
      </c>
      <c r="E2089" s="1178">
        <v>0</v>
      </c>
      <c r="F2089" s="1179">
        <v>0</v>
      </c>
      <c r="G2089" s="1189" t="s">
        <v>6769</v>
      </c>
      <c r="H2089" s="1176">
        <v>0</v>
      </c>
      <c r="I2089" s="1176">
        <v>0</v>
      </c>
      <c r="J2089" s="1190">
        <v>0</v>
      </c>
      <c r="K2089" s="1180"/>
      <c r="L2089" s="1174">
        <v>13257970100</v>
      </c>
      <c r="M2089" s="1175">
        <v>0</v>
      </c>
      <c r="N2089" s="1175">
        <v>0</v>
      </c>
      <c r="O2089" s="1176">
        <v>0</v>
      </c>
      <c r="AA2089"/>
      <c r="AB2089"/>
    </row>
    <row r="2090" spans="3:28" ht="13.5">
      <c r="C2090" s="1181" t="s">
        <v>6770</v>
      </c>
      <c r="D2090" s="1178">
        <v>0</v>
      </c>
      <c r="E2090" s="1178">
        <v>0</v>
      </c>
      <c r="F2090" s="1179">
        <v>0</v>
      </c>
      <c r="G2090" s="1189" t="s">
        <v>6770</v>
      </c>
      <c r="H2090" s="1176">
        <v>0</v>
      </c>
      <c r="I2090" s="1176">
        <v>0</v>
      </c>
      <c r="J2090" s="1190">
        <v>0</v>
      </c>
      <c r="K2090" s="1180"/>
      <c r="L2090" s="1174">
        <v>13257970200</v>
      </c>
      <c r="M2090" s="1175">
        <v>0</v>
      </c>
      <c r="N2090" s="1175">
        <v>0</v>
      </c>
      <c r="O2090" s="1176">
        <v>0</v>
      </c>
      <c r="AA2090"/>
      <c r="AB2090"/>
    </row>
    <row r="2091" spans="3:28" ht="13.5">
      <c r="C2091" s="1181" t="s">
        <v>6771</v>
      </c>
      <c r="D2091" s="1178">
        <v>0</v>
      </c>
      <c r="E2091" s="1178">
        <v>0</v>
      </c>
      <c r="F2091" s="1179">
        <v>0</v>
      </c>
      <c r="G2091" s="1189" t="s">
        <v>6771</v>
      </c>
      <c r="H2091" s="1176">
        <v>0</v>
      </c>
      <c r="I2091" s="1176">
        <v>0</v>
      </c>
      <c r="J2091" s="1190">
        <v>0</v>
      </c>
      <c r="K2091" s="1180"/>
      <c r="L2091" s="1174">
        <v>13257970301</v>
      </c>
      <c r="M2091" s="1175">
        <v>0</v>
      </c>
      <c r="N2091" s="1175">
        <v>0</v>
      </c>
      <c r="O2091" s="1176">
        <v>0</v>
      </c>
      <c r="AA2091"/>
      <c r="AB2091"/>
    </row>
    <row r="2092" spans="3:28" ht="13.5">
      <c r="C2092" s="1181" t="s">
        <v>6772</v>
      </c>
      <c r="D2092" s="1178">
        <v>0</v>
      </c>
      <c r="E2092" s="1178">
        <v>0</v>
      </c>
      <c r="F2092" s="1179">
        <v>0</v>
      </c>
      <c r="G2092" s="1189" t="s">
        <v>6772</v>
      </c>
      <c r="H2092" s="1176">
        <v>0</v>
      </c>
      <c r="I2092" s="1176">
        <v>0</v>
      </c>
      <c r="J2092" s="1190">
        <v>0</v>
      </c>
      <c r="K2092" s="1180"/>
      <c r="L2092" s="1174">
        <v>13257970302</v>
      </c>
      <c r="M2092" s="1175">
        <v>0</v>
      </c>
      <c r="N2092" s="1175">
        <v>0</v>
      </c>
      <c r="O2092" s="1176">
        <v>0</v>
      </c>
      <c r="AA2092"/>
      <c r="AB2092"/>
    </row>
    <row r="2093" spans="3:28" ht="13.5">
      <c r="C2093" s="1181" t="s">
        <v>6773</v>
      </c>
      <c r="D2093" s="1178">
        <v>0</v>
      </c>
      <c r="E2093" s="1178">
        <v>0</v>
      </c>
      <c r="F2093" s="1179">
        <v>0</v>
      </c>
      <c r="G2093" s="1189" t="s">
        <v>6773</v>
      </c>
      <c r="H2093" s="1176">
        <v>0</v>
      </c>
      <c r="I2093" s="1176">
        <v>0</v>
      </c>
      <c r="J2093" s="1190">
        <v>0</v>
      </c>
      <c r="K2093" s="1180"/>
      <c r="L2093" s="1174">
        <v>13257970400</v>
      </c>
      <c r="M2093" s="1175">
        <v>0</v>
      </c>
      <c r="N2093" s="1175">
        <v>0</v>
      </c>
      <c r="O2093" s="1176">
        <v>0</v>
      </c>
      <c r="AA2093"/>
      <c r="AB2093"/>
    </row>
    <row r="2094" spans="3:28" ht="13.5">
      <c r="C2094" s="1181" t="s">
        <v>6774</v>
      </c>
      <c r="D2094" s="1178">
        <v>0</v>
      </c>
      <c r="E2094" s="1178">
        <v>0</v>
      </c>
      <c r="F2094" s="1179">
        <v>0</v>
      </c>
      <c r="G2094" s="1189" t="s">
        <v>6774</v>
      </c>
      <c r="H2094" s="1176">
        <v>0</v>
      </c>
      <c r="I2094" s="1176">
        <v>0</v>
      </c>
      <c r="J2094" s="1190">
        <v>0</v>
      </c>
      <c r="K2094" s="1180"/>
      <c r="L2094" s="1174">
        <v>13259950100</v>
      </c>
      <c r="M2094" s="1175">
        <v>0</v>
      </c>
      <c r="N2094" s="1175">
        <v>0</v>
      </c>
      <c r="O2094" s="1176">
        <v>0</v>
      </c>
      <c r="AA2094"/>
      <c r="AB2094"/>
    </row>
    <row r="2095" spans="3:28" ht="13.5">
      <c r="C2095" s="1181" t="s">
        <v>6775</v>
      </c>
      <c r="D2095" s="1178">
        <v>0</v>
      </c>
      <c r="E2095" s="1178">
        <v>0</v>
      </c>
      <c r="F2095" s="1179">
        <v>0</v>
      </c>
      <c r="G2095" s="1189" t="s">
        <v>6775</v>
      </c>
      <c r="H2095" s="1176">
        <v>0</v>
      </c>
      <c r="I2095" s="1176">
        <v>0</v>
      </c>
      <c r="J2095" s="1190">
        <v>0</v>
      </c>
      <c r="K2095" s="1180"/>
      <c r="L2095" s="1174">
        <v>13259950400</v>
      </c>
      <c r="M2095" s="1175">
        <v>0</v>
      </c>
      <c r="N2095" s="1175">
        <v>0</v>
      </c>
      <c r="O2095" s="1176">
        <v>0</v>
      </c>
      <c r="AA2095"/>
      <c r="AB2095"/>
    </row>
    <row r="2096" spans="3:28" ht="13.5">
      <c r="C2096" s="1181" t="s">
        <v>6776</v>
      </c>
      <c r="D2096" s="1178">
        <v>0</v>
      </c>
      <c r="E2096" s="1178">
        <v>0</v>
      </c>
      <c r="F2096" s="1179">
        <v>0</v>
      </c>
      <c r="G2096" s="1189" t="s">
        <v>6776</v>
      </c>
      <c r="H2096" s="1176">
        <v>0</v>
      </c>
      <c r="I2096" s="1176">
        <v>0</v>
      </c>
      <c r="J2096" s="1190">
        <v>0</v>
      </c>
      <c r="K2096" s="1180"/>
      <c r="L2096" s="1174">
        <v>13261950100</v>
      </c>
      <c r="M2096" s="1175">
        <v>0</v>
      </c>
      <c r="N2096" s="1175">
        <v>0</v>
      </c>
      <c r="O2096" s="1176">
        <v>0</v>
      </c>
      <c r="AA2096"/>
      <c r="AB2096"/>
    </row>
    <row r="2097" spans="3:28" ht="13.5">
      <c r="C2097" s="1181" t="s">
        <v>6777</v>
      </c>
      <c r="D2097" s="1178">
        <v>0</v>
      </c>
      <c r="E2097" s="1178">
        <v>0</v>
      </c>
      <c r="F2097" s="1179">
        <v>0</v>
      </c>
      <c r="G2097" s="1189" t="s">
        <v>6777</v>
      </c>
      <c r="H2097" s="1176">
        <v>0</v>
      </c>
      <c r="I2097" s="1176">
        <v>0</v>
      </c>
      <c r="J2097" s="1190">
        <v>0</v>
      </c>
      <c r="K2097" s="1180"/>
      <c r="L2097" s="1174">
        <v>13261950200</v>
      </c>
      <c r="M2097" s="1175">
        <v>0</v>
      </c>
      <c r="N2097" s="1175">
        <v>0</v>
      </c>
      <c r="O2097" s="1176">
        <v>0</v>
      </c>
      <c r="AA2097"/>
      <c r="AB2097"/>
    </row>
    <row r="2098" spans="3:28" ht="13.5">
      <c r="C2098" s="1181" t="s">
        <v>6778</v>
      </c>
      <c r="D2098" s="1178">
        <v>0</v>
      </c>
      <c r="E2098" s="1178">
        <v>0</v>
      </c>
      <c r="F2098" s="1179">
        <v>0</v>
      </c>
      <c r="G2098" s="1189" t="s">
        <v>6778</v>
      </c>
      <c r="H2098" s="1176">
        <v>0</v>
      </c>
      <c r="I2098" s="1176">
        <v>1</v>
      </c>
      <c r="J2098" s="1190">
        <v>1</v>
      </c>
      <c r="K2098" s="1180"/>
      <c r="L2098" s="1174">
        <v>13261950300</v>
      </c>
      <c r="M2098" s="1175">
        <v>0</v>
      </c>
      <c r="N2098" s="1175">
        <v>1</v>
      </c>
      <c r="O2098" s="1176">
        <v>1</v>
      </c>
      <c r="AA2098"/>
      <c r="AB2098"/>
    </row>
    <row r="2099" spans="3:28" ht="13.5">
      <c r="C2099" s="1181" t="s">
        <v>6779</v>
      </c>
      <c r="D2099" s="1178">
        <v>0</v>
      </c>
      <c r="E2099" s="1178">
        <v>0</v>
      </c>
      <c r="F2099" s="1179">
        <v>0</v>
      </c>
      <c r="G2099" s="1189" t="s">
        <v>6779</v>
      </c>
      <c r="H2099" s="1176">
        <v>0</v>
      </c>
      <c r="I2099" s="1176">
        <v>0</v>
      </c>
      <c r="J2099" s="1190">
        <v>0</v>
      </c>
      <c r="K2099" s="1180"/>
      <c r="L2099" s="1174">
        <v>13261950400</v>
      </c>
      <c r="M2099" s="1175">
        <v>0</v>
      </c>
      <c r="N2099" s="1175">
        <v>0</v>
      </c>
      <c r="O2099" s="1176">
        <v>0</v>
      </c>
      <c r="AA2099"/>
      <c r="AB2099"/>
    </row>
    <row r="2100" spans="3:28" ht="13.5">
      <c r="C2100" s="1181" t="s">
        <v>6780</v>
      </c>
      <c r="D2100" s="1178">
        <v>0</v>
      </c>
      <c r="E2100" s="1178">
        <v>0</v>
      </c>
      <c r="F2100" s="1179">
        <v>0</v>
      </c>
      <c r="G2100" s="1189" t="s">
        <v>6780</v>
      </c>
      <c r="H2100" s="1176">
        <v>0</v>
      </c>
      <c r="I2100" s="1176">
        <v>0</v>
      </c>
      <c r="J2100" s="1190">
        <v>0</v>
      </c>
      <c r="K2100" s="1180"/>
      <c r="L2100" s="1174">
        <v>13261950500</v>
      </c>
      <c r="M2100" s="1175">
        <v>0</v>
      </c>
      <c r="N2100" s="1175">
        <v>0</v>
      </c>
      <c r="O2100" s="1176">
        <v>0</v>
      </c>
      <c r="AA2100"/>
      <c r="AB2100"/>
    </row>
    <row r="2101" spans="3:28" ht="13.5">
      <c r="C2101" s="1181" t="s">
        <v>6781</v>
      </c>
      <c r="D2101" s="1178">
        <v>0</v>
      </c>
      <c r="E2101" s="1178">
        <v>0</v>
      </c>
      <c r="F2101" s="1179">
        <v>0</v>
      </c>
      <c r="G2101" s="1189" t="s">
        <v>6781</v>
      </c>
      <c r="H2101" s="1176">
        <v>0</v>
      </c>
      <c r="I2101" s="1176">
        <v>0</v>
      </c>
      <c r="J2101" s="1190">
        <v>0</v>
      </c>
      <c r="K2101" s="1180"/>
      <c r="L2101" s="1174">
        <v>13261950600</v>
      </c>
      <c r="M2101" s="1175">
        <v>0</v>
      </c>
      <c r="N2101" s="1175">
        <v>0</v>
      </c>
      <c r="O2101" s="1176">
        <v>0</v>
      </c>
      <c r="AA2101"/>
      <c r="AB2101"/>
    </row>
    <row r="2102" spans="3:28" ht="13.5">
      <c r="C2102" s="1181" t="s">
        <v>6782</v>
      </c>
      <c r="D2102" s="1178">
        <v>0</v>
      </c>
      <c r="E2102" s="1178">
        <v>0</v>
      </c>
      <c r="F2102" s="1179">
        <v>0</v>
      </c>
      <c r="G2102" s="1189" t="s">
        <v>6782</v>
      </c>
      <c r="H2102" s="1176">
        <v>0</v>
      </c>
      <c r="I2102" s="1176">
        <v>1</v>
      </c>
      <c r="J2102" s="1190">
        <v>1</v>
      </c>
      <c r="K2102" s="1180"/>
      <c r="L2102" s="1174">
        <v>13261950700</v>
      </c>
      <c r="M2102" s="1175">
        <v>0</v>
      </c>
      <c r="N2102" s="1175">
        <v>1</v>
      </c>
      <c r="O2102" s="1176">
        <v>1</v>
      </c>
      <c r="AA2102"/>
      <c r="AB2102"/>
    </row>
    <row r="2103" spans="3:28" ht="13.5">
      <c r="C2103" s="1181" t="s">
        <v>6783</v>
      </c>
      <c r="D2103" s="1178">
        <v>0</v>
      </c>
      <c r="E2103" s="1178">
        <v>0</v>
      </c>
      <c r="F2103" s="1179">
        <v>0</v>
      </c>
      <c r="G2103" s="1189" t="s">
        <v>6783</v>
      </c>
      <c r="H2103" s="1176">
        <v>0</v>
      </c>
      <c r="I2103" s="1176">
        <v>1</v>
      </c>
      <c r="J2103" s="1190">
        <v>1</v>
      </c>
      <c r="K2103" s="1180"/>
      <c r="L2103" s="1174">
        <v>13261950800</v>
      </c>
      <c r="M2103" s="1175">
        <v>0</v>
      </c>
      <c r="N2103" s="1175">
        <v>1</v>
      </c>
      <c r="O2103" s="1176">
        <v>1</v>
      </c>
      <c r="AA2103"/>
      <c r="AB2103"/>
    </row>
    <row r="2104" spans="3:28" ht="13.5">
      <c r="C2104" s="1181" t="s">
        <v>6784</v>
      </c>
      <c r="D2104" s="1178">
        <v>1</v>
      </c>
      <c r="E2104" s="1178">
        <v>0</v>
      </c>
      <c r="F2104" s="1179">
        <v>1</v>
      </c>
      <c r="G2104" s="1189" t="s">
        <v>6784</v>
      </c>
      <c r="H2104" s="1176">
        <v>0</v>
      </c>
      <c r="I2104" s="1176" t="s">
        <v>4455</v>
      </c>
      <c r="J2104" s="1190">
        <v>0</v>
      </c>
      <c r="K2104" s="1180"/>
      <c r="L2104" s="1174">
        <v>13263960100</v>
      </c>
      <c r="M2104" s="1175">
        <v>1</v>
      </c>
      <c r="N2104" s="1175">
        <v>0</v>
      </c>
      <c r="O2104" s="1176">
        <v>1</v>
      </c>
      <c r="AA2104"/>
      <c r="AB2104"/>
    </row>
    <row r="2105" spans="3:28" ht="13.5">
      <c r="C2105" s="1181" t="s">
        <v>6785</v>
      </c>
      <c r="D2105" s="1178">
        <v>0</v>
      </c>
      <c r="E2105" s="1178">
        <v>0</v>
      </c>
      <c r="F2105" s="1179">
        <v>0</v>
      </c>
      <c r="G2105" s="1189" t="s">
        <v>6785</v>
      </c>
      <c r="H2105" s="1176">
        <v>0</v>
      </c>
      <c r="I2105" s="1176">
        <v>0</v>
      </c>
      <c r="J2105" s="1190">
        <v>0</v>
      </c>
      <c r="K2105" s="1180"/>
      <c r="L2105" s="1174">
        <v>13263960200</v>
      </c>
      <c r="M2105" s="1175">
        <v>0</v>
      </c>
      <c r="N2105" s="1175">
        <v>0</v>
      </c>
      <c r="O2105" s="1176">
        <v>0</v>
      </c>
      <c r="AA2105"/>
      <c r="AB2105"/>
    </row>
    <row r="2106" spans="3:28" ht="13.5">
      <c r="C2106" s="1181" t="s">
        <v>6786</v>
      </c>
      <c r="D2106" s="1178">
        <v>0</v>
      </c>
      <c r="E2106" s="1178">
        <v>0</v>
      </c>
      <c r="F2106" s="1179">
        <v>0</v>
      </c>
      <c r="G2106" s="1189" t="s">
        <v>6786</v>
      </c>
      <c r="H2106" s="1176">
        <v>0</v>
      </c>
      <c r="I2106" s="1176">
        <v>0</v>
      </c>
      <c r="J2106" s="1190">
        <v>0</v>
      </c>
      <c r="K2106" s="1180"/>
      <c r="L2106" s="1174">
        <v>13263960300</v>
      </c>
      <c r="M2106" s="1175">
        <v>0</v>
      </c>
      <c r="N2106" s="1175">
        <v>0</v>
      </c>
      <c r="O2106" s="1176">
        <v>0</v>
      </c>
      <c r="AA2106"/>
      <c r="AB2106"/>
    </row>
    <row r="2107" spans="3:28" ht="13.5">
      <c r="C2107" s="1181" t="s">
        <v>6787</v>
      </c>
      <c r="D2107" s="1178">
        <v>0</v>
      </c>
      <c r="E2107" s="1178">
        <v>0</v>
      </c>
      <c r="F2107" s="1179">
        <v>0</v>
      </c>
      <c r="G2107" s="1189" t="s">
        <v>6787</v>
      </c>
      <c r="H2107" s="1176">
        <v>0</v>
      </c>
      <c r="I2107" s="1176">
        <v>0</v>
      </c>
      <c r="J2107" s="1190">
        <v>0</v>
      </c>
      <c r="K2107" s="1180"/>
      <c r="L2107" s="1174">
        <v>13265010200</v>
      </c>
      <c r="M2107" s="1175">
        <v>0</v>
      </c>
      <c r="N2107" s="1175">
        <v>0</v>
      </c>
      <c r="O2107" s="1176">
        <v>0</v>
      </c>
      <c r="AA2107"/>
      <c r="AB2107"/>
    </row>
    <row r="2108" spans="3:28" ht="13.5">
      <c r="C2108" s="1181" t="s">
        <v>6788</v>
      </c>
      <c r="D2108" s="1178">
        <v>0</v>
      </c>
      <c r="E2108" s="1178">
        <v>0</v>
      </c>
      <c r="F2108" s="1179">
        <v>0</v>
      </c>
      <c r="G2108" s="1189" t="s">
        <v>6788</v>
      </c>
      <c r="H2108" s="1176">
        <v>0</v>
      </c>
      <c r="I2108" s="1176">
        <v>0</v>
      </c>
      <c r="J2108" s="1190">
        <v>0</v>
      </c>
      <c r="K2108" s="1180"/>
      <c r="L2108" s="1174">
        <v>13267950100</v>
      </c>
      <c r="M2108" s="1175">
        <v>0</v>
      </c>
      <c r="N2108" s="1175">
        <v>0</v>
      </c>
      <c r="O2108" s="1176">
        <v>0</v>
      </c>
      <c r="AA2108"/>
      <c r="AB2108"/>
    </row>
    <row r="2109" spans="3:28" ht="13.5">
      <c r="C2109" s="1181" t="s">
        <v>6789</v>
      </c>
      <c r="D2109" s="1178">
        <v>0</v>
      </c>
      <c r="E2109" s="1178">
        <v>0</v>
      </c>
      <c r="F2109" s="1179">
        <v>0</v>
      </c>
      <c r="G2109" s="1189" t="s">
        <v>6789</v>
      </c>
      <c r="H2109" s="1176">
        <v>0</v>
      </c>
      <c r="I2109" s="1176">
        <v>0</v>
      </c>
      <c r="J2109" s="1190">
        <v>0</v>
      </c>
      <c r="K2109" s="1180"/>
      <c r="L2109" s="1174">
        <v>13267950201</v>
      </c>
      <c r="M2109" s="1175">
        <v>0</v>
      </c>
      <c r="N2109" s="1175">
        <v>0</v>
      </c>
      <c r="O2109" s="1176">
        <v>0</v>
      </c>
      <c r="AA2109"/>
      <c r="AB2109"/>
    </row>
    <row r="2110" spans="3:28" ht="13.5">
      <c r="C2110" s="1181" t="s">
        <v>6790</v>
      </c>
      <c r="D2110" s="1178">
        <v>0</v>
      </c>
      <c r="E2110" s="1178">
        <v>0</v>
      </c>
      <c r="F2110" s="1179">
        <v>0</v>
      </c>
      <c r="G2110" s="1189" t="s">
        <v>6790</v>
      </c>
      <c r="H2110" s="1176">
        <v>0</v>
      </c>
      <c r="I2110" s="1176">
        <v>0</v>
      </c>
      <c r="J2110" s="1190">
        <v>0</v>
      </c>
      <c r="K2110" s="1180"/>
      <c r="L2110" s="1174">
        <v>13267950202</v>
      </c>
      <c r="M2110" s="1175">
        <v>0</v>
      </c>
      <c r="N2110" s="1175">
        <v>0</v>
      </c>
      <c r="O2110" s="1176">
        <v>0</v>
      </c>
      <c r="AA2110"/>
      <c r="AB2110"/>
    </row>
    <row r="2111" spans="3:28" ht="13.5">
      <c r="C2111" s="1181" t="s">
        <v>6791</v>
      </c>
      <c r="D2111" s="1178">
        <v>0</v>
      </c>
      <c r="E2111" s="1178">
        <v>0</v>
      </c>
      <c r="F2111" s="1179">
        <v>0</v>
      </c>
      <c r="G2111" s="1189" t="s">
        <v>6791</v>
      </c>
      <c r="H2111" s="1176">
        <v>0</v>
      </c>
      <c r="I2111" s="1176">
        <v>0</v>
      </c>
      <c r="J2111" s="1190">
        <v>0</v>
      </c>
      <c r="K2111" s="1180"/>
      <c r="L2111" s="1174">
        <v>13267950300</v>
      </c>
      <c r="M2111" s="1175">
        <v>0</v>
      </c>
      <c r="N2111" s="1175">
        <v>0</v>
      </c>
      <c r="O2111" s="1176">
        <v>0</v>
      </c>
      <c r="AA2111"/>
      <c r="AB2111"/>
    </row>
    <row r="2112" spans="3:28" ht="13.5">
      <c r="C2112" s="1181" t="s">
        <v>6792</v>
      </c>
      <c r="D2112" s="1178">
        <v>0</v>
      </c>
      <c r="E2112" s="1178">
        <v>0</v>
      </c>
      <c r="F2112" s="1179">
        <v>0</v>
      </c>
      <c r="G2112" s="1189" t="s">
        <v>6792</v>
      </c>
      <c r="H2112" s="1176">
        <v>0</v>
      </c>
      <c r="I2112" s="1176">
        <v>0</v>
      </c>
      <c r="J2112" s="1190">
        <v>0</v>
      </c>
      <c r="K2112" s="1180"/>
      <c r="L2112" s="1174">
        <v>13267950400</v>
      </c>
      <c r="M2112" s="1175">
        <v>0</v>
      </c>
      <c r="N2112" s="1175">
        <v>0</v>
      </c>
      <c r="O2112" s="1176">
        <v>0</v>
      </c>
      <c r="AA2112"/>
      <c r="AB2112"/>
    </row>
    <row r="2113" spans="3:28" ht="13.5">
      <c r="C2113" s="1181" t="s">
        <v>6793</v>
      </c>
      <c r="D2113" s="1178">
        <v>0</v>
      </c>
      <c r="E2113" s="1178">
        <v>0</v>
      </c>
      <c r="F2113" s="1179">
        <v>0</v>
      </c>
      <c r="G2113" s="1189" t="s">
        <v>6793</v>
      </c>
      <c r="H2113" s="1176">
        <v>0</v>
      </c>
      <c r="I2113" s="1176">
        <v>0</v>
      </c>
      <c r="J2113" s="1190">
        <v>0</v>
      </c>
      <c r="K2113" s="1180"/>
      <c r="L2113" s="1174">
        <v>13269950100</v>
      </c>
      <c r="M2113" s="1175">
        <v>0</v>
      </c>
      <c r="N2113" s="1175">
        <v>0</v>
      </c>
      <c r="O2113" s="1176">
        <v>0</v>
      </c>
      <c r="AA2113"/>
      <c r="AB2113"/>
    </row>
    <row r="2114" spans="3:28" ht="13.5">
      <c r="C2114" s="1181" t="s">
        <v>6794</v>
      </c>
      <c r="D2114" s="1178">
        <v>0</v>
      </c>
      <c r="E2114" s="1178">
        <v>0</v>
      </c>
      <c r="F2114" s="1179">
        <v>0</v>
      </c>
      <c r="G2114" s="1189" t="s">
        <v>6794</v>
      </c>
      <c r="H2114" s="1176">
        <v>0</v>
      </c>
      <c r="I2114" s="1176">
        <v>0</v>
      </c>
      <c r="J2114" s="1190">
        <v>0</v>
      </c>
      <c r="K2114" s="1180"/>
      <c r="L2114" s="1174">
        <v>13269950200</v>
      </c>
      <c r="M2114" s="1175">
        <v>0</v>
      </c>
      <c r="N2114" s="1175">
        <v>0</v>
      </c>
      <c r="O2114" s="1176">
        <v>0</v>
      </c>
      <c r="AA2114"/>
      <c r="AB2114"/>
    </row>
    <row r="2115" spans="3:28" ht="13.5">
      <c r="C2115" s="1181" t="s">
        <v>6795</v>
      </c>
      <c r="D2115" s="1178">
        <v>0</v>
      </c>
      <c r="E2115" s="1178">
        <v>0</v>
      </c>
      <c r="F2115" s="1179">
        <v>0</v>
      </c>
      <c r="G2115" s="1189" t="s">
        <v>6795</v>
      </c>
      <c r="H2115" s="1176">
        <v>0</v>
      </c>
      <c r="I2115" s="1176">
        <v>0</v>
      </c>
      <c r="J2115" s="1190">
        <v>0</v>
      </c>
      <c r="K2115" s="1180"/>
      <c r="L2115" s="1174">
        <v>13269950300</v>
      </c>
      <c r="M2115" s="1175">
        <v>0</v>
      </c>
      <c r="N2115" s="1175">
        <v>0</v>
      </c>
      <c r="O2115" s="1176">
        <v>0</v>
      </c>
      <c r="AA2115"/>
      <c r="AB2115"/>
    </row>
    <row r="2116" spans="3:28" ht="13.5">
      <c r="C2116" s="1181" t="s">
        <v>6796</v>
      </c>
      <c r="D2116" s="1178">
        <v>0</v>
      </c>
      <c r="E2116" s="1178">
        <v>0</v>
      </c>
      <c r="F2116" s="1179">
        <v>0</v>
      </c>
      <c r="G2116" s="1189" t="s">
        <v>6796</v>
      </c>
      <c r="H2116" s="1176">
        <v>0</v>
      </c>
      <c r="I2116" s="1176">
        <v>1</v>
      </c>
      <c r="J2116" s="1190">
        <v>1</v>
      </c>
      <c r="K2116" s="1180"/>
      <c r="L2116" s="1174">
        <v>13271950100</v>
      </c>
      <c r="M2116" s="1175">
        <v>0</v>
      </c>
      <c r="N2116" s="1175">
        <v>1</v>
      </c>
      <c r="O2116" s="1176">
        <v>1</v>
      </c>
      <c r="AA2116"/>
      <c r="AB2116"/>
    </row>
    <row r="2117" spans="3:28" ht="13.5">
      <c r="C2117" s="1181" t="s">
        <v>6797</v>
      </c>
      <c r="D2117" s="1178">
        <v>0</v>
      </c>
      <c r="E2117" s="1178">
        <v>0</v>
      </c>
      <c r="F2117" s="1179">
        <v>0</v>
      </c>
      <c r="G2117" s="1189" t="s">
        <v>6797</v>
      </c>
      <c r="H2117" s="1176">
        <v>0</v>
      </c>
      <c r="I2117" s="1176">
        <v>1</v>
      </c>
      <c r="J2117" s="1190">
        <v>1</v>
      </c>
      <c r="K2117" s="1180"/>
      <c r="L2117" s="1174">
        <v>13271950200</v>
      </c>
      <c r="M2117" s="1175">
        <v>0</v>
      </c>
      <c r="N2117" s="1175">
        <v>1</v>
      </c>
      <c r="O2117" s="1176">
        <v>1</v>
      </c>
      <c r="AA2117"/>
      <c r="AB2117"/>
    </row>
    <row r="2118" spans="3:28" ht="13.5">
      <c r="C2118" s="1181" t="s">
        <v>6798</v>
      </c>
      <c r="D2118" s="1178">
        <v>0</v>
      </c>
      <c r="E2118" s="1178">
        <v>0</v>
      </c>
      <c r="F2118" s="1179">
        <v>0</v>
      </c>
      <c r="G2118" s="1189" t="s">
        <v>6798</v>
      </c>
      <c r="H2118" s="1176">
        <v>0</v>
      </c>
      <c r="I2118" s="1176">
        <v>0</v>
      </c>
      <c r="J2118" s="1190">
        <v>0</v>
      </c>
      <c r="K2118" s="1180"/>
      <c r="L2118" s="1174">
        <v>13271950500</v>
      </c>
      <c r="M2118" s="1175">
        <v>0</v>
      </c>
      <c r="N2118" s="1175">
        <v>0</v>
      </c>
      <c r="O2118" s="1176">
        <v>0</v>
      </c>
      <c r="AA2118"/>
      <c r="AB2118"/>
    </row>
    <row r="2119" spans="3:28" ht="13.5">
      <c r="C2119" s="1181" t="s">
        <v>6799</v>
      </c>
      <c r="D2119" s="1178">
        <v>0</v>
      </c>
      <c r="E2119" s="1178">
        <v>0</v>
      </c>
      <c r="F2119" s="1179">
        <v>0</v>
      </c>
      <c r="G2119" s="1189" t="s">
        <v>6799</v>
      </c>
      <c r="H2119" s="1176">
        <v>0</v>
      </c>
      <c r="I2119" s="1176">
        <v>0</v>
      </c>
      <c r="J2119" s="1190">
        <v>0</v>
      </c>
      <c r="K2119" s="1180"/>
      <c r="L2119" s="1174">
        <v>13273120200</v>
      </c>
      <c r="M2119" s="1175">
        <v>0</v>
      </c>
      <c r="N2119" s="1175">
        <v>0</v>
      </c>
      <c r="O2119" s="1176">
        <v>0</v>
      </c>
      <c r="AA2119"/>
      <c r="AB2119"/>
    </row>
    <row r="2120" spans="3:28" ht="13.5">
      <c r="C2120" s="1181" t="s">
        <v>6800</v>
      </c>
      <c r="D2120" s="1178">
        <v>0</v>
      </c>
      <c r="E2120" s="1178">
        <v>0</v>
      </c>
      <c r="F2120" s="1179">
        <v>0</v>
      </c>
      <c r="G2120" s="1189" t="s">
        <v>6800</v>
      </c>
      <c r="H2120" s="1176">
        <v>0</v>
      </c>
      <c r="I2120" s="1176">
        <v>0</v>
      </c>
      <c r="J2120" s="1190">
        <v>0</v>
      </c>
      <c r="K2120" s="1180"/>
      <c r="L2120" s="1174">
        <v>13273120300</v>
      </c>
      <c r="M2120" s="1175">
        <v>0</v>
      </c>
      <c r="N2120" s="1175">
        <v>0</v>
      </c>
      <c r="O2120" s="1176">
        <v>0</v>
      </c>
      <c r="AA2120"/>
      <c r="AB2120"/>
    </row>
    <row r="2121" spans="3:28" ht="13.5">
      <c r="C2121" s="1181" t="s">
        <v>6801</v>
      </c>
      <c r="D2121" s="1178">
        <v>0</v>
      </c>
      <c r="E2121" s="1178">
        <v>0</v>
      </c>
      <c r="F2121" s="1179">
        <v>0</v>
      </c>
      <c r="G2121" s="1189" t="s">
        <v>6801</v>
      </c>
      <c r="H2121" s="1176">
        <v>0</v>
      </c>
      <c r="I2121" s="1176">
        <v>0</v>
      </c>
      <c r="J2121" s="1190">
        <v>0</v>
      </c>
      <c r="K2121" s="1180"/>
      <c r="L2121" s="1174">
        <v>13273120400</v>
      </c>
      <c r="M2121" s="1175">
        <v>0</v>
      </c>
      <c r="N2121" s="1175">
        <v>0</v>
      </c>
      <c r="O2121" s="1176">
        <v>0</v>
      </c>
      <c r="AA2121"/>
      <c r="AB2121"/>
    </row>
    <row r="2122" spans="3:28" ht="13.5">
      <c r="C2122" s="1181" t="s">
        <v>6802</v>
      </c>
      <c r="D2122" s="1178">
        <v>0</v>
      </c>
      <c r="E2122" s="1178">
        <v>0</v>
      </c>
      <c r="F2122" s="1179">
        <v>0</v>
      </c>
      <c r="G2122" s="1189" t="s">
        <v>6802</v>
      </c>
      <c r="H2122" s="1176">
        <v>0</v>
      </c>
      <c r="I2122" s="1176">
        <v>0</v>
      </c>
      <c r="J2122" s="1190">
        <v>0</v>
      </c>
      <c r="K2122" s="1180"/>
      <c r="L2122" s="1174">
        <v>13273120500</v>
      </c>
      <c r="M2122" s="1175">
        <v>0</v>
      </c>
      <c r="N2122" s="1175">
        <v>0</v>
      </c>
      <c r="O2122" s="1176">
        <v>0</v>
      </c>
      <c r="AA2122"/>
      <c r="AB2122"/>
    </row>
    <row r="2123" spans="3:28" ht="13.5">
      <c r="C2123" s="1181" t="s">
        <v>6803</v>
      </c>
      <c r="D2123" s="1178">
        <v>0</v>
      </c>
      <c r="E2123" s="1178">
        <v>0</v>
      </c>
      <c r="F2123" s="1179">
        <v>0</v>
      </c>
      <c r="G2123" s="1189" t="s">
        <v>6803</v>
      </c>
      <c r="H2123" s="1176">
        <v>0</v>
      </c>
      <c r="I2123" s="1176">
        <v>0</v>
      </c>
      <c r="J2123" s="1190">
        <v>0</v>
      </c>
      <c r="K2123" s="1180"/>
      <c r="L2123" s="1174">
        <v>13275960100</v>
      </c>
      <c r="M2123" s="1175">
        <v>0</v>
      </c>
      <c r="N2123" s="1175">
        <v>0</v>
      </c>
      <c r="O2123" s="1176">
        <v>0</v>
      </c>
      <c r="AA2123"/>
      <c r="AB2123"/>
    </row>
    <row r="2124" spans="3:28" ht="13.5">
      <c r="C2124" s="1181" t="s">
        <v>6804</v>
      </c>
      <c r="D2124" s="1178">
        <v>0</v>
      </c>
      <c r="E2124" s="1178">
        <v>0</v>
      </c>
      <c r="F2124" s="1179">
        <v>0</v>
      </c>
      <c r="G2124" s="1189" t="s">
        <v>6804</v>
      </c>
      <c r="H2124" s="1176">
        <v>0</v>
      </c>
      <c r="I2124" s="1176">
        <v>0</v>
      </c>
      <c r="J2124" s="1190">
        <v>0</v>
      </c>
      <c r="K2124" s="1180"/>
      <c r="L2124" s="1174">
        <v>13275960200</v>
      </c>
      <c r="M2124" s="1175">
        <v>0</v>
      </c>
      <c r="N2124" s="1175">
        <v>0</v>
      </c>
      <c r="O2124" s="1176">
        <v>0</v>
      </c>
      <c r="AA2124"/>
      <c r="AB2124"/>
    </row>
    <row r="2125" spans="3:28" ht="13.5">
      <c r="C2125" s="1181" t="s">
        <v>6805</v>
      </c>
      <c r="D2125" s="1178">
        <v>0</v>
      </c>
      <c r="E2125" s="1178">
        <v>0</v>
      </c>
      <c r="F2125" s="1179">
        <v>0</v>
      </c>
      <c r="G2125" s="1189" t="s">
        <v>6805</v>
      </c>
      <c r="H2125" s="1176">
        <v>0</v>
      </c>
      <c r="I2125" s="1176">
        <v>0</v>
      </c>
      <c r="J2125" s="1190">
        <v>0</v>
      </c>
      <c r="K2125" s="1180"/>
      <c r="L2125" s="1174">
        <v>13275960300</v>
      </c>
      <c r="M2125" s="1175">
        <v>0</v>
      </c>
      <c r="N2125" s="1175">
        <v>0</v>
      </c>
      <c r="O2125" s="1176">
        <v>0</v>
      </c>
      <c r="AA2125"/>
      <c r="AB2125"/>
    </row>
    <row r="2126" spans="3:28" ht="13.5">
      <c r="C2126" s="1181" t="s">
        <v>6806</v>
      </c>
      <c r="D2126" s="1178">
        <v>0</v>
      </c>
      <c r="E2126" s="1178">
        <v>0</v>
      </c>
      <c r="F2126" s="1179">
        <v>0</v>
      </c>
      <c r="G2126" s="1189" t="s">
        <v>6806</v>
      </c>
      <c r="H2126" s="1176">
        <v>0</v>
      </c>
      <c r="I2126" s="1176">
        <v>0</v>
      </c>
      <c r="J2126" s="1190">
        <v>0</v>
      </c>
      <c r="K2126" s="1180"/>
      <c r="L2126" s="1174">
        <v>13275960400</v>
      </c>
      <c r="M2126" s="1175">
        <v>0</v>
      </c>
      <c r="N2126" s="1175">
        <v>0</v>
      </c>
      <c r="O2126" s="1176">
        <v>0</v>
      </c>
      <c r="AA2126"/>
      <c r="AB2126"/>
    </row>
    <row r="2127" spans="3:28" ht="13.5">
      <c r="C2127" s="1181" t="s">
        <v>6807</v>
      </c>
      <c r="D2127" s="1178">
        <v>0</v>
      </c>
      <c r="E2127" s="1178">
        <v>0</v>
      </c>
      <c r="F2127" s="1179">
        <v>0</v>
      </c>
      <c r="G2127" s="1189" t="s">
        <v>6807</v>
      </c>
      <c r="H2127" s="1176">
        <v>0</v>
      </c>
      <c r="I2127" s="1176">
        <v>0</v>
      </c>
      <c r="J2127" s="1190">
        <v>0</v>
      </c>
      <c r="K2127" s="1180"/>
      <c r="L2127" s="1174">
        <v>13275960500</v>
      </c>
      <c r="M2127" s="1175">
        <v>0</v>
      </c>
      <c r="N2127" s="1175">
        <v>0</v>
      </c>
      <c r="O2127" s="1176">
        <v>0</v>
      </c>
      <c r="AA2127"/>
      <c r="AB2127"/>
    </row>
    <row r="2128" spans="3:28" ht="13.5">
      <c r="C2128" s="1181" t="s">
        <v>6808</v>
      </c>
      <c r="D2128" s="1178">
        <v>1</v>
      </c>
      <c r="E2128" s="1178">
        <v>0</v>
      </c>
      <c r="F2128" s="1179">
        <v>1</v>
      </c>
      <c r="G2128" s="1189" t="s">
        <v>6808</v>
      </c>
      <c r="H2128" s="1176">
        <v>0</v>
      </c>
      <c r="I2128" s="1176">
        <v>0</v>
      </c>
      <c r="J2128" s="1190">
        <v>0</v>
      </c>
      <c r="K2128" s="1180"/>
      <c r="L2128" s="1174">
        <v>13275960600</v>
      </c>
      <c r="M2128" s="1175">
        <v>1</v>
      </c>
      <c r="N2128" s="1175">
        <v>0</v>
      </c>
      <c r="O2128" s="1176">
        <v>1</v>
      </c>
      <c r="AA2128"/>
      <c r="AB2128"/>
    </row>
    <row r="2129" spans="3:28" ht="13.5">
      <c r="C2129" s="1181" t="s">
        <v>6809</v>
      </c>
      <c r="D2129" s="1178">
        <v>0</v>
      </c>
      <c r="E2129" s="1178">
        <v>0</v>
      </c>
      <c r="F2129" s="1179">
        <v>0</v>
      </c>
      <c r="G2129" s="1189" t="s">
        <v>6809</v>
      </c>
      <c r="H2129" s="1176">
        <v>0</v>
      </c>
      <c r="I2129" s="1176">
        <v>0</v>
      </c>
      <c r="J2129" s="1190">
        <v>0</v>
      </c>
      <c r="K2129" s="1180"/>
      <c r="L2129" s="1174">
        <v>13275960700</v>
      </c>
      <c r="M2129" s="1175">
        <v>0</v>
      </c>
      <c r="N2129" s="1175">
        <v>0</v>
      </c>
      <c r="O2129" s="1176">
        <v>0</v>
      </c>
      <c r="AA2129"/>
      <c r="AB2129"/>
    </row>
    <row r="2130" spans="3:28" ht="13.5">
      <c r="C2130" s="1181" t="s">
        <v>6810</v>
      </c>
      <c r="D2130" s="1178">
        <v>0</v>
      </c>
      <c r="E2130" s="1178">
        <v>0</v>
      </c>
      <c r="F2130" s="1179">
        <v>0</v>
      </c>
      <c r="G2130" s="1189" t="s">
        <v>6810</v>
      </c>
      <c r="H2130" s="1176">
        <v>0</v>
      </c>
      <c r="I2130" s="1176">
        <v>0</v>
      </c>
      <c r="J2130" s="1190">
        <v>0</v>
      </c>
      <c r="K2130" s="1180"/>
      <c r="L2130" s="1174">
        <v>13275960800</v>
      </c>
      <c r="M2130" s="1175">
        <v>0</v>
      </c>
      <c r="N2130" s="1175">
        <v>0</v>
      </c>
      <c r="O2130" s="1176">
        <v>0</v>
      </c>
      <c r="AA2130"/>
      <c r="AB2130"/>
    </row>
    <row r="2131" spans="3:28" ht="13.5">
      <c r="C2131" s="1181" t="s">
        <v>6811</v>
      </c>
      <c r="D2131" s="1178">
        <v>0</v>
      </c>
      <c r="E2131" s="1178">
        <v>0</v>
      </c>
      <c r="F2131" s="1179">
        <v>0</v>
      </c>
      <c r="G2131" s="1189" t="s">
        <v>6811</v>
      </c>
      <c r="H2131" s="1176">
        <v>0</v>
      </c>
      <c r="I2131" s="1176">
        <v>0</v>
      </c>
      <c r="J2131" s="1190">
        <v>0</v>
      </c>
      <c r="K2131" s="1180"/>
      <c r="L2131" s="1174">
        <v>13275960900</v>
      </c>
      <c r="M2131" s="1175">
        <v>0</v>
      </c>
      <c r="N2131" s="1175">
        <v>0</v>
      </c>
      <c r="O2131" s="1176">
        <v>0</v>
      </c>
      <c r="AA2131"/>
      <c r="AB2131"/>
    </row>
    <row r="2132" spans="3:28" ht="13.5">
      <c r="C2132" s="1181" t="s">
        <v>6812</v>
      </c>
      <c r="D2132" s="1178">
        <v>0</v>
      </c>
      <c r="E2132" s="1178">
        <v>0</v>
      </c>
      <c r="F2132" s="1179">
        <v>0</v>
      </c>
      <c r="G2132" s="1189" t="s">
        <v>6812</v>
      </c>
      <c r="H2132" s="1176">
        <v>1</v>
      </c>
      <c r="I2132" s="1176">
        <v>1</v>
      </c>
      <c r="J2132" s="1190">
        <v>2</v>
      </c>
      <c r="K2132" s="1180"/>
      <c r="L2132" s="1174">
        <v>13275961000</v>
      </c>
      <c r="M2132" s="1175">
        <v>1</v>
      </c>
      <c r="N2132" s="1175">
        <v>1</v>
      </c>
      <c r="O2132" s="1176">
        <v>2</v>
      </c>
      <c r="AA2132"/>
      <c r="AB2132"/>
    </row>
    <row r="2133" spans="3:28" ht="13.5">
      <c r="C2133" s="1181" t="s">
        <v>6813</v>
      </c>
      <c r="D2133" s="1178">
        <v>0</v>
      </c>
      <c r="E2133" s="1178">
        <v>0</v>
      </c>
      <c r="F2133" s="1179">
        <v>0</v>
      </c>
      <c r="G2133" s="1189" t="s">
        <v>6813</v>
      </c>
      <c r="H2133" s="1176">
        <v>0</v>
      </c>
      <c r="I2133" s="1176">
        <v>1</v>
      </c>
      <c r="J2133" s="1190">
        <v>1</v>
      </c>
      <c r="K2133" s="1180"/>
      <c r="L2133" s="1174">
        <v>13275961100</v>
      </c>
      <c r="M2133" s="1175">
        <v>0</v>
      </c>
      <c r="N2133" s="1175">
        <v>1</v>
      </c>
      <c r="O2133" s="1176">
        <v>1</v>
      </c>
      <c r="AA2133"/>
      <c r="AB2133"/>
    </row>
    <row r="2134" spans="3:28" ht="13.5">
      <c r="C2134" s="1181" t="s">
        <v>6814</v>
      </c>
      <c r="D2134" s="1178">
        <v>1</v>
      </c>
      <c r="E2134" s="1178">
        <v>1</v>
      </c>
      <c r="F2134" s="1179">
        <v>2</v>
      </c>
      <c r="G2134" s="1189" t="s">
        <v>6814</v>
      </c>
      <c r="H2134" s="1176">
        <v>1</v>
      </c>
      <c r="I2134" s="1176">
        <v>0</v>
      </c>
      <c r="J2134" s="1190">
        <v>1</v>
      </c>
      <c r="K2134" s="1180"/>
      <c r="L2134" s="1174">
        <v>13277960100</v>
      </c>
      <c r="M2134" s="1175">
        <v>1</v>
      </c>
      <c r="N2134" s="1175">
        <v>1</v>
      </c>
      <c r="O2134" s="1176">
        <v>2</v>
      </c>
      <c r="AA2134"/>
      <c r="AB2134"/>
    </row>
    <row r="2135" spans="3:28" ht="13.5">
      <c r="C2135" s="1181" t="s">
        <v>6815</v>
      </c>
      <c r="D2135" s="1178">
        <v>1</v>
      </c>
      <c r="E2135" s="1178">
        <v>0</v>
      </c>
      <c r="F2135" s="1179">
        <v>1</v>
      </c>
      <c r="G2135" s="1189" t="s">
        <v>6815</v>
      </c>
      <c r="H2135" s="1176">
        <v>0</v>
      </c>
      <c r="I2135" s="1176">
        <v>0</v>
      </c>
      <c r="J2135" s="1190">
        <v>0</v>
      </c>
      <c r="K2135" s="1180"/>
      <c r="L2135" s="1174">
        <v>13277960200</v>
      </c>
      <c r="M2135" s="1175">
        <v>1</v>
      </c>
      <c r="N2135" s="1175">
        <v>0</v>
      </c>
      <c r="O2135" s="1176">
        <v>1</v>
      </c>
      <c r="AA2135"/>
      <c r="AB2135"/>
    </row>
    <row r="2136" spans="3:28" ht="13.5">
      <c r="C2136" s="1181" t="s">
        <v>6816</v>
      </c>
      <c r="D2136" s="1178">
        <v>0</v>
      </c>
      <c r="E2136" s="1178">
        <v>0</v>
      </c>
      <c r="F2136" s="1179">
        <v>0</v>
      </c>
      <c r="G2136" s="1189" t="s">
        <v>6816</v>
      </c>
      <c r="H2136" s="1176">
        <v>1</v>
      </c>
      <c r="I2136" s="1176">
        <v>0</v>
      </c>
      <c r="J2136" s="1190">
        <v>1</v>
      </c>
      <c r="K2136" s="1180"/>
      <c r="L2136" s="1174">
        <v>13277960300</v>
      </c>
      <c r="M2136" s="1175">
        <v>1</v>
      </c>
      <c r="N2136" s="1175">
        <v>0</v>
      </c>
      <c r="O2136" s="1176">
        <v>1</v>
      </c>
      <c r="AA2136"/>
      <c r="AB2136"/>
    </row>
    <row r="2137" spans="3:28" ht="13.5">
      <c r="C2137" s="1181" t="s">
        <v>6817</v>
      </c>
      <c r="D2137" s="1178">
        <v>0</v>
      </c>
      <c r="E2137" s="1178">
        <v>0</v>
      </c>
      <c r="F2137" s="1179">
        <v>0</v>
      </c>
      <c r="G2137" s="1189" t="s">
        <v>6817</v>
      </c>
      <c r="H2137" s="1176">
        <v>0</v>
      </c>
      <c r="I2137" s="1176">
        <v>0</v>
      </c>
      <c r="J2137" s="1190">
        <v>0</v>
      </c>
      <c r="K2137" s="1180"/>
      <c r="L2137" s="1174">
        <v>13277960400</v>
      </c>
      <c r="M2137" s="1175">
        <v>0</v>
      </c>
      <c r="N2137" s="1175">
        <v>0</v>
      </c>
      <c r="O2137" s="1176">
        <v>0</v>
      </c>
      <c r="AA2137"/>
      <c r="AB2137"/>
    </row>
    <row r="2138" spans="3:28" ht="13.5">
      <c r="C2138" s="1181" t="s">
        <v>6818</v>
      </c>
      <c r="D2138" s="1178">
        <v>1</v>
      </c>
      <c r="E2138" s="1178">
        <v>0</v>
      </c>
      <c r="F2138" s="1179">
        <v>1</v>
      </c>
      <c r="G2138" s="1189" t="s">
        <v>6818</v>
      </c>
      <c r="H2138" s="1176">
        <v>1</v>
      </c>
      <c r="I2138" s="1176">
        <v>1</v>
      </c>
      <c r="J2138" s="1190">
        <v>2</v>
      </c>
      <c r="K2138" s="1180"/>
      <c r="L2138" s="1174">
        <v>13277960500</v>
      </c>
      <c r="M2138" s="1175">
        <v>1</v>
      </c>
      <c r="N2138" s="1175">
        <v>1</v>
      </c>
      <c r="O2138" s="1176">
        <v>2</v>
      </c>
      <c r="AA2138"/>
      <c r="AB2138"/>
    </row>
    <row r="2139" spans="3:28" ht="13.5">
      <c r="C2139" s="1181" t="s">
        <v>6819</v>
      </c>
      <c r="D2139" s="1178">
        <v>0</v>
      </c>
      <c r="E2139" s="1178">
        <v>0</v>
      </c>
      <c r="F2139" s="1179">
        <v>0</v>
      </c>
      <c r="G2139" s="1189" t="s">
        <v>6819</v>
      </c>
      <c r="H2139" s="1176">
        <v>0</v>
      </c>
      <c r="I2139" s="1176">
        <v>0</v>
      </c>
      <c r="J2139" s="1190">
        <v>0</v>
      </c>
      <c r="K2139" s="1180"/>
      <c r="L2139" s="1174">
        <v>13277960600</v>
      </c>
      <c r="M2139" s="1175">
        <v>0</v>
      </c>
      <c r="N2139" s="1175">
        <v>0</v>
      </c>
      <c r="O2139" s="1176">
        <v>0</v>
      </c>
      <c r="AA2139"/>
      <c r="AB2139"/>
    </row>
    <row r="2140" spans="3:28" ht="13.5">
      <c r="C2140" s="1181" t="s">
        <v>6820</v>
      </c>
      <c r="D2140" s="1178">
        <v>0</v>
      </c>
      <c r="E2140" s="1178">
        <v>0</v>
      </c>
      <c r="F2140" s="1179">
        <v>0</v>
      </c>
      <c r="G2140" s="1189" t="s">
        <v>6820</v>
      </c>
      <c r="H2140" s="1176">
        <v>0</v>
      </c>
      <c r="I2140" s="1176">
        <v>0</v>
      </c>
      <c r="J2140" s="1190">
        <v>0</v>
      </c>
      <c r="K2140" s="1180"/>
      <c r="L2140" s="1174">
        <v>13277960700</v>
      </c>
      <c r="M2140" s="1175">
        <v>0</v>
      </c>
      <c r="N2140" s="1175">
        <v>0</v>
      </c>
      <c r="O2140" s="1176">
        <v>0</v>
      </c>
      <c r="AA2140"/>
      <c r="AB2140"/>
    </row>
    <row r="2141" spans="3:28" ht="13.5">
      <c r="C2141" s="1181" t="s">
        <v>6821</v>
      </c>
      <c r="D2141" s="1178">
        <v>0</v>
      </c>
      <c r="E2141" s="1178">
        <v>0</v>
      </c>
      <c r="F2141" s="1179">
        <v>0</v>
      </c>
      <c r="G2141" s="1189" t="s">
        <v>6821</v>
      </c>
      <c r="H2141" s="1176">
        <v>0</v>
      </c>
      <c r="I2141" s="1176">
        <v>0</v>
      </c>
      <c r="J2141" s="1190">
        <v>0</v>
      </c>
      <c r="K2141" s="1180"/>
      <c r="L2141" s="1174">
        <v>13277960800</v>
      </c>
      <c r="M2141" s="1175">
        <v>0</v>
      </c>
      <c r="N2141" s="1175">
        <v>0</v>
      </c>
      <c r="O2141" s="1176">
        <v>0</v>
      </c>
      <c r="AA2141"/>
      <c r="AB2141"/>
    </row>
    <row r="2142" spans="3:28" ht="13.5">
      <c r="C2142" s="1181" t="s">
        <v>6822</v>
      </c>
      <c r="D2142" s="1178">
        <v>0</v>
      </c>
      <c r="E2142" s="1178">
        <v>0</v>
      </c>
      <c r="F2142" s="1179">
        <v>0</v>
      </c>
      <c r="G2142" s="1189" t="s">
        <v>6822</v>
      </c>
      <c r="H2142" s="1176">
        <v>0</v>
      </c>
      <c r="I2142" s="1176">
        <v>0</v>
      </c>
      <c r="J2142" s="1190">
        <v>0</v>
      </c>
      <c r="K2142" s="1180"/>
      <c r="L2142" s="1174">
        <v>13277960900</v>
      </c>
      <c r="M2142" s="1175">
        <v>0</v>
      </c>
      <c r="N2142" s="1175">
        <v>0</v>
      </c>
      <c r="O2142" s="1176">
        <v>0</v>
      </c>
      <c r="AA2142"/>
      <c r="AB2142"/>
    </row>
    <row r="2143" spans="3:28" ht="13.5">
      <c r="C2143" s="1181" t="s">
        <v>6823</v>
      </c>
      <c r="D2143" s="1178">
        <v>0</v>
      </c>
      <c r="E2143" s="1178">
        <v>0</v>
      </c>
      <c r="F2143" s="1179">
        <v>0</v>
      </c>
      <c r="G2143" s="1189" t="s">
        <v>6823</v>
      </c>
      <c r="H2143" s="1176">
        <v>0</v>
      </c>
      <c r="I2143" s="1176">
        <v>0</v>
      </c>
      <c r="J2143" s="1190">
        <v>0</v>
      </c>
      <c r="K2143" s="1180"/>
      <c r="L2143" s="1174">
        <v>13279970100</v>
      </c>
      <c r="M2143" s="1175">
        <v>0</v>
      </c>
      <c r="N2143" s="1175">
        <v>0</v>
      </c>
      <c r="O2143" s="1176">
        <v>0</v>
      </c>
      <c r="AA2143"/>
      <c r="AB2143"/>
    </row>
    <row r="2144" spans="3:28" ht="13.5">
      <c r="C2144" s="1181" t="s">
        <v>6824</v>
      </c>
      <c r="D2144" s="1178">
        <v>0</v>
      </c>
      <c r="E2144" s="1178">
        <v>0</v>
      </c>
      <c r="F2144" s="1179">
        <v>0</v>
      </c>
      <c r="G2144" s="1189" t="s">
        <v>6824</v>
      </c>
      <c r="H2144" s="1176">
        <v>0</v>
      </c>
      <c r="I2144" s="1176">
        <v>0</v>
      </c>
      <c r="J2144" s="1190">
        <v>0</v>
      </c>
      <c r="K2144" s="1180"/>
      <c r="L2144" s="1174">
        <v>13279970200</v>
      </c>
      <c r="M2144" s="1175">
        <v>0</v>
      </c>
      <c r="N2144" s="1175">
        <v>0</v>
      </c>
      <c r="O2144" s="1176">
        <v>0</v>
      </c>
      <c r="AA2144"/>
      <c r="AB2144"/>
    </row>
    <row r="2145" spans="3:28" ht="13.5">
      <c r="C2145" s="1181" t="s">
        <v>6825</v>
      </c>
      <c r="D2145" s="1178">
        <v>0</v>
      </c>
      <c r="E2145" s="1178">
        <v>0</v>
      </c>
      <c r="F2145" s="1179">
        <v>0</v>
      </c>
      <c r="G2145" s="1189" t="s">
        <v>6825</v>
      </c>
      <c r="H2145" s="1176">
        <v>0</v>
      </c>
      <c r="I2145" s="1176">
        <v>0</v>
      </c>
      <c r="J2145" s="1190">
        <v>0</v>
      </c>
      <c r="K2145" s="1180"/>
      <c r="L2145" s="1174">
        <v>13279970300</v>
      </c>
      <c r="M2145" s="1175">
        <v>0</v>
      </c>
      <c r="N2145" s="1175">
        <v>0</v>
      </c>
      <c r="O2145" s="1176">
        <v>0</v>
      </c>
      <c r="AA2145"/>
      <c r="AB2145"/>
    </row>
    <row r="2146" spans="3:28" ht="13.5">
      <c r="C2146" s="1181" t="s">
        <v>6826</v>
      </c>
      <c r="D2146" s="1178">
        <v>0</v>
      </c>
      <c r="E2146" s="1178">
        <v>0</v>
      </c>
      <c r="F2146" s="1179">
        <v>0</v>
      </c>
      <c r="G2146" s="1189" t="s">
        <v>6826</v>
      </c>
      <c r="H2146" s="1176">
        <v>0</v>
      </c>
      <c r="I2146" s="1176">
        <v>0</v>
      </c>
      <c r="J2146" s="1190">
        <v>0</v>
      </c>
      <c r="K2146" s="1180"/>
      <c r="L2146" s="1174">
        <v>13279970400</v>
      </c>
      <c r="M2146" s="1175">
        <v>0</v>
      </c>
      <c r="N2146" s="1175">
        <v>0</v>
      </c>
      <c r="O2146" s="1176">
        <v>0</v>
      </c>
      <c r="AA2146"/>
      <c r="AB2146"/>
    </row>
    <row r="2147" spans="3:28" ht="13.5">
      <c r="C2147" s="1181" t="s">
        <v>6827</v>
      </c>
      <c r="D2147" s="1178">
        <v>0</v>
      </c>
      <c r="E2147" s="1178">
        <v>0</v>
      </c>
      <c r="F2147" s="1179">
        <v>0</v>
      </c>
      <c r="G2147" s="1189" t="s">
        <v>6827</v>
      </c>
      <c r="H2147" s="1176">
        <v>0</v>
      </c>
      <c r="I2147" s="1176">
        <v>0</v>
      </c>
      <c r="J2147" s="1190">
        <v>0</v>
      </c>
      <c r="K2147" s="1180"/>
      <c r="L2147" s="1174">
        <v>13279970500</v>
      </c>
      <c r="M2147" s="1175">
        <v>0</v>
      </c>
      <c r="N2147" s="1175">
        <v>0</v>
      </c>
      <c r="O2147" s="1176">
        <v>0</v>
      </c>
      <c r="AA2147"/>
      <c r="AB2147"/>
    </row>
    <row r="2148" spans="3:28" ht="13.5">
      <c r="C2148" s="1181" t="s">
        <v>6828</v>
      </c>
      <c r="D2148" s="1178">
        <v>0</v>
      </c>
      <c r="E2148" s="1178">
        <v>0</v>
      </c>
      <c r="F2148" s="1179">
        <v>0</v>
      </c>
      <c r="G2148" s="1189" t="s">
        <v>6828</v>
      </c>
      <c r="H2148" s="1176">
        <v>0</v>
      </c>
      <c r="I2148" s="1176">
        <v>0</v>
      </c>
      <c r="J2148" s="1190">
        <v>0</v>
      </c>
      <c r="K2148" s="1180"/>
      <c r="L2148" s="1174">
        <v>13279970600</v>
      </c>
      <c r="M2148" s="1175">
        <v>0</v>
      </c>
      <c r="N2148" s="1175">
        <v>0</v>
      </c>
      <c r="O2148" s="1176">
        <v>0</v>
      </c>
      <c r="AA2148"/>
      <c r="AB2148"/>
    </row>
    <row r="2149" spans="3:28" ht="13.5">
      <c r="C2149" s="1181" t="s">
        <v>6829</v>
      </c>
      <c r="D2149" s="1178">
        <v>0</v>
      </c>
      <c r="E2149" s="1178">
        <v>0</v>
      </c>
      <c r="F2149" s="1179">
        <v>0</v>
      </c>
      <c r="G2149" s="1189" t="s">
        <v>6829</v>
      </c>
      <c r="H2149" s="1176">
        <v>0</v>
      </c>
      <c r="I2149" s="1176">
        <v>1</v>
      </c>
      <c r="J2149" s="1190">
        <v>1</v>
      </c>
      <c r="K2149" s="1180"/>
      <c r="L2149" s="1174">
        <v>13281960100</v>
      </c>
      <c r="M2149" s="1175">
        <v>0</v>
      </c>
      <c r="N2149" s="1175">
        <v>1</v>
      </c>
      <c r="O2149" s="1176">
        <v>1</v>
      </c>
      <c r="AA2149"/>
      <c r="AB2149"/>
    </row>
    <row r="2150" spans="3:28" ht="13.5">
      <c r="C2150" s="1181" t="s">
        <v>6830</v>
      </c>
      <c r="D2150" s="1178">
        <v>1</v>
      </c>
      <c r="E2150" s="1178">
        <v>1</v>
      </c>
      <c r="F2150" s="1179">
        <v>2</v>
      </c>
      <c r="G2150" s="1189" t="s">
        <v>6830</v>
      </c>
      <c r="H2150" s="1176">
        <v>0</v>
      </c>
      <c r="I2150" s="1176">
        <v>1</v>
      </c>
      <c r="J2150" s="1190">
        <v>1</v>
      </c>
      <c r="K2150" s="1180"/>
      <c r="L2150" s="1174">
        <v>13281960200</v>
      </c>
      <c r="M2150" s="1175">
        <v>1</v>
      </c>
      <c r="N2150" s="1175">
        <v>1</v>
      </c>
      <c r="O2150" s="1176">
        <v>2</v>
      </c>
      <c r="AA2150"/>
      <c r="AB2150"/>
    </row>
    <row r="2151" spans="3:28" ht="13.5">
      <c r="C2151" s="1181" t="s">
        <v>6831</v>
      </c>
      <c r="D2151" s="1178">
        <v>0</v>
      </c>
      <c r="E2151" s="1178">
        <v>0</v>
      </c>
      <c r="F2151" s="1179">
        <v>0</v>
      </c>
      <c r="G2151" s="1189" t="s">
        <v>6831</v>
      </c>
      <c r="H2151" s="1176">
        <v>0</v>
      </c>
      <c r="I2151" s="1176">
        <v>0</v>
      </c>
      <c r="J2151" s="1190">
        <v>0</v>
      </c>
      <c r="K2151" s="1180"/>
      <c r="L2151" s="1174">
        <v>13281960300</v>
      </c>
      <c r="M2151" s="1175">
        <v>0</v>
      </c>
      <c r="N2151" s="1175">
        <v>0</v>
      </c>
      <c r="O2151" s="1176">
        <v>0</v>
      </c>
      <c r="AA2151"/>
      <c r="AB2151"/>
    </row>
    <row r="2152" spans="3:28" ht="13.5">
      <c r="C2152" s="1181" t="s">
        <v>6832</v>
      </c>
      <c r="D2152" s="1178">
        <v>0</v>
      </c>
      <c r="E2152" s="1178">
        <v>0</v>
      </c>
      <c r="F2152" s="1179">
        <v>0</v>
      </c>
      <c r="G2152" s="1189" t="s">
        <v>6832</v>
      </c>
      <c r="H2152" s="1176">
        <v>0</v>
      </c>
      <c r="I2152" s="1176">
        <v>0</v>
      </c>
      <c r="J2152" s="1190">
        <v>0</v>
      </c>
      <c r="K2152" s="1180"/>
      <c r="L2152" s="1174">
        <v>13283960100</v>
      </c>
      <c r="M2152" s="1175">
        <v>0</v>
      </c>
      <c r="N2152" s="1175">
        <v>0</v>
      </c>
      <c r="O2152" s="1176">
        <v>0</v>
      </c>
      <c r="AA2152"/>
      <c r="AB2152"/>
    </row>
    <row r="2153" spans="3:28" ht="13.5">
      <c r="C2153" s="1181" t="s">
        <v>6833</v>
      </c>
      <c r="D2153" s="1178">
        <v>0</v>
      </c>
      <c r="E2153" s="1178">
        <v>0</v>
      </c>
      <c r="F2153" s="1179">
        <v>0</v>
      </c>
      <c r="G2153" s="1189" t="s">
        <v>6833</v>
      </c>
      <c r="H2153" s="1176">
        <v>0</v>
      </c>
      <c r="I2153" s="1176">
        <v>0</v>
      </c>
      <c r="J2153" s="1190">
        <v>0</v>
      </c>
      <c r="K2153" s="1180"/>
      <c r="L2153" s="1174">
        <v>13283960200</v>
      </c>
      <c r="M2153" s="1175">
        <v>0</v>
      </c>
      <c r="N2153" s="1175">
        <v>0</v>
      </c>
      <c r="O2153" s="1176">
        <v>0</v>
      </c>
      <c r="AA2153"/>
      <c r="AB2153"/>
    </row>
    <row r="2154" spans="3:28" ht="13.5">
      <c r="C2154" s="1181" t="s">
        <v>6834</v>
      </c>
      <c r="D2154" s="1178">
        <v>0</v>
      </c>
      <c r="E2154" s="1178">
        <v>0</v>
      </c>
      <c r="F2154" s="1179">
        <v>0</v>
      </c>
      <c r="G2154" s="1189" t="s">
        <v>6834</v>
      </c>
      <c r="H2154" s="1176">
        <v>0</v>
      </c>
      <c r="I2154" s="1176">
        <v>0</v>
      </c>
      <c r="J2154" s="1190">
        <v>0</v>
      </c>
      <c r="K2154" s="1180"/>
      <c r="L2154" s="1174">
        <v>13285960100</v>
      </c>
      <c r="M2154" s="1175">
        <v>0</v>
      </c>
      <c r="N2154" s="1175">
        <v>0</v>
      </c>
      <c r="O2154" s="1176">
        <v>0</v>
      </c>
      <c r="AA2154"/>
      <c r="AB2154"/>
    </row>
    <row r="2155" spans="3:28" ht="13.5">
      <c r="C2155" s="1181" t="s">
        <v>6835</v>
      </c>
      <c r="D2155" s="1178">
        <v>1</v>
      </c>
      <c r="E2155" s="1178">
        <v>1</v>
      </c>
      <c r="F2155" s="1179">
        <v>2</v>
      </c>
      <c r="G2155" s="1189" t="s">
        <v>6835</v>
      </c>
      <c r="H2155" s="1176">
        <v>1</v>
      </c>
      <c r="I2155" s="1176">
        <v>1</v>
      </c>
      <c r="J2155" s="1190">
        <v>2</v>
      </c>
      <c r="K2155" s="1180"/>
      <c r="L2155" s="1174">
        <v>13285960201</v>
      </c>
      <c r="M2155" s="1175">
        <v>1</v>
      </c>
      <c r="N2155" s="1175">
        <v>1</v>
      </c>
      <c r="O2155" s="1176">
        <v>2</v>
      </c>
      <c r="AA2155"/>
      <c r="AB2155"/>
    </row>
    <row r="2156" spans="3:28" ht="13.5">
      <c r="C2156" s="1181" t="s">
        <v>6836</v>
      </c>
      <c r="D2156" s="1178">
        <v>1</v>
      </c>
      <c r="E2156" s="1178">
        <v>1</v>
      </c>
      <c r="F2156" s="1179">
        <v>2</v>
      </c>
      <c r="G2156" s="1189" t="s">
        <v>6836</v>
      </c>
      <c r="H2156" s="1176">
        <v>1</v>
      </c>
      <c r="I2156" s="1176">
        <v>1</v>
      </c>
      <c r="J2156" s="1190">
        <v>2</v>
      </c>
      <c r="K2156" s="1180"/>
      <c r="L2156" s="1174">
        <v>13285960202</v>
      </c>
      <c r="M2156" s="1175">
        <v>1</v>
      </c>
      <c r="N2156" s="1175">
        <v>1</v>
      </c>
      <c r="O2156" s="1176">
        <v>2</v>
      </c>
      <c r="AA2156"/>
      <c r="AB2156"/>
    </row>
    <row r="2157" spans="3:28" ht="13.5">
      <c r="C2157" s="1181" t="s">
        <v>6837</v>
      </c>
      <c r="D2157" s="1178">
        <v>1</v>
      </c>
      <c r="E2157" s="1178">
        <v>1</v>
      </c>
      <c r="F2157" s="1179">
        <v>2</v>
      </c>
      <c r="G2157" s="1189" t="s">
        <v>6837</v>
      </c>
      <c r="H2157" s="1176">
        <v>1</v>
      </c>
      <c r="I2157" s="1176">
        <v>1</v>
      </c>
      <c r="J2157" s="1190">
        <v>2</v>
      </c>
      <c r="K2157" s="1180"/>
      <c r="L2157" s="1174">
        <v>13285960300</v>
      </c>
      <c r="M2157" s="1175">
        <v>1</v>
      </c>
      <c r="N2157" s="1175">
        <v>1</v>
      </c>
      <c r="O2157" s="1176">
        <v>2</v>
      </c>
      <c r="AA2157"/>
      <c r="AB2157"/>
    </row>
    <row r="2158" spans="3:28" ht="13.5">
      <c r="C2158" s="1181" t="s">
        <v>6838</v>
      </c>
      <c r="D2158" s="1178">
        <v>0</v>
      </c>
      <c r="E2158" s="1178">
        <v>0</v>
      </c>
      <c r="F2158" s="1179">
        <v>0</v>
      </c>
      <c r="G2158" s="1189" t="s">
        <v>6838</v>
      </c>
      <c r="H2158" s="1176">
        <v>0</v>
      </c>
      <c r="I2158" s="1176">
        <v>0</v>
      </c>
      <c r="J2158" s="1190">
        <v>0</v>
      </c>
      <c r="K2158" s="1180"/>
      <c r="L2158" s="1174">
        <v>13285960400</v>
      </c>
      <c r="M2158" s="1175">
        <v>0</v>
      </c>
      <c r="N2158" s="1175">
        <v>0</v>
      </c>
      <c r="O2158" s="1176">
        <v>0</v>
      </c>
      <c r="AA2158"/>
      <c r="AB2158"/>
    </row>
    <row r="2159" spans="3:28" ht="13.5">
      <c r="C2159" s="1181" t="s">
        <v>6839</v>
      </c>
      <c r="D2159" s="1178">
        <v>0</v>
      </c>
      <c r="E2159" s="1178">
        <v>0</v>
      </c>
      <c r="F2159" s="1179">
        <v>0</v>
      </c>
      <c r="G2159" s="1189" t="s">
        <v>6839</v>
      </c>
      <c r="H2159" s="1176">
        <v>0</v>
      </c>
      <c r="I2159" s="1176">
        <v>0</v>
      </c>
      <c r="J2159" s="1190">
        <v>0</v>
      </c>
      <c r="K2159" s="1180"/>
      <c r="L2159" s="1174">
        <v>13285960501</v>
      </c>
      <c r="M2159" s="1175">
        <v>0</v>
      </c>
      <c r="N2159" s="1175">
        <v>0</v>
      </c>
      <c r="O2159" s="1176">
        <v>0</v>
      </c>
      <c r="AA2159"/>
      <c r="AB2159"/>
    </row>
    <row r="2160" spans="3:28" ht="13.5">
      <c r="C2160" s="1181" t="s">
        <v>6840</v>
      </c>
      <c r="D2160" s="1178">
        <v>0</v>
      </c>
      <c r="E2160" s="1178">
        <v>0</v>
      </c>
      <c r="F2160" s="1179">
        <v>0</v>
      </c>
      <c r="G2160" s="1189" t="s">
        <v>6840</v>
      </c>
      <c r="H2160" s="1176">
        <v>0</v>
      </c>
      <c r="I2160" s="1176">
        <v>1</v>
      </c>
      <c r="J2160" s="1190">
        <v>1</v>
      </c>
      <c r="K2160" s="1180"/>
      <c r="L2160" s="1174">
        <v>13285960502</v>
      </c>
      <c r="M2160" s="1175">
        <v>0</v>
      </c>
      <c r="N2160" s="1175">
        <v>1</v>
      </c>
      <c r="O2160" s="1176">
        <v>1</v>
      </c>
      <c r="AA2160"/>
      <c r="AB2160"/>
    </row>
    <row r="2161" spans="3:28" ht="13.5">
      <c r="C2161" s="1181" t="s">
        <v>6841</v>
      </c>
      <c r="D2161" s="1178">
        <v>0</v>
      </c>
      <c r="E2161" s="1178">
        <v>0</v>
      </c>
      <c r="F2161" s="1179">
        <v>0</v>
      </c>
      <c r="G2161" s="1189" t="s">
        <v>6841</v>
      </c>
      <c r="H2161" s="1176">
        <v>0</v>
      </c>
      <c r="I2161" s="1176">
        <v>0</v>
      </c>
      <c r="J2161" s="1190">
        <v>0</v>
      </c>
      <c r="K2161" s="1180"/>
      <c r="L2161" s="1174">
        <v>13285960600</v>
      </c>
      <c r="M2161" s="1175">
        <v>0</v>
      </c>
      <c r="N2161" s="1175">
        <v>0</v>
      </c>
      <c r="O2161" s="1176">
        <v>0</v>
      </c>
      <c r="AA2161"/>
      <c r="AB2161"/>
    </row>
    <row r="2162" spans="3:28" ht="13.5">
      <c r="C2162" s="1181" t="s">
        <v>6842</v>
      </c>
      <c r="D2162" s="1178">
        <v>0</v>
      </c>
      <c r="E2162" s="1178">
        <v>0</v>
      </c>
      <c r="F2162" s="1179">
        <v>0</v>
      </c>
      <c r="G2162" s="1189" t="s">
        <v>6842</v>
      </c>
      <c r="H2162" s="1176">
        <v>0</v>
      </c>
      <c r="I2162" s="1176">
        <v>1</v>
      </c>
      <c r="J2162" s="1190">
        <v>1</v>
      </c>
      <c r="K2162" s="1180"/>
      <c r="L2162" s="1174">
        <v>13285960700</v>
      </c>
      <c r="M2162" s="1175">
        <v>0</v>
      </c>
      <c r="N2162" s="1175">
        <v>1</v>
      </c>
      <c r="O2162" s="1176">
        <v>1</v>
      </c>
      <c r="AA2162"/>
      <c r="AB2162"/>
    </row>
    <row r="2163" spans="3:28" ht="13.5">
      <c r="C2163" s="1181" t="s">
        <v>6843</v>
      </c>
      <c r="D2163" s="1178">
        <v>0</v>
      </c>
      <c r="E2163" s="1178">
        <v>0</v>
      </c>
      <c r="F2163" s="1179">
        <v>0</v>
      </c>
      <c r="G2163" s="1189" t="s">
        <v>6843</v>
      </c>
      <c r="H2163" s="1176">
        <v>0</v>
      </c>
      <c r="I2163" s="1176">
        <v>0</v>
      </c>
      <c r="J2163" s="1190">
        <v>0</v>
      </c>
      <c r="K2163" s="1180"/>
      <c r="L2163" s="1174">
        <v>13285960800</v>
      </c>
      <c r="M2163" s="1175">
        <v>0</v>
      </c>
      <c r="N2163" s="1175">
        <v>0</v>
      </c>
      <c r="O2163" s="1176">
        <v>0</v>
      </c>
      <c r="AA2163"/>
      <c r="AB2163"/>
    </row>
    <row r="2164" spans="3:28" ht="13.5">
      <c r="C2164" s="1181" t="s">
        <v>6844</v>
      </c>
      <c r="D2164" s="1178">
        <v>0</v>
      </c>
      <c r="E2164" s="1178">
        <v>0</v>
      </c>
      <c r="F2164" s="1179">
        <v>0</v>
      </c>
      <c r="G2164" s="1189" t="s">
        <v>6844</v>
      </c>
      <c r="H2164" s="1176">
        <v>0</v>
      </c>
      <c r="I2164" s="1176">
        <v>0</v>
      </c>
      <c r="J2164" s="1190">
        <v>0</v>
      </c>
      <c r="K2164" s="1180"/>
      <c r="L2164" s="1174">
        <v>13285960901</v>
      </c>
      <c r="M2164" s="1175">
        <v>0</v>
      </c>
      <c r="N2164" s="1175">
        <v>0</v>
      </c>
      <c r="O2164" s="1176">
        <v>0</v>
      </c>
      <c r="AA2164"/>
      <c r="AB2164"/>
    </row>
    <row r="2165" spans="3:28" ht="13.5">
      <c r="C2165" s="1181" t="s">
        <v>6845</v>
      </c>
      <c r="D2165" s="1178">
        <v>1</v>
      </c>
      <c r="E2165" s="1178">
        <v>1</v>
      </c>
      <c r="F2165" s="1179">
        <v>2</v>
      </c>
      <c r="G2165" s="1189" t="s">
        <v>6845</v>
      </c>
      <c r="H2165" s="1176">
        <v>0</v>
      </c>
      <c r="I2165" s="1176">
        <v>0</v>
      </c>
      <c r="J2165" s="1190">
        <v>0</v>
      </c>
      <c r="K2165" s="1180"/>
      <c r="L2165" s="1174">
        <v>13285960902</v>
      </c>
      <c r="M2165" s="1175">
        <v>1</v>
      </c>
      <c r="N2165" s="1175">
        <v>1</v>
      </c>
      <c r="O2165" s="1176">
        <v>2</v>
      </c>
      <c r="AA2165"/>
      <c r="AB2165"/>
    </row>
    <row r="2166" spans="3:28" ht="13.5">
      <c r="C2166" s="1181" t="s">
        <v>6846</v>
      </c>
      <c r="D2166" s="1178">
        <v>0</v>
      </c>
      <c r="E2166" s="1178">
        <v>0</v>
      </c>
      <c r="F2166" s="1179">
        <v>0</v>
      </c>
      <c r="G2166" s="1189" t="s">
        <v>6846</v>
      </c>
      <c r="H2166" s="1176">
        <v>0</v>
      </c>
      <c r="I2166" s="1176">
        <v>0</v>
      </c>
      <c r="J2166" s="1190">
        <v>0</v>
      </c>
      <c r="K2166" s="1180"/>
      <c r="L2166" s="1174">
        <v>13285961000</v>
      </c>
      <c r="M2166" s="1175">
        <v>0</v>
      </c>
      <c r="N2166" s="1175">
        <v>0</v>
      </c>
      <c r="O2166" s="1176">
        <v>0</v>
      </c>
      <c r="AA2166"/>
      <c r="AB2166"/>
    </row>
    <row r="2167" spans="3:28" ht="13.5">
      <c r="C2167" s="1181" t="s">
        <v>6847</v>
      </c>
      <c r="D2167" s="1178">
        <v>1</v>
      </c>
      <c r="E2167" s="1178">
        <v>0</v>
      </c>
      <c r="F2167" s="1179">
        <v>1</v>
      </c>
      <c r="G2167" s="1189" t="s">
        <v>6847</v>
      </c>
      <c r="H2167" s="1176">
        <v>0</v>
      </c>
      <c r="I2167" s="1176">
        <v>1</v>
      </c>
      <c r="J2167" s="1190">
        <v>1</v>
      </c>
      <c r="K2167" s="1180"/>
      <c r="L2167" s="1174">
        <v>13285961100</v>
      </c>
      <c r="M2167" s="1175">
        <v>1</v>
      </c>
      <c r="N2167" s="1175">
        <v>1</v>
      </c>
      <c r="O2167" s="1176">
        <v>1</v>
      </c>
      <c r="AA2167"/>
      <c r="AB2167"/>
    </row>
    <row r="2168" spans="3:28" ht="13.5">
      <c r="C2168" s="1181" t="s">
        <v>6848</v>
      </c>
      <c r="D2168" s="1178">
        <v>0</v>
      </c>
      <c r="E2168" s="1178">
        <v>0</v>
      </c>
      <c r="F2168" s="1179">
        <v>0</v>
      </c>
      <c r="G2168" s="1189" t="s">
        <v>6848</v>
      </c>
      <c r="H2168" s="1176">
        <v>0</v>
      </c>
      <c r="I2168" s="1176">
        <v>0</v>
      </c>
      <c r="J2168" s="1190">
        <v>0</v>
      </c>
      <c r="K2168" s="1180"/>
      <c r="L2168" s="1174">
        <v>13287970200</v>
      </c>
      <c r="M2168" s="1175">
        <v>0</v>
      </c>
      <c r="N2168" s="1175">
        <v>0</v>
      </c>
      <c r="O2168" s="1176">
        <v>0</v>
      </c>
      <c r="AA2168"/>
      <c r="AB2168"/>
    </row>
    <row r="2169" spans="3:28" ht="13.5">
      <c r="C2169" s="1181" t="s">
        <v>6849</v>
      </c>
      <c r="D2169" s="1178">
        <v>0</v>
      </c>
      <c r="E2169" s="1178">
        <v>1</v>
      </c>
      <c r="F2169" s="1179">
        <v>1</v>
      </c>
      <c r="G2169" s="1189" t="s">
        <v>6849</v>
      </c>
      <c r="H2169" s="1176">
        <v>0</v>
      </c>
      <c r="I2169" s="1176">
        <v>0</v>
      </c>
      <c r="J2169" s="1190">
        <v>0</v>
      </c>
      <c r="K2169" s="1180"/>
      <c r="L2169" s="1174">
        <v>13287970300</v>
      </c>
      <c r="M2169" s="1175">
        <v>0</v>
      </c>
      <c r="N2169" s="1175">
        <v>1</v>
      </c>
      <c r="O2169" s="1176">
        <v>1</v>
      </c>
      <c r="AA2169"/>
      <c r="AB2169"/>
    </row>
    <row r="2170" spans="3:28" ht="13.5">
      <c r="C2170" s="1181" t="s">
        <v>6850</v>
      </c>
      <c r="D2170" s="1178">
        <v>0</v>
      </c>
      <c r="E2170" s="1178">
        <v>0</v>
      </c>
      <c r="F2170" s="1179">
        <v>0</v>
      </c>
      <c r="G2170" s="1189" t="s">
        <v>6850</v>
      </c>
      <c r="H2170" s="1176">
        <v>0</v>
      </c>
      <c r="I2170" s="1176">
        <v>0</v>
      </c>
      <c r="J2170" s="1190">
        <v>0</v>
      </c>
      <c r="K2170" s="1180"/>
      <c r="L2170" s="1174">
        <v>13289060100</v>
      </c>
      <c r="M2170" s="1175">
        <v>0</v>
      </c>
      <c r="N2170" s="1175">
        <v>0</v>
      </c>
      <c r="O2170" s="1176">
        <v>0</v>
      </c>
      <c r="AA2170"/>
      <c r="AB2170"/>
    </row>
    <row r="2171" spans="3:28" ht="13.5">
      <c r="C2171" s="1181" t="s">
        <v>6851</v>
      </c>
      <c r="D2171" s="1178">
        <v>0</v>
      </c>
      <c r="E2171" s="1178">
        <v>0</v>
      </c>
      <c r="F2171" s="1179">
        <v>0</v>
      </c>
      <c r="G2171" s="1189" t="s">
        <v>6851</v>
      </c>
      <c r="H2171" s="1176">
        <v>0</v>
      </c>
      <c r="I2171" s="1176">
        <v>0</v>
      </c>
      <c r="J2171" s="1190">
        <v>0</v>
      </c>
      <c r="K2171" s="1180"/>
      <c r="L2171" s="1174">
        <v>13289060200</v>
      </c>
      <c r="M2171" s="1175">
        <v>0</v>
      </c>
      <c r="N2171" s="1175">
        <v>0</v>
      </c>
      <c r="O2171" s="1176">
        <v>0</v>
      </c>
      <c r="AA2171"/>
      <c r="AB2171"/>
    </row>
    <row r="2172" spans="3:28" ht="13.5">
      <c r="C2172" s="1181" t="s">
        <v>6852</v>
      </c>
      <c r="D2172" s="1178">
        <v>0</v>
      </c>
      <c r="E2172" s="1178">
        <v>0</v>
      </c>
      <c r="F2172" s="1179">
        <v>0</v>
      </c>
      <c r="G2172" s="1189" t="s">
        <v>6852</v>
      </c>
      <c r="H2172" s="1176">
        <v>0</v>
      </c>
      <c r="I2172" s="1176">
        <v>0</v>
      </c>
      <c r="J2172" s="1190">
        <v>0</v>
      </c>
      <c r="K2172" s="1180"/>
      <c r="L2172" s="1174">
        <v>13291000101</v>
      </c>
      <c r="M2172" s="1175">
        <v>0</v>
      </c>
      <c r="N2172" s="1175">
        <v>0</v>
      </c>
      <c r="O2172" s="1176">
        <v>0</v>
      </c>
      <c r="AA2172"/>
      <c r="AB2172"/>
    </row>
    <row r="2173" spans="3:28" ht="13.5">
      <c r="C2173" s="1181" t="s">
        <v>6853</v>
      </c>
      <c r="D2173" s="1178">
        <v>0</v>
      </c>
      <c r="E2173" s="1178">
        <v>1</v>
      </c>
      <c r="F2173" s="1179">
        <v>1</v>
      </c>
      <c r="G2173" s="1189" t="s">
        <v>6853</v>
      </c>
      <c r="H2173" s="1176">
        <v>0</v>
      </c>
      <c r="I2173" s="1176" t="s">
        <v>4455</v>
      </c>
      <c r="J2173" s="1190">
        <v>0</v>
      </c>
      <c r="K2173" s="1180"/>
      <c r="L2173" s="1174">
        <v>13291000102</v>
      </c>
      <c r="M2173" s="1175">
        <v>0</v>
      </c>
      <c r="N2173" s="1175">
        <v>1</v>
      </c>
      <c r="O2173" s="1176">
        <v>1</v>
      </c>
      <c r="AA2173"/>
      <c r="AB2173"/>
    </row>
    <row r="2174" spans="3:28" ht="13.5">
      <c r="C2174" s="1181" t="s">
        <v>6854</v>
      </c>
      <c r="D2174" s="1178">
        <v>1</v>
      </c>
      <c r="E2174" s="1178">
        <v>1</v>
      </c>
      <c r="F2174" s="1179">
        <v>2</v>
      </c>
      <c r="G2174" s="1189" t="s">
        <v>6854</v>
      </c>
      <c r="H2174" s="1176">
        <v>0</v>
      </c>
      <c r="I2174" s="1176">
        <v>1</v>
      </c>
      <c r="J2174" s="1190">
        <v>1</v>
      </c>
      <c r="K2174" s="1180"/>
      <c r="L2174" s="1174">
        <v>13291000201</v>
      </c>
      <c r="M2174" s="1175">
        <v>1</v>
      </c>
      <c r="N2174" s="1175">
        <v>1</v>
      </c>
      <c r="O2174" s="1176">
        <v>2</v>
      </c>
      <c r="AA2174"/>
      <c r="AB2174"/>
    </row>
    <row r="2175" spans="3:28" ht="13.5">
      <c r="C2175" s="1181" t="s">
        <v>6855</v>
      </c>
      <c r="D2175" s="1178">
        <v>0</v>
      </c>
      <c r="E2175" s="1178">
        <v>1</v>
      </c>
      <c r="F2175" s="1179">
        <v>1</v>
      </c>
      <c r="G2175" s="1189" t="s">
        <v>6855</v>
      </c>
      <c r="H2175" s="1176">
        <v>0</v>
      </c>
      <c r="I2175" s="1176" t="s">
        <v>4455</v>
      </c>
      <c r="J2175" s="1190">
        <v>0</v>
      </c>
      <c r="K2175" s="1180"/>
      <c r="L2175" s="1174">
        <v>13291000203</v>
      </c>
      <c r="M2175" s="1175">
        <v>0</v>
      </c>
      <c r="N2175" s="1175">
        <v>1</v>
      </c>
      <c r="O2175" s="1176">
        <v>1</v>
      </c>
      <c r="AA2175"/>
      <c r="AB2175"/>
    </row>
    <row r="2176" spans="3:28" ht="13.5">
      <c r="C2176" s="1181" t="s">
        <v>6856</v>
      </c>
      <c r="D2176" s="1178">
        <v>0</v>
      </c>
      <c r="E2176" s="1178">
        <v>0</v>
      </c>
      <c r="F2176" s="1179">
        <v>0</v>
      </c>
      <c r="G2176" s="1189" t="s">
        <v>6856</v>
      </c>
      <c r="H2176" s="1176">
        <v>1</v>
      </c>
      <c r="I2176" s="1176">
        <v>0</v>
      </c>
      <c r="J2176" s="1190">
        <v>1</v>
      </c>
      <c r="K2176" s="1180"/>
      <c r="L2176" s="1174">
        <v>13291000204</v>
      </c>
      <c r="M2176" s="1175">
        <v>1</v>
      </c>
      <c r="N2176" s="1175">
        <v>0</v>
      </c>
      <c r="O2176" s="1176">
        <v>1</v>
      </c>
      <c r="AA2176"/>
      <c r="AB2176"/>
    </row>
    <row r="2177" spans="3:28" ht="13.5">
      <c r="C2177" s="1181" t="s">
        <v>6857</v>
      </c>
      <c r="D2177" s="1178">
        <v>0</v>
      </c>
      <c r="E2177" s="1178">
        <v>0</v>
      </c>
      <c r="F2177" s="1179">
        <v>0</v>
      </c>
      <c r="G2177" s="1189" t="s">
        <v>6857</v>
      </c>
      <c r="H2177" s="1176">
        <v>1</v>
      </c>
      <c r="I2177" s="1176">
        <v>0</v>
      </c>
      <c r="J2177" s="1190">
        <v>1</v>
      </c>
      <c r="K2177" s="1180"/>
      <c r="L2177" s="1174">
        <v>13291000205</v>
      </c>
      <c r="M2177" s="1175">
        <v>1</v>
      </c>
      <c r="N2177" s="1175">
        <v>0</v>
      </c>
      <c r="O2177" s="1176">
        <v>1</v>
      </c>
      <c r="AA2177"/>
      <c r="AB2177"/>
    </row>
    <row r="2178" spans="3:28" ht="13.5">
      <c r="C2178" s="1181" t="s">
        <v>6858</v>
      </c>
      <c r="D2178" s="1178">
        <v>0</v>
      </c>
      <c r="E2178" s="1178">
        <v>0</v>
      </c>
      <c r="F2178" s="1179">
        <v>0</v>
      </c>
      <c r="G2178" s="1189" t="s">
        <v>6858</v>
      </c>
      <c r="H2178" s="1176">
        <v>0</v>
      </c>
      <c r="I2178" s="1176">
        <v>0</v>
      </c>
      <c r="J2178" s="1190">
        <v>0</v>
      </c>
      <c r="K2178" s="1180"/>
      <c r="L2178" s="1174">
        <v>13293010100</v>
      </c>
      <c r="M2178" s="1175">
        <v>0</v>
      </c>
      <c r="N2178" s="1175">
        <v>0</v>
      </c>
      <c r="O2178" s="1176">
        <v>0</v>
      </c>
      <c r="AA2178"/>
      <c r="AB2178"/>
    </row>
    <row r="2179" spans="3:28" ht="13.5">
      <c r="C2179" s="1181" t="s">
        <v>6859</v>
      </c>
      <c r="D2179" s="1178">
        <v>0</v>
      </c>
      <c r="E2179" s="1178">
        <v>0</v>
      </c>
      <c r="F2179" s="1179">
        <v>0</v>
      </c>
      <c r="G2179" s="1189" t="s">
        <v>6859</v>
      </c>
      <c r="H2179" s="1176">
        <v>0</v>
      </c>
      <c r="I2179" s="1176">
        <v>0</v>
      </c>
      <c r="J2179" s="1190">
        <v>0</v>
      </c>
      <c r="K2179" s="1180"/>
      <c r="L2179" s="1174">
        <v>13293010201</v>
      </c>
      <c r="M2179" s="1175">
        <v>0</v>
      </c>
      <c r="N2179" s="1175">
        <v>0</v>
      </c>
      <c r="O2179" s="1176">
        <v>0</v>
      </c>
      <c r="AA2179"/>
      <c r="AB2179"/>
    </row>
    <row r="2180" spans="3:28" ht="13.5">
      <c r="C2180" s="1181" t="s">
        <v>6860</v>
      </c>
      <c r="D2180" s="1178">
        <v>0</v>
      </c>
      <c r="E2180" s="1178">
        <v>0</v>
      </c>
      <c r="F2180" s="1179">
        <v>0</v>
      </c>
      <c r="G2180" s="1189" t="s">
        <v>6860</v>
      </c>
      <c r="H2180" s="1176">
        <v>0</v>
      </c>
      <c r="I2180" s="1176">
        <v>1</v>
      </c>
      <c r="J2180" s="1190">
        <v>1</v>
      </c>
      <c r="K2180" s="1180"/>
      <c r="L2180" s="1174">
        <v>13293010202</v>
      </c>
      <c r="M2180" s="1175">
        <v>0</v>
      </c>
      <c r="N2180" s="1175">
        <v>1</v>
      </c>
      <c r="O2180" s="1176">
        <v>1</v>
      </c>
      <c r="AA2180"/>
      <c r="AB2180"/>
    </row>
    <row r="2181" spans="3:28" ht="13.5">
      <c r="C2181" s="1181" t="s">
        <v>6861</v>
      </c>
      <c r="D2181" s="1178">
        <v>0</v>
      </c>
      <c r="E2181" s="1178">
        <v>1</v>
      </c>
      <c r="F2181" s="1179">
        <v>1</v>
      </c>
      <c r="G2181" s="1189" t="s">
        <v>6861</v>
      </c>
      <c r="H2181" s="1176">
        <v>0</v>
      </c>
      <c r="I2181" s="1176">
        <v>0</v>
      </c>
      <c r="J2181" s="1190">
        <v>0</v>
      </c>
      <c r="K2181" s="1180"/>
      <c r="L2181" s="1174">
        <v>13293010300</v>
      </c>
      <c r="M2181" s="1175">
        <v>0</v>
      </c>
      <c r="N2181" s="1175">
        <v>1</v>
      </c>
      <c r="O2181" s="1176">
        <v>1</v>
      </c>
      <c r="AA2181"/>
      <c r="AB2181"/>
    </row>
    <row r="2182" spans="3:28" ht="13.5">
      <c r="C2182" s="1181" t="s">
        <v>6862</v>
      </c>
      <c r="D2182" s="1178">
        <v>0</v>
      </c>
      <c r="E2182" s="1178">
        <v>0</v>
      </c>
      <c r="F2182" s="1179">
        <v>0</v>
      </c>
      <c r="G2182" s="1189" t="s">
        <v>6862</v>
      </c>
      <c r="H2182" s="1176">
        <v>0</v>
      </c>
      <c r="I2182" s="1176">
        <v>0</v>
      </c>
      <c r="J2182" s="1190">
        <v>0</v>
      </c>
      <c r="K2182" s="1180"/>
      <c r="L2182" s="1174">
        <v>13293010400</v>
      </c>
      <c r="M2182" s="1175">
        <v>0</v>
      </c>
      <c r="N2182" s="1175">
        <v>0</v>
      </c>
      <c r="O2182" s="1176">
        <v>0</v>
      </c>
      <c r="AA2182"/>
      <c r="AB2182"/>
    </row>
    <row r="2183" spans="3:28" ht="13.5">
      <c r="C2183" s="1181" t="s">
        <v>6863</v>
      </c>
      <c r="D2183" s="1178">
        <v>0</v>
      </c>
      <c r="E2183" s="1178">
        <v>0</v>
      </c>
      <c r="F2183" s="1179">
        <v>0</v>
      </c>
      <c r="G2183" s="1189" t="s">
        <v>6863</v>
      </c>
      <c r="H2183" s="1176">
        <v>0</v>
      </c>
      <c r="I2183" s="1176">
        <v>0</v>
      </c>
      <c r="J2183" s="1190">
        <v>0</v>
      </c>
      <c r="K2183" s="1180"/>
      <c r="L2183" s="1174">
        <v>13293010500</v>
      </c>
      <c r="M2183" s="1175">
        <v>0</v>
      </c>
      <c r="N2183" s="1175">
        <v>0</v>
      </c>
      <c r="O2183" s="1176">
        <v>0</v>
      </c>
      <c r="AA2183"/>
      <c r="AB2183"/>
    </row>
    <row r="2184" spans="3:28" ht="13.5">
      <c r="C2184" s="1181" t="s">
        <v>6864</v>
      </c>
      <c r="D2184" s="1178">
        <v>0</v>
      </c>
      <c r="E2184" s="1178">
        <v>0</v>
      </c>
      <c r="F2184" s="1179">
        <v>0</v>
      </c>
      <c r="G2184" s="1189" t="s">
        <v>6864</v>
      </c>
      <c r="H2184" s="1176">
        <v>0</v>
      </c>
      <c r="I2184" s="1176">
        <v>0</v>
      </c>
      <c r="J2184" s="1190">
        <v>0</v>
      </c>
      <c r="K2184" s="1180"/>
      <c r="L2184" s="1174">
        <v>13293010600</v>
      </c>
      <c r="M2184" s="1175">
        <v>0</v>
      </c>
      <c r="N2184" s="1175">
        <v>0</v>
      </c>
      <c r="O2184" s="1176">
        <v>0</v>
      </c>
      <c r="AA2184"/>
      <c r="AB2184"/>
    </row>
    <row r="2185" spans="3:28" ht="13.5">
      <c r="C2185" s="1181" t="s">
        <v>6865</v>
      </c>
      <c r="D2185" s="1178">
        <v>0</v>
      </c>
      <c r="E2185" s="1178">
        <v>0</v>
      </c>
      <c r="F2185" s="1179">
        <v>0</v>
      </c>
      <c r="G2185" s="1189" t="s">
        <v>6865</v>
      </c>
      <c r="H2185" s="1176">
        <v>0</v>
      </c>
      <c r="I2185" s="1176">
        <v>0</v>
      </c>
      <c r="J2185" s="1190">
        <v>0</v>
      </c>
      <c r="K2185" s="1180"/>
      <c r="L2185" s="1174">
        <v>13295020100</v>
      </c>
      <c r="M2185" s="1175">
        <v>0</v>
      </c>
      <c r="N2185" s="1175">
        <v>0</v>
      </c>
      <c r="O2185" s="1176">
        <v>0</v>
      </c>
      <c r="AA2185"/>
      <c r="AB2185"/>
    </row>
    <row r="2186" spans="3:28" ht="13.5">
      <c r="C2186" s="1181" t="s">
        <v>6866</v>
      </c>
      <c r="D2186" s="1178">
        <v>0</v>
      </c>
      <c r="E2186" s="1178">
        <v>0</v>
      </c>
      <c r="F2186" s="1179">
        <v>0</v>
      </c>
      <c r="G2186" s="1189" t="s">
        <v>6866</v>
      </c>
      <c r="H2186" s="1176">
        <v>0</v>
      </c>
      <c r="I2186" s="1176">
        <v>0</v>
      </c>
      <c r="J2186" s="1190">
        <v>0</v>
      </c>
      <c r="K2186" s="1180"/>
      <c r="L2186" s="1174">
        <v>13295020200</v>
      </c>
      <c r="M2186" s="1175">
        <v>0</v>
      </c>
      <c r="N2186" s="1175">
        <v>0</v>
      </c>
      <c r="O2186" s="1176">
        <v>0</v>
      </c>
      <c r="AA2186"/>
      <c r="AB2186"/>
    </row>
    <row r="2187" spans="3:28" ht="13.5">
      <c r="C2187" s="1181" t="s">
        <v>6867</v>
      </c>
      <c r="D2187" s="1178">
        <v>0</v>
      </c>
      <c r="E2187" s="1178">
        <v>0</v>
      </c>
      <c r="F2187" s="1179">
        <v>0</v>
      </c>
      <c r="G2187" s="1189" t="s">
        <v>6867</v>
      </c>
      <c r="H2187" s="1176">
        <v>0</v>
      </c>
      <c r="I2187" s="1176">
        <v>0</v>
      </c>
      <c r="J2187" s="1190">
        <v>0</v>
      </c>
      <c r="K2187" s="1180"/>
      <c r="L2187" s="1174">
        <v>13295020301</v>
      </c>
      <c r="M2187" s="1175">
        <v>0</v>
      </c>
      <c r="N2187" s="1175">
        <v>0</v>
      </c>
      <c r="O2187" s="1176">
        <v>0</v>
      </c>
      <c r="AA2187"/>
      <c r="AB2187"/>
    </row>
    <row r="2188" spans="3:28" ht="13.5">
      <c r="C2188" s="1181" t="s">
        <v>6868</v>
      </c>
      <c r="D2188" s="1178">
        <v>0</v>
      </c>
      <c r="E2188" s="1178">
        <v>0</v>
      </c>
      <c r="F2188" s="1179">
        <v>0</v>
      </c>
      <c r="G2188" s="1189" t="s">
        <v>6868</v>
      </c>
      <c r="H2188" s="1176">
        <v>0</v>
      </c>
      <c r="I2188" s="1176">
        <v>0</v>
      </c>
      <c r="J2188" s="1190">
        <v>0</v>
      </c>
      <c r="K2188" s="1180"/>
      <c r="L2188" s="1174">
        <v>13295020302</v>
      </c>
      <c r="M2188" s="1175">
        <v>0</v>
      </c>
      <c r="N2188" s="1175">
        <v>0</v>
      </c>
      <c r="O2188" s="1176">
        <v>0</v>
      </c>
      <c r="AA2188"/>
      <c r="AB2188"/>
    </row>
    <row r="2189" spans="3:28" ht="13.5">
      <c r="C2189" s="1181" t="s">
        <v>6869</v>
      </c>
      <c r="D2189" s="1178">
        <v>1</v>
      </c>
      <c r="E2189" s="1178">
        <v>1</v>
      </c>
      <c r="F2189" s="1179">
        <v>2</v>
      </c>
      <c r="G2189" s="1189" t="s">
        <v>6869</v>
      </c>
      <c r="H2189" s="1176">
        <v>1</v>
      </c>
      <c r="I2189" s="1176">
        <v>1</v>
      </c>
      <c r="J2189" s="1190">
        <v>2</v>
      </c>
      <c r="K2189" s="1180"/>
      <c r="L2189" s="1174">
        <v>13295020400</v>
      </c>
      <c r="M2189" s="1175">
        <v>1</v>
      </c>
      <c r="N2189" s="1175">
        <v>1</v>
      </c>
      <c r="O2189" s="1176">
        <v>2</v>
      </c>
      <c r="AA2189"/>
      <c r="AB2189"/>
    </row>
    <row r="2190" spans="3:28" ht="13.5">
      <c r="C2190" s="1181" t="s">
        <v>6870</v>
      </c>
      <c r="D2190" s="1178">
        <v>1</v>
      </c>
      <c r="E2190" s="1178">
        <v>0</v>
      </c>
      <c r="F2190" s="1179">
        <v>1</v>
      </c>
      <c r="G2190" s="1189" t="s">
        <v>6870</v>
      </c>
      <c r="H2190" s="1176">
        <v>0</v>
      </c>
      <c r="I2190" s="1176">
        <v>0</v>
      </c>
      <c r="J2190" s="1190">
        <v>0</v>
      </c>
      <c r="K2190" s="1180"/>
      <c r="L2190" s="1174">
        <v>13295020501</v>
      </c>
      <c r="M2190" s="1175">
        <v>1</v>
      </c>
      <c r="N2190" s="1175">
        <v>0</v>
      </c>
      <c r="O2190" s="1176">
        <v>1</v>
      </c>
      <c r="AA2190"/>
      <c r="AB2190"/>
    </row>
    <row r="2191" spans="3:28" ht="13.5">
      <c r="C2191" s="1181" t="s">
        <v>6871</v>
      </c>
      <c r="D2191" s="1178">
        <v>0</v>
      </c>
      <c r="E2191" s="1178">
        <v>1</v>
      </c>
      <c r="F2191" s="1179">
        <v>1</v>
      </c>
      <c r="G2191" s="1189" t="s">
        <v>6871</v>
      </c>
      <c r="H2191" s="1176">
        <v>1</v>
      </c>
      <c r="I2191" s="1176">
        <v>1</v>
      </c>
      <c r="J2191" s="1190">
        <v>2</v>
      </c>
      <c r="K2191" s="1180"/>
      <c r="L2191" s="1174">
        <v>13295020502</v>
      </c>
      <c r="M2191" s="1175">
        <v>1</v>
      </c>
      <c r="N2191" s="1175">
        <v>1</v>
      </c>
      <c r="O2191" s="1176">
        <v>2</v>
      </c>
      <c r="AA2191"/>
      <c r="AB2191"/>
    </row>
    <row r="2192" spans="3:28" ht="13.5">
      <c r="C2192" s="1181" t="s">
        <v>6872</v>
      </c>
      <c r="D2192" s="1178">
        <v>0</v>
      </c>
      <c r="E2192" s="1178">
        <v>1</v>
      </c>
      <c r="F2192" s="1179">
        <v>1</v>
      </c>
      <c r="G2192" s="1189" t="s">
        <v>6872</v>
      </c>
      <c r="H2192" s="1176">
        <v>0</v>
      </c>
      <c r="I2192" s="1176">
        <v>1</v>
      </c>
      <c r="J2192" s="1190">
        <v>1</v>
      </c>
      <c r="K2192" s="1180"/>
      <c r="L2192" s="1174">
        <v>13295020601</v>
      </c>
      <c r="M2192" s="1175">
        <v>0</v>
      </c>
      <c r="N2192" s="1175">
        <v>1</v>
      </c>
      <c r="O2192" s="1176">
        <v>1</v>
      </c>
      <c r="AA2192"/>
      <c r="AB2192"/>
    </row>
    <row r="2193" spans="3:28" ht="13.5">
      <c r="C2193" s="1181" t="s">
        <v>6873</v>
      </c>
      <c r="D2193" s="1178">
        <v>0</v>
      </c>
      <c r="E2193" s="1178">
        <v>0</v>
      </c>
      <c r="F2193" s="1179">
        <v>0</v>
      </c>
      <c r="G2193" s="1189" t="s">
        <v>6873</v>
      </c>
      <c r="H2193" s="1176">
        <v>0</v>
      </c>
      <c r="I2193" s="1176">
        <v>0</v>
      </c>
      <c r="J2193" s="1190">
        <v>0</v>
      </c>
      <c r="K2193" s="1180"/>
      <c r="L2193" s="1174">
        <v>13295020602</v>
      </c>
      <c r="M2193" s="1175">
        <v>0</v>
      </c>
      <c r="N2193" s="1175">
        <v>0</v>
      </c>
      <c r="O2193" s="1176">
        <v>0</v>
      </c>
      <c r="AA2193"/>
      <c r="AB2193"/>
    </row>
    <row r="2194" spans="3:28" ht="13.5">
      <c r="C2194" s="1181" t="s">
        <v>6874</v>
      </c>
      <c r="D2194" s="1178">
        <v>0</v>
      </c>
      <c r="E2194" s="1178">
        <v>0</v>
      </c>
      <c r="F2194" s="1179">
        <v>0</v>
      </c>
      <c r="G2194" s="1189" t="s">
        <v>6874</v>
      </c>
      <c r="H2194" s="1176">
        <v>0</v>
      </c>
      <c r="I2194" s="1176">
        <v>0</v>
      </c>
      <c r="J2194" s="1190">
        <v>0</v>
      </c>
      <c r="K2194" s="1180"/>
      <c r="L2194" s="1174">
        <v>13295020700</v>
      </c>
      <c r="M2194" s="1175">
        <v>0</v>
      </c>
      <c r="N2194" s="1175">
        <v>0</v>
      </c>
      <c r="O2194" s="1176">
        <v>0</v>
      </c>
      <c r="AA2194"/>
      <c r="AB2194"/>
    </row>
    <row r="2195" spans="3:28" ht="13.5">
      <c r="C2195" s="1181" t="s">
        <v>6875</v>
      </c>
      <c r="D2195" s="1178">
        <v>0</v>
      </c>
      <c r="E2195" s="1178">
        <v>0</v>
      </c>
      <c r="F2195" s="1179">
        <v>0</v>
      </c>
      <c r="G2195" s="1189" t="s">
        <v>6875</v>
      </c>
      <c r="H2195" s="1176">
        <v>0</v>
      </c>
      <c r="I2195" s="1176">
        <v>0</v>
      </c>
      <c r="J2195" s="1190">
        <v>0</v>
      </c>
      <c r="K2195" s="1180"/>
      <c r="L2195" s="1174">
        <v>13295020800</v>
      </c>
      <c r="M2195" s="1175">
        <v>0</v>
      </c>
      <c r="N2195" s="1175">
        <v>0</v>
      </c>
      <c r="O2195" s="1176">
        <v>0</v>
      </c>
      <c r="AA2195"/>
      <c r="AB2195"/>
    </row>
    <row r="2196" spans="3:28" ht="13.5">
      <c r="C2196" s="1181" t="s">
        <v>6876</v>
      </c>
      <c r="D2196" s="1178">
        <v>0</v>
      </c>
      <c r="E2196" s="1178">
        <v>0</v>
      </c>
      <c r="F2196" s="1179">
        <v>0</v>
      </c>
      <c r="G2196" s="1189" t="s">
        <v>6876</v>
      </c>
      <c r="H2196" s="1176">
        <v>1</v>
      </c>
      <c r="I2196" s="1176">
        <v>1</v>
      </c>
      <c r="J2196" s="1190">
        <v>2</v>
      </c>
      <c r="K2196" s="1180"/>
      <c r="L2196" s="1174">
        <v>13295020901</v>
      </c>
      <c r="M2196" s="1175">
        <v>1</v>
      </c>
      <c r="N2196" s="1175">
        <v>1</v>
      </c>
      <c r="O2196" s="1176">
        <v>2</v>
      </c>
      <c r="AA2196"/>
      <c r="AB2196"/>
    </row>
    <row r="2197" spans="3:28" ht="13.5">
      <c r="C2197" s="1181" t="s">
        <v>6877</v>
      </c>
      <c r="D2197" s="1178">
        <v>0</v>
      </c>
      <c r="E2197" s="1178">
        <v>0</v>
      </c>
      <c r="F2197" s="1179">
        <v>0</v>
      </c>
      <c r="G2197" s="1189" t="s">
        <v>6877</v>
      </c>
      <c r="H2197" s="1176">
        <v>0</v>
      </c>
      <c r="I2197" s="1176">
        <v>1</v>
      </c>
      <c r="J2197" s="1190">
        <v>1</v>
      </c>
      <c r="K2197" s="1180"/>
      <c r="L2197" s="1174">
        <v>13295020902</v>
      </c>
      <c r="M2197" s="1175">
        <v>0</v>
      </c>
      <c r="N2197" s="1175">
        <v>1</v>
      </c>
      <c r="O2197" s="1176">
        <v>1</v>
      </c>
      <c r="AA2197"/>
      <c r="AB2197"/>
    </row>
    <row r="2198" spans="3:28" ht="13.5">
      <c r="C2198" s="1181" t="s">
        <v>6878</v>
      </c>
      <c r="D2198" s="1178">
        <v>1</v>
      </c>
      <c r="E2198" s="1178">
        <v>1</v>
      </c>
      <c r="F2198" s="1179">
        <v>2</v>
      </c>
      <c r="G2198" s="1189" t="s">
        <v>6878</v>
      </c>
      <c r="H2198" s="1176">
        <v>1</v>
      </c>
      <c r="I2198" s="1176">
        <v>1</v>
      </c>
      <c r="J2198" s="1190">
        <v>2</v>
      </c>
      <c r="K2198" s="1180"/>
      <c r="L2198" s="1174">
        <v>13297110100</v>
      </c>
      <c r="M2198" s="1175">
        <v>1</v>
      </c>
      <c r="N2198" s="1175">
        <v>1</v>
      </c>
      <c r="O2198" s="1176">
        <v>2</v>
      </c>
      <c r="AA2198"/>
      <c r="AB2198"/>
    </row>
    <row r="2199" spans="3:28" ht="13.5">
      <c r="C2199" s="1181" t="s">
        <v>6879</v>
      </c>
      <c r="D2199" s="1178">
        <v>1</v>
      </c>
      <c r="E2199" s="1178">
        <v>1</v>
      </c>
      <c r="F2199" s="1179">
        <v>2</v>
      </c>
      <c r="G2199" s="1189" t="s">
        <v>6879</v>
      </c>
      <c r="H2199" s="1176">
        <v>1</v>
      </c>
      <c r="I2199" s="1176">
        <v>0</v>
      </c>
      <c r="J2199" s="1190">
        <v>1</v>
      </c>
      <c r="K2199" s="1180"/>
      <c r="L2199" s="1174">
        <v>13297110200</v>
      </c>
      <c r="M2199" s="1175">
        <v>1</v>
      </c>
      <c r="N2199" s="1175">
        <v>1</v>
      </c>
      <c r="O2199" s="1176">
        <v>2</v>
      </c>
      <c r="AA2199"/>
      <c r="AB2199"/>
    </row>
    <row r="2200" spans="3:28" ht="13.5">
      <c r="C2200" s="1181" t="s">
        <v>6880</v>
      </c>
      <c r="D2200" s="1178">
        <v>0</v>
      </c>
      <c r="E2200" s="1178">
        <v>0</v>
      </c>
      <c r="F2200" s="1179">
        <v>0</v>
      </c>
      <c r="G2200" s="1189" t="s">
        <v>6880</v>
      </c>
      <c r="H2200" s="1176">
        <v>0</v>
      </c>
      <c r="I2200" s="1176">
        <v>0</v>
      </c>
      <c r="J2200" s="1190">
        <v>0</v>
      </c>
      <c r="K2200" s="1180"/>
      <c r="L2200" s="1174">
        <v>13297110300</v>
      </c>
      <c r="M2200" s="1175">
        <v>0</v>
      </c>
      <c r="N2200" s="1175">
        <v>0</v>
      </c>
      <c r="O2200" s="1176">
        <v>0</v>
      </c>
      <c r="AA2200"/>
      <c r="AB2200"/>
    </row>
    <row r="2201" spans="3:28" ht="13.5">
      <c r="C2201" s="1181" t="s">
        <v>6881</v>
      </c>
      <c r="D2201" s="1178">
        <v>0</v>
      </c>
      <c r="E2201" s="1178">
        <v>0</v>
      </c>
      <c r="F2201" s="1179">
        <v>0</v>
      </c>
      <c r="G2201" s="1189" t="s">
        <v>6881</v>
      </c>
      <c r="H2201" s="1176">
        <v>0</v>
      </c>
      <c r="I2201" s="1176">
        <v>0</v>
      </c>
      <c r="J2201" s="1190">
        <v>0</v>
      </c>
      <c r="K2201" s="1180"/>
      <c r="L2201" s="1174">
        <v>13297110400</v>
      </c>
      <c r="M2201" s="1175">
        <v>0</v>
      </c>
      <c r="N2201" s="1175">
        <v>0</v>
      </c>
      <c r="O2201" s="1176">
        <v>0</v>
      </c>
      <c r="AA2201"/>
      <c r="AB2201"/>
    </row>
    <row r="2202" spans="3:28" ht="13.5">
      <c r="C2202" s="1181" t="s">
        <v>6882</v>
      </c>
      <c r="D2202" s="1178">
        <v>1</v>
      </c>
      <c r="E2202" s="1178">
        <v>1</v>
      </c>
      <c r="F2202" s="1179">
        <v>2</v>
      </c>
      <c r="G2202" s="1189" t="s">
        <v>6882</v>
      </c>
      <c r="H2202" s="1176">
        <v>1</v>
      </c>
      <c r="I2202" s="1176">
        <v>1</v>
      </c>
      <c r="J2202" s="1190">
        <v>2</v>
      </c>
      <c r="K2202" s="1180"/>
      <c r="L2202" s="1174">
        <v>13297110503</v>
      </c>
      <c r="M2202" s="1175">
        <v>1</v>
      </c>
      <c r="N2202" s="1175">
        <v>1</v>
      </c>
      <c r="O2202" s="1176">
        <v>2</v>
      </c>
      <c r="AA2202"/>
      <c r="AB2202"/>
    </row>
    <row r="2203" spans="3:28" ht="13.5">
      <c r="C2203" s="1181" t="s">
        <v>6883</v>
      </c>
      <c r="D2203" s="1178">
        <v>1</v>
      </c>
      <c r="E2203" s="1178">
        <v>1</v>
      </c>
      <c r="F2203" s="1179">
        <v>2</v>
      </c>
      <c r="G2203" s="1189" t="s">
        <v>6883</v>
      </c>
      <c r="H2203" s="1176">
        <v>1</v>
      </c>
      <c r="I2203" s="1176">
        <v>1</v>
      </c>
      <c r="J2203" s="1190">
        <v>2</v>
      </c>
      <c r="K2203" s="1180"/>
      <c r="L2203" s="1174">
        <v>13297110504</v>
      </c>
      <c r="M2203" s="1175">
        <v>1</v>
      </c>
      <c r="N2203" s="1175">
        <v>1</v>
      </c>
      <c r="O2203" s="1176">
        <v>2</v>
      </c>
      <c r="AA2203"/>
      <c r="AB2203"/>
    </row>
    <row r="2204" spans="3:28" ht="13.5">
      <c r="C2204" s="1181" t="s">
        <v>6884</v>
      </c>
      <c r="D2204" s="1178">
        <v>1</v>
      </c>
      <c r="E2204" s="1178">
        <v>1</v>
      </c>
      <c r="F2204" s="1179">
        <v>2</v>
      </c>
      <c r="G2204" s="1189" t="s">
        <v>6884</v>
      </c>
      <c r="H2204" s="1176">
        <v>1</v>
      </c>
      <c r="I2204" s="1176">
        <v>0</v>
      </c>
      <c r="J2204" s="1190">
        <v>1</v>
      </c>
      <c r="K2204" s="1180"/>
      <c r="L2204" s="1174">
        <v>13297110505</v>
      </c>
      <c r="M2204" s="1175">
        <v>1</v>
      </c>
      <c r="N2204" s="1175">
        <v>1</v>
      </c>
      <c r="O2204" s="1176">
        <v>2</v>
      </c>
      <c r="AA2204"/>
      <c r="AB2204"/>
    </row>
    <row r="2205" spans="3:28" ht="13.5">
      <c r="C2205" s="1181" t="s">
        <v>6885</v>
      </c>
      <c r="D2205" s="1178">
        <v>1</v>
      </c>
      <c r="E2205" s="1178">
        <v>1</v>
      </c>
      <c r="F2205" s="1179">
        <v>2</v>
      </c>
      <c r="G2205" s="1189" t="s">
        <v>6885</v>
      </c>
      <c r="H2205" s="1176">
        <v>1</v>
      </c>
      <c r="I2205" s="1176">
        <v>1</v>
      </c>
      <c r="J2205" s="1190">
        <v>2</v>
      </c>
      <c r="K2205" s="1180"/>
      <c r="L2205" s="1174">
        <v>13297110506</v>
      </c>
      <c r="M2205" s="1175">
        <v>1</v>
      </c>
      <c r="N2205" s="1175">
        <v>1</v>
      </c>
      <c r="O2205" s="1176">
        <v>2</v>
      </c>
      <c r="AA2205"/>
      <c r="AB2205"/>
    </row>
    <row r="2206" spans="3:28" ht="13.5">
      <c r="C2206" s="1181" t="s">
        <v>6886</v>
      </c>
      <c r="D2206" s="1178">
        <v>1</v>
      </c>
      <c r="E2206" s="1178">
        <v>1</v>
      </c>
      <c r="F2206" s="1179">
        <v>2</v>
      </c>
      <c r="G2206" s="1189" t="s">
        <v>6886</v>
      </c>
      <c r="H2206" s="1176">
        <v>1</v>
      </c>
      <c r="I2206" s="1176">
        <v>1</v>
      </c>
      <c r="J2206" s="1190">
        <v>2</v>
      </c>
      <c r="K2206" s="1180"/>
      <c r="L2206" s="1174">
        <v>13297110507</v>
      </c>
      <c r="M2206" s="1175">
        <v>1</v>
      </c>
      <c r="N2206" s="1175">
        <v>1</v>
      </c>
      <c r="O2206" s="1176">
        <v>2</v>
      </c>
      <c r="AA2206"/>
      <c r="AB2206"/>
    </row>
    <row r="2207" spans="3:28" ht="13.5">
      <c r="C2207" s="1181" t="s">
        <v>6887</v>
      </c>
      <c r="D2207" s="1178">
        <v>1</v>
      </c>
      <c r="E2207" s="1178">
        <v>1</v>
      </c>
      <c r="F2207" s="1179">
        <v>2</v>
      </c>
      <c r="G2207" s="1189" t="s">
        <v>6887</v>
      </c>
      <c r="H2207" s="1176">
        <v>0</v>
      </c>
      <c r="I2207" s="1176">
        <v>1</v>
      </c>
      <c r="J2207" s="1190">
        <v>1</v>
      </c>
      <c r="K2207" s="1180"/>
      <c r="L2207" s="1174">
        <v>13297110508</v>
      </c>
      <c r="M2207" s="1175">
        <v>1</v>
      </c>
      <c r="N2207" s="1175">
        <v>1</v>
      </c>
      <c r="O2207" s="1176">
        <v>2</v>
      </c>
      <c r="AA2207"/>
      <c r="AB2207"/>
    </row>
    <row r="2208" spans="3:28" ht="13.5">
      <c r="C2208" s="1181" t="s">
        <v>6888</v>
      </c>
      <c r="D2208" s="1178">
        <v>1</v>
      </c>
      <c r="E2208" s="1178">
        <v>1</v>
      </c>
      <c r="F2208" s="1179">
        <v>2</v>
      </c>
      <c r="G2208" s="1189" t="s">
        <v>6888</v>
      </c>
      <c r="H2208" s="1176">
        <v>1</v>
      </c>
      <c r="I2208" s="1176">
        <v>1</v>
      </c>
      <c r="J2208" s="1190">
        <v>2</v>
      </c>
      <c r="K2208" s="1180"/>
      <c r="L2208" s="1174">
        <v>13297110601</v>
      </c>
      <c r="M2208" s="1175">
        <v>1</v>
      </c>
      <c r="N2208" s="1175">
        <v>1</v>
      </c>
      <c r="O2208" s="1176">
        <v>2</v>
      </c>
      <c r="AA2208"/>
      <c r="AB2208"/>
    </row>
    <row r="2209" spans="3:28" ht="13.5">
      <c r="C2209" s="1181" t="s">
        <v>6889</v>
      </c>
      <c r="D2209" s="1178">
        <v>1</v>
      </c>
      <c r="E2209" s="1178">
        <v>1</v>
      </c>
      <c r="F2209" s="1179">
        <v>2</v>
      </c>
      <c r="G2209" s="1189" t="s">
        <v>6889</v>
      </c>
      <c r="H2209" s="1176">
        <v>1</v>
      </c>
      <c r="I2209" s="1176">
        <v>1</v>
      </c>
      <c r="J2209" s="1190">
        <v>2</v>
      </c>
      <c r="K2209" s="1180"/>
      <c r="L2209" s="1174">
        <v>13297110602</v>
      </c>
      <c r="M2209" s="1175">
        <v>1</v>
      </c>
      <c r="N2209" s="1175">
        <v>1</v>
      </c>
      <c r="O2209" s="1176">
        <v>2</v>
      </c>
      <c r="AA2209"/>
      <c r="AB2209"/>
    </row>
    <row r="2210" spans="3:28" ht="13.5">
      <c r="C2210" s="1181" t="s">
        <v>6890</v>
      </c>
      <c r="D2210" s="1178">
        <v>0</v>
      </c>
      <c r="E2210" s="1178">
        <v>1</v>
      </c>
      <c r="F2210" s="1179">
        <v>1</v>
      </c>
      <c r="G2210" s="1189" t="s">
        <v>6890</v>
      </c>
      <c r="H2210" s="1176">
        <v>0</v>
      </c>
      <c r="I2210" s="1176">
        <v>0</v>
      </c>
      <c r="J2210" s="1190">
        <v>0</v>
      </c>
      <c r="K2210" s="1180"/>
      <c r="L2210" s="1174">
        <v>13297110603</v>
      </c>
      <c r="M2210" s="1175">
        <v>0</v>
      </c>
      <c r="N2210" s="1175">
        <v>1</v>
      </c>
      <c r="O2210" s="1176">
        <v>1</v>
      </c>
      <c r="AA2210"/>
      <c r="AB2210"/>
    </row>
    <row r="2211" spans="3:28" ht="13.5">
      <c r="C2211" s="1181" t="s">
        <v>6891</v>
      </c>
      <c r="D2211" s="1178">
        <v>0</v>
      </c>
      <c r="E2211" s="1178">
        <v>0</v>
      </c>
      <c r="F2211" s="1179">
        <v>0</v>
      </c>
      <c r="G2211" s="1189" t="s">
        <v>6891</v>
      </c>
      <c r="H2211" s="1176">
        <v>0</v>
      </c>
      <c r="I2211" s="1176">
        <v>0</v>
      </c>
      <c r="J2211" s="1190">
        <v>0</v>
      </c>
      <c r="K2211" s="1180"/>
      <c r="L2211" s="1174">
        <v>13297110700</v>
      </c>
      <c r="M2211" s="1175">
        <v>0</v>
      </c>
      <c r="N2211" s="1175">
        <v>0</v>
      </c>
      <c r="O2211" s="1176">
        <v>0</v>
      </c>
      <c r="AA2211"/>
      <c r="AB2211"/>
    </row>
    <row r="2212" spans="3:28" ht="13.5">
      <c r="C2212" s="1181" t="s">
        <v>6892</v>
      </c>
      <c r="D2212" s="1178">
        <v>1</v>
      </c>
      <c r="E2212" s="1178">
        <v>0</v>
      </c>
      <c r="F2212" s="1179">
        <v>1</v>
      </c>
      <c r="G2212" s="1189" t="s">
        <v>6892</v>
      </c>
      <c r="H2212" s="1176">
        <v>1</v>
      </c>
      <c r="I2212" s="1176">
        <v>0</v>
      </c>
      <c r="J2212" s="1190">
        <v>1</v>
      </c>
      <c r="K2212" s="1180"/>
      <c r="L2212" s="1174">
        <v>13297110800</v>
      </c>
      <c r="M2212" s="1175">
        <v>1</v>
      </c>
      <c r="N2212" s="1175">
        <v>0</v>
      </c>
      <c r="O2212" s="1176">
        <v>1</v>
      </c>
      <c r="AA2212"/>
      <c r="AB2212"/>
    </row>
    <row r="2213" spans="3:28" ht="13.5">
      <c r="C2213" s="1181" t="s">
        <v>6893</v>
      </c>
      <c r="D2213" s="1178">
        <v>1</v>
      </c>
      <c r="E2213" s="1178">
        <v>0</v>
      </c>
      <c r="F2213" s="1179">
        <v>1</v>
      </c>
      <c r="G2213" s="1189" t="s">
        <v>6893</v>
      </c>
      <c r="H2213" s="1176">
        <v>0</v>
      </c>
      <c r="I2213" s="1176">
        <v>0</v>
      </c>
      <c r="J2213" s="1190">
        <v>0</v>
      </c>
      <c r="K2213" s="1180"/>
      <c r="L2213" s="1174">
        <v>13299950100</v>
      </c>
      <c r="M2213" s="1175">
        <v>1</v>
      </c>
      <c r="N2213" s="1175">
        <v>0</v>
      </c>
      <c r="O2213" s="1176">
        <v>1</v>
      </c>
      <c r="AA2213"/>
      <c r="AB2213"/>
    </row>
    <row r="2214" spans="3:28" ht="13.5">
      <c r="C2214" s="1181" t="s">
        <v>6894</v>
      </c>
      <c r="D2214" s="1178">
        <v>0</v>
      </c>
      <c r="E2214" s="1178">
        <v>0</v>
      </c>
      <c r="F2214" s="1179">
        <v>0</v>
      </c>
      <c r="G2214" s="1189" t="s">
        <v>6894</v>
      </c>
      <c r="H2214" s="1176">
        <v>0</v>
      </c>
      <c r="I2214" s="1176">
        <v>0</v>
      </c>
      <c r="J2214" s="1190">
        <v>0</v>
      </c>
      <c r="K2214" s="1180"/>
      <c r="L2214" s="1174">
        <v>13299950200</v>
      </c>
      <c r="M2214" s="1175">
        <v>0</v>
      </c>
      <c r="N2214" s="1175">
        <v>0</v>
      </c>
      <c r="O2214" s="1176">
        <v>0</v>
      </c>
      <c r="AA2214"/>
      <c r="AB2214"/>
    </row>
    <row r="2215" spans="3:28" ht="13.5">
      <c r="C2215" s="1181" t="s">
        <v>6895</v>
      </c>
      <c r="D2215" s="1178">
        <v>0</v>
      </c>
      <c r="E2215" s="1178">
        <v>0</v>
      </c>
      <c r="F2215" s="1179">
        <v>0</v>
      </c>
      <c r="G2215" s="1189" t="s">
        <v>6895</v>
      </c>
      <c r="H2215" s="1176">
        <v>0</v>
      </c>
      <c r="I2215" s="1176">
        <v>0</v>
      </c>
      <c r="J2215" s="1190">
        <v>0</v>
      </c>
      <c r="K2215" s="1180"/>
      <c r="L2215" s="1174">
        <v>13299950300</v>
      </c>
      <c r="M2215" s="1175">
        <v>0</v>
      </c>
      <c r="N2215" s="1175">
        <v>0</v>
      </c>
      <c r="O2215" s="1176">
        <v>0</v>
      </c>
      <c r="AA2215"/>
      <c r="AB2215"/>
    </row>
    <row r="2216" spans="3:28" ht="13.5">
      <c r="C2216" s="1181" t="s">
        <v>6896</v>
      </c>
      <c r="D2216" s="1178">
        <v>0</v>
      </c>
      <c r="E2216" s="1178">
        <v>0</v>
      </c>
      <c r="F2216" s="1179">
        <v>0</v>
      </c>
      <c r="G2216" s="1189" t="s">
        <v>6896</v>
      </c>
      <c r="H2216" s="1176">
        <v>0</v>
      </c>
      <c r="I2216" s="1176">
        <v>0</v>
      </c>
      <c r="J2216" s="1190">
        <v>0</v>
      </c>
      <c r="K2216" s="1180"/>
      <c r="L2216" s="1174">
        <v>13299950400</v>
      </c>
      <c r="M2216" s="1175">
        <v>0</v>
      </c>
      <c r="N2216" s="1175">
        <v>0</v>
      </c>
      <c r="O2216" s="1176">
        <v>0</v>
      </c>
      <c r="AA2216"/>
      <c r="AB2216"/>
    </row>
    <row r="2217" spans="3:28" ht="13.5">
      <c r="C2217" s="1181" t="s">
        <v>6897</v>
      </c>
      <c r="D2217" s="1178">
        <v>1</v>
      </c>
      <c r="E2217" s="1178">
        <v>0</v>
      </c>
      <c r="F2217" s="1179">
        <v>1</v>
      </c>
      <c r="G2217" s="1189" t="s">
        <v>6897</v>
      </c>
      <c r="H2217" s="1176">
        <v>1</v>
      </c>
      <c r="I2217" s="1176">
        <v>0</v>
      </c>
      <c r="J2217" s="1190">
        <v>1</v>
      </c>
      <c r="K2217" s="1180"/>
      <c r="L2217" s="1174">
        <v>13299950500</v>
      </c>
      <c r="M2217" s="1175">
        <v>1</v>
      </c>
      <c r="N2217" s="1175">
        <v>0</v>
      </c>
      <c r="O2217" s="1176">
        <v>1</v>
      </c>
      <c r="AA2217"/>
      <c r="AB2217"/>
    </row>
    <row r="2218" spans="3:28" ht="13.5">
      <c r="C2218" s="1181" t="s">
        <v>6898</v>
      </c>
      <c r="D2218" s="1178">
        <v>1</v>
      </c>
      <c r="E2218" s="1178">
        <v>0</v>
      </c>
      <c r="F2218" s="1179">
        <v>1</v>
      </c>
      <c r="G2218" s="1189" t="s">
        <v>6898</v>
      </c>
      <c r="H2218" s="1176">
        <v>1</v>
      </c>
      <c r="I2218" s="1176">
        <v>0</v>
      </c>
      <c r="J2218" s="1190">
        <v>1</v>
      </c>
      <c r="K2218" s="1180"/>
      <c r="L2218" s="1174">
        <v>13299950600</v>
      </c>
      <c r="M2218" s="1175">
        <v>1</v>
      </c>
      <c r="N2218" s="1175">
        <v>0</v>
      </c>
      <c r="O2218" s="1176">
        <v>1</v>
      </c>
      <c r="AA2218"/>
      <c r="AB2218"/>
    </row>
    <row r="2219" spans="3:28" ht="13.5">
      <c r="C2219" s="1181" t="s">
        <v>6899</v>
      </c>
      <c r="D2219" s="1178">
        <v>0</v>
      </c>
      <c r="E2219" s="1178">
        <v>0</v>
      </c>
      <c r="F2219" s="1179">
        <v>0</v>
      </c>
      <c r="G2219" s="1189" t="s">
        <v>6899</v>
      </c>
      <c r="H2219" s="1176">
        <v>0</v>
      </c>
      <c r="I2219" s="1176">
        <v>0</v>
      </c>
      <c r="J2219" s="1190">
        <v>0</v>
      </c>
      <c r="K2219" s="1180"/>
      <c r="L2219" s="1174">
        <v>13299950700</v>
      </c>
      <c r="M2219" s="1175">
        <v>0</v>
      </c>
      <c r="N2219" s="1175">
        <v>0</v>
      </c>
      <c r="O2219" s="1176">
        <v>0</v>
      </c>
      <c r="AA2219"/>
      <c r="AB2219"/>
    </row>
    <row r="2220" spans="3:28" ht="13.5">
      <c r="C2220" s="1181" t="s">
        <v>6900</v>
      </c>
      <c r="D2220" s="1178">
        <v>0</v>
      </c>
      <c r="E2220" s="1178">
        <v>0</v>
      </c>
      <c r="F2220" s="1179">
        <v>0</v>
      </c>
      <c r="G2220" s="1189" t="s">
        <v>6900</v>
      </c>
      <c r="H2220" s="1176">
        <v>0</v>
      </c>
      <c r="I2220" s="1176">
        <v>0</v>
      </c>
      <c r="J2220" s="1190">
        <v>0</v>
      </c>
      <c r="K2220" s="1180"/>
      <c r="L2220" s="1174">
        <v>13299950800</v>
      </c>
      <c r="M2220" s="1175">
        <v>0</v>
      </c>
      <c r="N2220" s="1175">
        <v>0</v>
      </c>
      <c r="O2220" s="1176">
        <v>0</v>
      </c>
      <c r="AA2220"/>
      <c r="AB2220"/>
    </row>
    <row r="2221" spans="3:28" ht="13.5">
      <c r="C2221" s="1181" t="s">
        <v>6901</v>
      </c>
      <c r="D2221" s="1178">
        <v>0</v>
      </c>
      <c r="E2221" s="1178">
        <v>0</v>
      </c>
      <c r="F2221" s="1179">
        <v>0</v>
      </c>
      <c r="G2221" s="1189" t="s">
        <v>6901</v>
      </c>
      <c r="H2221" s="1176">
        <v>0</v>
      </c>
      <c r="I2221" s="1176">
        <v>0</v>
      </c>
      <c r="J2221" s="1190">
        <v>0</v>
      </c>
      <c r="K2221" s="1180"/>
      <c r="L2221" s="1174">
        <v>13299950900</v>
      </c>
      <c r="M2221" s="1175">
        <v>0</v>
      </c>
      <c r="N2221" s="1175">
        <v>0</v>
      </c>
      <c r="O2221" s="1176">
        <v>0</v>
      </c>
      <c r="AA2221"/>
      <c r="AB2221"/>
    </row>
    <row r="2222" spans="3:28" ht="13.5">
      <c r="C2222" s="1181" t="s">
        <v>6902</v>
      </c>
      <c r="D2222" s="1178">
        <v>0</v>
      </c>
      <c r="E2222" s="1178">
        <v>0</v>
      </c>
      <c r="F2222" s="1179">
        <v>0</v>
      </c>
      <c r="G2222" s="1189" t="s">
        <v>6902</v>
      </c>
      <c r="H2222" s="1176">
        <v>0</v>
      </c>
      <c r="I2222" s="1176">
        <v>0</v>
      </c>
      <c r="J2222" s="1190">
        <v>0</v>
      </c>
      <c r="K2222" s="1180"/>
      <c r="L2222" s="1174">
        <v>13301970400</v>
      </c>
      <c r="M2222" s="1175">
        <v>0</v>
      </c>
      <c r="N2222" s="1175">
        <v>0</v>
      </c>
      <c r="O2222" s="1176">
        <v>0</v>
      </c>
      <c r="AA2222"/>
      <c r="AB2222"/>
    </row>
    <row r="2223" spans="3:28" ht="13.5">
      <c r="C2223" s="1181" t="s">
        <v>6903</v>
      </c>
      <c r="D2223" s="1178">
        <v>0</v>
      </c>
      <c r="E2223" s="1178">
        <v>0</v>
      </c>
      <c r="F2223" s="1179">
        <v>0</v>
      </c>
      <c r="G2223" s="1189" t="s">
        <v>6903</v>
      </c>
      <c r="H2223" s="1176">
        <v>0</v>
      </c>
      <c r="I2223" s="1176">
        <v>0</v>
      </c>
      <c r="J2223" s="1190">
        <v>0</v>
      </c>
      <c r="K2223" s="1180"/>
      <c r="L2223" s="1174">
        <v>13301970500</v>
      </c>
      <c r="M2223" s="1175">
        <v>0</v>
      </c>
      <c r="N2223" s="1175">
        <v>0</v>
      </c>
      <c r="O2223" s="1176">
        <v>0</v>
      </c>
      <c r="AA2223"/>
      <c r="AB2223"/>
    </row>
    <row r="2224" spans="3:28" ht="13.5">
      <c r="C2224" s="1181" t="s">
        <v>6904</v>
      </c>
      <c r="D2224" s="1178">
        <v>0</v>
      </c>
      <c r="E2224" s="1178">
        <v>0</v>
      </c>
      <c r="F2224" s="1179">
        <v>0</v>
      </c>
      <c r="G2224" s="1189" t="s">
        <v>6904</v>
      </c>
      <c r="H2224" s="1176">
        <v>0</v>
      </c>
      <c r="I2224" s="1176">
        <v>1</v>
      </c>
      <c r="J2224" s="1190">
        <v>1</v>
      </c>
      <c r="K2224" s="1180"/>
      <c r="L2224" s="1174">
        <v>13303950100</v>
      </c>
      <c r="M2224" s="1175">
        <v>0</v>
      </c>
      <c r="N2224" s="1175">
        <v>1</v>
      </c>
      <c r="O2224" s="1176">
        <v>1</v>
      </c>
      <c r="AA2224"/>
      <c r="AB2224"/>
    </row>
    <row r="2225" spans="3:28" ht="13.5">
      <c r="C2225" s="1181" t="s">
        <v>6905</v>
      </c>
      <c r="D2225" s="1178">
        <v>0</v>
      </c>
      <c r="E2225" s="1178">
        <v>0</v>
      </c>
      <c r="F2225" s="1179">
        <v>0</v>
      </c>
      <c r="G2225" s="1189" t="s">
        <v>6905</v>
      </c>
      <c r="H2225" s="1176">
        <v>0</v>
      </c>
      <c r="I2225" s="1176">
        <v>0</v>
      </c>
      <c r="J2225" s="1190">
        <v>0</v>
      </c>
      <c r="K2225" s="1180"/>
      <c r="L2225" s="1174">
        <v>13303950300</v>
      </c>
      <c r="M2225" s="1175">
        <v>0</v>
      </c>
      <c r="N2225" s="1175">
        <v>0</v>
      </c>
      <c r="O2225" s="1176">
        <v>0</v>
      </c>
      <c r="AA2225"/>
      <c r="AB2225"/>
    </row>
    <row r="2226" spans="3:28" ht="13.5">
      <c r="C2226" s="1181" t="s">
        <v>6906</v>
      </c>
      <c r="D2226" s="1178">
        <v>0</v>
      </c>
      <c r="E2226" s="1178">
        <v>0</v>
      </c>
      <c r="F2226" s="1179">
        <v>0</v>
      </c>
      <c r="G2226" s="1189" t="s">
        <v>6906</v>
      </c>
      <c r="H2226" s="1176">
        <v>0</v>
      </c>
      <c r="I2226" s="1176">
        <v>0</v>
      </c>
      <c r="J2226" s="1190">
        <v>0</v>
      </c>
      <c r="K2226" s="1180"/>
      <c r="L2226" s="1174">
        <v>13303950400</v>
      </c>
      <c r="M2226" s="1175">
        <v>0</v>
      </c>
      <c r="N2226" s="1175">
        <v>0</v>
      </c>
      <c r="O2226" s="1176">
        <v>0</v>
      </c>
      <c r="AA2226"/>
      <c r="AB2226"/>
    </row>
    <row r="2227" spans="3:28" ht="13.5">
      <c r="C2227" s="1181" t="s">
        <v>6907</v>
      </c>
      <c r="D2227" s="1178">
        <v>0</v>
      </c>
      <c r="E2227" s="1178">
        <v>0</v>
      </c>
      <c r="F2227" s="1179">
        <v>0</v>
      </c>
      <c r="G2227" s="1189" t="s">
        <v>6907</v>
      </c>
      <c r="H2227" s="1176">
        <v>0</v>
      </c>
      <c r="I2227" s="1176">
        <v>0</v>
      </c>
      <c r="J2227" s="1190">
        <v>0</v>
      </c>
      <c r="K2227" s="1180"/>
      <c r="L2227" s="1174">
        <v>13303950500</v>
      </c>
      <c r="M2227" s="1175">
        <v>0</v>
      </c>
      <c r="N2227" s="1175">
        <v>0</v>
      </c>
      <c r="O2227" s="1176">
        <v>0</v>
      </c>
      <c r="AA2227"/>
      <c r="AB2227"/>
    </row>
    <row r="2228" spans="3:28" ht="13.5">
      <c r="C2228" s="1181" t="s">
        <v>6908</v>
      </c>
      <c r="D2228" s="1178">
        <v>0</v>
      </c>
      <c r="E2228" s="1178">
        <v>0</v>
      </c>
      <c r="F2228" s="1179">
        <v>0</v>
      </c>
      <c r="G2228" s="1189" t="s">
        <v>6908</v>
      </c>
      <c r="H2228" s="1176">
        <v>0</v>
      </c>
      <c r="I2228" s="1176">
        <v>1</v>
      </c>
      <c r="J2228" s="1190">
        <v>1</v>
      </c>
      <c r="K2228" s="1180"/>
      <c r="L2228" s="1174">
        <v>13303950700</v>
      </c>
      <c r="M2228" s="1175">
        <v>0</v>
      </c>
      <c r="N2228" s="1175">
        <v>1</v>
      </c>
      <c r="O2228" s="1176">
        <v>1</v>
      </c>
      <c r="AA2228"/>
      <c r="AB2228"/>
    </row>
    <row r="2229" spans="3:28" ht="13.5">
      <c r="C2229" s="1181" t="s">
        <v>6909</v>
      </c>
      <c r="D2229" s="1178">
        <v>0</v>
      </c>
      <c r="E2229" s="1178">
        <v>0</v>
      </c>
      <c r="F2229" s="1179">
        <v>0</v>
      </c>
      <c r="G2229" s="1189" t="s">
        <v>6909</v>
      </c>
      <c r="H2229" s="1176">
        <v>0</v>
      </c>
      <c r="I2229" s="1176">
        <v>0</v>
      </c>
      <c r="J2229" s="1190">
        <v>0</v>
      </c>
      <c r="K2229" s="1180"/>
      <c r="L2229" s="1174">
        <v>13305970100</v>
      </c>
      <c r="M2229" s="1175">
        <v>0</v>
      </c>
      <c r="N2229" s="1175">
        <v>0</v>
      </c>
      <c r="O2229" s="1176">
        <v>0</v>
      </c>
      <c r="AA2229"/>
      <c r="AB2229"/>
    </row>
    <row r="2230" spans="3:28" ht="13.5">
      <c r="C2230" s="1181" t="s">
        <v>6910</v>
      </c>
      <c r="D2230" s="1178">
        <v>0</v>
      </c>
      <c r="E2230" s="1178">
        <v>0</v>
      </c>
      <c r="F2230" s="1179">
        <v>0</v>
      </c>
      <c r="G2230" s="1189" t="s">
        <v>6910</v>
      </c>
      <c r="H2230" s="1176">
        <v>0</v>
      </c>
      <c r="I2230" s="1176">
        <v>0</v>
      </c>
      <c r="J2230" s="1190">
        <v>0</v>
      </c>
      <c r="K2230" s="1180"/>
      <c r="L2230" s="1174">
        <v>13305970200</v>
      </c>
      <c r="M2230" s="1175">
        <v>0</v>
      </c>
      <c r="N2230" s="1175">
        <v>0</v>
      </c>
      <c r="O2230" s="1176">
        <v>0</v>
      </c>
      <c r="AA2230"/>
      <c r="AB2230"/>
    </row>
    <row r="2231" spans="3:28" ht="13.5">
      <c r="C2231" s="1181" t="s">
        <v>6911</v>
      </c>
      <c r="D2231" s="1178">
        <v>0</v>
      </c>
      <c r="E2231" s="1178">
        <v>0</v>
      </c>
      <c r="F2231" s="1179">
        <v>0</v>
      </c>
      <c r="G2231" s="1189" t="s">
        <v>6911</v>
      </c>
      <c r="H2231" s="1176">
        <v>0</v>
      </c>
      <c r="I2231" s="1176">
        <v>0</v>
      </c>
      <c r="J2231" s="1190">
        <v>0</v>
      </c>
      <c r="K2231" s="1180"/>
      <c r="L2231" s="1174">
        <v>13305970300</v>
      </c>
      <c r="M2231" s="1175">
        <v>0</v>
      </c>
      <c r="N2231" s="1175">
        <v>0</v>
      </c>
      <c r="O2231" s="1176">
        <v>0</v>
      </c>
      <c r="AA2231"/>
      <c r="AB2231"/>
    </row>
    <row r="2232" spans="3:28" ht="13.5">
      <c r="C2232" s="1181" t="s">
        <v>6912</v>
      </c>
      <c r="D2232" s="1178">
        <v>0</v>
      </c>
      <c r="E2232" s="1178">
        <v>0</v>
      </c>
      <c r="F2232" s="1179">
        <v>0</v>
      </c>
      <c r="G2232" s="1189" t="s">
        <v>6912</v>
      </c>
      <c r="H2232" s="1176">
        <v>0</v>
      </c>
      <c r="I2232" s="1176">
        <v>0</v>
      </c>
      <c r="J2232" s="1190">
        <v>0</v>
      </c>
      <c r="K2232" s="1180"/>
      <c r="L2232" s="1174">
        <v>13305970400</v>
      </c>
      <c r="M2232" s="1175">
        <v>0</v>
      </c>
      <c r="N2232" s="1175">
        <v>0</v>
      </c>
      <c r="O2232" s="1176">
        <v>0</v>
      </c>
      <c r="AA2232"/>
      <c r="AB2232"/>
    </row>
    <row r="2233" spans="3:28" ht="13.5">
      <c r="C2233" s="1181" t="s">
        <v>6913</v>
      </c>
      <c r="D2233" s="1178">
        <v>0</v>
      </c>
      <c r="E2233" s="1178">
        <v>0</v>
      </c>
      <c r="F2233" s="1179">
        <v>0</v>
      </c>
      <c r="G2233" s="1189" t="s">
        <v>6913</v>
      </c>
      <c r="H2233" s="1176">
        <v>0</v>
      </c>
      <c r="I2233" s="1176">
        <v>0</v>
      </c>
      <c r="J2233" s="1190">
        <v>0</v>
      </c>
      <c r="K2233" s="1180"/>
      <c r="L2233" s="1174">
        <v>13305970500</v>
      </c>
      <c r="M2233" s="1175">
        <v>0</v>
      </c>
      <c r="N2233" s="1175">
        <v>0</v>
      </c>
      <c r="O2233" s="1176">
        <v>0</v>
      </c>
      <c r="AA2233"/>
      <c r="AB2233"/>
    </row>
    <row r="2234" spans="3:28" ht="13.5">
      <c r="C2234" s="1181" t="s">
        <v>6914</v>
      </c>
      <c r="D2234" s="1178">
        <v>0</v>
      </c>
      <c r="E2234" s="1178">
        <v>0</v>
      </c>
      <c r="F2234" s="1179">
        <v>0</v>
      </c>
      <c r="G2234" s="1189" t="s">
        <v>6914</v>
      </c>
      <c r="H2234" s="1176">
        <v>0</v>
      </c>
      <c r="I2234" s="1176">
        <v>0</v>
      </c>
      <c r="J2234" s="1190">
        <v>0</v>
      </c>
      <c r="K2234" s="1180"/>
      <c r="L2234" s="1174">
        <v>13305970600</v>
      </c>
      <c r="M2234" s="1175">
        <v>0</v>
      </c>
      <c r="N2234" s="1175">
        <v>0</v>
      </c>
      <c r="O2234" s="1176">
        <v>0</v>
      </c>
      <c r="AA2234"/>
      <c r="AB2234"/>
    </row>
    <row r="2235" spans="3:28" ht="13.5">
      <c r="C2235" s="1181" t="s">
        <v>6915</v>
      </c>
      <c r="D2235" s="1178">
        <v>0</v>
      </c>
      <c r="E2235" s="1178">
        <v>0</v>
      </c>
      <c r="F2235" s="1179">
        <v>0</v>
      </c>
      <c r="G2235" s="1189" t="s">
        <v>6915</v>
      </c>
      <c r="H2235" s="1176">
        <v>0</v>
      </c>
      <c r="I2235" s="1176">
        <v>1</v>
      </c>
      <c r="J2235" s="1190">
        <v>1</v>
      </c>
      <c r="K2235" s="1180"/>
      <c r="L2235" s="1174">
        <v>13307960100</v>
      </c>
      <c r="M2235" s="1175">
        <v>0</v>
      </c>
      <c r="N2235" s="1175">
        <v>1</v>
      </c>
      <c r="O2235" s="1176">
        <v>1</v>
      </c>
      <c r="AA2235"/>
      <c r="AB2235"/>
    </row>
    <row r="2236" spans="3:28" ht="13.5">
      <c r="C2236" s="1181" t="s">
        <v>6916</v>
      </c>
      <c r="D2236" s="1178">
        <v>0</v>
      </c>
      <c r="E2236" s="1178">
        <v>0</v>
      </c>
      <c r="F2236" s="1179">
        <v>0</v>
      </c>
      <c r="G2236" s="1189" t="s">
        <v>6916</v>
      </c>
      <c r="H2236" s="1176">
        <v>0</v>
      </c>
      <c r="I2236" s="1176">
        <v>0</v>
      </c>
      <c r="J2236" s="1190">
        <v>0</v>
      </c>
      <c r="K2236" s="1180"/>
      <c r="L2236" s="1174">
        <v>13307960200</v>
      </c>
      <c r="M2236" s="1175">
        <v>0</v>
      </c>
      <c r="N2236" s="1175">
        <v>0</v>
      </c>
      <c r="O2236" s="1176">
        <v>0</v>
      </c>
      <c r="AA2236"/>
      <c r="AB2236"/>
    </row>
    <row r="2237" spans="3:28" ht="13.5">
      <c r="C2237" s="1181" t="s">
        <v>6917</v>
      </c>
      <c r="D2237" s="1178">
        <v>0</v>
      </c>
      <c r="E2237" s="1178">
        <v>0</v>
      </c>
      <c r="F2237" s="1179">
        <v>0</v>
      </c>
      <c r="G2237" s="1189" t="s">
        <v>6917</v>
      </c>
      <c r="H2237" s="1176">
        <v>0</v>
      </c>
      <c r="I2237" s="1176">
        <v>0</v>
      </c>
      <c r="J2237" s="1190">
        <v>0</v>
      </c>
      <c r="K2237" s="1180"/>
      <c r="L2237" s="1174">
        <v>13309780100</v>
      </c>
      <c r="M2237" s="1175">
        <v>0</v>
      </c>
      <c r="N2237" s="1175">
        <v>0</v>
      </c>
      <c r="O2237" s="1176">
        <v>0</v>
      </c>
      <c r="AA2237"/>
      <c r="AB2237"/>
    </row>
    <row r="2238" spans="3:28" ht="13.5">
      <c r="C2238" s="1181" t="s">
        <v>6918</v>
      </c>
      <c r="D2238" s="1178">
        <v>0</v>
      </c>
      <c r="E2238" s="1178">
        <v>0</v>
      </c>
      <c r="F2238" s="1179">
        <v>0</v>
      </c>
      <c r="G2238" s="1189" t="s">
        <v>6918</v>
      </c>
      <c r="H2238" s="1176">
        <v>0</v>
      </c>
      <c r="I2238" s="1176">
        <v>1</v>
      </c>
      <c r="J2238" s="1190">
        <v>1</v>
      </c>
      <c r="K2238" s="1180"/>
      <c r="L2238" s="1174">
        <v>13309780200</v>
      </c>
      <c r="M2238" s="1175">
        <v>0</v>
      </c>
      <c r="N2238" s="1175">
        <v>1</v>
      </c>
      <c r="O2238" s="1176">
        <v>1</v>
      </c>
      <c r="AA2238"/>
      <c r="AB2238"/>
    </row>
    <row r="2239" spans="3:28" ht="13.5">
      <c r="C2239" s="1181" t="s">
        <v>6919</v>
      </c>
      <c r="D2239" s="1178">
        <v>1</v>
      </c>
      <c r="E2239" s="1178">
        <v>0</v>
      </c>
      <c r="F2239" s="1179">
        <v>1</v>
      </c>
      <c r="G2239" s="1189" t="s">
        <v>6919</v>
      </c>
      <c r="H2239" s="1176">
        <v>1</v>
      </c>
      <c r="I2239" s="1176">
        <v>0</v>
      </c>
      <c r="J2239" s="1190">
        <v>1</v>
      </c>
      <c r="K2239" s="1180"/>
      <c r="L2239" s="1174">
        <v>13311950100</v>
      </c>
      <c r="M2239" s="1175">
        <v>1</v>
      </c>
      <c r="N2239" s="1175">
        <v>0</v>
      </c>
      <c r="O2239" s="1176">
        <v>1</v>
      </c>
      <c r="AA2239"/>
      <c r="AB2239"/>
    </row>
    <row r="2240" spans="3:28" ht="13.5">
      <c r="C2240" s="1181" t="s">
        <v>6920</v>
      </c>
      <c r="D2240" s="1178">
        <v>0</v>
      </c>
      <c r="E2240" s="1178">
        <v>0</v>
      </c>
      <c r="F2240" s="1179">
        <v>0</v>
      </c>
      <c r="G2240" s="1189" t="s">
        <v>6920</v>
      </c>
      <c r="H2240" s="1176">
        <v>0</v>
      </c>
      <c r="I2240" s="1176">
        <v>0</v>
      </c>
      <c r="J2240" s="1190">
        <v>0</v>
      </c>
      <c r="K2240" s="1180"/>
      <c r="L2240" s="1174">
        <v>13311950201</v>
      </c>
      <c r="M2240" s="1175">
        <v>0</v>
      </c>
      <c r="N2240" s="1175">
        <v>0</v>
      </c>
      <c r="O2240" s="1176">
        <v>0</v>
      </c>
      <c r="AA2240"/>
      <c r="AB2240"/>
    </row>
    <row r="2241" spans="3:28" ht="13.5">
      <c r="C2241" s="1181" t="s">
        <v>6921</v>
      </c>
      <c r="D2241" s="1178">
        <v>1</v>
      </c>
      <c r="E2241" s="1178">
        <v>1</v>
      </c>
      <c r="F2241" s="1179">
        <v>2</v>
      </c>
      <c r="G2241" s="1189" t="s">
        <v>6921</v>
      </c>
      <c r="H2241" s="1176">
        <v>0</v>
      </c>
      <c r="I2241" s="1176">
        <v>1</v>
      </c>
      <c r="J2241" s="1190">
        <v>1</v>
      </c>
      <c r="K2241" s="1180"/>
      <c r="L2241" s="1174">
        <v>13311950202</v>
      </c>
      <c r="M2241" s="1175">
        <v>1</v>
      </c>
      <c r="N2241" s="1175">
        <v>1</v>
      </c>
      <c r="O2241" s="1176">
        <v>2</v>
      </c>
      <c r="AA2241"/>
      <c r="AB2241"/>
    </row>
    <row r="2242" spans="3:28" ht="13.5">
      <c r="C2242" s="1181" t="s">
        <v>6922</v>
      </c>
      <c r="D2242" s="1178">
        <v>1</v>
      </c>
      <c r="E2242" s="1178">
        <v>0</v>
      </c>
      <c r="F2242" s="1179">
        <v>1</v>
      </c>
      <c r="G2242" s="1189" t="s">
        <v>6922</v>
      </c>
      <c r="H2242" s="1176">
        <v>0</v>
      </c>
      <c r="I2242" s="1176">
        <v>1</v>
      </c>
      <c r="J2242" s="1190">
        <v>1</v>
      </c>
      <c r="K2242" s="1180"/>
      <c r="L2242" s="1174">
        <v>13311950203</v>
      </c>
      <c r="M2242" s="1175">
        <v>1</v>
      </c>
      <c r="N2242" s="1175">
        <v>1</v>
      </c>
      <c r="O2242" s="1176">
        <v>1</v>
      </c>
      <c r="AA2242"/>
      <c r="AB2242"/>
    </row>
    <row r="2243" spans="3:28" ht="13.5">
      <c r="C2243" s="1181" t="s">
        <v>6923</v>
      </c>
      <c r="D2243" s="1178">
        <v>0</v>
      </c>
      <c r="E2243" s="1178">
        <v>1</v>
      </c>
      <c r="F2243" s="1179">
        <v>1</v>
      </c>
      <c r="G2243" s="1189" t="s">
        <v>6923</v>
      </c>
      <c r="H2243" s="1176">
        <v>0</v>
      </c>
      <c r="I2243" s="1176">
        <v>1</v>
      </c>
      <c r="J2243" s="1190">
        <v>1</v>
      </c>
      <c r="K2243" s="1180"/>
      <c r="L2243" s="1174">
        <v>13311950300</v>
      </c>
      <c r="M2243" s="1175">
        <v>0</v>
      </c>
      <c r="N2243" s="1175">
        <v>1</v>
      </c>
      <c r="O2243" s="1176">
        <v>1</v>
      </c>
      <c r="AA2243"/>
      <c r="AB2243"/>
    </row>
    <row r="2244" spans="3:28" ht="13.5">
      <c r="C2244" s="1181" t="s">
        <v>6924</v>
      </c>
      <c r="D2244" s="1178">
        <v>0</v>
      </c>
      <c r="E2244" s="1178">
        <v>0</v>
      </c>
      <c r="F2244" s="1179">
        <v>0</v>
      </c>
      <c r="G2244" s="1189" t="s">
        <v>6924</v>
      </c>
      <c r="H2244" s="1176">
        <v>0</v>
      </c>
      <c r="I2244" s="1176">
        <v>1</v>
      </c>
      <c r="J2244" s="1190">
        <v>1</v>
      </c>
      <c r="K2244" s="1180"/>
      <c r="L2244" s="1174">
        <v>13313000101</v>
      </c>
      <c r="M2244" s="1175">
        <v>0</v>
      </c>
      <c r="N2244" s="1175">
        <v>1</v>
      </c>
      <c r="O2244" s="1176">
        <v>1</v>
      </c>
      <c r="AA2244"/>
      <c r="AB2244"/>
    </row>
    <row r="2245" spans="3:28" ht="13.5">
      <c r="C2245" s="1181" t="s">
        <v>6925</v>
      </c>
      <c r="D2245" s="1178">
        <v>0</v>
      </c>
      <c r="E2245" s="1178">
        <v>1</v>
      </c>
      <c r="F2245" s="1179">
        <v>1</v>
      </c>
      <c r="G2245" s="1189" t="s">
        <v>6925</v>
      </c>
      <c r="H2245" s="1176">
        <v>0</v>
      </c>
      <c r="I2245" s="1176">
        <v>0</v>
      </c>
      <c r="J2245" s="1190">
        <v>0</v>
      </c>
      <c r="K2245" s="1180"/>
      <c r="L2245" s="1174">
        <v>13313000102</v>
      </c>
      <c r="M2245" s="1175">
        <v>0</v>
      </c>
      <c r="N2245" s="1175">
        <v>1</v>
      </c>
      <c r="O2245" s="1176">
        <v>1</v>
      </c>
      <c r="AA2245"/>
      <c r="AB2245"/>
    </row>
    <row r="2246" spans="3:28" ht="13.5">
      <c r="C2246" s="1181" t="s">
        <v>6926</v>
      </c>
      <c r="D2246" s="1178">
        <v>0</v>
      </c>
      <c r="E2246" s="1178">
        <v>1</v>
      </c>
      <c r="F2246" s="1179">
        <v>1</v>
      </c>
      <c r="G2246" s="1189" t="s">
        <v>6926</v>
      </c>
      <c r="H2246" s="1176">
        <v>0</v>
      </c>
      <c r="I2246" s="1176">
        <v>1</v>
      </c>
      <c r="J2246" s="1190">
        <v>1</v>
      </c>
      <c r="K2246" s="1180"/>
      <c r="L2246" s="1174">
        <v>13313000200</v>
      </c>
      <c r="M2246" s="1175">
        <v>0</v>
      </c>
      <c r="N2246" s="1175">
        <v>1</v>
      </c>
      <c r="O2246" s="1176">
        <v>1</v>
      </c>
      <c r="AA2246"/>
      <c r="AB2246"/>
    </row>
    <row r="2247" spans="3:28" ht="13.5">
      <c r="C2247" s="1181" t="s">
        <v>6927</v>
      </c>
      <c r="D2247" s="1178">
        <v>0</v>
      </c>
      <c r="E2247" s="1178">
        <v>0</v>
      </c>
      <c r="F2247" s="1179">
        <v>0</v>
      </c>
      <c r="G2247" s="1189" t="s">
        <v>6927</v>
      </c>
      <c r="H2247" s="1176">
        <v>0</v>
      </c>
      <c r="I2247" s="1176">
        <v>0</v>
      </c>
      <c r="J2247" s="1190">
        <v>0</v>
      </c>
      <c r="K2247" s="1180"/>
      <c r="L2247" s="1174">
        <v>13313000301</v>
      </c>
      <c r="M2247" s="1175">
        <v>0</v>
      </c>
      <c r="N2247" s="1175">
        <v>0</v>
      </c>
      <c r="O2247" s="1176">
        <v>0</v>
      </c>
      <c r="AA2247"/>
      <c r="AB2247"/>
    </row>
    <row r="2248" spans="3:28" ht="13.5">
      <c r="C2248" s="1181" t="s">
        <v>6928</v>
      </c>
      <c r="D2248" s="1178">
        <v>0</v>
      </c>
      <c r="E2248" s="1178">
        <v>1</v>
      </c>
      <c r="F2248" s="1179">
        <v>1</v>
      </c>
      <c r="G2248" s="1189" t="s">
        <v>6928</v>
      </c>
      <c r="H2248" s="1176">
        <v>1</v>
      </c>
      <c r="I2248" s="1176">
        <v>1</v>
      </c>
      <c r="J2248" s="1190">
        <v>2</v>
      </c>
      <c r="K2248" s="1180"/>
      <c r="L2248" s="1174">
        <v>13313000302</v>
      </c>
      <c r="M2248" s="1175">
        <v>1</v>
      </c>
      <c r="N2248" s="1175">
        <v>1</v>
      </c>
      <c r="O2248" s="1176">
        <v>2</v>
      </c>
      <c r="AA2248"/>
      <c r="AB2248"/>
    </row>
    <row r="2249" spans="3:28" ht="13.5">
      <c r="C2249" s="1181" t="s">
        <v>6929</v>
      </c>
      <c r="D2249" s="1178">
        <v>0</v>
      </c>
      <c r="E2249" s="1178">
        <v>0</v>
      </c>
      <c r="F2249" s="1179">
        <v>0</v>
      </c>
      <c r="G2249" s="1189" t="s">
        <v>6929</v>
      </c>
      <c r="H2249" s="1176">
        <v>0</v>
      </c>
      <c r="I2249" s="1176">
        <v>0</v>
      </c>
      <c r="J2249" s="1190">
        <v>0</v>
      </c>
      <c r="K2249" s="1180"/>
      <c r="L2249" s="1174">
        <v>13313000400</v>
      </c>
      <c r="M2249" s="1175">
        <v>0</v>
      </c>
      <c r="N2249" s="1175">
        <v>0</v>
      </c>
      <c r="O2249" s="1176">
        <v>0</v>
      </c>
      <c r="AA2249"/>
      <c r="AB2249"/>
    </row>
    <row r="2250" spans="3:28" ht="13.5">
      <c r="C2250" s="1181" t="s">
        <v>6930</v>
      </c>
      <c r="D2250" s="1178">
        <v>1</v>
      </c>
      <c r="E2250" s="1178">
        <v>0</v>
      </c>
      <c r="F2250" s="1179">
        <v>1</v>
      </c>
      <c r="G2250" s="1189" t="s">
        <v>6930</v>
      </c>
      <c r="H2250" s="1176">
        <v>1</v>
      </c>
      <c r="I2250" s="1176">
        <v>1</v>
      </c>
      <c r="J2250" s="1190">
        <v>2</v>
      </c>
      <c r="K2250" s="1180"/>
      <c r="L2250" s="1174">
        <v>13313000501</v>
      </c>
      <c r="M2250" s="1175">
        <v>1</v>
      </c>
      <c r="N2250" s="1175">
        <v>1</v>
      </c>
      <c r="O2250" s="1176">
        <v>2</v>
      </c>
      <c r="AA2250"/>
      <c r="AB2250"/>
    </row>
    <row r="2251" spans="3:28" ht="13.5">
      <c r="C2251" s="1181" t="s">
        <v>6931</v>
      </c>
      <c r="D2251" s="1178">
        <v>0</v>
      </c>
      <c r="E2251" s="1178">
        <v>0</v>
      </c>
      <c r="F2251" s="1179">
        <v>0</v>
      </c>
      <c r="G2251" s="1189" t="s">
        <v>6931</v>
      </c>
      <c r="H2251" s="1176">
        <v>0</v>
      </c>
      <c r="I2251" s="1176">
        <v>0</v>
      </c>
      <c r="J2251" s="1190">
        <v>0</v>
      </c>
      <c r="K2251" s="1180"/>
      <c r="L2251" s="1174">
        <v>13313000502</v>
      </c>
      <c r="M2251" s="1175">
        <v>0</v>
      </c>
      <c r="N2251" s="1175">
        <v>0</v>
      </c>
      <c r="O2251" s="1176">
        <v>0</v>
      </c>
      <c r="AA2251"/>
      <c r="AB2251"/>
    </row>
    <row r="2252" spans="3:28" ht="13.5">
      <c r="C2252" s="1181" t="s">
        <v>6932</v>
      </c>
      <c r="D2252" s="1178">
        <v>0</v>
      </c>
      <c r="E2252" s="1178">
        <v>1</v>
      </c>
      <c r="F2252" s="1179">
        <v>1</v>
      </c>
      <c r="G2252" s="1189" t="s">
        <v>6932</v>
      </c>
      <c r="H2252" s="1176">
        <v>0</v>
      </c>
      <c r="I2252" s="1176">
        <v>0</v>
      </c>
      <c r="J2252" s="1190">
        <v>0</v>
      </c>
      <c r="K2252" s="1180"/>
      <c r="L2252" s="1174">
        <v>13313000600</v>
      </c>
      <c r="M2252" s="1175">
        <v>0</v>
      </c>
      <c r="N2252" s="1175">
        <v>1</v>
      </c>
      <c r="O2252" s="1176">
        <v>1</v>
      </c>
      <c r="AA2252"/>
      <c r="AB2252"/>
    </row>
    <row r="2253" spans="3:28" ht="13.5">
      <c r="C2253" s="1181" t="s">
        <v>6933</v>
      </c>
      <c r="D2253" s="1178">
        <v>0</v>
      </c>
      <c r="E2253" s="1178">
        <v>1</v>
      </c>
      <c r="F2253" s="1179">
        <v>1</v>
      </c>
      <c r="G2253" s="1189" t="s">
        <v>6933</v>
      </c>
      <c r="H2253" s="1176">
        <v>0</v>
      </c>
      <c r="I2253" s="1176">
        <v>1</v>
      </c>
      <c r="J2253" s="1190">
        <v>1</v>
      </c>
      <c r="K2253" s="1180"/>
      <c r="L2253" s="1174">
        <v>13313000700</v>
      </c>
      <c r="M2253" s="1175">
        <v>0</v>
      </c>
      <c r="N2253" s="1175">
        <v>1</v>
      </c>
      <c r="O2253" s="1176">
        <v>1</v>
      </c>
      <c r="AA2253"/>
      <c r="AB2253"/>
    </row>
    <row r="2254" spans="3:28" ht="13.5">
      <c r="C2254" s="1181" t="s">
        <v>6934</v>
      </c>
      <c r="D2254" s="1178">
        <v>1</v>
      </c>
      <c r="E2254" s="1178">
        <v>0</v>
      </c>
      <c r="F2254" s="1179">
        <v>1</v>
      </c>
      <c r="G2254" s="1189" t="s">
        <v>6934</v>
      </c>
      <c r="H2254" s="1176">
        <v>1</v>
      </c>
      <c r="I2254" s="1176">
        <v>0</v>
      </c>
      <c r="J2254" s="1190">
        <v>1</v>
      </c>
      <c r="K2254" s="1180"/>
      <c r="L2254" s="1174">
        <v>13313000800</v>
      </c>
      <c r="M2254" s="1175">
        <v>1</v>
      </c>
      <c r="N2254" s="1175">
        <v>0</v>
      </c>
      <c r="O2254" s="1176">
        <v>1</v>
      </c>
      <c r="AA2254"/>
      <c r="AB2254"/>
    </row>
    <row r="2255" spans="3:28" ht="13.5">
      <c r="C2255" s="1181" t="s">
        <v>6935</v>
      </c>
      <c r="D2255" s="1178">
        <v>1</v>
      </c>
      <c r="E2255" s="1178">
        <v>1</v>
      </c>
      <c r="F2255" s="1179">
        <v>2</v>
      </c>
      <c r="G2255" s="1189" t="s">
        <v>6935</v>
      </c>
      <c r="H2255" s="1176">
        <v>1</v>
      </c>
      <c r="I2255" s="1176">
        <v>1</v>
      </c>
      <c r="J2255" s="1190">
        <v>2</v>
      </c>
      <c r="K2255" s="1180"/>
      <c r="L2255" s="1174">
        <v>13313000900</v>
      </c>
      <c r="M2255" s="1175">
        <v>1</v>
      </c>
      <c r="N2255" s="1175">
        <v>1</v>
      </c>
      <c r="O2255" s="1176">
        <v>2</v>
      </c>
      <c r="AA2255"/>
      <c r="AB2255"/>
    </row>
    <row r="2256" spans="3:28" ht="13.5">
      <c r="C2256" s="1181" t="s">
        <v>6936</v>
      </c>
      <c r="D2256" s="1178">
        <v>0</v>
      </c>
      <c r="E2256" s="1178">
        <v>0</v>
      </c>
      <c r="F2256" s="1179">
        <v>0</v>
      </c>
      <c r="G2256" s="1189" t="s">
        <v>6936</v>
      </c>
      <c r="H2256" s="1176">
        <v>1</v>
      </c>
      <c r="I2256" s="1176">
        <v>0</v>
      </c>
      <c r="J2256" s="1190">
        <v>0</v>
      </c>
      <c r="K2256" s="1180"/>
      <c r="L2256" s="1174">
        <v>13313001000</v>
      </c>
      <c r="M2256" s="1175">
        <v>1</v>
      </c>
      <c r="N2256" s="1175">
        <v>0</v>
      </c>
      <c r="O2256" s="1176">
        <v>0</v>
      </c>
      <c r="AA2256"/>
      <c r="AB2256"/>
    </row>
    <row r="2257" spans="3:28" ht="13.5">
      <c r="C2257" s="1181" t="s">
        <v>6937</v>
      </c>
      <c r="D2257" s="1178">
        <v>0</v>
      </c>
      <c r="E2257" s="1178">
        <v>0</v>
      </c>
      <c r="F2257" s="1179">
        <v>0</v>
      </c>
      <c r="G2257" s="1189" t="s">
        <v>6937</v>
      </c>
      <c r="H2257" s="1176">
        <v>0</v>
      </c>
      <c r="I2257" s="1176">
        <v>0</v>
      </c>
      <c r="J2257" s="1190">
        <v>0</v>
      </c>
      <c r="K2257" s="1180"/>
      <c r="L2257" s="1174">
        <v>13313001100</v>
      </c>
      <c r="M2257" s="1175">
        <v>0</v>
      </c>
      <c r="N2257" s="1175">
        <v>0</v>
      </c>
      <c r="O2257" s="1176">
        <v>0</v>
      </c>
      <c r="AA2257"/>
      <c r="AB2257"/>
    </row>
    <row r="2258" spans="3:28" ht="13.5">
      <c r="C2258" s="1181" t="s">
        <v>6938</v>
      </c>
      <c r="D2258" s="1178">
        <v>0</v>
      </c>
      <c r="E2258" s="1178">
        <v>0</v>
      </c>
      <c r="F2258" s="1179">
        <v>0</v>
      </c>
      <c r="G2258" s="1189" t="s">
        <v>6938</v>
      </c>
      <c r="H2258" s="1176">
        <v>0</v>
      </c>
      <c r="I2258" s="1176">
        <v>0</v>
      </c>
      <c r="J2258" s="1190">
        <v>0</v>
      </c>
      <c r="K2258" s="1180"/>
      <c r="L2258" s="1174">
        <v>13313001200</v>
      </c>
      <c r="M2258" s="1175">
        <v>0</v>
      </c>
      <c r="N2258" s="1175">
        <v>0</v>
      </c>
      <c r="O2258" s="1176">
        <v>0</v>
      </c>
      <c r="AA2258"/>
      <c r="AB2258"/>
    </row>
    <row r="2259" spans="3:28" ht="13.5">
      <c r="C2259" s="1181" t="s">
        <v>6939</v>
      </c>
      <c r="D2259" s="1178">
        <v>0</v>
      </c>
      <c r="E2259" s="1178">
        <v>0</v>
      </c>
      <c r="F2259" s="1179">
        <v>0</v>
      </c>
      <c r="G2259" s="1189" t="s">
        <v>6939</v>
      </c>
      <c r="H2259" s="1176">
        <v>0</v>
      </c>
      <c r="I2259" s="1176">
        <v>0</v>
      </c>
      <c r="J2259" s="1190">
        <v>0</v>
      </c>
      <c r="K2259" s="1180"/>
      <c r="L2259" s="1174">
        <v>13313001300</v>
      </c>
      <c r="M2259" s="1175">
        <v>0</v>
      </c>
      <c r="N2259" s="1175">
        <v>0</v>
      </c>
      <c r="O2259" s="1176">
        <v>0</v>
      </c>
      <c r="AA2259"/>
      <c r="AB2259"/>
    </row>
    <row r="2260" spans="3:28" ht="13.5">
      <c r="C2260" s="1181" t="s">
        <v>6940</v>
      </c>
      <c r="D2260" s="1178">
        <v>0</v>
      </c>
      <c r="E2260" s="1178">
        <v>0</v>
      </c>
      <c r="F2260" s="1179">
        <v>0</v>
      </c>
      <c r="G2260" s="1189" t="s">
        <v>6940</v>
      </c>
      <c r="H2260" s="1176">
        <v>0</v>
      </c>
      <c r="I2260" s="1176">
        <v>0</v>
      </c>
      <c r="J2260" s="1190">
        <v>0</v>
      </c>
      <c r="K2260" s="1180"/>
      <c r="L2260" s="1174">
        <v>13313001400</v>
      </c>
      <c r="M2260" s="1175">
        <v>0</v>
      </c>
      <c r="N2260" s="1175">
        <v>0</v>
      </c>
      <c r="O2260" s="1176">
        <v>0</v>
      </c>
      <c r="AA2260"/>
      <c r="AB2260"/>
    </row>
    <row r="2261" spans="3:28" ht="13.5">
      <c r="C2261" s="1181" t="s">
        <v>6941</v>
      </c>
      <c r="D2261" s="1178">
        <v>1</v>
      </c>
      <c r="E2261" s="1178">
        <v>0</v>
      </c>
      <c r="F2261" s="1179">
        <v>1</v>
      </c>
      <c r="G2261" s="1189" t="s">
        <v>6941</v>
      </c>
      <c r="H2261" s="1176">
        <v>0</v>
      </c>
      <c r="I2261" s="1176">
        <v>0</v>
      </c>
      <c r="J2261" s="1190">
        <v>0</v>
      </c>
      <c r="K2261" s="1180"/>
      <c r="L2261" s="1174">
        <v>13313001500</v>
      </c>
      <c r="M2261" s="1175">
        <v>1</v>
      </c>
      <c r="N2261" s="1175">
        <v>0</v>
      </c>
      <c r="O2261" s="1176">
        <v>1</v>
      </c>
      <c r="AA2261"/>
      <c r="AB2261"/>
    </row>
    <row r="2262" spans="3:28" ht="13.5">
      <c r="C2262" s="1181" t="s">
        <v>6942</v>
      </c>
      <c r="D2262" s="1178">
        <v>0</v>
      </c>
      <c r="E2262" s="1178">
        <v>0</v>
      </c>
      <c r="F2262" s="1179">
        <v>0</v>
      </c>
      <c r="G2262" s="1189" t="s">
        <v>6942</v>
      </c>
      <c r="H2262" s="1176">
        <v>0</v>
      </c>
      <c r="I2262" s="1176">
        <v>0</v>
      </c>
      <c r="J2262" s="1190">
        <v>0</v>
      </c>
      <c r="K2262" s="1180"/>
      <c r="L2262" s="1174">
        <v>13315960100</v>
      </c>
      <c r="M2262" s="1175">
        <v>0</v>
      </c>
      <c r="N2262" s="1175">
        <v>0</v>
      </c>
      <c r="O2262" s="1176">
        <v>0</v>
      </c>
      <c r="AA2262"/>
      <c r="AB2262"/>
    </row>
    <row r="2263" spans="3:28" ht="13.5">
      <c r="C2263" s="1181" t="s">
        <v>6943</v>
      </c>
      <c r="D2263" s="1178">
        <v>0</v>
      </c>
      <c r="E2263" s="1178">
        <v>0</v>
      </c>
      <c r="F2263" s="1179">
        <v>0</v>
      </c>
      <c r="G2263" s="1189" t="s">
        <v>6943</v>
      </c>
      <c r="H2263" s="1176">
        <v>0</v>
      </c>
      <c r="I2263" s="1176">
        <v>0</v>
      </c>
      <c r="J2263" s="1190">
        <v>0</v>
      </c>
      <c r="K2263" s="1180"/>
      <c r="L2263" s="1174">
        <v>13315960200</v>
      </c>
      <c r="M2263" s="1175">
        <v>0</v>
      </c>
      <c r="N2263" s="1175">
        <v>0</v>
      </c>
      <c r="O2263" s="1176">
        <v>0</v>
      </c>
      <c r="AA2263"/>
      <c r="AB2263"/>
    </row>
    <row r="2264" spans="3:28" ht="13.5">
      <c r="C2264" s="1181" t="s">
        <v>6944</v>
      </c>
      <c r="D2264" s="1178">
        <v>0</v>
      </c>
      <c r="E2264" s="1178">
        <v>0</v>
      </c>
      <c r="F2264" s="1179">
        <v>0</v>
      </c>
      <c r="G2264" s="1189" t="s">
        <v>6944</v>
      </c>
      <c r="H2264" s="1176">
        <v>0</v>
      </c>
      <c r="I2264" s="1176">
        <v>0</v>
      </c>
      <c r="J2264" s="1190">
        <v>0</v>
      </c>
      <c r="K2264" s="1180"/>
      <c r="L2264" s="1174">
        <v>13315960300</v>
      </c>
      <c r="M2264" s="1175">
        <v>0</v>
      </c>
      <c r="N2264" s="1175">
        <v>0</v>
      </c>
      <c r="O2264" s="1176">
        <v>0</v>
      </c>
      <c r="AA2264"/>
      <c r="AB2264"/>
    </row>
    <row r="2265" spans="3:28" ht="13.5">
      <c r="C2265" s="1181" t="s">
        <v>6945</v>
      </c>
      <c r="D2265" s="1178">
        <v>0</v>
      </c>
      <c r="E2265" s="1178">
        <v>0</v>
      </c>
      <c r="F2265" s="1179">
        <v>0</v>
      </c>
      <c r="G2265" s="1189" t="s">
        <v>6945</v>
      </c>
      <c r="H2265" s="1176">
        <v>0</v>
      </c>
      <c r="I2265" s="1176">
        <v>0</v>
      </c>
      <c r="J2265" s="1190">
        <v>0</v>
      </c>
      <c r="K2265" s="1180"/>
      <c r="L2265" s="1174">
        <v>13315960400</v>
      </c>
      <c r="M2265" s="1175">
        <v>0</v>
      </c>
      <c r="N2265" s="1175">
        <v>0</v>
      </c>
      <c r="O2265" s="1176">
        <v>0</v>
      </c>
      <c r="AA2265"/>
      <c r="AB2265"/>
    </row>
    <row r="2266" spans="3:28" ht="13.5">
      <c r="C2266" s="1181" t="s">
        <v>6946</v>
      </c>
      <c r="D2266" s="1178">
        <v>0</v>
      </c>
      <c r="E2266" s="1178">
        <v>0</v>
      </c>
      <c r="F2266" s="1179">
        <v>0</v>
      </c>
      <c r="G2266" s="1189" t="s">
        <v>6946</v>
      </c>
      <c r="H2266" s="1176">
        <v>0</v>
      </c>
      <c r="I2266" s="1176">
        <v>1</v>
      </c>
      <c r="J2266" s="1190">
        <v>1</v>
      </c>
      <c r="K2266" s="1180"/>
      <c r="L2266" s="1174">
        <v>13317010101</v>
      </c>
      <c r="M2266" s="1175">
        <v>0</v>
      </c>
      <c r="N2266" s="1175">
        <v>1</v>
      </c>
      <c r="O2266" s="1176">
        <v>1</v>
      </c>
      <c r="AA2266"/>
      <c r="AB2266"/>
    </row>
    <row r="2267" spans="3:28" ht="13.5">
      <c r="C2267" s="1181" t="s">
        <v>6947</v>
      </c>
      <c r="D2267" s="1178">
        <v>0</v>
      </c>
      <c r="E2267" s="1178">
        <v>0</v>
      </c>
      <c r="F2267" s="1179">
        <v>0</v>
      </c>
      <c r="G2267" s="1189" t="s">
        <v>6947</v>
      </c>
      <c r="H2267" s="1176">
        <v>0</v>
      </c>
      <c r="I2267" s="1176">
        <v>0</v>
      </c>
      <c r="J2267" s="1190">
        <v>0</v>
      </c>
      <c r="K2267" s="1180"/>
      <c r="L2267" s="1174">
        <v>13317010102</v>
      </c>
      <c r="M2267" s="1175">
        <v>0</v>
      </c>
      <c r="N2267" s="1175">
        <v>0</v>
      </c>
      <c r="O2267" s="1176">
        <v>0</v>
      </c>
      <c r="AA2267"/>
      <c r="AB2267"/>
    </row>
    <row r="2268" spans="3:28" ht="13.5">
      <c r="C2268" s="1181" t="s">
        <v>6948</v>
      </c>
      <c r="D2268" s="1178">
        <v>1</v>
      </c>
      <c r="E2268" s="1178">
        <v>0</v>
      </c>
      <c r="F2268" s="1179">
        <v>1</v>
      </c>
      <c r="G2268" s="1189" t="s">
        <v>6948</v>
      </c>
      <c r="H2268" s="1176">
        <v>0</v>
      </c>
      <c r="I2268" s="1176">
        <v>0</v>
      </c>
      <c r="J2268" s="1190">
        <v>0</v>
      </c>
      <c r="K2268" s="1180"/>
      <c r="L2268" s="1174">
        <v>13317010301</v>
      </c>
      <c r="M2268" s="1175">
        <v>1</v>
      </c>
      <c r="N2268" s="1175">
        <v>0</v>
      </c>
      <c r="O2268" s="1176">
        <v>1</v>
      </c>
      <c r="AA2268"/>
      <c r="AB2268"/>
    </row>
    <row r="2269" spans="3:28" ht="13.5">
      <c r="C2269" s="1181" t="s">
        <v>6949</v>
      </c>
      <c r="D2269" s="1178">
        <v>0</v>
      </c>
      <c r="E2269" s="1178">
        <v>0</v>
      </c>
      <c r="F2269" s="1179">
        <v>0</v>
      </c>
      <c r="G2269" s="1189" t="s">
        <v>6949</v>
      </c>
      <c r="H2269" s="1176">
        <v>0</v>
      </c>
      <c r="I2269" s="1176">
        <v>0</v>
      </c>
      <c r="J2269" s="1190">
        <v>0</v>
      </c>
      <c r="K2269" s="1180"/>
      <c r="L2269" s="1174">
        <v>13317010302</v>
      </c>
      <c r="M2269" s="1175">
        <v>0</v>
      </c>
      <c r="N2269" s="1175">
        <v>0</v>
      </c>
      <c r="O2269" s="1176">
        <v>0</v>
      </c>
      <c r="AA2269"/>
      <c r="AB2269"/>
    </row>
    <row r="2270" spans="3:28" ht="13.5">
      <c r="C2270" s="1181" t="s">
        <v>6950</v>
      </c>
      <c r="D2270" s="1178">
        <v>0</v>
      </c>
      <c r="E2270" s="1178">
        <v>0</v>
      </c>
      <c r="F2270" s="1179">
        <v>0</v>
      </c>
      <c r="G2270" s="1189" t="s">
        <v>6950</v>
      </c>
      <c r="H2270" s="1176">
        <v>0</v>
      </c>
      <c r="I2270" s="1176">
        <v>0</v>
      </c>
      <c r="J2270" s="1190">
        <v>0</v>
      </c>
      <c r="K2270" s="1180"/>
      <c r="L2270" s="1174">
        <v>13319960200</v>
      </c>
      <c r="M2270" s="1175">
        <v>0</v>
      </c>
      <c r="N2270" s="1175">
        <v>0</v>
      </c>
      <c r="O2270" s="1176">
        <v>0</v>
      </c>
      <c r="AA2270"/>
      <c r="AB2270"/>
    </row>
    <row r="2271" spans="3:28" ht="13.5">
      <c r="C2271" s="1181" t="s">
        <v>6951</v>
      </c>
      <c r="D2271" s="1178">
        <v>0</v>
      </c>
      <c r="E2271" s="1178">
        <v>0</v>
      </c>
      <c r="F2271" s="1179">
        <v>0</v>
      </c>
      <c r="G2271" s="1189" t="s">
        <v>6951</v>
      </c>
      <c r="H2271" s="1176">
        <v>0</v>
      </c>
      <c r="I2271" s="1176">
        <v>1</v>
      </c>
      <c r="J2271" s="1190">
        <v>1</v>
      </c>
      <c r="K2271" s="1180"/>
      <c r="L2271" s="1174">
        <v>13319960300</v>
      </c>
      <c r="M2271" s="1175">
        <v>0</v>
      </c>
      <c r="N2271" s="1175">
        <v>1</v>
      </c>
      <c r="O2271" s="1176">
        <v>1</v>
      </c>
      <c r="AA2271"/>
      <c r="AB2271"/>
    </row>
    <row r="2272" spans="3:28" ht="13.5">
      <c r="C2272" s="1181" t="s">
        <v>6952</v>
      </c>
      <c r="D2272" s="1178">
        <v>0</v>
      </c>
      <c r="E2272" s="1178">
        <v>0</v>
      </c>
      <c r="F2272" s="1179">
        <v>0</v>
      </c>
      <c r="G2272" s="1189" t="s">
        <v>6952</v>
      </c>
      <c r="H2272" s="1176">
        <v>0</v>
      </c>
      <c r="I2272" s="1176">
        <v>0</v>
      </c>
      <c r="J2272" s="1190">
        <v>0</v>
      </c>
      <c r="K2272" s="1180"/>
      <c r="L2272" s="1174">
        <v>13319960400</v>
      </c>
      <c r="M2272" s="1175">
        <v>0</v>
      </c>
      <c r="N2272" s="1175">
        <v>0</v>
      </c>
      <c r="O2272" s="1176">
        <v>0</v>
      </c>
      <c r="AA2272"/>
      <c r="AB2272"/>
    </row>
    <row r="2273" spans="3:28" ht="13.5">
      <c r="C2273" s="1181" t="s">
        <v>6953</v>
      </c>
      <c r="D2273" s="1178">
        <v>0</v>
      </c>
      <c r="E2273" s="1178">
        <v>0</v>
      </c>
      <c r="F2273" s="1179">
        <v>0</v>
      </c>
      <c r="G2273" s="1189" t="s">
        <v>6953</v>
      </c>
      <c r="H2273" s="1176">
        <v>0</v>
      </c>
      <c r="I2273" s="1176">
        <v>0</v>
      </c>
      <c r="J2273" s="1190">
        <v>0</v>
      </c>
      <c r="K2273" s="1180"/>
      <c r="L2273" s="1174">
        <v>13321950100</v>
      </c>
      <c r="M2273" s="1175">
        <v>0</v>
      </c>
      <c r="N2273" s="1175">
        <v>0</v>
      </c>
      <c r="O2273" s="1176">
        <v>0</v>
      </c>
      <c r="AA2273"/>
      <c r="AB2273"/>
    </row>
    <row r="2274" spans="3:28" ht="13.5">
      <c r="C2274" s="1181" t="s">
        <v>6954</v>
      </c>
      <c r="D2274" s="1178">
        <v>0</v>
      </c>
      <c r="E2274" s="1178">
        <v>0</v>
      </c>
      <c r="F2274" s="1179">
        <v>0</v>
      </c>
      <c r="G2274" s="1189" t="s">
        <v>6954</v>
      </c>
      <c r="H2274" s="1176">
        <v>0</v>
      </c>
      <c r="I2274" s="1176">
        <v>0</v>
      </c>
      <c r="J2274" s="1190">
        <v>0</v>
      </c>
      <c r="K2274" s="1180"/>
      <c r="L2274" s="1174">
        <v>13321950200</v>
      </c>
      <c r="M2274" s="1175">
        <v>0</v>
      </c>
      <c r="N2274" s="1175">
        <v>0</v>
      </c>
      <c r="O2274" s="1176">
        <v>0</v>
      </c>
      <c r="AA2274"/>
      <c r="AB2274"/>
    </row>
    <row r="2275" spans="3:28" ht="13.5">
      <c r="C2275" s="1181" t="s">
        <v>6955</v>
      </c>
      <c r="D2275" s="1178">
        <v>0</v>
      </c>
      <c r="E2275" s="1178">
        <v>0</v>
      </c>
      <c r="F2275" s="1179">
        <v>0</v>
      </c>
      <c r="G2275" s="1189" t="s">
        <v>6955</v>
      </c>
      <c r="H2275" s="1176">
        <v>0</v>
      </c>
      <c r="I2275" s="1176">
        <v>0</v>
      </c>
      <c r="J2275" s="1190">
        <v>0</v>
      </c>
      <c r="K2275" s="1180"/>
      <c r="L2275" s="1174">
        <v>13321950400</v>
      </c>
      <c r="M2275" s="1175">
        <v>0</v>
      </c>
      <c r="N2275" s="1175">
        <v>0</v>
      </c>
      <c r="O2275" s="1176">
        <v>0</v>
      </c>
      <c r="AA2275"/>
      <c r="AB2275"/>
    </row>
    <row r="2276" spans="3:28" ht="13.5">
      <c r="C2276" s="1181" t="s">
        <v>6956</v>
      </c>
      <c r="D2276" s="1178">
        <v>0</v>
      </c>
      <c r="E2276" s="1178">
        <v>0</v>
      </c>
      <c r="F2276" s="1179">
        <v>0</v>
      </c>
      <c r="G2276" s="1189" t="s">
        <v>6956</v>
      </c>
      <c r="H2276" s="1176">
        <v>0</v>
      </c>
      <c r="I2276" s="1176">
        <v>0</v>
      </c>
      <c r="J2276" s="1190">
        <v>0</v>
      </c>
      <c r="K2276" s="1180"/>
      <c r="L2276" s="1174">
        <v>13321950500</v>
      </c>
      <c r="M2276" s="1175">
        <v>0</v>
      </c>
      <c r="N2276" s="1175">
        <v>0</v>
      </c>
      <c r="O2276" s="1176">
        <v>0</v>
      </c>
      <c r="AA2276"/>
      <c r="AB2276"/>
    </row>
    <row r="2277" spans="3:28" ht="13.5">
      <c r="C2277" s="1182" t="s">
        <v>6957</v>
      </c>
      <c r="D2277" s="1183">
        <v>0</v>
      </c>
      <c r="E2277" s="1183">
        <v>0</v>
      </c>
      <c r="F2277" s="1184">
        <v>0</v>
      </c>
      <c r="G2277" s="1191" t="s">
        <v>6957</v>
      </c>
      <c r="H2277" s="1192">
        <v>1</v>
      </c>
      <c r="I2277" s="1192">
        <v>0</v>
      </c>
      <c r="J2277" s="1193">
        <v>1</v>
      </c>
      <c r="K2277" s="1180"/>
      <c r="L2277" s="1174">
        <v>13321950600</v>
      </c>
      <c r="M2277" s="1175">
        <v>1</v>
      </c>
      <c r="N2277" s="1175">
        <v>0</v>
      </c>
      <c r="O2277" s="117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261" bestFit="1" customWidth="1"/>
    <col min="9" max="9" width="14.28515625" style="261" bestFit="1" customWidth="1"/>
    <col min="10" max="17" width="9.28515625" style="261" bestFit="1" customWidth="1"/>
    <col min="18" max="18" width="9.140625" style="261"/>
    <col min="19" max="21" width="9.28515625" style="261" bestFit="1" customWidth="1"/>
    <col min="22" max="22" width="9.85546875" style="261" bestFit="1" customWidth="1"/>
    <col min="23" max="23" width="9.28515625" style="261" bestFit="1" customWidth="1"/>
    <col min="24" max="24" width="11.28515625" style="261" bestFit="1" customWidth="1"/>
    <col min="25" max="359" width="9.28515625" style="261" bestFit="1" customWidth="1"/>
    <col min="360" max="16384" width="9.140625" style="261"/>
  </cols>
  <sheetData>
    <row r="1" spans="1:26">
      <c r="A1" s="2188" t="str">
        <f>CONCATENATE("PART ONE - PROJECT INFORMATION"," - ",$O$7," ",$F$25,", ",'Part I-Project Identification'!F25,", ",'Part I-Project Identification'!J25," County")</f>
        <v>PART ONE - PROJECT INFORMATION -  Atlanta, Ashley Collegetown Phase I,  County</v>
      </c>
      <c r="B1" s="2188"/>
      <c r="C1" s="2188"/>
      <c r="D1" s="2188"/>
      <c r="E1" s="2188"/>
      <c r="F1" s="2188"/>
      <c r="G1" s="2188"/>
      <c r="H1" s="2188"/>
      <c r="I1" s="2188"/>
      <c r="J1" s="2188"/>
      <c r="K1" s="2188"/>
      <c r="L1" s="2188"/>
      <c r="M1" s="2188"/>
      <c r="N1" s="2188"/>
      <c r="O1" s="2188"/>
      <c r="P1" s="2188"/>
    </row>
    <row r="2" spans="1:26">
      <c r="A2" s="2189"/>
      <c r="B2" s="2189"/>
      <c r="C2" s="2189"/>
      <c r="D2" s="2189"/>
      <c r="E2" s="2189"/>
      <c r="F2" s="2189"/>
      <c r="G2" s="2189"/>
      <c r="H2" s="2189"/>
      <c r="I2" s="2189"/>
      <c r="J2" s="2189"/>
      <c r="K2" s="2189"/>
      <c r="L2" s="2189"/>
      <c r="M2" s="2189"/>
      <c r="N2" s="2189"/>
      <c r="O2" s="2189"/>
      <c r="P2" s="2189"/>
    </row>
    <row r="3" spans="1:26" ht="12.75" customHeight="1">
      <c r="A3" s="2190" t="s">
        <v>6958</v>
      </c>
      <c r="B3" s="2190"/>
      <c r="C3" s="2190"/>
      <c r="D3" s="2190"/>
      <c r="E3" s="2190"/>
      <c r="F3" s="2190"/>
      <c r="G3" s="2190"/>
      <c r="H3" s="2190"/>
      <c r="I3" s="2190"/>
      <c r="J3" s="2190"/>
      <c r="K3" s="2190"/>
      <c r="L3" s="2190"/>
      <c r="M3" s="2190"/>
      <c r="N3" s="2190"/>
      <c r="O3" s="2190"/>
      <c r="P3" s="2190"/>
    </row>
    <row r="4" spans="1:26">
      <c r="A4" s="2189"/>
      <c r="B4" s="2189"/>
      <c r="C4" s="2189"/>
      <c r="D4" s="2189"/>
      <c r="E4" s="2189"/>
      <c r="F4" s="2189"/>
      <c r="G4" s="2189"/>
      <c r="H4" s="2189"/>
      <c r="I4" s="2189"/>
      <c r="J4" s="2189"/>
      <c r="K4" s="2189"/>
      <c r="L4" s="2189"/>
      <c r="M4" s="2189"/>
      <c r="N4" s="2189"/>
      <c r="O4" s="2189"/>
      <c r="P4" s="2189"/>
    </row>
    <row r="5" spans="1:26" ht="14.25" customHeight="1">
      <c r="A5" s="2191" t="str">
        <f>'Part I-Project Identification'!A6</f>
        <v>Sept 2023</v>
      </c>
      <c r="B5" s="2192"/>
      <c r="C5" s="2192"/>
      <c r="D5" s="2192"/>
      <c r="E5" s="1499"/>
      <c r="F5" s="2189"/>
      <c r="G5" s="2193" t="s">
        <v>6959</v>
      </c>
      <c r="H5" s="1499"/>
      <c r="I5" s="1499"/>
      <c r="J5" s="1499"/>
      <c r="K5" s="1499"/>
      <c r="L5" s="2189"/>
      <c r="M5" s="1499"/>
      <c r="N5" s="1499"/>
      <c r="O5" s="1499"/>
      <c r="P5" s="2194" t="s">
        <v>16</v>
      </c>
    </row>
    <row r="6" spans="1:26" ht="14.25" customHeight="1">
      <c r="A6" s="2192"/>
      <c r="B6" s="2192"/>
      <c r="C6" s="2192"/>
      <c r="D6" s="2192"/>
      <c r="E6" s="2195"/>
      <c r="F6" s="2189"/>
      <c r="G6" s="2193" t="s">
        <v>6960</v>
      </c>
      <c r="H6" s="1324"/>
      <c r="I6" s="1324"/>
      <c r="J6" s="1324"/>
      <c r="K6" s="1499"/>
      <c r="L6" s="1499"/>
      <c r="M6" s="1499"/>
      <c r="N6" s="1499"/>
      <c r="O6" s="2188" t="str">
        <f>'Part I-Project Identification'!O7</f>
        <v>2023-5</v>
      </c>
      <c r="P6" s="2188"/>
    </row>
    <row r="7" spans="1:26" ht="12.75" customHeight="1">
      <c r="A7" s="2192"/>
      <c r="B7" s="2192"/>
      <c r="C7" s="2192"/>
      <c r="D7" s="2192"/>
      <c r="E7" s="2195"/>
      <c r="F7" s="2188"/>
      <c r="G7" s="2196" t="s">
        <v>20</v>
      </c>
      <c r="H7" s="1324"/>
      <c r="I7" s="1324"/>
      <c r="J7" s="1324"/>
      <c r="K7" s="1499"/>
      <c r="L7" s="1499"/>
      <c r="M7" s="1499"/>
      <c r="N7" s="1499"/>
      <c r="O7" s="1499"/>
      <c r="P7" s="1499"/>
    </row>
    <row r="8" spans="1:26">
      <c r="A8" s="2189"/>
      <c r="B8" s="1499"/>
      <c r="C8" s="1499"/>
      <c r="D8" s="1499"/>
      <c r="E8" s="1324"/>
      <c r="F8" s="1499"/>
      <c r="G8" s="1499"/>
      <c r="H8" s="1324"/>
      <c r="I8" s="1324"/>
      <c r="J8" s="1499"/>
      <c r="K8" s="1499"/>
      <c r="L8" s="1499"/>
      <c r="M8" s="1324"/>
      <c r="N8" s="1499"/>
      <c r="O8" s="1499"/>
      <c r="P8" s="1499"/>
    </row>
    <row r="9" spans="1:26">
      <c r="A9" s="2188" t="s">
        <v>21</v>
      </c>
      <c r="B9" s="2188" t="s">
        <v>22</v>
      </c>
      <c r="C9" s="1499"/>
      <c r="D9" s="281"/>
      <c r="E9" s="1324"/>
      <c r="F9" s="2197" t="s">
        <v>23</v>
      </c>
      <c r="G9" s="1499"/>
      <c r="H9" s="1499"/>
      <c r="I9" s="2117">
        <f ca="1">'Part III-A-Uses of Funds'!$J$191</f>
        <v>896054</v>
      </c>
      <c r="J9" s="2117"/>
      <c r="K9" s="1499"/>
      <c r="L9" s="1499" t="s">
        <v>24</v>
      </c>
      <c r="M9" s="1499"/>
      <c r="N9" s="1499"/>
      <c r="O9" s="2118">
        <f>'Part II-Sources of Funds'!$I$6</f>
        <v>0</v>
      </c>
      <c r="P9" s="2118"/>
    </row>
    <row r="10" spans="1:26">
      <c r="A10" s="2188"/>
      <c r="B10" s="2188"/>
      <c r="C10" s="1499"/>
      <c r="D10" s="281"/>
      <c r="E10" s="1324"/>
      <c r="F10" s="1324"/>
      <c r="G10" s="1499"/>
      <c r="H10" s="1499"/>
      <c r="I10" s="2198"/>
      <c r="J10" s="1499"/>
      <c r="K10" s="1499"/>
      <c r="L10" s="1499"/>
      <c r="M10" s="1499"/>
      <c r="N10" s="2199"/>
      <c r="O10" s="1499"/>
      <c r="P10" s="1499"/>
    </row>
    <row r="11" spans="1:26" ht="13.5">
      <c r="A11" s="2198" t="s">
        <v>25</v>
      </c>
      <c r="B11" s="2188" t="s">
        <v>26</v>
      </c>
      <c r="C11" s="1499"/>
      <c r="D11" s="1499"/>
      <c r="E11" s="1499"/>
      <c r="F11" s="2200" t="str">
        <f>'Part I-Project Identification'!F12</f>
        <v>4% Credit/TE Bond</v>
      </c>
      <c r="G11" s="2200"/>
      <c r="H11" s="2200"/>
      <c r="I11" s="2201" t="s">
        <v>6961</v>
      </c>
      <c r="J11" s="2188" t="s">
        <v>6962</v>
      </c>
      <c r="K11" s="2188"/>
      <c r="L11" s="1324"/>
      <c r="M11" s="1499"/>
      <c r="N11" s="1499"/>
      <c r="O11" s="1499" t="str">
        <f>'Part I-Project Identification'!O12</f>
        <v>&lt;&lt;Enter Pre-App Nbr&gt;&gt;</v>
      </c>
      <c r="P11" s="1499"/>
    </row>
    <row r="12" spans="1:26">
      <c r="A12" s="2189"/>
      <c r="B12" s="281"/>
      <c r="C12" s="281"/>
      <c r="D12" s="281"/>
      <c r="E12" s="281"/>
      <c r="F12" s="1499"/>
      <c r="G12" s="1499"/>
      <c r="H12" s="1324"/>
      <c r="I12" s="1499"/>
      <c r="J12" s="2197"/>
      <c r="K12" s="2198"/>
      <c r="L12" s="1499"/>
      <c r="M12" s="1324"/>
      <c r="N12" s="1499"/>
      <c r="O12" s="1499"/>
      <c r="P12" s="1499"/>
    </row>
    <row r="13" spans="1:26">
      <c r="A13" s="2198" t="s">
        <v>31</v>
      </c>
      <c r="B13" s="2188" t="s">
        <v>32</v>
      </c>
      <c r="C13" s="1499"/>
      <c r="D13" s="2197"/>
      <c r="E13" s="1324"/>
      <c r="F13" s="1499"/>
      <c r="G13" s="1324"/>
      <c r="H13" s="1324"/>
      <c r="I13" s="1324"/>
      <c r="J13" s="1499"/>
      <c r="K13" s="1499"/>
      <c r="L13" s="2199"/>
      <c r="M13" s="1499"/>
      <c r="N13" s="1499"/>
      <c r="O13" s="1499"/>
      <c r="P13" s="1499"/>
    </row>
    <row r="14" spans="1:26">
      <c r="A14" s="1499"/>
      <c r="B14" s="1499" t="s">
        <v>34</v>
      </c>
      <c r="C14" s="1499"/>
      <c r="D14" s="1499"/>
      <c r="E14" s="1499"/>
      <c r="F14" s="1499" t="str">
        <f>'Part I-Project Identification'!F15</f>
        <v>Integral</v>
      </c>
      <c r="G14" s="1499"/>
      <c r="H14" s="1499"/>
      <c r="I14" s="1499" t="s">
        <v>36</v>
      </c>
      <c r="J14" s="1499" t="str">
        <f>'Part I-Project Identification'!J15</f>
        <v>Trey Williams</v>
      </c>
      <c r="K14" s="1499"/>
      <c r="L14" s="1499"/>
      <c r="M14" s="2197" t="s">
        <v>38</v>
      </c>
      <c r="N14" s="1499" t="str">
        <f>'Part I-Project Identification'!N15</f>
        <v>Vice President</v>
      </c>
      <c r="O14" s="1499"/>
      <c r="P14" s="1499"/>
    </row>
    <row r="15" spans="1:26" s="1499" customFormat="1" ht="12.75" customHeight="1">
      <c r="B15" s="2197" t="s">
        <v>40</v>
      </c>
      <c r="F15" s="2202">
        <f>'Part I-Project Identification'!F16</f>
        <v>4042241860</v>
      </c>
      <c r="G15" s="2202"/>
      <c r="H15" s="2202"/>
      <c r="I15" s="2197" t="s">
        <v>41</v>
      </c>
      <c r="J15" s="2203">
        <f>'Part I-Project Identification'!J16</f>
        <v>0</v>
      </c>
      <c r="M15" s="2197" t="s">
        <v>42</v>
      </c>
      <c r="N15" s="2202">
        <f>'Part I-Project Identification'!N16</f>
        <v>4042241893</v>
      </c>
      <c r="O15" s="2202"/>
      <c r="P15" s="2202"/>
      <c r="Q15" s="261"/>
      <c r="R15" s="261"/>
      <c r="S15" s="261"/>
      <c r="V15" s="2204"/>
      <c r="W15" s="2204"/>
      <c r="X15" s="2204"/>
      <c r="Z15" s="1324">
        <v>18</v>
      </c>
    </row>
    <row r="16" spans="1:26" s="1499" customFormat="1">
      <c r="B16" s="2197" t="s">
        <v>43</v>
      </c>
      <c r="F16" s="2205" t="str">
        <f>'Part I-Project Identification'!F17</f>
        <v>twilliams@integral-online.com</v>
      </c>
      <c r="G16" s="2205"/>
      <c r="H16" s="2205"/>
      <c r="I16" s="2205"/>
      <c r="J16" s="2205"/>
      <c r="K16" s="2205"/>
      <c r="L16" s="2205"/>
      <c r="M16" s="2197" t="s">
        <v>45</v>
      </c>
      <c r="N16" s="2202">
        <f>'Part I-Project Identification'!N17</f>
        <v>6783582839</v>
      </c>
      <c r="O16" s="2202"/>
      <c r="P16" s="2202"/>
      <c r="Q16" s="261"/>
      <c r="R16" s="261"/>
      <c r="S16" s="261"/>
      <c r="U16" s="2204"/>
      <c r="V16" s="2204"/>
      <c r="W16" s="2204"/>
      <c r="X16" s="2204"/>
      <c r="Z16" s="1324">
        <v>19</v>
      </c>
    </row>
    <row r="17" spans="1:26">
      <c r="A17" s="2189"/>
      <c r="B17" s="2188" t="s">
        <v>46</v>
      </c>
      <c r="C17" s="281"/>
      <c r="D17" s="1499"/>
      <c r="E17" s="1499"/>
      <c r="F17" s="1499"/>
      <c r="G17" s="1499"/>
      <c r="H17" s="1324"/>
      <c r="I17" s="1499"/>
      <c r="J17" s="281"/>
      <c r="K17" s="1499"/>
      <c r="L17" s="1499"/>
      <c r="M17" s="1499"/>
      <c r="N17" s="1499"/>
      <c r="O17" s="1499"/>
      <c r="P17" s="1324"/>
    </row>
    <row r="18" spans="1:26">
      <c r="A18" s="1499"/>
      <c r="B18" s="1499" t="s">
        <v>34</v>
      </c>
      <c r="C18" s="1499"/>
      <c r="D18" s="1499"/>
      <c r="E18" s="1499"/>
      <c r="F18" s="1499" t="str">
        <f>'Part I-Project Identification'!F19</f>
        <v>Integral</v>
      </c>
      <c r="G18" s="1499"/>
      <c r="H18" s="1499"/>
      <c r="I18" s="1499" t="s">
        <v>36</v>
      </c>
      <c r="J18" s="1499" t="str">
        <f>'Part I-Project Identification'!J19</f>
        <v>Valerie Edwards</v>
      </c>
      <c r="K18" s="1499"/>
      <c r="L18" s="1499"/>
      <c r="M18" s="2197" t="s">
        <v>38</v>
      </c>
      <c r="N18" s="1499" t="str">
        <f>'Part I-Project Identification'!N19</f>
        <v>Executive Vice President</v>
      </c>
      <c r="O18" s="1499"/>
      <c r="P18" s="1499"/>
    </row>
    <row r="19" spans="1:26" s="1499" customFormat="1" ht="12.75" customHeight="1">
      <c r="B19" s="2197" t="s">
        <v>40</v>
      </c>
      <c r="F19" s="2202">
        <f>'Part I-Project Identification'!F20</f>
        <v>4042241860</v>
      </c>
      <c r="G19" s="2202"/>
      <c r="H19" s="2202"/>
      <c r="I19" s="2197" t="s">
        <v>41</v>
      </c>
      <c r="J19" s="2203">
        <f>'Part I-Project Identification'!J20</f>
        <v>0</v>
      </c>
      <c r="M19" s="2197" t="s">
        <v>42</v>
      </c>
      <c r="N19" s="2202">
        <f>'Part I-Project Identification'!N20</f>
        <v>4042241881</v>
      </c>
      <c r="O19" s="2202"/>
      <c r="P19" s="2202"/>
      <c r="Q19" s="261"/>
      <c r="R19" s="261"/>
      <c r="S19" s="261"/>
      <c r="V19" s="2204"/>
      <c r="W19" s="2204"/>
      <c r="X19" s="2204"/>
      <c r="Z19" s="1324">
        <v>18</v>
      </c>
    </row>
    <row r="20" spans="1:26" s="1499" customFormat="1">
      <c r="B20" s="2197" t="s">
        <v>43</v>
      </c>
      <c r="F20" s="2205" t="str">
        <f>'Part I-Project Identification'!F21</f>
        <v>vedwards@integral-online.com</v>
      </c>
      <c r="G20" s="2205"/>
      <c r="H20" s="2205"/>
      <c r="I20" s="2205"/>
      <c r="J20" s="2205"/>
      <c r="K20" s="2205"/>
      <c r="L20" s="2205"/>
      <c r="M20" s="2197" t="s">
        <v>45</v>
      </c>
      <c r="N20" s="2202">
        <f>'Part I-Project Identification'!N21</f>
        <v>4042297237</v>
      </c>
      <c r="O20" s="2202"/>
      <c r="P20" s="2202"/>
      <c r="Q20" s="261"/>
      <c r="R20" s="261"/>
      <c r="S20" s="261"/>
      <c r="U20" s="2204"/>
      <c r="V20" s="2204"/>
      <c r="W20" s="2204"/>
      <c r="X20" s="2204"/>
      <c r="Z20" s="1324">
        <v>19</v>
      </c>
    </row>
    <row r="21" spans="1:26">
      <c r="A21" s="1499"/>
      <c r="B21" s="1499"/>
      <c r="C21" s="1499"/>
      <c r="D21" s="1499"/>
      <c r="E21" s="1499"/>
      <c r="F21" s="1499"/>
      <c r="G21" s="1499"/>
      <c r="H21" s="1499"/>
      <c r="I21" s="281"/>
      <c r="J21" s="281"/>
      <c r="K21" s="281"/>
      <c r="L21" s="281"/>
      <c r="M21" s="281"/>
      <c r="N21" s="281"/>
      <c r="O21" s="281"/>
      <c r="P21" s="281"/>
    </row>
    <row r="22" spans="1:26">
      <c r="A22" s="2198" t="s">
        <v>50</v>
      </c>
      <c r="B22" s="2188" t="s">
        <v>51</v>
      </c>
      <c r="C22" s="1499"/>
      <c r="D22" s="281"/>
      <c r="E22" s="1324"/>
      <c r="F22" s="1324"/>
      <c r="G22" s="2197"/>
      <c r="H22" s="1324"/>
      <c r="I22" s="1324"/>
      <c r="J22" s="1324"/>
      <c r="K22" s="1499"/>
      <c r="L22" s="1499"/>
      <c r="M22" s="1499"/>
      <c r="N22" s="1499"/>
      <c r="O22" s="1499"/>
      <c r="P22" s="1499"/>
    </row>
    <row r="23" spans="1:26">
      <c r="A23" s="2198"/>
      <c r="B23" s="2188"/>
      <c r="C23" s="1499"/>
      <c r="D23" s="281"/>
      <c r="E23" s="1324"/>
      <c r="F23" s="1324"/>
      <c r="G23" s="2197"/>
      <c r="H23" s="1324"/>
      <c r="I23" s="1324"/>
      <c r="J23" s="1324"/>
      <c r="K23" s="1499"/>
      <c r="L23" s="2199"/>
      <c r="M23" s="2199"/>
      <c r="N23" s="1499"/>
      <c r="O23" s="1499"/>
      <c r="P23" s="1499"/>
    </row>
    <row r="24" spans="1:26">
      <c r="A24" s="2188"/>
      <c r="B24" s="1499" t="s">
        <v>52</v>
      </c>
      <c r="C24" s="1499"/>
      <c r="D24" s="2188"/>
      <c r="E24" s="1499"/>
      <c r="F24" s="1499" t="str">
        <f>'Part I-Project Identification'!F25</f>
        <v>Ashley Collegetown Phase I</v>
      </c>
      <c r="G24" s="1499"/>
      <c r="H24" s="1499"/>
      <c r="I24" s="1499"/>
      <c r="J24" s="1499"/>
      <c r="K24" s="1499"/>
      <c r="L24" s="1499"/>
      <c r="M24" s="2197" t="s">
        <v>53</v>
      </c>
      <c r="N24" s="1499"/>
      <c r="O24" s="1499"/>
      <c r="P24" s="2119" t="str">
        <f>'Part I-Project Identification'!P25</f>
        <v>Yes</v>
      </c>
    </row>
    <row r="25" spans="1:26">
      <c r="A25" s="2189"/>
      <c r="B25" s="1499" t="s">
        <v>54</v>
      </c>
      <c r="C25" s="1499"/>
      <c r="D25" s="1499"/>
      <c r="E25" s="1499"/>
      <c r="F25" s="1499" t="str">
        <f>'Part I-Project Identification'!F26</f>
        <v>Atlanta</v>
      </c>
      <c r="G25" s="1499"/>
      <c r="H25" s="1499"/>
      <c r="I25" s="2206" t="s">
        <v>56</v>
      </c>
      <c r="J25" s="1499" t="str">
        <f>'Part I-Project Identification'!J26</f>
        <v>Fulton</v>
      </c>
      <c r="K25" s="1499"/>
      <c r="L25" s="1499"/>
      <c r="M25" s="2197" t="s">
        <v>57</v>
      </c>
      <c r="N25" s="1499"/>
      <c r="O25" s="1499"/>
      <c r="P25" s="2119" t="str">
        <f>'Part I-Project Identification'!P26</f>
        <v>No</v>
      </c>
    </row>
    <row r="26" spans="1:26" ht="13.5">
      <c r="A26" s="2189"/>
      <c r="B26" s="1499" t="s">
        <v>58</v>
      </c>
      <c r="C26" s="2207"/>
      <c r="D26" s="1380"/>
      <c r="E26" s="1380"/>
      <c r="F26" s="1499" t="str">
        <f>'Part I-Project Identification'!F27</f>
        <v>City Limits</v>
      </c>
      <c r="G26" s="1499"/>
      <c r="H26" s="1499"/>
      <c r="I26" s="1324"/>
      <c r="J26" s="282" t="s">
        <v>60</v>
      </c>
      <c r="K26" s="1324"/>
      <c r="L26" s="1499"/>
      <c r="M26" s="2197" t="s">
        <v>61</v>
      </c>
      <c r="N26" s="1499"/>
      <c r="O26" s="2208">
        <f>'Part I-Project Identification'!O27</f>
        <v>6.82</v>
      </c>
      <c r="P26" s="2208"/>
    </row>
    <row r="27" spans="1:26">
      <c r="A27" s="2189"/>
      <c r="B27" s="1499" t="s">
        <v>62</v>
      </c>
      <c r="C27" s="1499"/>
      <c r="D27" s="1499"/>
      <c r="E27" s="1499"/>
      <c r="F27" s="2197" t="str">
        <f>'Part I-Project Identification'!F28</f>
        <v>No</v>
      </c>
      <c r="G27" s="1499"/>
      <c r="H27" s="1499"/>
      <c r="I27" s="1324"/>
      <c r="J27" s="1324" t="s">
        <v>64</v>
      </c>
      <c r="K27" s="1324" t="str">
        <f>IF(F27="Yes","Rural","Urban")</f>
        <v>Urban</v>
      </c>
      <c r="L27" s="1499"/>
      <c r="M27" s="2197" t="s">
        <v>65</v>
      </c>
      <c r="N27" s="2189" t="str">
        <f>'Part I-Project Identification'!N28</f>
        <v>MSA</v>
      </c>
      <c r="O27" s="1499" t="str">
        <f>'Part I-Project Identification'!O28</f>
        <v>Atlanta-Sandy Springs-Marietta</v>
      </c>
      <c r="P27" s="1499"/>
    </row>
    <row r="28" spans="1:26">
      <c r="A28" s="2189"/>
      <c r="B28" s="2189"/>
      <c r="C28" s="2207"/>
      <c r="D28" s="1380"/>
      <c r="E28" s="1380"/>
      <c r="F28" s="1324"/>
      <c r="G28" s="1324"/>
      <c r="H28" s="1324"/>
      <c r="I28" s="1324"/>
      <c r="J28" s="1380"/>
      <c r="K28" s="1324"/>
      <c r="L28" s="1324"/>
      <c r="M28" s="1499"/>
      <c r="N28" s="1499"/>
      <c r="O28" s="1499"/>
      <c r="P28" s="1324"/>
    </row>
    <row r="29" spans="1:26">
      <c r="A29" s="2198" t="s">
        <v>66</v>
      </c>
      <c r="B29" s="2198" t="s">
        <v>67</v>
      </c>
      <c r="C29" s="1499"/>
      <c r="D29" s="280"/>
      <c r="E29" s="280"/>
      <c r="F29" s="280"/>
      <c r="G29" s="1324"/>
      <c r="H29" s="1324"/>
      <c r="I29" s="1324"/>
      <c r="J29" s="1380"/>
      <c r="K29" s="1324"/>
      <c r="L29" s="1324"/>
      <c r="M29" s="1499"/>
      <c r="N29" s="1499"/>
      <c r="O29" s="1499"/>
      <c r="P29" s="2209"/>
    </row>
    <row r="30" spans="1:26">
      <c r="A30" s="2189"/>
      <c r="B30" s="2189"/>
      <c r="C30" s="1499"/>
      <c r="D30" s="1499"/>
      <c r="E30" s="1499"/>
      <c r="F30" s="1499"/>
      <c r="G30" s="1499"/>
      <c r="H30" s="1499"/>
      <c r="I30" s="1499"/>
      <c r="J30" s="1499"/>
      <c r="K30" s="1499"/>
      <c r="L30" s="1499"/>
      <c r="M30" s="2197"/>
      <c r="N30" s="2210"/>
      <c r="O30" s="2210"/>
      <c r="P30" s="2120"/>
    </row>
    <row r="31" spans="1:26">
      <c r="A31" s="2189"/>
      <c r="B31" s="2198" t="s">
        <v>68</v>
      </c>
      <c r="C31" s="1499"/>
      <c r="D31" s="2211"/>
      <c r="E31" s="2211"/>
      <c r="F31" s="2211"/>
      <c r="G31" s="2211"/>
      <c r="H31" s="1324"/>
      <c r="I31" s="1499"/>
      <c r="J31" s="281"/>
      <c r="K31" s="1380"/>
      <c r="L31" s="1499"/>
      <c r="M31" s="1499"/>
      <c r="N31" s="1499"/>
      <c r="O31" s="1499"/>
      <c r="P31" s="1324"/>
    </row>
    <row r="32" spans="1:26">
      <c r="A32" s="2189"/>
      <c r="B32" s="2189"/>
      <c r="C32" s="2198"/>
      <c r="D32" s="2211"/>
      <c r="E32" s="2211"/>
      <c r="F32" s="2211"/>
      <c r="G32" s="2211"/>
      <c r="H32" s="1324"/>
      <c r="I32" s="1499"/>
      <c r="J32" s="281"/>
      <c r="K32" s="1380"/>
      <c r="L32" s="1499"/>
      <c r="M32" s="1499"/>
      <c r="N32" s="1499"/>
      <c r="O32" s="1499"/>
      <c r="P32" s="1324"/>
    </row>
    <row r="33" spans="1:17" ht="13.5">
      <c r="A33" s="2189"/>
      <c r="B33" s="2189"/>
      <c r="C33" s="1499" t="s">
        <v>69</v>
      </c>
      <c r="D33" s="2200"/>
      <c r="E33" s="1499"/>
      <c r="F33" s="1499"/>
      <c r="G33" s="1499"/>
      <c r="H33" s="1499"/>
      <c r="I33" s="1380"/>
      <c r="J33" s="1499"/>
      <c r="K33" s="2188"/>
      <c r="L33" s="1499" t="s">
        <v>70</v>
      </c>
      <c r="M33" s="1499"/>
      <c r="N33" s="1499"/>
      <c r="O33" s="1499"/>
      <c r="P33" s="1380"/>
    </row>
    <row r="34" spans="1:17">
      <c r="A34" s="2189"/>
      <c r="B34" s="2188"/>
      <c r="C34" s="1499" t="s">
        <v>71</v>
      </c>
      <c r="D34" s="1499"/>
      <c r="E34" s="1499"/>
      <c r="F34" s="1499"/>
      <c r="G34" s="1499"/>
      <c r="H34" s="1499"/>
      <c r="I34" s="1380"/>
      <c r="J34" s="2206" t="s">
        <v>72</v>
      </c>
      <c r="K34" s="1499"/>
      <c r="L34" s="1499"/>
      <c r="M34" s="1499"/>
      <c r="N34" s="1499"/>
      <c r="O34" s="2212"/>
      <c r="P34" s="2212"/>
    </row>
    <row r="35" spans="1:17">
      <c r="A35" s="2189"/>
      <c r="B35" s="2188"/>
      <c r="C35" s="1499" t="s">
        <v>73</v>
      </c>
      <c r="D35" s="1499"/>
      <c r="E35" s="1499"/>
      <c r="F35" s="1499"/>
      <c r="G35" s="1499"/>
      <c r="H35" s="1499"/>
      <c r="I35" s="1380" t="str">
        <f>'Part I-Project Identification'!I36</f>
        <v>No</v>
      </c>
      <c r="J35" s="2206" t="s">
        <v>72</v>
      </c>
      <c r="K35" s="1499"/>
      <c r="L35" s="1499"/>
      <c r="M35" s="1499"/>
      <c r="N35" s="1499"/>
      <c r="O35" s="2212">
        <f>'Part I-Project Identification'!O36</f>
        <v>0</v>
      </c>
      <c r="P35" s="2212"/>
    </row>
    <row r="36" spans="1:17">
      <c r="A36" s="2189"/>
      <c r="B36" s="2189"/>
      <c r="C36" s="1499" t="s">
        <v>74</v>
      </c>
      <c r="D36" s="1499"/>
      <c r="E36" s="1499"/>
      <c r="F36" s="1499"/>
      <c r="G36" s="1499"/>
      <c r="H36" s="1499"/>
      <c r="I36" s="1380" t="str">
        <f>'Part I-Project Identification'!I37</f>
        <v>No</v>
      </c>
      <c r="J36" s="2206" t="s">
        <v>72</v>
      </c>
      <c r="K36" s="1499"/>
      <c r="L36" s="1499"/>
      <c r="M36" s="1499"/>
      <c r="N36" s="1499"/>
      <c r="O36" s="2212">
        <f>'Part I-Project Identification'!O37</f>
        <v>0</v>
      </c>
      <c r="P36" s="2212"/>
    </row>
    <row r="37" spans="1:17">
      <c r="A37" s="2189"/>
      <c r="B37" s="2189"/>
      <c r="C37" s="1499"/>
      <c r="D37" s="1499"/>
      <c r="E37" s="1499"/>
      <c r="F37" s="1499"/>
      <c r="G37" s="1499"/>
      <c r="H37" s="1499"/>
      <c r="I37" s="1499"/>
      <c r="J37" s="1499"/>
      <c r="K37" s="1499"/>
      <c r="L37" s="1499"/>
      <c r="M37" s="1499"/>
      <c r="N37" s="1499"/>
      <c r="O37" s="1499"/>
      <c r="P37" s="281"/>
    </row>
    <row r="38" spans="1:17">
      <c r="A38" s="1499"/>
      <c r="B38" s="2188"/>
      <c r="C38" s="1499"/>
      <c r="D38" s="1499"/>
      <c r="E38" s="1499"/>
      <c r="F38" s="1499"/>
      <c r="G38" s="1499"/>
      <c r="H38" s="1499"/>
      <c r="I38" s="1499"/>
      <c r="J38" s="1499"/>
      <c r="K38" s="1499"/>
      <c r="L38" s="281"/>
      <c r="M38" s="281"/>
      <c r="N38" s="281"/>
      <c r="O38" s="281"/>
      <c r="P38" s="2199"/>
    </row>
    <row r="39" spans="1:17">
      <c r="A39" s="2189" t="s">
        <v>75</v>
      </c>
      <c r="B39" s="280"/>
      <c r="C39" s="280" t="s">
        <v>76</v>
      </c>
      <c r="D39" s="281"/>
      <c r="E39" s="281"/>
      <c r="F39" s="281"/>
      <c r="G39" s="281"/>
      <c r="H39" s="281"/>
      <c r="I39" s="281"/>
      <c r="J39" s="281"/>
      <c r="K39" s="281"/>
      <c r="L39" s="281"/>
      <c r="M39" s="280" t="s">
        <v>77</v>
      </c>
      <c r="N39" s="280" t="s">
        <v>78</v>
      </c>
      <c r="O39" s="281"/>
      <c r="P39" s="281"/>
    </row>
    <row r="40" spans="1:17" ht="13.5">
      <c r="A40" s="2213">
        <f>'Part I-Project Identification'!A41</f>
        <v>0</v>
      </c>
      <c r="B40" s="2213"/>
      <c r="C40" s="2213"/>
      <c r="D40" s="2213"/>
      <c r="E40" s="2213"/>
      <c r="F40" s="2213"/>
      <c r="G40" s="2213"/>
      <c r="H40" s="2213"/>
      <c r="I40" s="2213"/>
      <c r="J40" s="2213"/>
      <c r="K40" s="2213"/>
      <c r="L40" s="2213"/>
      <c r="M40" s="2213">
        <f>'Part I-Project Identification'!M41</f>
        <v>0</v>
      </c>
      <c r="N40" s="2213"/>
      <c r="O40" s="2213"/>
      <c r="P40" s="2213"/>
    </row>
    <row r="45" spans="1:17">
      <c r="A45" s="2188" t="str">
        <f>CONCATENATE("PART TWO - SOURCES OF FUNDS (Proposed)","  -  ",'Part I-Project Identification'!$O$7," ",'Part I-Project Identification'!$F$25,", ",'Part I-Project Identification'!$F$26,", ",'Part I-Project Identification'!$J$26," County")</f>
        <v>PART TWO - SOURCES OF FUNDS (Proposed)  -  2023-5 Ashley Collegetown Phase I, Atlanta, Fulton County</v>
      </c>
      <c r="B45" s="2188"/>
      <c r="C45" s="2188"/>
      <c r="D45" s="2188"/>
      <c r="E45" s="2188"/>
      <c r="F45" s="2188"/>
      <c r="G45" s="2188"/>
      <c r="H45" s="2188"/>
      <c r="I45" s="2188"/>
      <c r="J45" s="2188"/>
      <c r="K45" s="2188"/>
      <c r="L45" s="2188"/>
      <c r="M45" s="2188"/>
      <c r="N45" s="2188"/>
      <c r="O45" s="2188"/>
      <c r="P45" s="2188"/>
      <c r="Q45" s="2188"/>
    </row>
    <row r="46" spans="1:17" ht="13.5">
      <c r="A46" s="281"/>
      <c r="B46" s="281"/>
      <c r="C46" s="281"/>
      <c r="D46" s="281"/>
      <c r="E46" s="281"/>
      <c r="F46" s="281"/>
      <c r="G46" s="263"/>
      <c r="H46" s="263"/>
      <c r="I46" s="263"/>
      <c r="J46" s="263"/>
      <c r="K46" s="263"/>
      <c r="L46" s="263"/>
      <c r="M46" s="2214"/>
      <c r="N46" s="2214"/>
      <c r="O46" s="2214"/>
      <c r="P46" s="2214"/>
      <c r="Q46" s="2214"/>
    </row>
    <row r="47" spans="1:17" ht="16.5">
      <c r="A47" s="2188" t="s">
        <v>21</v>
      </c>
      <c r="B47" s="2188" t="s">
        <v>357</v>
      </c>
      <c r="C47" s="1499"/>
      <c r="D47" s="1499"/>
      <c r="E47" s="1499"/>
      <c r="F47" s="1499"/>
      <c r="G47" s="1499"/>
      <c r="H47" s="2215"/>
      <c r="I47" s="2215"/>
      <c r="J47" s="2215"/>
      <c r="K47" s="2215"/>
      <c r="L47" s="2216" t="str">
        <f>'Part I-Project Identification'!$A$6</f>
        <v>Sept 2023</v>
      </c>
      <c r="M47" s="2216"/>
      <c r="N47" s="2216"/>
      <c r="O47" s="2216"/>
      <c r="P47" s="2216"/>
      <c r="Q47" s="2215"/>
    </row>
    <row r="48" spans="1:17" ht="13.5">
      <c r="A48" s="280"/>
      <c r="B48" s="2189"/>
      <c r="C48" s="280"/>
      <c r="D48" s="1499"/>
      <c r="E48" s="1499"/>
      <c r="F48" s="1499"/>
      <c r="G48" s="1499"/>
      <c r="H48" s="2215"/>
      <c r="I48" s="2215"/>
      <c r="J48" s="2215"/>
      <c r="K48" s="2215"/>
      <c r="L48" s="2215"/>
      <c r="M48" s="2215"/>
      <c r="N48" s="2215"/>
      <c r="O48" s="2215"/>
      <c r="P48" s="2215"/>
      <c r="Q48" s="2215"/>
    </row>
    <row r="49" spans="1:17" ht="13.5">
      <c r="A49" s="2189"/>
      <c r="B49" s="1324" t="str">
        <f>'Part II-Sources of Funds'!B6</f>
        <v>Yes</v>
      </c>
      <c r="C49" s="2193" t="s">
        <v>359</v>
      </c>
      <c r="D49" s="1499"/>
      <c r="E49" s="1324">
        <f>'Part II-Sources of Funds'!E6</f>
        <v>0</v>
      </c>
      <c r="F49" s="2193" t="s">
        <v>360</v>
      </c>
      <c r="G49" s="1499"/>
      <c r="H49" s="2215"/>
      <c r="I49" s="2217">
        <f>'Part II-Sources of Funds'!I6</f>
        <v>0</v>
      </c>
      <c r="J49" s="263"/>
      <c r="K49" s="2215"/>
      <c r="L49" s="1324">
        <f>'Part II-Sources of Funds'!L6</f>
        <v>0</v>
      </c>
      <c r="M49" s="2193" t="s">
        <v>361</v>
      </c>
      <c r="N49" s="2215"/>
      <c r="O49" s="2215"/>
      <c r="P49" s="2215"/>
      <c r="Q49" s="2213"/>
    </row>
    <row r="50" spans="1:17" ht="13.5">
      <c r="A50" s="2189"/>
      <c r="B50" s="1324">
        <f>'Part II-Sources of Funds'!B7</f>
        <v>0</v>
      </c>
      <c r="C50" s="2193" t="s">
        <v>362</v>
      </c>
      <c r="D50" s="1499"/>
      <c r="E50" s="1324">
        <f>'Part II-Sources of Funds'!E7</f>
        <v>0</v>
      </c>
      <c r="F50" s="2193" t="s">
        <v>363</v>
      </c>
      <c r="G50" s="2215"/>
      <c r="H50" s="2215"/>
      <c r="I50" s="2217">
        <f>'Part II-Sources of Funds'!I7</f>
        <v>0</v>
      </c>
      <c r="J50" s="263"/>
      <c r="K50" s="2215"/>
      <c r="L50" s="1324">
        <f>'Part II-Sources of Funds'!L7</f>
        <v>0</v>
      </c>
      <c r="M50" s="2193" t="s">
        <v>364</v>
      </c>
      <c r="N50" s="2215"/>
      <c r="O50" s="2215"/>
      <c r="P50" s="2213"/>
      <c r="Q50" s="2213"/>
    </row>
    <row r="51" spans="1:17" ht="13.5">
      <c r="A51" s="1499"/>
      <c r="B51" s="1324">
        <f>'Part II-Sources of Funds'!B8</f>
        <v>0</v>
      </c>
      <c r="C51" s="2193" t="s">
        <v>365</v>
      </c>
      <c r="D51" s="2215"/>
      <c r="E51" s="2215"/>
      <c r="F51" s="2215" t="s">
        <v>366</v>
      </c>
      <c r="G51" s="2215"/>
      <c r="H51" s="2215" t="str">
        <f>'Part II-Sources of Funds'!H8</f>
        <v>Specify Other HOME Source here</v>
      </c>
      <c r="I51" s="2215"/>
      <c r="J51" s="2215"/>
      <c r="K51" s="2215"/>
      <c r="L51" s="1324">
        <f>'Part II-Sources of Funds'!L8</f>
        <v>0</v>
      </c>
      <c r="M51" s="2193" t="s">
        <v>368</v>
      </c>
      <c r="N51" s="2215"/>
      <c r="O51" s="2215"/>
      <c r="P51" s="2213"/>
      <c r="Q51" s="2213"/>
    </row>
    <row r="52" spans="1:17" ht="13.5">
      <c r="A52" s="2189"/>
      <c r="B52" s="1324">
        <f>'Part II-Sources of Funds'!B9</f>
        <v>0</v>
      </c>
      <c r="C52" s="2215" t="s">
        <v>369</v>
      </c>
      <c r="D52" s="2215"/>
      <c r="E52" s="1324">
        <f>'Part II-Sources of Funds'!E9</f>
        <v>0</v>
      </c>
      <c r="F52" s="2215" t="str">
        <f>'Part II-Sources of Funds'!F9</f>
        <v>Other Type of FEDERAL Funding * - describe type/program here</v>
      </c>
      <c r="G52" s="2215"/>
      <c r="H52" s="2215"/>
      <c r="I52" s="2215"/>
      <c r="J52" s="2215"/>
      <c r="K52" s="2215"/>
      <c r="L52" s="1324">
        <f>'Part II-Sources of Funds'!L9</f>
        <v>0</v>
      </c>
      <c r="M52" s="2193" t="s">
        <v>371</v>
      </c>
      <c r="N52" s="2215"/>
      <c r="O52" s="2215"/>
      <c r="P52" s="2215"/>
      <c r="Q52" s="2213"/>
    </row>
    <row r="53" spans="1:17" ht="13.5">
      <c r="A53" s="2189"/>
      <c r="B53" s="1324">
        <f>'Part II-Sources of Funds'!B10</f>
        <v>0</v>
      </c>
      <c r="C53" s="2193" t="s">
        <v>372</v>
      </c>
      <c r="D53" s="2215"/>
      <c r="E53" s="2215"/>
      <c r="F53" s="2215" t="str">
        <f>'Part II-Sources of Funds'!F10</f>
        <v>Specify Source/Administrator of Other FEDERAL Funding here</v>
      </c>
      <c r="G53" s="2215"/>
      <c r="H53" s="2215"/>
      <c r="I53" s="2215"/>
      <c r="J53" s="2215"/>
      <c r="K53" s="2215"/>
      <c r="L53" s="1324">
        <f>'Part II-Sources of Funds'!L10</f>
        <v>0</v>
      </c>
      <c r="M53" s="2193" t="s">
        <v>374</v>
      </c>
      <c r="N53" s="2215"/>
      <c r="O53" s="2215"/>
      <c r="P53" s="2213"/>
      <c r="Q53" s="2213"/>
    </row>
    <row r="54" spans="1:17" ht="13.5">
      <c r="A54" s="2189"/>
      <c r="B54" s="1324">
        <f>'Part II-Sources of Funds'!B11</f>
        <v>0</v>
      </c>
      <c r="C54" s="2193" t="s">
        <v>375</v>
      </c>
      <c r="D54" s="2215"/>
      <c r="E54" s="1324">
        <f>'Part II-Sources of Funds'!E11</f>
        <v>0</v>
      </c>
      <c r="F54" s="2215" t="str">
        <f>'Part II-Sources of Funds'!F11</f>
        <v>Other Type of STATE/LOCAL Funding * - describe type/program here</v>
      </c>
      <c r="G54" s="2215"/>
      <c r="H54" s="2215"/>
      <c r="I54" s="2215"/>
      <c r="J54" s="2215"/>
      <c r="K54" s="2215"/>
      <c r="L54" s="1324">
        <f>'Part II-Sources of Funds'!L11</f>
        <v>0</v>
      </c>
      <c r="M54" s="2215" t="s">
        <v>377</v>
      </c>
      <c r="N54" s="2215"/>
      <c r="O54" s="2215"/>
      <c r="P54" s="2215"/>
      <c r="Q54" s="2215"/>
    </row>
    <row r="55" spans="1:17" ht="13.5">
      <c r="A55" s="2189"/>
      <c r="B55" s="1324">
        <f>'Part II-Sources of Funds'!B12</f>
        <v>0</v>
      </c>
      <c r="C55" s="2193" t="s">
        <v>378</v>
      </c>
      <c r="D55" s="2215"/>
      <c r="E55" s="2215"/>
      <c r="F55" s="2215" t="str">
        <f>'Part II-Sources of Funds'!F12</f>
        <v>Specify Source/Administrator of Other STATE/LOCAL Funding here</v>
      </c>
      <c r="G55" s="2215"/>
      <c r="H55" s="2215"/>
      <c r="I55" s="2215"/>
      <c r="J55" s="2215"/>
      <c r="K55" s="2215"/>
      <c r="L55" s="1324">
        <f>'Part II-Sources of Funds'!L12</f>
        <v>0</v>
      </c>
      <c r="M55" s="2215" t="s">
        <v>380</v>
      </c>
      <c r="N55" s="2215"/>
      <c r="O55" s="2215"/>
      <c r="P55" s="2215"/>
      <c r="Q55" s="2215"/>
    </row>
    <row r="56" spans="1:17" ht="13.5">
      <c r="A56" s="2189"/>
      <c r="B56" s="1324" t="str">
        <f>'Part II-Sources of Funds'!B13</f>
        <v>Yes</v>
      </c>
      <c r="C56" s="2193" t="s">
        <v>381</v>
      </c>
      <c r="D56" s="2215"/>
      <c r="E56" s="1324">
        <f>'Part II-Sources of Funds'!E13</f>
        <v>0</v>
      </c>
      <c r="F56" s="2193" t="s">
        <v>382</v>
      </c>
      <c r="G56" s="2215"/>
      <c r="H56" s="2215" t="str">
        <f>'Part II-Sources of Funds'!H13</f>
        <v>Specify Other PBRA Source here</v>
      </c>
      <c r="I56" s="2215"/>
      <c r="J56" s="2215"/>
      <c r="K56" s="2215"/>
      <c r="L56" s="1324">
        <f>'Part II-Sources of Funds'!L13</f>
        <v>0</v>
      </c>
      <c r="M56" s="2215" t="s">
        <v>384</v>
      </c>
      <c r="N56" s="2215"/>
      <c r="O56" s="2215"/>
      <c r="P56" s="2215"/>
      <c r="Q56" s="2215"/>
    </row>
    <row r="57" spans="1:17" ht="13.5">
      <c r="A57" s="2189"/>
      <c r="B57" s="1324">
        <f>'Part II-Sources of Funds'!B14</f>
        <v>0</v>
      </c>
      <c r="C57" s="2215" t="s">
        <v>385</v>
      </c>
      <c r="D57" s="2215"/>
      <c r="E57" s="1324">
        <f>'Part II-Sources of Funds'!E14</f>
        <v>0</v>
      </c>
      <c r="F57" s="2193" t="s">
        <v>386</v>
      </c>
      <c r="G57" s="2215"/>
      <c r="H57" s="2215"/>
      <c r="I57" s="2215"/>
      <c r="J57" s="2215"/>
      <c r="K57" s="2215"/>
      <c r="L57" s="1324" t="str">
        <f>'Part II-Sources of Funds'!L14</f>
        <v>Yes</v>
      </c>
      <c r="M57" s="2215" t="s">
        <v>387</v>
      </c>
      <c r="N57" s="2215"/>
      <c r="O57" s="2215"/>
      <c r="P57" s="2215"/>
      <c r="Q57" s="2215"/>
    </row>
    <row r="58" spans="1:17" ht="13.5">
      <c r="A58" s="2189"/>
      <c r="B58" s="1324">
        <f>'Part II-Sources of Funds'!B15</f>
        <v>0</v>
      </c>
      <c r="C58" s="2215" t="s">
        <v>388</v>
      </c>
      <c r="D58" s="2215"/>
      <c r="E58" s="1324">
        <f>'Part II-Sources of Funds'!E15</f>
        <v>0</v>
      </c>
      <c r="F58" s="2193" t="s">
        <v>389</v>
      </c>
      <c r="G58" s="2215"/>
      <c r="H58" s="2215"/>
      <c r="I58" s="2215"/>
      <c r="J58" s="2215"/>
      <c r="K58" s="2215"/>
      <c r="L58" s="1324">
        <f>'Part II-Sources of Funds'!L15</f>
        <v>0</v>
      </c>
      <c r="M58" s="2218" t="s">
        <v>390</v>
      </c>
      <c r="N58" s="2215"/>
      <c r="O58" s="2215"/>
      <c r="P58" s="2215"/>
      <c r="Q58" s="2215"/>
    </row>
    <row r="59" spans="1:17" ht="13.5">
      <c r="A59" s="2189"/>
      <c r="B59" s="1324">
        <f>'Part II-Sources of Funds'!B16</f>
        <v>0</v>
      </c>
      <c r="C59" s="2193" t="s">
        <v>391</v>
      </c>
      <c r="D59" s="2215"/>
      <c r="E59" s="1324" t="str">
        <f>'Part II-Sources of Funds'!E16</f>
        <v>Yes</v>
      </c>
      <c r="F59" s="2193" t="s">
        <v>392</v>
      </c>
      <c r="G59" s="2215"/>
      <c r="H59" s="2215"/>
      <c r="I59" s="2217">
        <f>'Part II-Sources of Funds'!I16</f>
        <v>26000000</v>
      </c>
      <c r="J59" s="263"/>
      <c r="K59" s="2215"/>
      <c r="L59" s="1324">
        <f>'Part II-Sources of Funds'!L16</f>
        <v>0</v>
      </c>
      <c r="M59" s="2218" t="s">
        <v>393</v>
      </c>
      <c r="N59" s="2215"/>
      <c r="O59" s="2215"/>
      <c r="P59" s="2215"/>
      <c r="Q59" s="2215"/>
    </row>
    <row r="60" spans="1:17" ht="13.5">
      <c r="A60" s="2189"/>
      <c r="B60" s="2215" t="s">
        <v>394</v>
      </c>
      <c r="C60" s="1499"/>
      <c r="D60" s="1499"/>
      <c r="E60" s="1499"/>
      <c r="F60" s="1499"/>
      <c r="G60" s="1499"/>
      <c r="H60" s="1499"/>
      <c r="I60" s="1499"/>
      <c r="J60" s="1499"/>
      <c r="K60" s="1499"/>
      <c r="L60" s="1499"/>
      <c r="M60" s="2214"/>
      <c r="N60" s="1499"/>
      <c r="O60" s="1499"/>
      <c r="P60" s="1499"/>
      <c r="Q60" s="1499"/>
    </row>
    <row r="61" spans="1:17" ht="13.5">
      <c r="A61" s="2189"/>
      <c r="B61" s="2215"/>
      <c r="C61" s="2215"/>
      <c r="D61" s="2215"/>
      <c r="E61" s="2215"/>
      <c r="F61" s="2215"/>
      <c r="G61" s="2215"/>
      <c r="H61" s="2215"/>
      <c r="I61" s="2215"/>
      <c r="J61" s="2215"/>
      <c r="K61" s="2215"/>
      <c r="L61" s="1499"/>
      <c r="M61" s="281"/>
      <c r="N61" s="1499"/>
      <c r="O61" s="1499"/>
      <c r="P61" s="1499"/>
      <c r="Q61" s="1499"/>
    </row>
    <row r="62" spans="1:17" ht="13.5">
      <c r="A62" s="2188" t="s">
        <v>25</v>
      </c>
      <c r="B62" s="2198" t="s">
        <v>395</v>
      </c>
      <c r="C62" s="1499"/>
      <c r="D62" s="1499"/>
      <c r="E62" s="1499"/>
      <c r="F62" s="1499"/>
      <c r="G62" s="1499"/>
      <c r="H62" s="2200"/>
      <c r="I62" s="2200"/>
      <c r="J62" s="2200"/>
      <c r="K62" s="2200"/>
      <c r="L62" s="1499"/>
      <c r="M62" s="1499"/>
      <c r="N62" s="1499"/>
      <c r="O62" s="1499"/>
      <c r="P62" s="1499"/>
      <c r="Q62" s="1499"/>
    </row>
    <row r="63" spans="1:17" ht="13.5">
      <c r="A63" s="2188"/>
      <c r="B63" s="2198"/>
      <c r="C63" s="1499"/>
      <c r="D63" s="2200"/>
      <c r="E63" s="2200"/>
      <c r="F63" s="2200"/>
      <c r="G63" s="2200"/>
      <c r="H63" s="2200"/>
      <c r="I63" s="2200"/>
      <c r="J63" s="2200"/>
      <c r="K63" s="1499"/>
      <c r="L63" s="1499"/>
      <c r="M63" s="1499"/>
      <c r="N63" s="1324"/>
      <c r="O63" s="1324"/>
      <c r="P63" s="1499"/>
      <c r="Q63" s="1499"/>
    </row>
    <row r="64" spans="1:17">
      <c r="A64" s="1499"/>
      <c r="B64" s="2197" t="s">
        <v>396</v>
      </c>
      <c r="C64" s="1499"/>
      <c r="D64" s="1499"/>
      <c r="E64" s="1499"/>
      <c r="F64" s="1499"/>
      <c r="G64" s="1499"/>
      <c r="H64" s="1499" t="s">
        <v>397</v>
      </c>
      <c r="I64" s="1499"/>
      <c r="J64" s="1499"/>
      <c r="K64" s="1499"/>
      <c r="L64" s="1499" t="s">
        <v>398</v>
      </c>
      <c r="M64" s="1499"/>
      <c r="N64" s="1499" t="s">
        <v>399</v>
      </c>
      <c r="O64" s="1499"/>
      <c r="P64" s="1499" t="s">
        <v>400</v>
      </c>
      <c r="Q64" s="1499"/>
    </row>
    <row r="65" spans="1:17">
      <c r="A65" s="1499"/>
      <c r="B65" s="1499" t="s">
        <v>402</v>
      </c>
      <c r="C65" s="1499"/>
      <c r="D65" s="1499"/>
      <c r="E65" s="1499"/>
      <c r="F65" s="1499"/>
      <c r="G65" s="1499"/>
      <c r="H65" s="2219">
        <f>'Part II-Sources of Funds'!H22</f>
        <v>0</v>
      </c>
      <c r="I65" s="2219"/>
      <c r="J65" s="2219"/>
      <c r="K65" s="2219"/>
      <c r="L65" s="2121">
        <f>'Part II-Sources of Funds'!L22</f>
        <v>19630835</v>
      </c>
      <c r="M65" s="2121"/>
      <c r="N65" s="2122">
        <f>'Part II-Sources of Funds'!N22</f>
        <v>7.0000000000000007E-2</v>
      </c>
      <c r="O65" s="2122"/>
      <c r="P65" s="2123">
        <f>'Part II-Sources of Funds'!P22</f>
        <v>24</v>
      </c>
      <c r="Q65" s="2123"/>
    </row>
    <row r="66" spans="1:17">
      <c r="A66" s="1499"/>
      <c r="B66" s="1499" t="s">
        <v>404</v>
      </c>
      <c r="C66" s="1499"/>
      <c r="D66" s="1499"/>
      <c r="E66" s="1499"/>
      <c r="F66" s="1499"/>
      <c r="G66" s="1499"/>
      <c r="H66" s="2219">
        <f>'Part II-Sources of Funds'!H23</f>
        <v>0</v>
      </c>
      <c r="I66" s="2219"/>
      <c r="J66" s="2219"/>
      <c r="K66" s="2219"/>
      <c r="L66" s="2121">
        <f>'Part II-Sources of Funds'!L23</f>
        <v>8276060</v>
      </c>
      <c r="M66" s="2121"/>
      <c r="N66" s="2122">
        <f>'Part II-Sources of Funds'!N23</f>
        <v>0.01</v>
      </c>
      <c r="O66" s="2122"/>
      <c r="P66" s="2123">
        <f>'Part II-Sources of Funds'!P23</f>
        <v>24</v>
      </c>
      <c r="Q66" s="2123"/>
    </row>
    <row r="67" spans="1:17">
      <c r="A67" s="1499"/>
      <c r="B67" s="1499" t="s">
        <v>406</v>
      </c>
      <c r="C67" s="1499"/>
      <c r="D67" s="1499"/>
      <c r="E67" s="1499"/>
      <c r="F67" s="1499"/>
      <c r="G67" s="1499"/>
      <c r="H67" s="2219">
        <f>'Part II-Sources of Funds'!H24</f>
        <v>0</v>
      </c>
      <c r="I67" s="2219"/>
      <c r="J67" s="2219"/>
      <c r="K67" s="2219"/>
      <c r="L67" s="2121">
        <f>'Part II-Sources of Funds'!L24</f>
        <v>0</v>
      </c>
      <c r="M67" s="2121"/>
      <c r="N67" s="2122">
        <f>'Part II-Sources of Funds'!N24</f>
        <v>0</v>
      </c>
      <c r="O67" s="2122"/>
      <c r="P67" s="2123">
        <f>'Part II-Sources of Funds'!P24</f>
        <v>0</v>
      </c>
      <c r="Q67" s="2123"/>
    </row>
    <row r="68" spans="1:17">
      <c r="A68" s="1499"/>
      <c r="B68" s="1499" t="s">
        <v>408</v>
      </c>
      <c r="C68" s="1499"/>
      <c r="D68" s="1499"/>
      <c r="E68" s="1499"/>
      <c r="F68" s="1499"/>
      <c r="G68" s="1499"/>
      <c r="H68" s="2219">
        <f>'Part II-Sources of Funds'!H25</f>
        <v>0</v>
      </c>
      <c r="I68" s="2219"/>
      <c r="J68" s="2219"/>
      <c r="K68" s="2219"/>
      <c r="L68" s="2121">
        <f>'Part II-Sources of Funds'!L25</f>
        <v>0</v>
      </c>
      <c r="M68" s="2121"/>
      <c r="N68" s="2122"/>
      <c r="O68" s="2122"/>
      <c r="P68" s="1499"/>
      <c r="Q68" s="1499"/>
    </row>
    <row r="69" spans="1:17" ht="13.5">
      <c r="A69" s="1499"/>
      <c r="B69" s="1499" t="s">
        <v>410</v>
      </c>
      <c r="C69" s="1499"/>
      <c r="D69" s="1499"/>
      <c r="E69" s="1499"/>
      <c r="F69" s="2215"/>
      <c r="G69" s="2215"/>
      <c r="H69" s="2219">
        <f>'Part II-Sources of Funds'!H26</f>
        <v>0</v>
      </c>
      <c r="I69" s="2219"/>
      <c r="J69" s="2219"/>
      <c r="K69" s="2219"/>
      <c r="L69" s="2121">
        <f>'Part II-Sources of Funds'!L26</f>
        <v>0</v>
      </c>
      <c r="M69" s="2121"/>
      <c r="N69" s="2122"/>
      <c r="O69" s="2122"/>
      <c r="P69" s="1499"/>
      <c r="Q69" s="1499"/>
    </row>
    <row r="70" spans="1:17" ht="13.5">
      <c r="A70" s="1499"/>
      <c r="B70" s="1499" t="s">
        <v>412</v>
      </c>
      <c r="C70" s="1499"/>
      <c r="D70" s="1499"/>
      <c r="E70" s="1499"/>
      <c r="F70" s="2215"/>
      <c r="G70" s="2215"/>
      <c r="H70" s="2219">
        <f>'Part II-Sources of Funds'!H27</f>
        <v>0</v>
      </c>
      <c r="I70" s="2219"/>
      <c r="J70" s="2219"/>
      <c r="K70" s="2219"/>
      <c r="L70" s="2121">
        <f>'Part II-Sources of Funds'!L27</f>
        <v>0</v>
      </c>
      <c r="M70" s="2121"/>
      <c r="N70" s="2122"/>
      <c r="O70" s="2122"/>
      <c r="P70" s="1499"/>
      <c r="Q70" s="1499"/>
    </row>
    <row r="71" spans="1:17" ht="13.5">
      <c r="A71" s="1499"/>
      <c r="B71" s="1499" t="s">
        <v>414</v>
      </c>
      <c r="C71" s="1499"/>
      <c r="D71" s="1499"/>
      <c r="E71" s="1499"/>
      <c r="F71" s="2215"/>
      <c r="G71" s="2215"/>
      <c r="H71" s="2219">
        <f>'Part II-Sources of Funds'!H28</f>
        <v>0</v>
      </c>
      <c r="I71" s="2219"/>
      <c r="J71" s="2219"/>
      <c r="K71" s="2219"/>
      <c r="L71" s="2121">
        <f>'Part II-Sources of Funds'!L28</f>
        <v>1680850</v>
      </c>
      <c r="M71" s="2121"/>
      <c r="N71" s="1499"/>
      <c r="O71" s="2215"/>
      <c r="P71" s="2215"/>
      <c r="Q71" s="1499"/>
    </row>
    <row r="72" spans="1:17" ht="13.5">
      <c r="A72" s="1499"/>
      <c r="B72" s="1499" t="s">
        <v>416</v>
      </c>
      <c r="C72" s="1499"/>
      <c r="D72" s="1499"/>
      <c r="E72" s="1499"/>
      <c r="F72" s="2215"/>
      <c r="G72" s="2215"/>
      <c r="H72" s="2219">
        <f>'Part II-Sources of Funds'!H29</f>
        <v>0</v>
      </c>
      <c r="I72" s="2219"/>
      <c r="J72" s="2219"/>
      <c r="K72" s="2219"/>
      <c r="L72" s="2121">
        <f>'Part II-Sources of Funds'!L29</f>
        <v>1004717</v>
      </c>
      <c r="M72" s="2121"/>
      <c r="N72" s="1499"/>
      <c r="O72" s="2215"/>
      <c r="P72" s="2215"/>
      <c r="Q72" s="1499"/>
    </row>
    <row r="73" spans="1:17" ht="13.5">
      <c r="A73" s="1499"/>
      <c r="B73" s="1499" t="s">
        <v>418</v>
      </c>
      <c r="C73" s="1499"/>
      <c r="D73" s="2219">
        <f>'Part II-Sources of Funds'!D30</f>
        <v>0</v>
      </c>
      <c r="E73" s="2219"/>
      <c r="F73" s="2219"/>
      <c r="G73" s="2219"/>
      <c r="H73" s="2219">
        <f>'Part II-Sources of Funds'!H30</f>
        <v>0</v>
      </c>
      <c r="I73" s="2219"/>
      <c r="J73" s="2219"/>
      <c r="K73" s="2219"/>
      <c r="L73" s="2121">
        <f>'Part II-Sources of Funds'!L30</f>
        <v>0</v>
      </c>
      <c r="M73" s="2121"/>
      <c r="N73" s="1499"/>
      <c r="O73" s="2215"/>
      <c r="P73" s="2215"/>
      <c r="Q73" s="1499"/>
    </row>
    <row r="74" spans="1:17" ht="13.5">
      <c r="A74" s="1499"/>
      <c r="B74" s="1499" t="s">
        <v>418</v>
      </c>
      <c r="C74" s="1499"/>
      <c r="D74" s="2219">
        <f>'Part II-Sources of Funds'!D31</f>
        <v>0</v>
      </c>
      <c r="E74" s="2219"/>
      <c r="F74" s="2219"/>
      <c r="G74" s="2219"/>
      <c r="H74" s="2219">
        <f>'Part II-Sources of Funds'!H31</f>
        <v>0</v>
      </c>
      <c r="I74" s="2219"/>
      <c r="J74" s="2219"/>
      <c r="K74" s="2219"/>
      <c r="L74" s="2121">
        <f>'Part II-Sources of Funds'!L31</f>
        <v>0</v>
      </c>
      <c r="M74" s="2121"/>
      <c r="N74" s="1499"/>
      <c r="O74" s="2215"/>
      <c r="P74" s="2215"/>
      <c r="Q74" s="2215"/>
    </row>
    <row r="75" spans="1:17" ht="13.5">
      <c r="A75" s="1499"/>
      <c r="B75" s="1499" t="s">
        <v>418</v>
      </c>
      <c r="C75" s="1499"/>
      <c r="D75" s="2219">
        <f>'Part II-Sources of Funds'!D32</f>
        <v>0</v>
      </c>
      <c r="E75" s="2219"/>
      <c r="F75" s="2219"/>
      <c r="G75" s="2219"/>
      <c r="H75" s="2219">
        <f>'Part II-Sources of Funds'!H32</f>
        <v>0</v>
      </c>
      <c r="I75" s="2219"/>
      <c r="J75" s="2219"/>
      <c r="K75" s="2219"/>
      <c r="L75" s="2121">
        <f>'Part II-Sources of Funds'!L32</f>
        <v>0</v>
      </c>
      <c r="M75" s="2121"/>
      <c r="N75" s="1499"/>
      <c r="O75" s="2215"/>
      <c r="P75" s="2215"/>
      <c r="Q75" s="2215"/>
    </row>
    <row r="76" spans="1:17" ht="13.5">
      <c r="A76" s="1499"/>
      <c r="B76" s="2198" t="s">
        <v>421</v>
      </c>
      <c r="C76" s="1499"/>
      <c r="D76" s="1499"/>
      <c r="E76" s="1499"/>
      <c r="F76" s="1499"/>
      <c r="G76" s="1499"/>
      <c r="H76" s="1499"/>
      <c r="I76" s="1499"/>
      <c r="J76" s="2215"/>
      <c r="K76" s="2215"/>
      <c r="L76" s="2124">
        <f>SUM(L65:L75)</f>
        <v>30592462</v>
      </c>
      <c r="M76" s="2124"/>
      <c r="N76" s="281"/>
      <c r="O76" s="2215"/>
      <c r="P76" s="2215"/>
      <c r="Q76" s="2215"/>
    </row>
    <row r="77" spans="1:17" ht="13.5">
      <c r="A77" s="1499"/>
      <c r="B77" s="2197" t="s">
        <v>422</v>
      </c>
      <c r="C77" s="1499"/>
      <c r="D77" s="1499"/>
      <c r="E77" s="1499"/>
      <c r="F77" s="1499"/>
      <c r="G77" s="1499"/>
      <c r="H77" s="1499"/>
      <c r="I77" s="1499"/>
      <c r="J77" s="2215"/>
      <c r="K77" s="2215"/>
      <c r="L77" s="2124">
        <f ca="1">'Part II-Sources of Funds'!L34</f>
        <v>30592461.599999998</v>
      </c>
      <c r="M77" s="2124"/>
      <c r="N77" s="2220"/>
      <c r="O77" s="2215"/>
      <c r="P77" s="2215"/>
      <c r="Q77" s="2215"/>
    </row>
    <row r="78" spans="1:17" ht="13.5">
      <c r="A78" s="1499"/>
      <c r="B78" s="2197" t="s">
        <v>423</v>
      </c>
      <c r="C78" s="1499"/>
      <c r="D78" s="1499"/>
      <c r="E78" s="1499"/>
      <c r="F78" s="1499"/>
      <c r="G78" s="1499"/>
      <c r="H78" s="1499"/>
      <c r="I78" s="1499"/>
      <c r="J78" s="2215"/>
      <c r="K78" s="2215"/>
      <c r="L78" s="2221">
        <f ca="1">L76-L77</f>
        <v>0.40000000223517418</v>
      </c>
      <c r="M78" s="2221"/>
      <c r="N78" s="2220"/>
      <c r="O78" s="2215"/>
      <c r="P78" s="2215"/>
      <c r="Q78" s="2215"/>
    </row>
    <row r="79" spans="1:17" ht="13.5">
      <c r="A79" s="280"/>
      <c r="B79" s="2198"/>
      <c r="C79" s="281"/>
      <c r="D79" s="281"/>
      <c r="E79" s="281"/>
      <c r="F79" s="281"/>
      <c r="G79" s="281"/>
      <c r="H79" s="281"/>
      <c r="I79" s="281"/>
      <c r="J79" s="281"/>
      <c r="K79" s="281"/>
      <c r="L79" s="281"/>
      <c r="M79" s="1324"/>
      <c r="N79" s="1324"/>
      <c r="O79" s="2214"/>
      <c r="P79" s="2214"/>
      <c r="Q79" s="2214"/>
    </row>
    <row r="80" spans="1:17" ht="13.5">
      <c r="A80" s="2188" t="s">
        <v>31</v>
      </c>
      <c r="B80" s="2198" t="s">
        <v>424</v>
      </c>
      <c r="C80" s="281"/>
      <c r="D80" s="281"/>
      <c r="E80" s="281"/>
      <c r="F80" s="281"/>
      <c r="G80" s="281"/>
      <c r="H80" s="281"/>
      <c r="I80" s="281"/>
      <c r="J80" s="281"/>
      <c r="K80" s="281"/>
      <c r="L80" s="281"/>
      <c r="M80" s="1324"/>
      <c r="N80" s="1324"/>
      <c r="O80" s="281"/>
      <c r="P80" s="2214"/>
      <c r="Q80" s="2214"/>
    </row>
    <row r="81" spans="1:17" ht="13.5" customHeight="1">
      <c r="A81" s="1499"/>
      <c r="B81" s="1499"/>
      <c r="C81" s="1499"/>
      <c r="D81" s="1499"/>
      <c r="E81" s="1499"/>
      <c r="F81" s="1324"/>
      <c r="G81" s="1324"/>
      <c r="H81" s="1499"/>
      <c r="I81" s="1499"/>
      <c r="J81" s="2215"/>
      <c r="K81" s="1380" t="s">
        <v>425</v>
      </c>
      <c r="L81" s="1324" t="s">
        <v>426</v>
      </c>
      <c r="M81" s="1324" t="s">
        <v>427</v>
      </c>
      <c r="N81" s="2215"/>
      <c r="O81" s="2215"/>
      <c r="P81" s="2220" t="s">
        <v>428</v>
      </c>
      <c r="Q81" s="2220"/>
    </row>
    <row r="82" spans="1:17">
      <c r="A82" s="1499"/>
      <c r="B82" s="2197" t="s">
        <v>396</v>
      </c>
      <c r="C82" s="1499"/>
      <c r="D82" s="1499"/>
      <c r="E82" s="1499" t="s">
        <v>397</v>
      </c>
      <c r="F82" s="1499"/>
      <c r="G82" s="1499"/>
      <c r="H82" s="1499"/>
      <c r="I82" s="1499" t="s">
        <v>429</v>
      </c>
      <c r="J82" s="1499"/>
      <c r="K82" s="1324" t="s">
        <v>430</v>
      </c>
      <c r="L82" s="1324" t="s">
        <v>431</v>
      </c>
      <c r="M82" s="1324" t="s">
        <v>431</v>
      </c>
      <c r="N82" s="1499" t="s">
        <v>432</v>
      </c>
      <c r="O82" s="1499"/>
      <c r="P82" s="2220"/>
      <c r="Q82" s="2220"/>
    </row>
    <row r="83" spans="1:17" ht="25.5">
      <c r="A83" s="1499"/>
      <c r="B83" s="1499" t="s">
        <v>434</v>
      </c>
      <c r="C83" s="1499"/>
      <c r="D83" s="1499"/>
      <c r="E83" s="2219" t="str">
        <f>'Part II-Sources of Funds'!E40</f>
        <v>Freddie Mac TEL</v>
      </c>
      <c r="F83" s="2219"/>
      <c r="G83" s="2219"/>
      <c r="H83" s="2219"/>
      <c r="I83" s="2222">
        <f>'Part II-Sources of Funds'!I40</f>
        <v>14100000</v>
      </c>
      <c r="J83" s="1499"/>
      <c r="K83" s="2223">
        <f>'Part II-Sources of Funds'!K40</f>
        <v>7.2499999999999995E-2</v>
      </c>
      <c r="L83" s="1324">
        <f>'Part II-Sources of Funds'!L40</f>
        <v>18</v>
      </c>
      <c r="M83" s="1324">
        <f>'Part II-Sources of Funds'!M40</f>
        <v>40</v>
      </c>
      <c r="N83" s="1499" t="str">
        <f>'Part II-Sources of Funds'!N40</f>
        <v>Amortizing</v>
      </c>
      <c r="O83" s="1499"/>
      <c r="P83" s="2125">
        <f>'Part II-Sources of Funds'!P40</f>
        <v>1082324.8914344434</v>
      </c>
      <c r="Q83" s="2125"/>
    </row>
    <row r="84" spans="1:17" ht="25.5">
      <c r="A84" s="1499"/>
      <c r="B84" s="1499" t="s">
        <v>436</v>
      </c>
      <c r="C84" s="1499"/>
      <c r="D84" s="1499"/>
      <c r="E84" s="2219" t="str">
        <f>'Part II-Sources of Funds'!E41</f>
        <v>Atlanta Housing</v>
      </c>
      <c r="F84" s="2219"/>
      <c r="G84" s="2219"/>
      <c r="H84" s="2219"/>
      <c r="I84" s="2222">
        <f>'Part II-Sources of Funds'!I41</f>
        <v>8276060</v>
      </c>
      <c r="J84" s="1499"/>
      <c r="K84" s="2223">
        <f>'Part II-Sources of Funds'!K41</f>
        <v>0.01</v>
      </c>
      <c r="L84" s="1324">
        <f>'Part II-Sources of Funds'!L41</f>
        <v>55</v>
      </c>
      <c r="M84" s="1324">
        <f>'Part II-Sources of Funds'!M41</f>
        <v>0</v>
      </c>
      <c r="N84" s="1499" t="str">
        <f>'Part II-Sources of Funds'!N41</f>
        <v>Cash Flow</v>
      </c>
      <c r="O84" s="1499"/>
      <c r="P84" s="2125">
        <f>'Part II-Sources of Funds'!P41</f>
        <v>0</v>
      </c>
      <c r="Q84" s="2125"/>
    </row>
    <row r="85" spans="1:17">
      <c r="A85" s="1499"/>
      <c r="B85" s="1499" t="s">
        <v>438</v>
      </c>
      <c r="C85" s="1499"/>
      <c r="D85" s="1499"/>
      <c r="E85" s="2219">
        <f>'Part II-Sources of Funds'!E42</f>
        <v>0</v>
      </c>
      <c r="F85" s="2219"/>
      <c r="G85" s="2219"/>
      <c r="H85" s="2219"/>
      <c r="I85" s="2222">
        <f>'Part II-Sources of Funds'!I42</f>
        <v>0</v>
      </c>
      <c r="J85" s="1499"/>
      <c r="K85" s="2223">
        <f>'Part II-Sources of Funds'!K42</f>
        <v>0</v>
      </c>
      <c r="L85" s="1324">
        <f>'Part II-Sources of Funds'!L42</f>
        <v>0</v>
      </c>
      <c r="M85" s="1324">
        <f>'Part II-Sources of Funds'!M42</f>
        <v>0</v>
      </c>
      <c r="N85" s="1499">
        <f>'Part II-Sources of Funds'!N42</f>
        <v>0</v>
      </c>
      <c r="O85" s="1499"/>
      <c r="P85" s="2125" t="str">
        <f>'Part II-Sources of Funds'!P42</f>
        <v/>
      </c>
      <c r="Q85" s="2125"/>
    </row>
    <row r="86" spans="1:17">
      <c r="A86" s="1499"/>
      <c r="B86" s="1499" t="s">
        <v>440</v>
      </c>
      <c r="C86" s="2219">
        <f>'Part II-Sources of Funds'!C43</f>
        <v>0</v>
      </c>
      <c r="D86" s="2219"/>
      <c r="E86" s="2219">
        <f>'Part II-Sources of Funds'!E43</f>
        <v>0</v>
      </c>
      <c r="F86" s="2219"/>
      <c r="G86" s="2219"/>
      <c r="H86" s="2219"/>
      <c r="I86" s="2222">
        <f>'Part II-Sources of Funds'!I43</f>
        <v>0</v>
      </c>
      <c r="J86" s="1499"/>
      <c r="K86" s="2223">
        <f>'Part II-Sources of Funds'!K43</f>
        <v>0</v>
      </c>
      <c r="L86" s="1324">
        <f>'Part II-Sources of Funds'!L43</f>
        <v>0</v>
      </c>
      <c r="M86" s="1324">
        <f>'Part II-Sources of Funds'!M43</f>
        <v>0</v>
      </c>
      <c r="N86" s="1499">
        <f>'Part II-Sources of Funds'!N43</f>
        <v>0</v>
      </c>
      <c r="O86" s="1499"/>
      <c r="P86" s="2125" t="str">
        <f>'Part II-Sources of Funds'!P43</f>
        <v/>
      </c>
      <c r="Q86" s="2125"/>
    </row>
    <row r="87" spans="1:17">
      <c r="A87" s="1499"/>
      <c r="B87" s="1499" t="s">
        <v>442</v>
      </c>
      <c r="C87" s="1499"/>
      <c r="D87" s="1499"/>
      <c r="E87" s="2219">
        <f>'Part II-Sources of Funds'!E44</f>
        <v>0</v>
      </c>
      <c r="F87" s="2219"/>
      <c r="G87" s="2219"/>
      <c r="H87" s="2219"/>
      <c r="I87" s="2222">
        <f>'Part II-Sources of Funds'!I44</f>
        <v>0</v>
      </c>
      <c r="J87" s="1499"/>
      <c r="K87" s="2223"/>
      <c r="L87" s="1324"/>
      <c r="M87" s="1324"/>
      <c r="N87" s="1499"/>
      <c r="O87" s="1499"/>
      <c r="P87" s="2125"/>
      <c r="Q87" s="2125"/>
    </row>
    <row r="88" spans="1:17">
      <c r="A88" s="1499"/>
      <c r="B88" s="1499" t="s">
        <v>444</v>
      </c>
      <c r="C88" s="1499"/>
      <c r="D88" s="2224">
        <f>'Part II-Sources of Funds'!D45</f>
        <v>0.28553228571428574</v>
      </c>
      <c r="E88" s="2219">
        <f>'Part II-Sources of Funds'!E45</f>
        <v>0</v>
      </c>
      <c r="F88" s="2219"/>
      <c r="G88" s="2219"/>
      <c r="H88" s="2219"/>
      <c r="I88" s="2222">
        <f>'Part II-Sources of Funds'!I45</f>
        <v>999363</v>
      </c>
      <c r="J88" s="1499"/>
      <c r="K88" s="2223">
        <f>'Part II-Sources of Funds'!K45</f>
        <v>0</v>
      </c>
      <c r="L88" s="1324">
        <f>'Part II-Sources of Funds'!L45</f>
        <v>10</v>
      </c>
      <c r="M88" s="1324">
        <f>'Part II-Sources of Funds'!M45</f>
        <v>0</v>
      </c>
      <c r="N88" s="1499" t="str">
        <f>'Part II-Sources of Funds'!N45</f>
        <v>Cash Flow</v>
      </c>
      <c r="O88" s="1499"/>
      <c r="P88" s="2125">
        <f>'Part II-Sources of Funds'!P45</f>
        <v>0</v>
      </c>
      <c r="Q88" s="2125"/>
    </row>
    <row r="89" spans="1:17" ht="13.5">
      <c r="A89" s="1499"/>
      <c r="B89" s="1499"/>
      <c r="C89" s="1499"/>
      <c r="D89" s="1499"/>
      <c r="E89" s="1499"/>
      <c r="F89" s="1499"/>
      <c r="G89" s="1499"/>
      <c r="H89" s="1499"/>
      <c r="I89" s="2225"/>
      <c r="J89" s="2226"/>
      <c r="K89" s="2223"/>
      <c r="L89" s="1324"/>
      <c r="M89" s="1324"/>
      <c r="N89" s="2126"/>
      <c r="O89" s="2126"/>
      <c r="P89" s="1324"/>
      <c r="Q89" s="1324"/>
    </row>
    <row r="90" spans="1:17" ht="13.5">
      <c r="A90" s="1499"/>
      <c r="B90" s="2215" t="s">
        <v>445</v>
      </c>
      <c r="C90" s="1499"/>
      <c r="D90" s="2215"/>
      <c r="E90" s="2215" t="s">
        <v>446</v>
      </c>
      <c r="F90" s="2227">
        <f>'Part II-Sources of Funds'!F47</f>
        <v>2331074.5998231731</v>
      </c>
      <c r="G90" s="2215"/>
      <c r="H90" s="2228" t="s">
        <v>447</v>
      </c>
      <c r="I90" s="2227">
        <f>'Part II-Sources of Funds'!I47</f>
        <v>999363.00000000023</v>
      </c>
      <c r="J90" s="2215"/>
      <c r="K90" s="2228" t="s">
        <v>448</v>
      </c>
      <c r="L90" s="2229">
        <f>'Part II-Sources of Funds'!L47</f>
        <v>0.42871343545839685</v>
      </c>
      <c r="M90" s="2229"/>
      <c r="N90" s="2125" t="s">
        <v>449</v>
      </c>
      <c r="O90" s="2125"/>
      <c r="P90" s="1500">
        <f ca="1">'Part II-Sources of Funds'!P47</f>
        <v>0</v>
      </c>
      <c r="Q90" s="1500"/>
    </row>
    <row r="91" spans="1:17" ht="13.5">
      <c r="A91" s="1499"/>
      <c r="B91" s="1499"/>
      <c r="C91" s="1499"/>
      <c r="D91" s="1499"/>
      <c r="E91" s="1499"/>
      <c r="F91" s="1499"/>
      <c r="G91" s="1499"/>
      <c r="H91" s="1499"/>
      <c r="I91" s="2225"/>
      <c r="J91" s="2226"/>
      <c r="K91" s="2223"/>
      <c r="L91" s="1324"/>
      <c r="M91" s="1324"/>
      <c r="N91" s="2126"/>
      <c r="O91" s="2126"/>
      <c r="P91" s="1324"/>
      <c r="Q91" s="1324"/>
    </row>
    <row r="92" spans="1:17">
      <c r="A92" s="1499"/>
      <c r="B92" s="1499" t="s">
        <v>408</v>
      </c>
      <c r="C92" s="1499"/>
      <c r="D92" s="1499"/>
      <c r="E92" s="2219">
        <f>'Part II-Sources of Funds'!E49</f>
        <v>0</v>
      </c>
      <c r="F92" s="2219"/>
      <c r="G92" s="2219"/>
      <c r="H92" s="2219"/>
      <c r="I92" s="2222">
        <f>'Part II-Sources of Funds'!I49</f>
        <v>0</v>
      </c>
      <c r="J92" s="1499"/>
      <c r="K92" s="1499"/>
      <c r="L92" s="1499"/>
      <c r="M92" s="1499"/>
      <c r="N92" s="1499"/>
      <c r="O92" s="1499"/>
      <c r="P92" s="1324" t="s">
        <v>451</v>
      </c>
      <c r="Q92" s="1499"/>
    </row>
    <row r="93" spans="1:17" ht="13.5">
      <c r="A93" s="1499"/>
      <c r="B93" s="1499" t="s">
        <v>410</v>
      </c>
      <c r="C93" s="1499"/>
      <c r="D93" s="1499"/>
      <c r="E93" s="2219">
        <f>'Part II-Sources of Funds'!E50</f>
        <v>0</v>
      </c>
      <c r="F93" s="2219"/>
      <c r="G93" s="2219"/>
      <c r="H93" s="2219"/>
      <c r="I93" s="2222">
        <f>'Part II-Sources of Funds'!I50</f>
        <v>0</v>
      </c>
      <c r="J93" s="1499"/>
      <c r="K93" s="2215"/>
      <c r="L93" s="2230" t="s">
        <v>453</v>
      </c>
      <c r="M93" s="2230"/>
      <c r="N93" s="2231" t="s">
        <v>454</v>
      </c>
      <c r="O93" s="2231"/>
      <c r="P93" s="2232" t="s">
        <v>455</v>
      </c>
      <c r="Q93" s="1499"/>
    </row>
    <row r="94" spans="1:17" ht="13.5">
      <c r="A94" s="1499"/>
      <c r="B94" s="1499" t="s">
        <v>414</v>
      </c>
      <c r="C94" s="1499"/>
      <c r="D94" s="1499"/>
      <c r="E94" s="2219">
        <f>'Part II-Sources of Funds'!E51</f>
        <v>0</v>
      </c>
      <c r="F94" s="2219"/>
      <c r="G94" s="2219"/>
      <c r="H94" s="2219"/>
      <c r="I94" s="2222">
        <f ca="1">'Part II-Sources of Funds'!I51</f>
        <v>7794890.2330199992</v>
      </c>
      <c r="J94" s="1499"/>
      <c r="K94" s="2215"/>
      <c r="L94" s="2233">
        <f ca="1">'Part II-Sources of Funds'!L51</f>
        <v>7795669.7999999998</v>
      </c>
      <c r="M94" s="2233"/>
      <c r="N94" s="2234">
        <f ca="1">I94-L94</f>
        <v>-779.56698000058532</v>
      </c>
      <c r="O94" s="2234"/>
      <c r="P94" s="2235">
        <f ca="1">I94/I104</f>
        <v>0.21755330884456295</v>
      </c>
      <c r="Q94" s="1499"/>
    </row>
    <row r="95" spans="1:17" ht="13.5">
      <c r="A95" s="1499"/>
      <c r="B95" s="1499" t="s">
        <v>416</v>
      </c>
      <c r="C95" s="1499"/>
      <c r="D95" s="1499"/>
      <c r="E95" s="2219">
        <f>'Part II-Sources of Funds'!E52</f>
        <v>0</v>
      </c>
      <c r="F95" s="2219"/>
      <c r="G95" s="2219"/>
      <c r="H95" s="2219"/>
      <c r="I95" s="2222">
        <f ca="1">'Part II-Sources of Funds'!I52</f>
        <v>4659480.8</v>
      </c>
      <c r="J95" s="1499"/>
      <c r="K95" s="2215"/>
      <c r="L95" s="2233">
        <f ca="1">'Part II-Sources of Funds'!L52</f>
        <v>4659480.8</v>
      </c>
      <c r="M95" s="2233"/>
      <c r="N95" s="2234">
        <f ca="1">I95-L95</f>
        <v>0</v>
      </c>
      <c r="O95" s="2234"/>
      <c r="P95" s="2235">
        <f ca="1">I95/I104</f>
        <v>0.13004486724439426</v>
      </c>
      <c r="Q95" s="1499"/>
    </row>
    <row r="96" spans="1:17" ht="13.5">
      <c r="A96" s="1499"/>
      <c r="B96" s="1499" t="s">
        <v>459</v>
      </c>
      <c r="C96" s="1499"/>
      <c r="D96" s="1499"/>
      <c r="E96" s="2219">
        <f>'Part II-Sources of Funds'!E53</f>
        <v>0</v>
      </c>
      <c r="F96" s="2219"/>
      <c r="G96" s="2219"/>
      <c r="H96" s="2219"/>
      <c r="I96" s="2222">
        <f>'Part II-Sources of Funds'!I53</f>
        <v>0</v>
      </c>
      <c r="J96" s="1499"/>
      <c r="K96" s="2215"/>
      <c r="L96" s="2215"/>
      <c r="M96" s="2215"/>
      <c r="N96" s="2215"/>
      <c r="O96" s="2215"/>
      <c r="P96" s="2235">
        <f ca="1">SUM(P94:P95)</f>
        <v>0.34759817608895721</v>
      </c>
      <c r="Q96" s="1499"/>
    </row>
    <row r="97" spans="1:17" ht="13.5">
      <c r="A97" s="1499"/>
      <c r="B97" s="1499" t="s">
        <v>460</v>
      </c>
      <c r="C97" s="1499"/>
      <c r="D97" s="1499"/>
      <c r="E97" s="2219">
        <f>'Part II-Sources of Funds'!E54</f>
        <v>0</v>
      </c>
      <c r="F97" s="2219"/>
      <c r="G97" s="2219"/>
      <c r="H97" s="2219"/>
      <c r="I97" s="2222">
        <f>'Part II-Sources of Funds'!I54</f>
        <v>0</v>
      </c>
      <c r="J97" s="1499"/>
      <c r="K97" s="1499"/>
      <c r="L97" s="2215"/>
      <c r="M97" s="2215"/>
      <c r="N97" s="2215"/>
      <c r="O97" s="2215"/>
      <c r="P97" s="2215"/>
      <c r="Q97" s="1499"/>
    </row>
    <row r="98" spans="1:17" ht="13.5">
      <c r="A98" s="1499"/>
      <c r="B98" s="1499" t="s">
        <v>461</v>
      </c>
      <c r="C98" s="1499"/>
      <c r="D98" s="1499"/>
      <c r="E98" s="2219">
        <f>'Part II-Sources of Funds'!E55</f>
        <v>0</v>
      </c>
      <c r="F98" s="2219"/>
      <c r="G98" s="2219"/>
      <c r="H98" s="2219"/>
      <c r="I98" s="2222">
        <f>'Part II-Sources of Funds'!I55</f>
        <v>0</v>
      </c>
      <c r="J98" s="1499"/>
      <c r="K98" s="2215"/>
      <c r="L98" s="2215"/>
      <c r="M98" s="2215"/>
      <c r="N98" s="2219"/>
      <c r="O98" s="2219"/>
      <c r="P98" s="2219"/>
      <c r="Q98" s="1499"/>
    </row>
    <row r="99" spans="1:17" ht="13.5">
      <c r="A99" s="1499"/>
      <c r="B99" s="1499" t="s">
        <v>462</v>
      </c>
      <c r="C99" s="1499"/>
      <c r="D99" s="1499"/>
      <c r="E99" s="2219">
        <f>'Part II-Sources of Funds'!E56</f>
        <v>0</v>
      </c>
      <c r="F99" s="2219"/>
      <c r="G99" s="2219"/>
      <c r="H99" s="2219"/>
      <c r="I99" s="2222">
        <f>'Part II-Sources of Funds'!I56</f>
        <v>0</v>
      </c>
      <c r="J99" s="1499"/>
      <c r="K99" s="2215"/>
      <c r="L99" s="2215"/>
      <c r="M99" s="2219"/>
      <c r="N99" s="2219"/>
      <c r="O99" s="2219"/>
      <c r="P99" s="2219"/>
      <c r="Q99" s="1499"/>
    </row>
    <row r="100" spans="1:17" ht="13.5">
      <c r="A100" s="1499"/>
      <c r="B100" s="1499" t="s">
        <v>440</v>
      </c>
      <c r="C100" s="2219">
        <f>'Part II-Sources of Funds'!C57</f>
        <v>0</v>
      </c>
      <c r="D100" s="2219"/>
      <c r="E100" s="2219">
        <f>'Part II-Sources of Funds'!E57</f>
        <v>0</v>
      </c>
      <c r="F100" s="2219"/>
      <c r="G100" s="2219"/>
      <c r="H100" s="2219"/>
      <c r="I100" s="2222">
        <f>'Part II-Sources of Funds'!I57</f>
        <v>0</v>
      </c>
      <c r="J100" s="1499"/>
      <c r="K100" s="2215"/>
      <c r="L100" s="2215"/>
      <c r="M100" s="2219"/>
      <c r="N100" s="2219"/>
      <c r="O100" s="2219"/>
      <c r="P100" s="2219"/>
      <c r="Q100" s="1499"/>
    </row>
    <row r="101" spans="1:17">
      <c r="A101" s="1499"/>
      <c r="B101" s="1499" t="s">
        <v>440</v>
      </c>
      <c r="C101" s="2219">
        <f>'Part II-Sources of Funds'!C58</f>
        <v>0</v>
      </c>
      <c r="D101" s="2219"/>
      <c r="E101" s="2219">
        <f>'Part II-Sources of Funds'!E58</f>
        <v>0</v>
      </c>
      <c r="F101" s="2219"/>
      <c r="G101" s="2219"/>
      <c r="H101" s="2219"/>
      <c r="I101" s="2222">
        <f>'Part II-Sources of Funds'!I58</f>
        <v>0</v>
      </c>
      <c r="J101" s="1499"/>
      <c r="K101" s="1499"/>
      <c r="L101" s="1324"/>
      <c r="M101" s="2219"/>
      <c r="N101" s="2219"/>
      <c r="O101" s="2219"/>
      <c r="P101" s="2219"/>
      <c r="Q101" s="1499"/>
    </row>
    <row r="102" spans="1:17">
      <c r="A102" s="1499"/>
      <c r="B102" s="1499" t="s">
        <v>440</v>
      </c>
      <c r="C102" s="2219">
        <f>'Part II-Sources of Funds'!C59</f>
        <v>0</v>
      </c>
      <c r="D102" s="2219"/>
      <c r="E102" s="2219">
        <f>'Part II-Sources of Funds'!E59</f>
        <v>0</v>
      </c>
      <c r="F102" s="2219"/>
      <c r="G102" s="2219"/>
      <c r="H102" s="2219"/>
      <c r="I102" s="2222">
        <f>'Part II-Sources of Funds'!I59</f>
        <v>0</v>
      </c>
      <c r="J102" s="1499"/>
      <c r="K102" s="1499"/>
      <c r="L102" s="1324"/>
      <c r="M102" s="2219"/>
      <c r="N102" s="2219"/>
      <c r="O102" s="2219"/>
      <c r="P102" s="2219"/>
      <c r="Q102" s="1499"/>
    </row>
    <row r="103" spans="1:17" ht="13.5">
      <c r="A103" s="1499"/>
      <c r="B103" s="2197" t="s">
        <v>466</v>
      </c>
      <c r="C103" s="1499"/>
      <c r="D103" s="1499"/>
      <c r="E103" s="1499"/>
      <c r="F103" s="1499"/>
      <c r="G103" s="1499"/>
      <c r="H103" s="2215"/>
      <c r="I103" s="2124">
        <f ca="1">SUM(I83:J88)+SUM(I92:J102)</f>
        <v>35829794.033019997</v>
      </c>
      <c r="J103" s="2124"/>
      <c r="K103" s="1499"/>
      <c r="L103" s="1324"/>
      <c r="M103" s="2219"/>
      <c r="N103" s="2219"/>
      <c r="O103" s="2219"/>
      <c r="P103" s="2219"/>
      <c r="Q103" s="1499"/>
    </row>
    <row r="104" spans="1:17" ht="13.5">
      <c r="A104" s="1499"/>
      <c r="B104" s="2197" t="s">
        <v>467</v>
      </c>
      <c r="C104" s="1499"/>
      <c r="D104" s="1499"/>
      <c r="E104" s="1499"/>
      <c r="F104" s="1499"/>
      <c r="G104" s="1499"/>
      <c r="H104" s="2215"/>
      <c r="I104" s="2124">
        <f ca="1">'Part III-A-Uses of Funds'!$G$146</f>
        <v>35829793.968287915</v>
      </c>
      <c r="J104" s="2124"/>
      <c r="K104" s="1499"/>
      <c r="L104" s="1324"/>
      <c r="M104" s="2219"/>
      <c r="N104" s="2219"/>
      <c r="O104" s="2219"/>
      <c r="P104" s="2219"/>
      <c r="Q104" s="1499"/>
    </row>
    <row r="105" spans="1:17" ht="13.5">
      <c r="A105" s="1499"/>
      <c r="B105" s="2197" t="s">
        <v>468</v>
      </c>
      <c r="C105" s="1499"/>
      <c r="D105" s="1499"/>
      <c r="E105" s="1499"/>
      <c r="F105" s="1499"/>
      <c r="G105" s="1499"/>
      <c r="H105" s="2215"/>
      <c r="I105" s="2221">
        <f ca="1">I103-I104</f>
        <v>6.4732082188129425E-2</v>
      </c>
      <c r="J105" s="2221"/>
      <c r="K105" s="1499"/>
      <c r="L105" s="1324"/>
      <c r="M105" s="2219"/>
      <c r="N105" s="2219"/>
      <c r="O105" s="2219"/>
      <c r="P105" s="2219"/>
      <c r="Q105" s="1499"/>
    </row>
    <row r="106" spans="1:17">
      <c r="A106" s="1499" t="s">
        <v>469</v>
      </c>
      <c r="B106" s="2197"/>
      <c r="C106" s="1499"/>
      <c r="D106" s="1499"/>
      <c r="E106" s="1499"/>
      <c r="F106" s="1499"/>
      <c r="G106" s="1499"/>
      <c r="H106" s="2226"/>
      <c r="I106" s="2226"/>
      <c r="J106" s="281"/>
      <c r="K106" s="1499"/>
      <c r="L106" s="1324"/>
      <c r="M106" s="2219"/>
      <c r="N106" s="2219"/>
      <c r="O106" s="2219"/>
      <c r="P106" s="2219"/>
      <c r="Q106" s="1499"/>
    </row>
    <row r="107" spans="1:17">
      <c r="A107" s="281"/>
      <c r="B107" s="281"/>
      <c r="C107" s="281"/>
      <c r="D107" s="281"/>
      <c r="E107" s="281"/>
      <c r="F107" s="281"/>
      <c r="G107" s="281"/>
      <c r="H107" s="281"/>
      <c r="I107" s="281"/>
      <c r="J107" s="281"/>
      <c r="K107" s="281"/>
      <c r="L107" s="281"/>
      <c r="M107" s="281"/>
      <c r="N107" s="281"/>
      <c r="O107" s="281"/>
      <c r="P107" s="281"/>
      <c r="Q107" s="281"/>
    </row>
    <row r="108" spans="1:17" ht="13.5">
      <c r="A108" s="2188" t="s">
        <v>50</v>
      </c>
      <c r="B108" s="2188" t="s">
        <v>76</v>
      </c>
      <c r="C108" s="281"/>
      <c r="D108" s="281"/>
      <c r="E108" s="281"/>
      <c r="F108" s="281"/>
      <c r="G108" s="281"/>
      <c r="H108" s="281"/>
      <c r="I108" s="281"/>
      <c r="J108" s="281"/>
      <c r="K108" s="2214"/>
      <c r="L108" s="2214"/>
      <c r="M108" s="2188" t="s">
        <v>50</v>
      </c>
      <c r="N108" s="2188" t="s">
        <v>78</v>
      </c>
      <c r="O108" s="281"/>
      <c r="P108" s="281"/>
      <c r="Q108" s="281"/>
    </row>
    <row r="109" spans="1:17" ht="13.5">
      <c r="A109" s="2213">
        <f>'Part II-Sources of Funds'!A66</f>
        <v>0</v>
      </c>
      <c r="B109" s="2213"/>
      <c r="C109" s="2213"/>
      <c r="D109" s="2213"/>
      <c r="E109" s="2213"/>
      <c r="F109" s="2213"/>
      <c r="G109" s="2213"/>
      <c r="H109" s="2213"/>
      <c r="I109" s="2213"/>
      <c r="J109" s="2213"/>
      <c r="K109" s="2213"/>
      <c r="L109" s="2213"/>
      <c r="M109" s="2213">
        <f>'Part III-A-Uses of Funds'!N195</f>
        <v>0</v>
      </c>
      <c r="N109" s="2213"/>
      <c r="O109" s="2213"/>
      <c r="P109" s="2213"/>
      <c r="Q109" s="2213"/>
    </row>
    <row r="115" spans="1:22">
      <c r="A115" s="2188" t="str">
        <f>CONCATENATE("PART THREE (A):  USES OF FUNDS","  -  ",'Part I-Project Identification'!$O$7," ",'Part I-Project Identification'!$F$25,", ",'Part I-Project Identification'!F143,", ",'Part I-Project Identification'!J143," County")</f>
        <v>PART THREE (A):  USES OF FUNDS  -  2023-5 Ashley Collegetown Phase I, ,  County</v>
      </c>
      <c r="B115" s="2188"/>
      <c r="C115" s="2188"/>
      <c r="D115" s="2188"/>
      <c r="E115" s="2188"/>
      <c r="F115" s="2188"/>
      <c r="G115" s="2188"/>
      <c r="H115" s="2188"/>
      <c r="I115" s="2188"/>
      <c r="J115" s="2188"/>
      <c r="K115" s="2188"/>
      <c r="L115" s="2188"/>
      <c r="M115" s="2188"/>
      <c r="N115" s="2188"/>
      <c r="O115" s="2188"/>
      <c r="P115" s="2188"/>
      <c r="Q115" s="2188"/>
      <c r="R115" s="2188"/>
      <c r="S115" s="2188"/>
      <c r="T115" s="2188"/>
      <c r="U115" s="1499"/>
      <c r="V115" s="1499"/>
    </row>
    <row r="116" spans="1:22">
      <c r="A116" s="281"/>
      <c r="B116" s="281"/>
      <c r="C116" s="281"/>
      <c r="D116" s="281"/>
      <c r="E116" s="281"/>
      <c r="F116" s="281"/>
      <c r="G116" s="281"/>
      <c r="H116" s="281"/>
      <c r="I116" s="281"/>
      <c r="J116" s="281"/>
      <c r="K116" s="281"/>
      <c r="L116" s="281"/>
      <c r="M116" s="281"/>
      <c r="N116" s="281"/>
      <c r="O116" s="281"/>
      <c r="P116" s="281"/>
      <c r="Q116" s="281"/>
      <c r="R116" s="281"/>
      <c r="S116" s="281"/>
      <c r="T116" s="281"/>
      <c r="U116" s="281"/>
      <c r="V116" s="281"/>
    </row>
    <row r="117" spans="1:22">
      <c r="A117" s="2188"/>
      <c r="B117" s="2188"/>
      <c r="C117" s="2188"/>
      <c r="D117" s="2188"/>
      <c r="E117" s="2188"/>
      <c r="F117" s="2188"/>
      <c r="G117" s="2188"/>
      <c r="H117" s="2188"/>
      <c r="I117" s="2188"/>
      <c r="J117" s="2188"/>
      <c r="K117" s="2188"/>
      <c r="L117" s="2188"/>
      <c r="M117" s="2188"/>
      <c r="N117" s="2188"/>
      <c r="O117" s="2188"/>
      <c r="P117" s="2188"/>
      <c r="Q117" s="2188"/>
      <c r="R117" s="2188"/>
      <c r="S117" s="2188"/>
      <c r="T117" s="2188"/>
      <c r="U117" s="1499"/>
      <c r="V117" s="1499"/>
    </row>
    <row r="118" spans="1:22" ht="16.5">
      <c r="A118" s="2189"/>
      <c r="B118" s="2189"/>
      <c r="C118" s="2189"/>
      <c r="D118" s="2236"/>
      <c r="E118" s="2236"/>
      <c r="F118" s="2236"/>
      <c r="G118" s="2236"/>
      <c r="H118" s="2236"/>
      <c r="I118" s="2188"/>
      <c r="J118" s="2189"/>
      <c r="K118" s="2189"/>
      <c r="L118" s="2189"/>
      <c r="M118" s="2189"/>
      <c r="N118" s="2189"/>
      <c r="O118" s="2189"/>
      <c r="P118" s="2189"/>
      <c r="Q118" s="2189"/>
      <c r="R118" s="2189"/>
      <c r="S118" s="2189"/>
      <c r="T118" s="2189"/>
      <c r="U118" s="1499"/>
      <c r="V118" s="1499"/>
    </row>
    <row r="119" spans="1:22" ht="17.25" customHeight="1">
      <c r="A119" s="2236" t="s">
        <v>21</v>
      </c>
      <c r="B119" s="2236" t="s">
        <v>516</v>
      </c>
      <c r="C119" s="1499"/>
      <c r="D119" s="2237" t="str">
        <f>'Part I-Project Identification'!$A$6</f>
        <v>Sept 2023</v>
      </c>
      <c r="E119" s="2237"/>
      <c r="F119" s="2237"/>
      <c r="G119" s="2237"/>
      <c r="H119" s="2237"/>
      <c r="I119" s="2236"/>
      <c r="J119" s="2190" t="s">
        <v>517</v>
      </c>
      <c r="K119" s="2190"/>
      <c r="L119" s="2121"/>
      <c r="M119" s="2127" t="s">
        <v>518</v>
      </c>
      <c r="N119" s="2127"/>
      <c r="O119" s="1499"/>
      <c r="P119" s="2190" t="s">
        <v>519</v>
      </c>
      <c r="Q119" s="2190"/>
      <c r="R119" s="1499"/>
      <c r="S119" s="2190" t="s">
        <v>520</v>
      </c>
      <c r="T119" s="2190"/>
      <c r="U119" s="1499"/>
      <c r="V119" s="2238" t="str">
        <f>B119</f>
        <v>DEVELOPMENT BUDGET</v>
      </c>
    </row>
    <row r="120" spans="1:22" ht="15">
      <c r="A120" s="1499"/>
      <c r="B120" s="1499"/>
      <c r="C120" s="1499"/>
      <c r="D120" s="2237"/>
      <c r="E120" s="2237"/>
      <c r="F120" s="2237"/>
      <c r="G120" s="2188" t="s">
        <v>521</v>
      </c>
      <c r="H120" s="2188"/>
      <c r="I120" s="1499"/>
      <c r="J120" s="2190"/>
      <c r="K120" s="2190"/>
      <c r="L120" s="2121"/>
      <c r="M120" s="2127"/>
      <c r="N120" s="2127"/>
      <c r="O120" s="1499"/>
      <c r="P120" s="2190"/>
      <c r="Q120" s="2190"/>
      <c r="R120" s="1499"/>
      <c r="S120" s="2190"/>
      <c r="T120" s="2190"/>
      <c r="U120" s="1499"/>
      <c r="V120" s="280" t="s">
        <v>358</v>
      </c>
    </row>
    <row r="121" spans="1:22">
      <c r="A121" s="1499"/>
      <c r="B121" s="2188" t="s">
        <v>522</v>
      </c>
      <c r="C121" s="1499"/>
      <c r="D121" s="1499"/>
      <c r="E121" s="1499"/>
      <c r="F121" s="1499"/>
      <c r="G121" s="1499"/>
      <c r="H121" s="1499"/>
      <c r="I121" s="1499"/>
      <c r="J121" s="1499"/>
      <c r="K121" s="1499"/>
      <c r="L121" s="1499"/>
      <c r="M121" s="1499"/>
      <c r="N121" s="1499"/>
      <c r="O121" s="2189" t="str">
        <f>B121</f>
        <v>PRE-DEVELOPMENT COSTS</v>
      </c>
      <c r="P121" s="1499"/>
      <c r="Q121" s="1499"/>
      <c r="R121" s="1499"/>
      <c r="S121" s="1499"/>
      <c r="T121" s="1499"/>
      <c r="U121" s="1499"/>
      <c r="V121" s="1499"/>
    </row>
    <row r="122" spans="1:22">
      <c r="A122" s="1499"/>
      <c r="B122" s="1499" t="s">
        <v>523</v>
      </c>
      <c r="C122" s="1499"/>
      <c r="D122" s="1499"/>
      <c r="E122" s="1499"/>
      <c r="F122" s="1499"/>
      <c r="G122" s="2121">
        <f>'Part III-A-Uses of Funds'!G9</f>
        <v>9000</v>
      </c>
      <c r="H122" s="2121"/>
      <c r="I122" s="1499"/>
      <c r="J122" s="2121">
        <f>'Part III-A-Uses of Funds'!J9</f>
        <v>0</v>
      </c>
      <c r="K122" s="2121"/>
      <c r="L122" s="2119"/>
      <c r="M122" s="2121">
        <f>'Part III-A-Uses of Funds'!M9</f>
        <v>9000</v>
      </c>
      <c r="N122" s="2121"/>
      <c r="O122" s="1499"/>
      <c r="P122" s="2121">
        <f>'Part III-A-Uses of Funds'!P9</f>
        <v>0</v>
      </c>
      <c r="Q122" s="2121"/>
      <c r="R122" s="1499"/>
      <c r="S122" s="2121">
        <f>'Part III-A-Uses of Funds'!S9</f>
        <v>0</v>
      </c>
      <c r="T122" s="2121"/>
      <c r="U122" s="1499"/>
      <c r="V122" s="2239"/>
    </row>
    <row r="123" spans="1:22">
      <c r="A123" s="1499"/>
      <c r="B123" s="1499" t="s">
        <v>524</v>
      </c>
      <c r="C123" s="1499"/>
      <c r="D123" s="1499"/>
      <c r="E123" s="1499"/>
      <c r="F123" s="1499"/>
      <c r="G123" s="2121">
        <f>'Part III-A-Uses of Funds'!G10</f>
        <v>5000</v>
      </c>
      <c r="H123" s="2121"/>
      <c r="I123" s="1499"/>
      <c r="J123" s="2121">
        <f>'Part III-A-Uses of Funds'!J10</f>
        <v>0</v>
      </c>
      <c r="K123" s="2121"/>
      <c r="L123" s="2119"/>
      <c r="M123" s="2121">
        <f>'Part III-A-Uses of Funds'!M10</f>
        <v>0</v>
      </c>
      <c r="N123" s="2121"/>
      <c r="O123" s="1499"/>
      <c r="P123" s="2121">
        <f>'Part III-A-Uses of Funds'!P10</f>
        <v>5000</v>
      </c>
      <c r="Q123" s="2121"/>
      <c r="R123" s="1499"/>
      <c r="S123" s="2121">
        <f>'Part III-A-Uses of Funds'!S10</f>
        <v>0</v>
      </c>
      <c r="T123" s="2121"/>
      <c r="U123" s="1499"/>
      <c r="V123" s="2239"/>
    </row>
    <row r="124" spans="1:22">
      <c r="A124" s="1499"/>
      <c r="B124" s="1499" t="s">
        <v>525</v>
      </c>
      <c r="C124" s="1499"/>
      <c r="D124" s="1499"/>
      <c r="E124" s="1499"/>
      <c r="F124" s="1499"/>
      <c r="G124" s="2121">
        <f>'Part III-A-Uses of Funds'!G11</f>
        <v>39119</v>
      </c>
      <c r="H124" s="2121"/>
      <c r="I124" s="1499"/>
      <c r="J124" s="2121">
        <f>'Part III-A-Uses of Funds'!J11</f>
        <v>0</v>
      </c>
      <c r="K124" s="2121"/>
      <c r="L124" s="2119"/>
      <c r="M124" s="2121">
        <f>'Part III-A-Uses of Funds'!M11</f>
        <v>0</v>
      </c>
      <c r="N124" s="2121"/>
      <c r="O124" s="1499"/>
      <c r="P124" s="2121">
        <f>'Part III-A-Uses of Funds'!P11</f>
        <v>39119</v>
      </c>
      <c r="Q124" s="2121"/>
      <c r="R124" s="1499"/>
      <c r="S124" s="2121">
        <f>'Part III-A-Uses of Funds'!S11</f>
        <v>0</v>
      </c>
      <c r="T124" s="2121"/>
      <c r="U124" s="1499"/>
      <c r="V124" s="2239"/>
    </row>
    <row r="125" spans="1:22">
      <c r="A125" s="1499"/>
      <c r="B125" s="1499" t="s">
        <v>526</v>
      </c>
      <c r="C125" s="1499"/>
      <c r="D125" s="1499"/>
      <c r="E125" s="1499"/>
      <c r="F125" s="1499"/>
      <c r="G125" s="2121">
        <f>'Part III-A-Uses of Funds'!G12</f>
        <v>0</v>
      </c>
      <c r="H125" s="2121"/>
      <c r="I125" s="1499"/>
      <c r="J125" s="2121">
        <f>'Part III-A-Uses of Funds'!J12</f>
        <v>0</v>
      </c>
      <c r="K125" s="2121"/>
      <c r="L125" s="2119"/>
      <c r="M125" s="2121">
        <f>'Part III-A-Uses of Funds'!M12</f>
        <v>0</v>
      </c>
      <c r="N125" s="2121"/>
      <c r="O125" s="1499"/>
      <c r="P125" s="2121">
        <f>'Part III-A-Uses of Funds'!P12</f>
        <v>0</v>
      </c>
      <c r="Q125" s="2121"/>
      <c r="R125" s="1499"/>
      <c r="S125" s="2121">
        <f>'Part III-A-Uses of Funds'!S12</f>
        <v>0</v>
      </c>
      <c r="T125" s="2121"/>
      <c r="U125" s="1499"/>
      <c r="V125" s="2239"/>
    </row>
    <row r="126" spans="1:22">
      <c r="A126" s="1499"/>
      <c r="B126" s="1499" t="s">
        <v>527</v>
      </c>
      <c r="C126" s="1499"/>
      <c r="D126" s="1499"/>
      <c r="E126" s="1499"/>
      <c r="F126" s="1499"/>
      <c r="G126" s="2121">
        <f>'Part III-A-Uses of Funds'!G13</f>
        <v>58200</v>
      </c>
      <c r="H126" s="2121"/>
      <c r="I126" s="1499"/>
      <c r="J126" s="2121">
        <f>'Part III-A-Uses of Funds'!J13</f>
        <v>0</v>
      </c>
      <c r="K126" s="2121"/>
      <c r="L126" s="2119"/>
      <c r="M126" s="2121">
        <f>'Part III-A-Uses of Funds'!M13</f>
        <v>0</v>
      </c>
      <c r="N126" s="2121"/>
      <c r="O126" s="1499"/>
      <c r="P126" s="2121">
        <f>'Part III-A-Uses of Funds'!P13</f>
        <v>58200</v>
      </c>
      <c r="Q126" s="2121"/>
      <c r="R126" s="1499"/>
      <c r="S126" s="2121">
        <f>'Part III-A-Uses of Funds'!S13</f>
        <v>0</v>
      </c>
      <c r="T126" s="2121"/>
      <c r="U126" s="1499"/>
      <c r="V126" s="2239"/>
    </row>
    <row r="127" spans="1:22">
      <c r="A127" s="1499"/>
      <c r="B127" s="1499" t="s">
        <v>528</v>
      </c>
      <c r="C127" s="1499"/>
      <c r="D127" s="1499"/>
      <c r="E127" s="1499"/>
      <c r="F127" s="1499"/>
      <c r="G127" s="2121">
        <f>'Part III-A-Uses of Funds'!G14</f>
        <v>300</v>
      </c>
      <c r="H127" s="2121"/>
      <c r="I127" s="1499"/>
      <c r="J127" s="2121">
        <f>'Part III-A-Uses of Funds'!J14</f>
        <v>0</v>
      </c>
      <c r="K127" s="2121"/>
      <c r="L127" s="2119"/>
      <c r="M127" s="2121">
        <f>'Part III-A-Uses of Funds'!M14</f>
        <v>0</v>
      </c>
      <c r="N127" s="2121"/>
      <c r="O127" s="1499"/>
      <c r="P127" s="2121">
        <f>'Part III-A-Uses of Funds'!P14</f>
        <v>300</v>
      </c>
      <c r="Q127" s="2121"/>
      <c r="R127" s="1499"/>
      <c r="S127" s="2121">
        <f>'Part III-A-Uses of Funds'!S14</f>
        <v>0</v>
      </c>
      <c r="T127" s="2121"/>
      <c r="U127" s="1499"/>
      <c r="V127" s="2239"/>
    </row>
    <row r="128" spans="1:22" ht="15.75" customHeight="1">
      <c r="A128" s="2240" t="str">
        <f>IF(AND(G128&gt;0,OR(C128="",C128="&lt;Enter detailed description here; use Comments section if needed&gt;")),"X","")</f>
        <v/>
      </c>
      <c r="B128" s="2196" t="s">
        <v>529</v>
      </c>
      <c r="C128" s="2241" t="str">
        <f>'Part III-A-Uses of Funds'!C15</f>
        <v>&lt;&lt; Enter description here; provide detail &amp; justification in tab Part III-b &gt;&gt;</v>
      </c>
      <c r="D128" s="2241"/>
      <c r="E128" s="2241"/>
      <c r="F128" s="2241"/>
      <c r="G128" s="2121">
        <f>'Part III-A-Uses of Funds'!G15</f>
        <v>0</v>
      </c>
      <c r="H128" s="2121"/>
      <c r="I128" s="1499"/>
      <c r="J128" s="2121">
        <f>'Part III-A-Uses of Funds'!J15</f>
        <v>0</v>
      </c>
      <c r="K128" s="2121"/>
      <c r="L128" s="2119"/>
      <c r="M128" s="2121">
        <f>'Part III-A-Uses of Funds'!M15</f>
        <v>0</v>
      </c>
      <c r="N128" s="2121"/>
      <c r="O128" s="1499"/>
      <c r="P128" s="2121">
        <f>'Part III-A-Uses of Funds'!P15</f>
        <v>0</v>
      </c>
      <c r="Q128" s="2121"/>
      <c r="R128" s="1499"/>
      <c r="S128" s="2121">
        <f>'Part III-A-Uses of Funds'!S15</f>
        <v>0</v>
      </c>
      <c r="T128" s="2121"/>
      <c r="U128" s="2198" t="str">
        <f>IF(AND(G128&gt;0,OR(C128="",C128="&lt;Enter detailed description here; use Comments section if needed&gt;")),"NO DESCRIPTION PROVIDED - please enter detailed description in Other box at left; use Comments section below if needed.","")</f>
        <v/>
      </c>
      <c r="V128" s="2242"/>
    </row>
    <row r="129" spans="1:22" ht="15.75" customHeight="1">
      <c r="A129" s="2240" t="str">
        <f>IF(AND(G129&gt;0,OR(C129="",C129="&lt;Enter detailed description here; use Comments section if needed&gt;")),"X","")</f>
        <v/>
      </c>
      <c r="B129" s="2196" t="s">
        <v>532</v>
      </c>
      <c r="C129" s="2241" t="str">
        <f>'Part III-A-Uses of Funds'!C16</f>
        <v>&lt;&lt; Enter description here; provide detail &amp; justification in tab Part III-b &gt;&gt;</v>
      </c>
      <c r="D129" s="2241"/>
      <c r="E129" s="2241"/>
      <c r="F129" s="2241"/>
      <c r="G129" s="2121">
        <f>'Part III-A-Uses of Funds'!G16</f>
        <v>0</v>
      </c>
      <c r="H129" s="2121"/>
      <c r="I129" s="1499"/>
      <c r="J129" s="2121">
        <f>'Part III-A-Uses of Funds'!J16</f>
        <v>0</v>
      </c>
      <c r="K129" s="2121"/>
      <c r="L129" s="2119"/>
      <c r="M129" s="2121">
        <f>'Part III-A-Uses of Funds'!M16</f>
        <v>0</v>
      </c>
      <c r="N129" s="2121"/>
      <c r="O129" s="1499"/>
      <c r="P129" s="2121">
        <f>'Part III-A-Uses of Funds'!P16</f>
        <v>0</v>
      </c>
      <c r="Q129" s="2121"/>
      <c r="R129" s="1499"/>
      <c r="S129" s="2121">
        <f>'Part III-A-Uses of Funds'!S16</f>
        <v>0</v>
      </c>
      <c r="T129" s="2121"/>
      <c r="U129" s="2198" t="str">
        <f>IF(AND(G129&gt;0,OR(C129="",C129="&lt;Enter detailed description here; use Comments section if needed&gt;")),"NO DESCRIPTION PROVIDED - please enter detailed description in Other box at left; use Comments section below if needed.","")</f>
        <v/>
      </c>
      <c r="V129" s="2242"/>
    </row>
    <row r="130" spans="1:22" ht="16.5" customHeight="1">
      <c r="A130" s="2240" t="str">
        <f>IF(AND(G130&gt;0,OR(C130="",C130="&lt;Enter detailed description here; use Comments section if needed&gt;")),"X","")</f>
        <v/>
      </c>
      <c r="B130" s="2196" t="s">
        <v>534</v>
      </c>
      <c r="C130" s="2241" t="str">
        <f>'Part III-A-Uses of Funds'!C17</f>
        <v>&lt;&lt; Enter description here; provide detail &amp; justification in tab Part III-b &gt;&gt;</v>
      </c>
      <c r="D130" s="2241"/>
      <c r="E130" s="2241"/>
      <c r="F130" s="2241"/>
      <c r="G130" s="2121">
        <f>'Part III-A-Uses of Funds'!G17</f>
        <v>0</v>
      </c>
      <c r="H130" s="2121"/>
      <c r="I130" s="1499"/>
      <c r="J130" s="2121">
        <f>'Part III-A-Uses of Funds'!J17</f>
        <v>0</v>
      </c>
      <c r="K130" s="2121"/>
      <c r="L130" s="2119"/>
      <c r="M130" s="2121">
        <f>'Part III-A-Uses of Funds'!M17</f>
        <v>0</v>
      </c>
      <c r="N130" s="2121"/>
      <c r="O130" s="1499"/>
      <c r="P130" s="2121">
        <f>'Part III-A-Uses of Funds'!P17</f>
        <v>0</v>
      </c>
      <c r="Q130" s="2121"/>
      <c r="R130" s="1499"/>
      <c r="S130" s="2121">
        <f>'Part III-A-Uses of Funds'!S17</f>
        <v>0</v>
      </c>
      <c r="T130" s="2121"/>
      <c r="U130" s="2198" t="str">
        <f>IF(AND(G130&gt;0,OR(C130="",C130="&lt;Enter detailed description here; use Comments section if needed&gt;")),"NO DESCRIPTION PROVIDED - please enter detailed description in Other box at left; use Comments section below if needed.","")</f>
        <v/>
      </c>
      <c r="V130" s="2242"/>
    </row>
    <row r="131" spans="1:22">
      <c r="A131" s="1499"/>
      <c r="B131" s="1499"/>
      <c r="C131" s="1499"/>
      <c r="D131" s="1499"/>
      <c r="E131" s="1499"/>
      <c r="F131" s="2243" t="s">
        <v>536</v>
      </c>
      <c r="G131" s="2121">
        <f>SUM(G122:G130)</f>
        <v>111619</v>
      </c>
      <c r="H131" s="2121"/>
      <c r="I131" s="1499"/>
      <c r="J131" s="2121">
        <f>SUM(J122:J130)</f>
        <v>0</v>
      </c>
      <c r="K131" s="2121"/>
      <c r="L131" s="2119"/>
      <c r="M131" s="2121">
        <f>SUM(M122:M130)</f>
        <v>9000</v>
      </c>
      <c r="N131" s="2121"/>
      <c r="O131" s="1499"/>
      <c r="P131" s="2121">
        <f>SUM(P122:P130)</f>
        <v>102619</v>
      </c>
      <c r="Q131" s="2121"/>
      <c r="R131" s="1499"/>
      <c r="S131" s="2121">
        <f>SUM(S122:S130)</f>
        <v>0</v>
      </c>
      <c r="T131" s="2121"/>
      <c r="U131" s="1499"/>
      <c r="V131" s="2239">
        <f>SUM(V122:V130)</f>
        <v>0</v>
      </c>
    </row>
    <row r="132" spans="1:22">
      <c r="A132" s="1499"/>
      <c r="B132" s="2188" t="s">
        <v>538</v>
      </c>
      <c r="C132" s="1499"/>
      <c r="D132" s="1499"/>
      <c r="E132" s="1499"/>
      <c r="F132" s="1499"/>
      <c r="G132" s="1499"/>
      <c r="H132" s="1499"/>
      <c r="I132" s="1499"/>
      <c r="J132" s="2121"/>
      <c r="K132" s="2121"/>
      <c r="L132" s="1499"/>
      <c r="M132" s="2121"/>
      <c r="N132" s="2121"/>
      <c r="O132" s="2128" t="str">
        <f>B132</f>
        <v>ACQUISITION</v>
      </c>
      <c r="P132" s="2121"/>
      <c r="Q132" s="2121"/>
      <c r="R132" s="1499"/>
      <c r="S132" s="2121"/>
      <c r="T132" s="2121"/>
      <c r="U132" s="1499"/>
      <c r="V132" s="2239"/>
    </row>
    <row r="133" spans="1:22">
      <c r="A133" s="1499"/>
      <c r="B133" s="1499" t="s">
        <v>539</v>
      </c>
      <c r="C133" s="1499"/>
      <c r="D133" s="1499"/>
      <c r="E133" s="2244" t="s">
        <v>540</v>
      </c>
      <c r="F133" s="2245">
        <f>IF('Part I-Project Identification'!$O$27="","",G133/'Part I-Project Identification'!$O$27)</f>
        <v>0</v>
      </c>
      <c r="G133" s="2121">
        <f>'Part III-A-Uses of Funds'!G20</f>
        <v>0</v>
      </c>
      <c r="H133" s="2121"/>
      <c r="I133" s="1499"/>
      <c r="J133" s="2119"/>
      <c r="K133" s="2121"/>
      <c r="L133" s="2119"/>
      <c r="M133" s="2119"/>
      <c r="N133" s="2121"/>
      <c r="O133" s="1499"/>
      <c r="P133" s="2119"/>
      <c r="Q133" s="2121"/>
      <c r="R133" s="1499"/>
      <c r="S133" s="2121">
        <f>'Part III-A-Uses of Funds'!S20</f>
        <v>0</v>
      </c>
      <c r="T133" s="2121"/>
      <c r="U133" s="1499"/>
      <c r="V133" s="2239"/>
    </row>
    <row r="134" spans="1:22">
      <c r="A134" s="1499"/>
      <c r="B134" s="1499" t="s">
        <v>541</v>
      </c>
      <c r="C134" s="1499"/>
      <c r="D134" s="1499"/>
      <c r="E134" s="1499"/>
      <c r="F134" s="1499"/>
      <c r="G134" s="2121">
        <f>'Part III-A-Uses of Funds'!G21</f>
        <v>0</v>
      </c>
      <c r="H134" s="2121"/>
      <c r="I134" s="1499"/>
      <c r="J134" s="2119"/>
      <c r="K134" s="2121"/>
      <c r="L134" s="2119"/>
      <c r="M134" s="2119"/>
      <c r="N134" s="2121"/>
      <c r="O134" s="1499"/>
      <c r="P134" s="2119"/>
      <c r="Q134" s="2121"/>
      <c r="R134" s="1499"/>
      <c r="S134" s="2121">
        <f>'Part III-A-Uses of Funds'!S21</f>
        <v>0</v>
      </c>
      <c r="T134" s="2121"/>
      <c r="U134" s="1499"/>
      <c r="V134" s="2239"/>
    </row>
    <row r="135" spans="1:22">
      <c r="A135" s="1499"/>
      <c r="B135" s="1499" t="s">
        <v>542</v>
      </c>
      <c r="C135" s="1499"/>
      <c r="D135" s="1499"/>
      <c r="E135" s="1499"/>
      <c r="F135" s="1499"/>
      <c r="G135" s="2121">
        <f>'Part III-A-Uses of Funds'!G22</f>
        <v>0</v>
      </c>
      <c r="H135" s="2121"/>
      <c r="I135" s="1499"/>
      <c r="J135" s="2119"/>
      <c r="K135" s="2121"/>
      <c r="L135" s="2119"/>
      <c r="M135" s="2121">
        <f>'Part III-A-Uses of Funds'!M22</f>
        <v>0</v>
      </c>
      <c r="N135" s="2121"/>
      <c r="O135" s="1499"/>
      <c r="P135" s="2119"/>
      <c r="Q135" s="2121"/>
      <c r="R135" s="1499"/>
      <c r="S135" s="2121">
        <f>'Part III-A-Uses of Funds'!S22</f>
        <v>0</v>
      </c>
      <c r="T135" s="2121"/>
      <c r="U135" s="1499"/>
      <c r="V135" s="2239"/>
    </row>
    <row r="136" spans="1:22">
      <c r="A136" s="1499"/>
      <c r="B136" s="1499" t="s">
        <v>543</v>
      </c>
      <c r="C136" s="1499"/>
      <c r="D136" s="1499"/>
      <c r="E136" s="1499"/>
      <c r="F136" s="1499"/>
      <c r="G136" s="2121">
        <f>'Part III-A-Uses of Funds'!G23</f>
        <v>13250000</v>
      </c>
      <c r="H136" s="2121"/>
      <c r="I136" s="1499"/>
      <c r="J136" s="2119"/>
      <c r="K136" s="2121"/>
      <c r="L136" s="2119"/>
      <c r="M136" s="2121">
        <f>'Part III-A-Uses of Funds'!M23</f>
        <v>13250000</v>
      </c>
      <c r="N136" s="2121"/>
      <c r="O136" s="1499"/>
      <c r="P136" s="2119"/>
      <c r="Q136" s="2121"/>
      <c r="R136" s="1499"/>
      <c r="S136" s="2121">
        <f>'Part III-A-Uses of Funds'!S23</f>
        <v>0</v>
      </c>
      <c r="T136" s="2121"/>
      <c r="U136" s="1499"/>
      <c r="V136" s="2239"/>
    </row>
    <row r="137" spans="1:22">
      <c r="A137" s="1499"/>
      <c r="B137" s="1499"/>
      <c r="C137" s="1499"/>
      <c r="D137" s="1499"/>
      <c r="E137" s="1499"/>
      <c r="F137" s="2243" t="s">
        <v>536</v>
      </c>
      <c r="G137" s="2121">
        <f>SUM(G133:G136)</f>
        <v>13250000</v>
      </c>
      <c r="H137" s="2121"/>
      <c r="I137" s="1499"/>
      <c r="J137" s="2119"/>
      <c r="K137" s="2121"/>
      <c r="L137" s="2119"/>
      <c r="M137" s="2121">
        <f>SUM(M135:M136)</f>
        <v>13250000</v>
      </c>
      <c r="N137" s="2121"/>
      <c r="O137" s="1499"/>
      <c r="P137" s="2119"/>
      <c r="Q137" s="2121"/>
      <c r="R137" s="1499"/>
      <c r="S137" s="2121">
        <f>SUM(S133:S136)</f>
        <v>0</v>
      </c>
      <c r="T137" s="2121"/>
      <c r="U137" s="1499"/>
      <c r="V137" s="2239">
        <f>SUM(V133:V136)</f>
        <v>0</v>
      </c>
    </row>
    <row r="138" spans="1:22">
      <c r="A138" s="1499"/>
      <c r="B138" s="2188" t="s">
        <v>545</v>
      </c>
      <c r="C138" s="1499"/>
      <c r="D138" s="1499"/>
      <c r="E138" s="1499"/>
      <c r="F138" s="1499"/>
      <c r="G138" s="1499"/>
      <c r="H138" s="1499"/>
      <c r="I138" s="1499"/>
      <c r="J138" s="2119"/>
      <c r="K138" s="2121"/>
      <c r="L138" s="1499"/>
      <c r="M138" s="2119"/>
      <c r="N138" s="2121"/>
      <c r="O138" s="2128" t="str">
        <f>B138</f>
        <v>LAND IMPROVEMENTS</v>
      </c>
      <c r="P138" s="2119"/>
      <c r="Q138" s="2121"/>
      <c r="R138" s="1499"/>
      <c r="S138" s="2119"/>
      <c r="T138" s="2121"/>
      <c r="U138" s="1499"/>
      <c r="V138" s="2239"/>
    </row>
    <row r="139" spans="1:22">
      <c r="A139" s="1499"/>
      <c r="B139" s="1499" t="s">
        <v>546</v>
      </c>
      <c r="C139" s="1499"/>
      <c r="D139" s="1499"/>
      <c r="E139" s="2244" t="s">
        <v>540</v>
      </c>
      <c r="F139" s="2245">
        <f>IF('Part I-Project Identification'!$O$27="","",G139/'Part I-Project Identification'!$O$27)</f>
        <v>61815.102639296187</v>
      </c>
      <c r="G139" s="2121">
        <f>'Part III-A-Uses of Funds'!G26</f>
        <v>421579</v>
      </c>
      <c r="H139" s="2121"/>
      <c r="I139" s="1499"/>
      <c r="J139" s="2121">
        <f>'Part III-A-Uses of Funds'!J26</f>
        <v>0</v>
      </c>
      <c r="K139" s="2121"/>
      <c r="L139" s="2119"/>
      <c r="M139" s="2121">
        <f>'Part III-A-Uses of Funds'!M26</f>
        <v>0</v>
      </c>
      <c r="N139" s="2121"/>
      <c r="O139" s="1499"/>
      <c r="P139" s="2121">
        <f>'Part III-A-Uses of Funds'!P26</f>
        <v>421579</v>
      </c>
      <c r="Q139" s="2121"/>
      <c r="R139" s="1499"/>
      <c r="S139" s="2121">
        <f>'Part III-A-Uses of Funds'!S26</f>
        <v>0</v>
      </c>
      <c r="T139" s="2121"/>
      <c r="U139" s="1499"/>
      <c r="V139" s="2239"/>
    </row>
    <row r="140" spans="1:22">
      <c r="A140" s="1499"/>
      <c r="B140" s="1499" t="s">
        <v>547</v>
      </c>
      <c r="C140" s="1499"/>
      <c r="D140" s="1499"/>
      <c r="E140" s="1499"/>
      <c r="F140" s="1499"/>
      <c r="G140" s="2121">
        <f>'Part III-A-Uses of Funds'!G27</f>
        <v>0</v>
      </c>
      <c r="H140" s="2121"/>
      <c r="I140" s="1499"/>
      <c r="J140" s="2121">
        <f>'Part III-A-Uses of Funds'!J27</f>
        <v>0</v>
      </c>
      <c r="K140" s="2121"/>
      <c r="L140" s="2129"/>
      <c r="M140" s="2121"/>
      <c r="N140" s="2121"/>
      <c r="O140" s="1499"/>
      <c r="P140" s="2121"/>
      <c r="Q140" s="2121"/>
      <c r="R140" s="1499"/>
      <c r="S140" s="2121">
        <f>'Part III-A-Uses of Funds'!S27</f>
        <v>0</v>
      </c>
      <c r="T140" s="2121"/>
      <c r="U140" s="1499"/>
      <c r="V140" s="2239"/>
    </row>
    <row r="141" spans="1:22">
      <c r="A141" s="1499"/>
      <c r="B141" s="1499"/>
      <c r="C141" s="1499"/>
      <c r="D141" s="1499"/>
      <c r="E141" s="1499"/>
      <c r="F141" s="2243" t="s">
        <v>536</v>
      </c>
      <c r="G141" s="2121">
        <f>SUM(G139:G140)</f>
        <v>421579</v>
      </c>
      <c r="H141" s="2121"/>
      <c r="I141" s="1499"/>
      <c r="J141" s="2121">
        <f>SUM(J139:J140)</f>
        <v>0</v>
      </c>
      <c r="K141" s="2121"/>
      <c r="L141" s="2119"/>
      <c r="M141" s="2121">
        <f>M139</f>
        <v>0</v>
      </c>
      <c r="N141" s="2121"/>
      <c r="O141" s="1499"/>
      <c r="P141" s="2121">
        <f>P139</f>
        <v>421579</v>
      </c>
      <c r="Q141" s="2121"/>
      <c r="R141" s="1499"/>
      <c r="S141" s="2121">
        <f>SUM(S139:S140)</f>
        <v>0</v>
      </c>
      <c r="T141" s="2121"/>
      <c r="U141" s="1499"/>
      <c r="V141" s="2239">
        <f>SUM(V139:V140)</f>
        <v>0</v>
      </c>
    </row>
    <row r="142" spans="1:22">
      <c r="A142" s="1499"/>
      <c r="B142" s="2188" t="s">
        <v>549</v>
      </c>
      <c r="C142" s="1499"/>
      <c r="D142" s="1499"/>
      <c r="E142" s="1499"/>
      <c r="F142" s="1499"/>
      <c r="G142" s="1499"/>
      <c r="H142" s="1499"/>
      <c r="I142" s="1499"/>
      <c r="J142" s="2119"/>
      <c r="K142" s="2121"/>
      <c r="L142" s="1499"/>
      <c r="M142" s="2119"/>
      <c r="N142" s="2121"/>
      <c r="O142" s="2128" t="str">
        <f>B142</f>
        <v>STRUCTURES</v>
      </c>
      <c r="P142" s="2119"/>
      <c r="Q142" s="2121"/>
      <c r="R142" s="1499"/>
      <c r="S142" s="2119"/>
      <c r="T142" s="2121"/>
      <c r="U142" s="1499"/>
      <c r="V142" s="2239"/>
    </row>
    <row r="143" spans="1:22">
      <c r="A143" s="1499"/>
      <c r="B143" s="1499" t="s">
        <v>550</v>
      </c>
      <c r="C143" s="1499"/>
      <c r="D143" s="1499"/>
      <c r="E143" s="1499"/>
      <c r="F143" s="1499"/>
      <c r="G143" s="2121">
        <f>'Part III-A-Uses of Funds'!G30</f>
        <v>0</v>
      </c>
      <c r="H143" s="2121"/>
      <c r="I143" s="1499"/>
      <c r="J143" s="2121">
        <f>'Part III-A-Uses of Funds'!J30</f>
        <v>0</v>
      </c>
      <c r="K143" s="2121"/>
      <c r="L143" s="2119"/>
      <c r="M143" s="2121">
        <f>'Part III-A-Uses of Funds'!M30</f>
        <v>0</v>
      </c>
      <c r="N143" s="2121"/>
      <c r="O143" s="1499"/>
      <c r="P143" s="2121">
        <f>'Part III-A-Uses of Funds'!P30</f>
        <v>0</v>
      </c>
      <c r="Q143" s="2121"/>
      <c r="R143" s="1499"/>
      <c r="S143" s="2121">
        <f>'Part III-A-Uses of Funds'!S30</f>
        <v>0</v>
      </c>
      <c r="T143" s="2121"/>
      <c r="U143" s="1499"/>
      <c r="V143" s="2239"/>
    </row>
    <row r="144" spans="1:22">
      <c r="A144" s="1499"/>
      <c r="B144" s="1499" t="s">
        <v>551</v>
      </c>
      <c r="C144" s="1499"/>
      <c r="D144" s="1499"/>
      <c r="E144" s="1499"/>
      <c r="F144" s="1499"/>
      <c r="G144" s="2121">
        <f>'Part III-A-Uses of Funds'!G31</f>
        <v>9254927</v>
      </c>
      <c r="H144" s="2121"/>
      <c r="I144" s="1499"/>
      <c r="J144" s="2121">
        <f>'Part III-A-Uses of Funds'!J31</f>
        <v>0</v>
      </c>
      <c r="K144" s="2121"/>
      <c r="L144" s="2119"/>
      <c r="M144" s="2121">
        <f>'Part III-A-Uses of Funds'!M31</f>
        <v>0</v>
      </c>
      <c r="N144" s="2121"/>
      <c r="O144" s="1499"/>
      <c r="P144" s="2121">
        <f>'Part III-A-Uses of Funds'!P31</f>
        <v>9254927</v>
      </c>
      <c r="Q144" s="2121"/>
      <c r="R144" s="1499"/>
      <c r="S144" s="2121">
        <f>'Part III-A-Uses of Funds'!S31</f>
        <v>0</v>
      </c>
      <c r="T144" s="2121"/>
      <c r="U144" s="1499"/>
      <c r="V144" s="2239"/>
    </row>
    <row r="145" spans="1:22">
      <c r="A145" s="1499"/>
      <c r="B145" s="1499" t="s">
        <v>552</v>
      </c>
      <c r="C145" s="1499"/>
      <c r="D145" s="1499"/>
      <c r="E145" s="1499"/>
      <c r="F145" s="1499"/>
      <c r="G145" s="2121">
        <f>'Part III-A-Uses of Funds'!G32</f>
        <v>0</v>
      </c>
      <c r="H145" s="2121"/>
      <c r="I145" s="1499"/>
      <c r="J145" s="2121">
        <f>'Part III-A-Uses of Funds'!J32</f>
        <v>0</v>
      </c>
      <c r="K145" s="2121"/>
      <c r="L145" s="2119"/>
      <c r="M145" s="2121">
        <f>'Part III-A-Uses of Funds'!M32</f>
        <v>0</v>
      </c>
      <c r="N145" s="2121"/>
      <c r="O145" s="1499"/>
      <c r="P145" s="2121">
        <f>'Part III-A-Uses of Funds'!P32</f>
        <v>0</v>
      </c>
      <c r="Q145" s="2121"/>
      <c r="R145" s="1499"/>
      <c r="S145" s="2121">
        <f>'Part III-A-Uses of Funds'!S32</f>
        <v>0</v>
      </c>
      <c r="T145" s="2121"/>
      <c r="U145" s="1499"/>
      <c r="V145" s="2239"/>
    </row>
    <row r="146" spans="1:22">
      <c r="A146" s="1499"/>
      <c r="B146" s="1499" t="s">
        <v>553</v>
      </c>
      <c r="C146" s="1499"/>
      <c r="D146" s="1499"/>
      <c r="E146" s="1499"/>
      <c r="F146" s="1499"/>
      <c r="G146" s="2121">
        <f>'Part III-A-Uses of Funds'!G33</f>
        <v>0</v>
      </c>
      <c r="H146" s="2121"/>
      <c r="I146" s="1499"/>
      <c r="J146" s="2121">
        <f>'Part III-A-Uses of Funds'!J33</f>
        <v>0</v>
      </c>
      <c r="K146" s="2121"/>
      <c r="L146" s="2119"/>
      <c r="M146" s="2121">
        <f>'Part III-A-Uses of Funds'!M33</f>
        <v>0</v>
      </c>
      <c r="N146" s="2121"/>
      <c r="O146" s="1499"/>
      <c r="P146" s="2121">
        <f>'Part III-A-Uses of Funds'!P33</f>
        <v>0</v>
      </c>
      <c r="Q146" s="2121"/>
      <c r="R146" s="1499"/>
      <c r="S146" s="2121">
        <f>'Part III-A-Uses of Funds'!S33</f>
        <v>0</v>
      </c>
      <c r="T146" s="2121"/>
      <c r="U146" s="1499"/>
      <c r="V146" s="2239"/>
    </row>
    <row r="147" spans="1:22">
      <c r="A147" s="281"/>
      <c r="B147" s="1499" t="s">
        <v>554</v>
      </c>
      <c r="C147" s="281"/>
      <c r="D147" s="281"/>
      <c r="E147" s="281"/>
      <c r="F147" s="281"/>
      <c r="G147" s="2121">
        <f>'Part III-A-Uses of Funds'!G34</f>
        <v>0</v>
      </c>
      <c r="H147" s="2121"/>
      <c r="I147" s="1499"/>
      <c r="J147" s="2121">
        <f>'Part III-A-Uses of Funds'!J34</f>
        <v>0</v>
      </c>
      <c r="K147" s="2121"/>
      <c r="L147" s="2119"/>
      <c r="M147" s="2121">
        <f>'Part III-A-Uses of Funds'!M34</f>
        <v>0</v>
      </c>
      <c r="N147" s="2121"/>
      <c r="O147" s="1499"/>
      <c r="P147" s="2121">
        <f>'Part III-A-Uses of Funds'!P34</f>
        <v>0</v>
      </c>
      <c r="Q147" s="2121"/>
      <c r="R147" s="1499"/>
      <c r="S147" s="2121">
        <f>'Part III-A-Uses of Funds'!S34</f>
        <v>0</v>
      </c>
      <c r="T147" s="2121"/>
      <c r="U147" s="281"/>
      <c r="V147" s="2239"/>
    </row>
    <row r="148" spans="1:22">
      <c r="A148" s="281"/>
      <c r="B148" s="1499" t="s">
        <v>555</v>
      </c>
      <c r="C148" s="281"/>
      <c r="D148" s="281"/>
      <c r="E148" s="281"/>
      <c r="F148" s="281"/>
      <c r="G148" s="2121">
        <f>'Part III-A-Uses of Funds'!G35</f>
        <v>0</v>
      </c>
      <c r="H148" s="2121"/>
      <c r="I148" s="1499"/>
      <c r="J148" s="2121">
        <f>'Part III-A-Uses of Funds'!J35</f>
        <v>0</v>
      </c>
      <c r="K148" s="2121"/>
      <c r="L148" s="2119"/>
      <c r="M148" s="2121">
        <f>'Part III-A-Uses of Funds'!M35</f>
        <v>0</v>
      </c>
      <c r="N148" s="2121"/>
      <c r="O148" s="1499"/>
      <c r="P148" s="2121">
        <f>'Part III-A-Uses of Funds'!P35</f>
        <v>0</v>
      </c>
      <c r="Q148" s="2121"/>
      <c r="R148" s="1499"/>
      <c r="S148" s="2121">
        <f>'Part III-A-Uses of Funds'!S35</f>
        <v>0</v>
      </c>
      <c r="T148" s="2121"/>
      <c r="U148" s="281"/>
      <c r="V148" s="2239"/>
    </row>
    <row r="149" spans="1:22">
      <c r="A149" s="1499"/>
      <c r="B149" s="1499"/>
      <c r="C149" s="2246"/>
      <c r="D149" s="2246"/>
      <c r="E149" s="2247"/>
      <c r="F149" s="2243" t="s">
        <v>536</v>
      </c>
      <c r="G149" s="2121">
        <f>SUM(G143:G148)</f>
        <v>9254927</v>
      </c>
      <c r="H149" s="2121"/>
      <c r="I149" s="1499"/>
      <c r="J149" s="2121">
        <f>SUM(J143:J148)</f>
        <v>0</v>
      </c>
      <c r="K149" s="2121"/>
      <c r="L149" s="2119"/>
      <c r="M149" s="2121">
        <f>SUM(M143:M148)</f>
        <v>0</v>
      </c>
      <c r="N149" s="2121"/>
      <c r="O149" s="1499"/>
      <c r="P149" s="2121">
        <f>SUM(P143:P148)</f>
        <v>9254927</v>
      </c>
      <c r="Q149" s="2121"/>
      <c r="R149" s="1499"/>
      <c r="S149" s="2121">
        <f>SUM(S143:S148)</f>
        <v>0</v>
      </c>
      <c r="T149" s="2121"/>
      <c r="U149" s="1499"/>
      <c r="V149" s="2239">
        <f>SUM(V143:V148)</f>
        <v>0</v>
      </c>
    </row>
    <row r="150" spans="1:22" ht="13.5">
      <c r="A150" s="1499"/>
      <c r="B150" s="2188" t="s">
        <v>557</v>
      </c>
      <c r="C150" s="1499"/>
      <c r="D150" s="2200" t="s">
        <v>558</v>
      </c>
      <c r="E150" s="2200"/>
      <c r="F150" s="2248">
        <f>SUM(F151:F153)</f>
        <v>0</v>
      </c>
      <c r="G150" s="2249" t="str">
        <f>IF(G151&gt;E151,"Proposed Builder Profit exceeds DCA Maximum!!!",IF(G152&gt;E152,"Proposed Builder Overhead exceeds DCA Maximum!!!",IF(G153&gt;E153,"Proposed General Requirements exceeds DCA Maximum!!!",IF(G154&gt;E154,"Proposed Contractor Services amount exceeds DCA Maximum!!!",""))))</f>
        <v/>
      </c>
      <c r="H150" s="281"/>
      <c r="I150" s="281"/>
      <c r="J150" s="2119"/>
      <c r="K150" s="2121"/>
      <c r="L150" s="1499"/>
      <c r="M150" s="2119"/>
      <c r="N150" s="2121"/>
      <c r="O150" s="2128" t="str">
        <f>B150</f>
        <v>CONTRACTOR SERVICES</v>
      </c>
      <c r="P150" s="2119"/>
      <c r="Q150" s="2121"/>
      <c r="R150" s="1499"/>
      <c r="S150" s="2119"/>
      <c r="T150" s="2121"/>
      <c r="U150" s="1499"/>
      <c r="V150" s="2239"/>
    </row>
    <row r="151" spans="1:22" ht="13.5">
      <c r="A151" s="1499"/>
      <c r="B151" s="1499" t="s">
        <v>559</v>
      </c>
      <c r="C151" s="1499"/>
      <c r="D151" s="2250">
        <f>'DCA Underwriting Assumptions'!$R$38</f>
        <v>0.06</v>
      </c>
      <c r="E151" s="2130">
        <f>ROUNDDOWN(D151*(G141+G149),0)</f>
        <v>580590</v>
      </c>
      <c r="F151" s="2250">
        <f>IF(($G$24+$G$32)=0,0,G151/($G$24+$G$32))</f>
        <v>0</v>
      </c>
      <c r="G151" s="2121">
        <f>'Part III-A-Uses of Funds'!G38</f>
        <v>580590</v>
      </c>
      <c r="H151" s="2121"/>
      <c r="I151" s="1499"/>
      <c r="J151" s="2121">
        <f>'Part III-A-Uses of Funds'!J38</f>
        <v>0</v>
      </c>
      <c r="K151" s="2121"/>
      <c r="L151" s="2119"/>
      <c r="M151" s="2121">
        <f>'Part III-A-Uses of Funds'!M38</f>
        <v>0</v>
      </c>
      <c r="N151" s="2121"/>
      <c r="O151" s="1499"/>
      <c r="P151" s="2121">
        <f>'Part III-A-Uses of Funds'!P38</f>
        <v>580590</v>
      </c>
      <c r="Q151" s="2121"/>
      <c r="R151" s="1499"/>
      <c r="S151" s="2121">
        <f>'Part III-A-Uses of Funds'!S38</f>
        <v>0</v>
      </c>
      <c r="T151" s="2121"/>
      <c r="U151" s="1499"/>
      <c r="V151" s="2239"/>
    </row>
    <row r="152" spans="1:22" ht="13.5">
      <c r="A152" s="1499"/>
      <c r="B152" s="1499" t="s">
        <v>560</v>
      </c>
      <c r="C152" s="1499"/>
      <c r="D152" s="2250">
        <f>'DCA Underwriting Assumptions'!$R$39</f>
        <v>0.02</v>
      </c>
      <c r="E152" s="2130">
        <f>ROUNDDOWN(D152*(G141+G149),0)</f>
        <v>193530</v>
      </c>
      <c r="F152" s="2250">
        <f>IF(($G$24+$G$32)=0,0,G152/($G$24+$G$32))</f>
        <v>0</v>
      </c>
      <c r="G152" s="2121">
        <f>'Part III-A-Uses of Funds'!G39</f>
        <v>193530</v>
      </c>
      <c r="H152" s="2121"/>
      <c r="I152" s="281"/>
      <c r="J152" s="2121">
        <f>'Part III-A-Uses of Funds'!J39</f>
        <v>0</v>
      </c>
      <c r="K152" s="2121"/>
      <c r="L152" s="2119"/>
      <c r="M152" s="2121">
        <f>'Part III-A-Uses of Funds'!M39</f>
        <v>0</v>
      </c>
      <c r="N152" s="2121"/>
      <c r="O152" s="1499"/>
      <c r="P152" s="2121">
        <f>'Part III-A-Uses of Funds'!P39</f>
        <v>193530</v>
      </c>
      <c r="Q152" s="2121"/>
      <c r="R152" s="1499"/>
      <c r="S152" s="2121">
        <f>'Part III-A-Uses of Funds'!S39</f>
        <v>0</v>
      </c>
      <c r="T152" s="2121"/>
      <c r="U152" s="1499"/>
      <c r="V152" s="2239"/>
    </row>
    <row r="153" spans="1:22" ht="13.5">
      <c r="A153" s="1499"/>
      <c r="B153" s="1499" t="s">
        <v>561</v>
      </c>
      <c r="C153" s="1499"/>
      <c r="D153" s="2250">
        <f>'DCA Underwriting Assumptions'!$R$40</f>
        <v>0.06</v>
      </c>
      <c r="E153" s="2130">
        <f>ROUNDDOWN(D153*(G141+G149),0)</f>
        <v>580590</v>
      </c>
      <c r="F153" s="2250">
        <f>IF(($G$24+$G$32)=0,0,G153/($G$24+$G$32))</f>
        <v>0</v>
      </c>
      <c r="G153" s="2121">
        <f>'Part III-A-Uses of Funds'!G40</f>
        <v>580590</v>
      </c>
      <c r="H153" s="2121"/>
      <c r="I153" s="281"/>
      <c r="J153" s="2121">
        <f>'Part III-A-Uses of Funds'!J40</f>
        <v>0</v>
      </c>
      <c r="K153" s="2121"/>
      <c r="L153" s="2119"/>
      <c r="M153" s="2121">
        <f>'Part III-A-Uses of Funds'!M40</f>
        <v>0</v>
      </c>
      <c r="N153" s="2121"/>
      <c r="O153" s="1499"/>
      <c r="P153" s="2121">
        <f>'Part III-A-Uses of Funds'!P40</f>
        <v>580590</v>
      </c>
      <c r="Q153" s="2121"/>
      <c r="R153" s="1499"/>
      <c r="S153" s="2121">
        <f>'Part III-A-Uses of Funds'!S40</f>
        <v>0</v>
      </c>
      <c r="T153" s="2121"/>
      <c r="U153" s="1499"/>
      <c r="V153" s="2239"/>
    </row>
    <row r="154" spans="1:22" ht="13.5">
      <c r="A154" s="1499"/>
      <c r="B154" s="2196" t="s">
        <v>562</v>
      </c>
      <c r="C154" s="1499"/>
      <c r="D154" s="2248">
        <f>SUM(D151:D153)</f>
        <v>0.14000000000000001</v>
      </c>
      <c r="E154" s="2251">
        <f>SUM(E151:E153)</f>
        <v>1354710</v>
      </c>
      <c r="F154" s="2243" t="s">
        <v>536</v>
      </c>
      <c r="G154" s="2121">
        <f>SUM(G151:G153)</f>
        <v>1354710</v>
      </c>
      <c r="H154" s="2121"/>
      <c r="I154" s="1499"/>
      <c r="J154" s="2121">
        <f>SUM(J151:J153)</f>
        <v>0</v>
      </c>
      <c r="K154" s="2121"/>
      <c r="L154" s="2119"/>
      <c r="M154" s="2121">
        <f>SUM(M151:M153)</f>
        <v>0</v>
      </c>
      <c r="N154" s="2121"/>
      <c r="O154" s="1499"/>
      <c r="P154" s="2121">
        <f>SUM(P151:P153)</f>
        <v>1354710</v>
      </c>
      <c r="Q154" s="2121"/>
      <c r="R154" s="1499"/>
      <c r="S154" s="2121">
        <f>SUM(S151:S153)</f>
        <v>0</v>
      </c>
      <c r="T154" s="2121"/>
      <c r="U154" s="1499"/>
      <c r="V154" s="2239">
        <f>SUM(V151:V153)</f>
        <v>0</v>
      </c>
    </row>
    <row r="155" spans="1:22">
      <c r="A155" s="2189"/>
      <c r="B155" s="2189"/>
      <c r="C155" s="2189"/>
      <c r="D155" s="2189"/>
      <c r="E155" s="2189"/>
      <c r="F155" s="2189"/>
      <c r="G155" s="2189"/>
      <c r="H155" s="2189"/>
      <c r="I155" s="2189"/>
      <c r="J155" s="2189"/>
      <c r="K155" s="2189"/>
      <c r="L155" s="2189"/>
      <c r="M155" s="2189"/>
      <c r="N155" s="2189"/>
      <c r="O155" s="2189"/>
      <c r="P155" s="2189"/>
      <c r="Q155" s="2189"/>
      <c r="R155" s="2189"/>
      <c r="S155" s="2189"/>
      <c r="T155" s="2189"/>
      <c r="U155" s="1499"/>
      <c r="V155" s="2239"/>
    </row>
    <row r="156" spans="1:22">
      <c r="A156" s="2189"/>
      <c r="B156" s="1499"/>
      <c r="C156" s="2252" t="s">
        <v>564</v>
      </c>
      <c r="D156" s="1499"/>
      <c r="E156" s="2189"/>
      <c r="F156" s="2189"/>
      <c r="G156" s="2253">
        <f>G141+G149+G154</f>
        <v>11031216</v>
      </c>
      <c r="H156" s="2253"/>
      <c r="I156" s="2189"/>
      <c r="J156" s="2189"/>
      <c r="K156" s="2189"/>
      <c r="L156" s="2189"/>
      <c r="M156" s="2189"/>
      <c r="N156" s="2189"/>
      <c r="O156" s="2189"/>
      <c r="P156" s="2189"/>
      <c r="Q156" s="2189"/>
      <c r="R156" s="2189"/>
      <c r="S156" s="2189"/>
      <c r="T156" s="2189"/>
      <c r="U156" s="1499"/>
      <c r="V156" s="2239"/>
    </row>
    <row r="157" spans="1:22">
      <c r="A157" s="2188"/>
      <c r="B157" s="2188"/>
      <c r="C157" s="2188"/>
      <c r="D157" s="2188"/>
      <c r="E157" s="2188"/>
      <c r="F157" s="2188"/>
      <c r="G157" s="2188"/>
      <c r="H157" s="2188"/>
      <c r="I157" s="2188"/>
      <c r="J157" s="2188"/>
      <c r="K157" s="2188"/>
      <c r="L157" s="2188"/>
      <c r="M157" s="2188"/>
      <c r="N157" s="2188"/>
      <c r="O157" s="2188"/>
      <c r="P157" s="2188"/>
      <c r="Q157" s="2188"/>
      <c r="R157" s="2188"/>
      <c r="S157" s="2188"/>
      <c r="T157" s="2188"/>
      <c r="U157" s="1499"/>
      <c r="V157" s="1499"/>
    </row>
    <row r="158" spans="1:22">
      <c r="A158" s="1499"/>
      <c r="B158" s="2188" t="s">
        <v>6963</v>
      </c>
      <c r="C158" s="1499"/>
      <c r="D158" s="1499"/>
      <c r="E158" s="1499"/>
      <c r="F158" s="1499"/>
      <c r="G158" s="1499"/>
      <c r="H158" s="1499"/>
      <c r="I158" s="1499"/>
      <c r="J158" s="2119"/>
      <c r="K158" s="2121"/>
      <c r="L158" s="1499"/>
      <c r="M158" s="2119"/>
      <c r="N158" s="2121"/>
      <c r="O158" s="2128" t="str">
        <f>B158</f>
        <v>OTHER CONSTRUCTION HARD COSTS (Non-GC work scope items done by Owner)</v>
      </c>
      <c r="P158" s="2119"/>
      <c r="Q158" s="2121"/>
      <c r="R158" s="1499"/>
      <c r="S158" s="2119"/>
      <c r="T158" s="2121"/>
      <c r="U158" s="1499"/>
      <c r="V158" s="2239"/>
    </row>
    <row r="159" spans="1:22" ht="12.75" customHeight="1">
      <c r="A159" s="281"/>
      <c r="B159" s="2196" t="s">
        <v>567</v>
      </c>
      <c r="C159" s="2241">
        <f>'Part III-A-Uses of Funds'!C46</f>
        <v>0</v>
      </c>
      <c r="D159" s="2241"/>
      <c r="E159" s="2241"/>
      <c r="F159" s="2241"/>
      <c r="G159" s="2121">
        <f>'Part III-A-Uses of Funds'!G46</f>
        <v>0</v>
      </c>
      <c r="H159" s="2121"/>
      <c r="I159" s="1499"/>
      <c r="J159" s="2121">
        <f>'Part III-A-Uses of Funds'!J46</f>
        <v>0</v>
      </c>
      <c r="K159" s="2121"/>
      <c r="L159" s="2119"/>
      <c r="M159" s="2121">
        <f>'Part III-A-Uses of Funds'!M46</f>
        <v>0</v>
      </c>
      <c r="N159" s="2121"/>
      <c r="O159" s="1499"/>
      <c r="P159" s="2121">
        <f>'Part III-A-Uses of Funds'!P46</f>
        <v>0</v>
      </c>
      <c r="Q159" s="2121"/>
      <c r="R159" s="1499"/>
      <c r="S159" s="2121">
        <f>'Part III-A-Uses of Funds'!S46</f>
        <v>0</v>
      </c>
      <c r="T159" s="2121"/>
      <c r="U159" s="281"/>
      <c r="V159" s="2239"/>
    </row>
    <row r="160" spans="1:22">
      <c r="A160" s="2189"/>
      <c r="B160" s="2189"/>
      <c r="C160" s="2189"/>
      <c r="D160" s="2189"/>
      <c r="E160" s="2189"/>
      <c r="F160" s="2189"/>
      <c r="G160" s="2189"/>
      <c r="H160" s="2189"/>
      <c r="I160" s="2189"/>
      <c r="J160" s="2189"/>
      <c r="K160" s="2189"/>
      <c r="L160" s="2189"/>
      <c r="M160" s="2189"/>
      <c r="N160" s="2189"/>
      <c r="O160" s="2189"/>
      <c r="P160" s="2189"/>
      <c r="Q160" s="2189"/>
      <c r="R160" s="2189"/>
      <c r="S160" s="2189"/>
      <c r="T160" s="2189"/>
      <c r="U160" s="1499"/>
      <c r="V160" s="2239"/>
    </row>
    <row r="161" spans="1:22" ht="12.75" customHeight="1">
      <c r="A161" s="1499"/>
      <c r="B161" s="2254" t="s">
        <v>6964</v>
      </c>
      <c r="C161" s="2255"/>
      <c r="D161" s="1499"/>
      <c r="E161" s="2190" t="s">
        <v>570</v>
      </c>
      <c r="F161" s="2131">
        <f>C162/'Part V-Revenues &amp; Expenses'!$P$65</f>
        <v>55433.246231155776</v>
      </c>
      <c r="G161" s="2256" t="s">
        <v>6965</v>
      </c>
      <c r="H161" s="1499"/>
      <c r="I161" s="1499"/>
      <c r="J161" s="2132">
        <f>C162/'Part V-Revenues &amp; Expenses'!$P$67</f>
        <v>55433.246231155776</v>
      </c>
      <c r="K161" s="2132"/>
      <c r="L161" s="1499"/>
      <c r="M161" s="2257" t="s">
        <v>572</v>
      </c>
      <c r="N161" s="2257"/>
      <c r="O161" s="1499"/>
      <c r="P161" s="2132">
        <f>C162/'Part V-Revenues &amp; Expenses'!$K$175</f>
        <v>51.455407119934321</v>
      </c>
      <c r="Q161" s="2132"/>
      <c r="R161" s="1499"/>
      <c r="S161" s="2258" t="s">
        <v>573</v>
      </c>
      <c r="T161" s="2258"/>
      <c r="U161" s="1499"/>
      <c r="V161" s="2239"/>
    </row>
    <row r="162" spans="1:22" ht="13.5">
      <c r="A162" s="1499"/>
      <c r="B162" s="2259" t="s">
        <v>574</v>
      </c>
      <c r="C162" s="2260">
        <f>G141+G149+G154+G159</f>
        <v>11031216</v>
      </c>
      <c r="D162" s="1499"/>
      <c r="E162" s="2190"/>
      <c r="F162" s="2131">
        <f>C162/'Part V-Revenues &amp; Expenses'!$P$166</f>
        <v>53.417604075367173</v>
      </c>
      <c r="G162" s="2258" t="s">
        <v>6966</v>
      </c>
      <c r="H162" s="1499"/>
      <c r="I162" s="1499"/>
      <c r="J162" s="2132">
        <f>C162/'Part V-Revenues &amp; Expenses'!$P$168</f>
        <v>53.417604075367173</v>
      </c>
      <c r="K162" s="2132"/>
      <c r="L162" s="1499"/>
      <c r="M162" s="2258" t="s">
        <v>576</v>
      </c>
      <c r="N162" s="2258"/>
      <c r="O162" s="1499"/>
      <c r="P162" s="1499"/>
      <c r="Q162" s="1499"/>
      <c r="R162" s="1499"/>
      <c r="S162" s="1499"/>
      <c r="T162" s="1499"/>
      <c r="U162" s="1499"/>
      <c r="V162" s="2239"/>
    </row>
    <row r="163" spans="1:22">
      <c r="A163" s="2189"/>
      <c r="B163" s="2189"/>
      <c r="C163" s="2189"/>
      <c r="D163" s="2189"/>
      <c r="E163" s="2189"/>
      <c r="F163" s="2189"/>
      <c r="G163" s="2189"/>
      <c r="H163" s="2189"/>
      <c r="I163" s="2189"/>
      <c r="J163" s="2189"/>
      <c r="K163" s="2189"/>
      <c r="L163" s="2189"/>
      <c r="M163" s="2189"/>
      <c r="N163" s="2189"/>
      <c r="O163" s="2189"/>
      <c r="P163" s="2189"/>
      <c r="Q163" s="2189"/>
      <c r="R163" s="2189"/>
      <c r="S163" s="2189"/>
      <c r="T163" s="2189"/>
      <c r="U163" s="1499"/>
      <c r="V163" s="2239"/>
    </row>
    <row r="164" spans="1:22" ht="17.25" customHeight="1">
      <c r="A164" s="2236" t="s">
        <v>21</v>
      </c>
      <c r="B164" s="2236" t="s">
        <v>6967</v>
      </c>
      <c r="C164" s="1499"/>
      <c r="D164" s="1499"/>
      <c r="E164" s="1499"/>
      <c r="F164" s="1499"/>
      <c r="G164" s="1499"/>
      <c r="H164" s="1499"/>
      <c r="I164" s="1499"/>
      <c r="J164" s="2190" t="s">
        <v>517</v>
      </c>
      <c r="K164" s="2190"/>
      <c r="L164" s="2121"/>
      <c r="M164" s="2127" t="s">
        <v>518</v>
      </c>
      <c r="N164" s="2127"/>
      <c r="O164" s="1499"/>
      <c r="P164" s="2190" t="s">
        <v>519</v>
      </c>
      <c r="Q164" s="2190"/>
      <c r="R164" s="1499"/>
      <c r="S164" s="2190" t="s">
        <v>520</v>
      </c>
      <c r="T164" s="2190"/>
      <c r="U164" s="1499"/>
      <c r="V164" s="2239"/>
    </row>
    <row r="165" spans="1:22">
      <c r="A165" s="1499"/>
      <c r="B165" s="1499"/>
      <c r="C165" s="1499"/>
      <c r="D165" s="1499"/>
      <c r="E165" s="1499"/>
      <c r="F165" s="1499"/>
      <c r="G165" s="2188" t="s">
        <v>521</v>
      </c>
      <c r="H165" s="2188"/>
      <c r="I165" s="1499"/>
      <c r="J165" s="2190"/>
      <c r="K165" s="2190"/>
      <c r="L165" s="2121"/>
      <c r="M165" s="2127"/>
      <c r="N165" s="2127"/>
      <c r="O165" s="1499"/>
      <c r="P165" s="2190"/>
      <c r="Q165" s="2190"/>
      <c r="R165" s="1499"/>
      <c r="S165" s="2190"/>
      <c r="T165" s="2190"/>
      <c r="U165" s="1499"/>
      <c r="V165" s="2239"/>
    </row>
    <row r="166" spans="1:22">
      <c r="A166" s="2189"/>
      <c r="B166" s="2189"/>
      <c r="C166" s="2189"/>
      <c r="D166" s="2189"/>
      <c r="E166" s="2189"/>
      <c r="F166" s="2189"/>
      <c r="G166" s="2189"/>
      <c r="H166" s="2189"/>
      <c r="I166" s="2189"/>
      <c r="J166" s="2189"/>
      <c r="K166" s="2189"/>
      <c r="L166" s="2189"/>
      <c r="M166" s="2189"/>
      <c r="N166" s="2189"/>
      <c r="O166" s="2189"/>
      <c r="P166" s="2189"/>
      <c r="Q166" s="2189"/>
      <c r="R166" s="2189"/>
      <c r="S166" s="2189"/>
      <c r="T166" s="2189"/>
      <c r="U166" s="1499"/>
      <c r="V166" s="2239"/>
    </row>
    <row r="167" spans="1:22">
      <c r="A167" s="1499"/>
      <c r="B167" s="2188" t="s">
        <v>578</v>
      </c>
      <c r="C167" s="1499"/>
      <c r="D167" s="1499"/>
      <c r="E167" s="1499"/>
      <c r="F167" s="1065" t="s">
        <v>579</v>
      </c>
      <c r="G167" s="2188" t="str">
        <f>IF(G168&gt;E168,"Check Contingency Amount!!!!","")</f>
        <v/>
      </c>
      <c r="H167" s="1499"/>
      <c r="I167" s="1499"/>
      <c r="J167" s="2119"/>
      <c r="K167" s="2121"/>
      <c r="L167" s="1499"/>
      <c r="M167" s="2119"/>
      <c r="N167" s="2121"/>
      <c r="O167" s="2128" t="str">
        <f>B167</f>
        <v>CONSTRUCTION CONTINGENCY (CC)</v>
      </c>
      <c r="P167" s="2119"/>
      <c r="Q167" s="2121"/>
      <c r="R167" s="1499"/>
      <c r="S167" s="2119"/>
      <c r="T167" s="2121"/>
      <c r="U167" s="1499"/>
      <c r="V167" s="2239"/>
    </row>
    <row r="168" spans="1:22">
      <c r="A168" s="281"/>
      <c r="B168" s="1499" t="s">
        <v>580</v>
      </c>
      <c r="C168" s="281"/>
      <c r="D168" s="2244" t="s">
        <v>581</v>
      </c>
      <c r="E168" s="226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1103121.6000000001</v>
      </c>
      <c r="F168" s="2224">
        <f>G168/C162</f>
        <v>0.1</v>
      </c>
      <c r="G168" s="2121">
        <f>'Part III-A-Uses of Funds'!G55</f>
        <v>1103121.6000000001</v>
      </c>
      <c r="H168" s="2121"/>
      <c r="I168" s="1499"/>
      <c r="J168" s="2121">
        <f>'Part III-A-Uses of Funds'!J55</f>
        <v>0</v>
      </c>
      <c r="K168" s="2121"/>
      <c r="L168" s="2119"/>
      <c r="M168" s="2121">
        <f>'Part III-A-Uses of Funds'!M55</f>
        <v>0</v>
      </c>
      <c r="N168" s="2121"/>
      <c r="O168" s="1499"/>
      <c r="P168" s="2121">
        <f>'Part III-A-Uses of Funds'!P55</f>
        <v>1103121.6000000001</v>
      </c>
      <c r="Q168" s="2121"/>
      <c r="R168" s="1499"/>
      <c r="S168" s="2121">
        <f>'Part III-A-Uses of Funds'!S55</f>
        <v>0</v>
      </c>
      <c r="T168" s="2121"/>
      <c r="U168" s="281"/>
      <c r="V168" s="2239"/>
    </row>
    <row r="169" spans="1:22">
      <c r="A169" s="2189"/>
      <c r="B169" s="2189"/>
      <c r="C169" s="2189"/>
      <c r="D169" s="2189"/>
      <c r="E169" s="2189"/>
      <c r="F169" s="2189"/>
      <c r="G169" s="2189"/>
      <c r="H169" s="2189"/>
      <c r="I169" s="2189"/>
      <c r="J169" s="2189"/>
      <c r="K169" s="2189"/>
      <c r="L169" s="2189"/>
      <c r="M169" s="2189"/>
      <c r="N169" s="2189"/>
      <c r="O169" s="2189"/>
      <c r="P169" s="2189"/>
      <c r="Q169" s="2189"/>
      <c r="R169" s="2189"/>
      <c r="S169" s="2189"/>
      <c r="T169" s="2189"/>
      <c r="U169" s="1499"/>
      <c r="V169" s="2239"/>
    </row>
    <row r="170" spans="1:22" ht="12.75" customHeight="1">
      <c r="A170" s="1499"/>
      <c r="B170" s="2262" t="s">
        <v>582</v>
      </c>
      <c r="C170" s="2255"/>
      <c r="D170" s="1499"/>
      <c r="E170" s="2190" t="s">
        <v>583</v>
      </c>
      <c r="F170" s="2131">
        <f>B171/'Part V-Revenues &amp; Expenses'!$P$65</f>
        <v>60976.570854271355</v>
      </c>
      <c r="G170" s="2256" t="s">
        <v>6965</v>
      </c>
      <c r="H170" s="1499"/>
      <c r="I170" s="1499"/>
      <c r="J170" s="2132">
        <f>B171/'Part V-Revenues &amp; Expenses'!$P$67</f>
        <v>60976.570854271355</v>
      </c>
      <c r="K170" s="2132"/>
      <c r="L170" s="1499"/>
      <c r="M170" s="2257" t="s">
        <v>572</v>
      </c>
      <c r="N170" s="2257"/>
      <c r="O170" s="1499"/>
      <c r="P170" s="2132">
        <f>B171/'Part V-Revenues &amp; Expenses'!$K$175</f>
        <v>56.600947831927755</v>
      </c>
      <c r="Q170" s="2132"/>
      <c r="R170" s="1499"/>
      <c r="S170" s="2258" t="s">
        <v>573</v>
      </c>
      <c r="T170" s="2258"/>
      <c r="U170" s="1499"/>
      <c r="V170" s="2239"/>
    </row>
    <row r="171" spans="1:22">
      <c r="A171" s="1499"/>
      <c r="B171" s="2260">
        <f>C162+G168</f>
        <v>12134337.6</v>
      </c>
      <c r="C171" s="2260"/>
      <c r="D171" s="1499"/>
      <c r="E171" s="2190"/>
      <c r="F171" s="2131">
        <f>B171/'Part V-Revenues &amp; Expenses'!$P$166</f>
        <v>58.759364482903891</v>
      </c>
      <c r="G171" s="2258" t="s">
        <v>6966</v>
      </c>
      <c r="H171" s="1499"/>
      <c r="I171" s="1499"/>
      <c r="J171" s="2132">
        <f>B171/'Part V-Revenues &amp; Expenses'!$P$168</f>
        <v>58.759364482903891</v>
      </c>
      <c r="K171" s="2132"/>
      <c r="L171" s="1499"/>
      <c r="M171" s="2258" t="s">
        <v>576</v>
      </c>
      <c r="N171" s="2258"/>
      <c r="O171" s="1499"/>
      <c r="P171" s="1499"/>
      <c r="Q171" s="1499"/>
      <c r="R171" s="1499"/>
      <c r="S171" s="1499"/>
      <c r="T171" s="1499"/>
      <c r="U171" s="1499"/>
      <c r="V171" s="2239"/>
    </row>
    <row r="172" spans="1:22">
      <c r="A172" s="2189"/>
      <c r="B172" s="2189"/>
      <c r="C172" s="2189"/>
      <c r="D172" s="2189"/>
      <c r="E172" s="2189"/>
      <c r="F172" s="2189"/>
      <c r="G172" s="2189"/>
      <c r="H172" s="2189"/>
      <c r="I172" s="2189"/>
      <c r="J172" s="2189"/>
      <c r="K172" s="2189"/>
      <c r="L172" s="2189"/>
      <c r="M172" s="2189"/>
      <c r="N172" s="2189"/>
      <c r="O172" s="2189"/>
      <c r="P172" s="2189"/>
      <c r="Q172" s="2189"/>
      <c r="R172" s="2189"/>
      <c r="S172" s="2189"/>
      <c r="T172" s="2189"/>
      <c r="U172" s="1499"/>
      <c r="V172" s="2239"/>
    </row>
    <row r="173" spans="1:22">
      <c r="A173" s="1499"/>
      <c r="B173" s="2188" t="s">
        <v>584</v>
      </c>
      <c r="C173" s="1499"/>
      <c r="D173" s="1499"/>
      <c r="E173" s="1499"/>
      <c r="F173" s="1499"/>
      <c r="G173" s="1499"/>
      <c r="H173" s="1499"/>
      <c r="I173" s="1499"/>
      <c r="J173" s="2119"/>
      <c r="K173" s="2121"/>
      <c r="L173" s="1499"/>
      <c r="M173" s="2119"/>
      <c r="N173" s="2121"/>
      <c r="O173" s="2128" t="str">
        <f>B173</f>
        <v>CONSTRUCTION PERIOD FINANCING</v>
      </c>
      <c r="P173" s="2119"/>
      <c r="Q173" s="2121"/>
      <c r="R173" s="1499"/>
      <c r="S173" s="2119"/>
      <c r="T173" s="2121"/>
      <c r="U173" s="1499"/>
      <c r="V173" s="2239"/>
    </row>
    <row r="174" spans="1:22">
      <c r="A174" s="1499"/>
      <c r="B174" s="1499" t="s">
        <v>585</v>
      </c>
      <c r="C174" s="1499"/>
      <c r="D174" s="1499"/>
      <c r="E174" s="1499"/>
      <c r="F174" s="1499"/>
      <c r="G174" s="2121">
        <f>'Part III-A-Uses of Funds'!G61</f>
        <v>0</v>
      </c>
      <c r="H174" s="2121"/>
      <c r="I174" s="1499"/>
      <c r="J174" s="2121">
        <f>'Part III-A-Uses of Funds'!J61</f>
        <v>0</v>
      </c>
      <c r="K174" s="2121"/>
      <c r="L174" s="2119"/>
      <c r="M174" s="2121">
        <f>'Part III-A-Uses of Funds'!M61</f>
        <v>0</v>
      </c>
      <c r="N174" s="2121"/>
      <c r="O174" s="1499"/>
      <c r="P174" s="2121">
        <f>'Part III-A-Uses of Funds'!P61</f>
        <v>0</v>
      </c>
      <c r="Q174" s="2121"/>
      <c r="R174" s="1499"/>
      <c r="S174" s="2121">
        <f>'Part III-A-Uses of Funds'!S61</f>
        <v>0</v>
      </c>
      <c r="T174" s="2121"/>
      <c r="U174" s="1499"/>
      <c r="V174" s="2239"/>
    </row>
    <row r="175" spans="1:22">
      <c r="A175" s="1499"/>
      <c r="B175" s="1499" t="s">
        <v>586</v>
      </c>
      <c r="C175" s="1499"/>
      <c r="D175" s="1499"/>
      <c r="E175" s="1499"/>
      <c r="F175" s="1499"/>
      <c r="G175" s="2121">
        <f>'Part III-A-Uses of Funds'!G62</f>
        <v>0</v>
      </c>
      <c r="H175" s="2121"/>
      <c r="I175" s="1499"/>
      <c r="J175" s="2121">
        <f>'Part III-A-Uses of Funds'!J62</f>
        <v>0</v>
      </c>
      <c r="K175" s="2121"/>
      <c r="L175" s="2119"/>
      <c r="M175" s="2121">
        <f>'Part III-A-Uses of Funds'!M62</f>
        <v>0</v>
      </c>
      <c r="N175" s="2121"/>
      <c r="O175" s="1499"/>
      <c r="P175" s="2121">
        <f>'Part III-A-Uses of Funds'!P62</f>
        <v>0</v>
      </c>
      <c r="Q175" s="2121"/>
      <c r="R175" s="1499"/>
      <c r="S175" s="2121">
        <f>'Part III-A-Uses of Funds'!S62</f>
        <v>0</v>
      </c>
      <c r="T175" s="2121"/>
      <c r="U175" s="1499"/>
      <c r="V175" s="2239"/>
    </row>
    <row r="176" spans="1:22">
      <c r="A176" s="1499"/>
      <c r="B176" s="1499" t="s">
        <v>587</v>
      </c>
      <c r="C176" s="1499"/>
      <c r="D176" s="1499"/>
      <c r="E176" s="1499"/>
      <c r="F176" s="1499"/>
      <c r="G176" s="2121">
        <f>'Part III-A-Uses of Funds'!G63</f>
        <v>260000</v>
      </c>
      <c r="H176" s="2121"/>
      <c r="I176" s="1499"/>
      <c r="J176" s="2121">
        <f>'Part III-A-Uses of Funds'!J63</f>
        <v>0</v>
      </c>
      <c r="K176" s="2121"/>
      <c r="L176" s="2119"/>
      <c r="M176" s="2121">
        <f>'Part III-A-Uses of Funds'!M63</f>
        <v>0</v>
      </c>
      <c r="N176" s="2121"/>
      <c r="O176" s="1499"/>
      <c r="P176" s="2121">
        <f>'Part III-A-Uses of Funds'!P63</f>
        <v>147758</v>
      </c>
      <c r="Q176" s="2121"/>
      <c r="R176" s="1499"/>
      <c r="S176" s="2121">
        <f>'Part III-A-Uses of Funds'!S63</f>
        <v>112242</v>
      </c>
      <c r="T176" s="2121"/>
      <c r="U176" s="1499"/>
      <c r="V176" s="2239"/>
    </row>
    <row r="177" spans="1:22">
      <c r="A177" s="1499"/>
      <c r="B177" s="1499" t="s">
        <v>588</v>
      </c>
      <c r="C177" s="1499"/>
      <c r="D177" s="1499"/>
      <c r="E177" s="1499"/>
      <c r="F177" s="1499"/>
      <c r="G177" s="2121">
        <f>'Part III-A-Uses of Funds'!G64</f>
        <v>1658641</v>
      </c>
      <c r="H177" s="2121"/>
      <c r="I177" s="1499"/>
      <c r="J177" s="2121">
        <f>'Part III-A-Uses of Funds'!J64</f>
        <v>0</v>
      </c>
      <c r="K177" s="2121"/>
      <c r="L177" s="2119"/>
      <c r="M177" s="2121">
        <f>'Part III-A-Uses of Funds'!M64</f>
        <v>0</v>
      </c>
      <c r="N177" s="2121"/>
      <c r="O177" s="1499"/>
      <c r="P177" s="2121">
        <f>'Part III-A-Uses of Funds'!P64</f>
        <v>1057741</v>
      </c>
      <c r="Q177" s="2121"/>
      <c r="R177" s="1499"/>
      <c r="S177" s="2121">
        <f>'Part III-A-Uses of Funds'!S64</f>
        <v>600900</v>
      </c>
      <c r="T177" s="2121"/>
      <c r="U177" s="1499"/>
      <c r="V177" s="2239"/>
    </row>
    <row r="178" spans="1:22">
      <c r="A178" s="1499"/>
      <c r="B178" s="1499" t="s">
        <v>589</v>
      </c>
      <c r="C178" s="1499"/>
      <c r="D178" s="1499"/>
      <c r="E178" s="1499"/>
      <c r="F178" s="1499"/>
      <c r="G178" s="2121">
        <f>'Part III-A-Uses of Funds'!G65</f>
        <v>68000</v>
      </c>
      <c r="H178" s="2121"/>
      <c r="I178" s="1499"/>
      <c r="J178" s="2121">
        <f>'Part III-A-Uses of Funds'!J65</f>
        <v>0</v>
      </c>
      <c r="K178" s="2121"/>
      <c r="L178" s="2119"/>
      <c r="M178" s="2121">
        <f>'Part III-A-Uses of Funds'!M65</f>
        <v>0</v>
      </c>
      <c r="N178" s="2121"/>
      <c r="O178" s="1499"/>
      <c r="P178" s="2121">
        <f>'Part III-A-Uses of Funds'!P65</f>
        <v>9520</v>
      </c>
      <c r="Q178" s="2121"/>
      <c r="R178" s="1499"/>
      <c r="S178" s="2121">
        <f>'Part III-A-Uses of Funds'!S65</f>
        <v>58480</v>
      </c>
      <c r="T178" s="2121"/>
      <c r="U178" s="1499"/>
      <c r="V178" s="2239"/>
    </row>
    <row r="179" spans="1:22">
      <c r="A179" s="1499"/>
      <c r="B179" s="1499" t="s">
        <v>591</v>
      </c>
      <c r="C179" s="1499"/>
      <c r="D179" s="1499"/>
      <c r="E179" s="1499"/>
      <c r="F179" s="1499"/>
      <c r="G179" s="2121">
        <f>'Part III-A-Uses of Funds'!G66</f>
        <v>52100</v>
      </c>
      <c r="H179" s="2121"/>
      <c r="I179" s="1499"/>
      <c r="J179" s="2121">
        <f>'Part III-A-Uses of Funds'!J66</f>
        <v>0</v>
      </c>
      <c r="K179" s="2121"/>
      <c r="L179" s="2119"/>
      <c r="M179" s="2121">
        <f>'Part III-A-Uses of Funds'!M66</f>
        <v>0</v>
      </c>
      <c r="N179" s="2121"/>
      <c r="O179" s="1499"/>
      <c r="P179" s="2121">
        <f>'Part III-A-Uses of Funds'!P66</f>
        <v>52100</v>
      </c>
      <c r="Q179" s="2121"/>
      <c r="R179" s="1499"/>
      <c r="S179" s="2121">
        <f>'Part III-A-Uses of Funds'!S66</f>
        <v>0</v>
      </c>
      <c r="T179" s="2121"/>
      <c r="U179" s="1499"/>
      <c r="V179" s="2239"/>
    </row>
    <row r="180" spans="1:22">
      <c r="A180" s="1499"/>
      <c r="B180" s="1499" t="s">
        <v>593</v>
      </c>
      <c r="C180" s="1499"/>
      <c r="D180" s="1499"/>
      <c r="E180" s="1499"/>
      <c r="F180" s="1499"/>
      <c r="G180" s="2121">
        <f>'Part III-A-Uses of Funds'!G67</f>
        <v>114826</v>
      </c>
      <c r="H180" s="2121"/>
      <c r="I180" s="1499"/>
      <c r="J180" s="2121">
        <f>'Part III-A-Uses of Funds'!J67</f>
        <v>0</v>
      </c>
      <c r="K180" s="2121"/>
      <c r="L180" s="2119"/>
      <c r="M180" s="2121">
        <f>'Part III-A-Uses of Funds'!M67</f>
        <v>0</v>
      </c>
      <c r="N180" s="2121"/>
      <c r="O180" s="1499"/>
      <c r="P180" s="2121">
        <f>'Part III-A-Uses of Funds'!P67</f>
        <v>114826</v>
      </c>
      <c r="Q180" s="2121"/>
      <c r="R180" s="1499"/>
      <c r="S180" s="2121">
        <f>'Part III-A-Uses of Funds'!S67</f>
        <v>0</v>
      </c>
      <c r="T180" s="2121"/>
      <c r="U180" s="1499"/>
      <c r="V180" s="2239"/>
    </row>
    <row r="181" spans="1:22">
      <c r="A181" s="1499"/>
      <c r="B181" s="1499" t="s">
        <v>595</v>
      </c>
      <c r="C181" s="1499"/>
      <c r="D181" s="1499"/>
      <c r="E181" s="1499"/>
      <c r="F181" s="1499"/>
      <c r="G181" s="2121">
        <f>'Part III-A-Uses of Funds'!G68</f>
        <v>348384</v>
      </c>
      <c r="H181" s="2121"/>
      <c r="I181" s="1499"/>
      <c r="J181" s="2121">
        <f>'Part III-A-Uses of Funds'!J68</f>
        <v>0</v>
      </c>
      <c r="K181" s="2121"/>
      <c r="L181" s="2119"/>
      <c r="M181" s="2121">
        <f>'Part III-A-Uses of Funds'!M68</f>
        <v>0</v>
      </c>
      <c r="N181" s="2121"/>
      <c r="O181" s="1499"/>
      <c r="P181" s="2121">
        <f>'Part III-A-Uses of Funds'!P68</f>
        <v>221461</v>
      </c>
      <c r="Q181" s="2121"/>
      <c r="R181" s="1499"/>
      <c r="S181" s="2121">
        <f>'Part III-A-Uses of Funds'!S68</f>
        <v>126923</v>
      </c>
      <c r="T181" s="2121"/>
      <c r="U181" s="1499"/>
      <c r="V181" s="2239"/>
    </row>
    <row r="182" spans="1:22">
      <c r="A182" s="1499"/>
      <c r="B182" s="1499" t="s">
        <v>596</v>
      </c>
      <c r="C182" s="1499"/>
      <c r="D182" s="1499"/>
      <c r="E182" s="1499"/>
      <c r="F182" s="1499"/>
      <c r="G182" s="2121">
        <f>'Part III-A-Uses of Funds'!G69</f>
        <v>123722</v>
      </c>
      <c r="H182" s="2121"/>
      <c r="I182" s="1499"/>
      <c r="J182" s="2121">
        <f>'Part III-A-Uses of Funds'!J69</f>
        <v>0</v>
      </c>
      <c r="K182" s="2121"/>
      <c r="L182" s="2119"/>
      <c r="M182" s="2121">
        <f>'Part III-A-Uses of Funds'!M69</f>
        <v>0</v>
      </c>
      <c r="N182" s="2121"/>
      <c r="O182" s="1499"/>
      <c r="P182" s="2121">
        <f>'Part III-A-Uses of Funds'!P69</f>
        <v>123722</v>
      </c>
      <c r="Q182" s="2121"/>
      <c r="R182" s="1499"/>
      <c r="S182" s="2121">
        <f>'Part III-A-Uses of Funds'!S69</f>
        <v>0</v>
      </c>
      <c r="T182" s="2121"/>
      <c r="U182" s="1499"/>
      <c r="V182" s="2239"/>
    </row>
    <row r="183" spans="1:22">
      <c r="A183" s="1499"/>
      <c r="B183" s="2263" t="s">
        <v>597</v>
      </c>
      <c r="C183" s="1499"/>
      <c r="D183" s="2264"/>
      <c r="E183" s="2264"/>
      <c r="F183" s="2133"/>
      <c r="G183" s="2121">
        <f>'Part III-A-Uses of Funds'!G70</f>
        <v>93762</v>
      </c>
      <c r="H183" s="2121"/>
      <c r="I183" s="281"/>
      <c r="J183" s="2121">
        <f>'Part III-A-Uses of Funds'!J70</f>
        <v>0</v>
      </c>
      <c r="K183" s="2121"/>
      <c r="L183" s="2119"/>
      <c r="M183" s="2121">
        <f>'Part III-A-Uses of Funds'!M70</f>
        <v>0</v>
      </c>
      <c r="N183" s="2121"/>
      <c r="O183" s="1499"/>
      <c r="P183" s="2121">
        <f>'Part III-A-Uses of Funds'!P70</f>
        <v>93762</v>
      </c>
      <c r="Q183" s="2121"/>
      <c r="R183" s="1499"/>
      <c r="S183" s="2121">
        <f>'Part III-A-Uses of Funds'!S70</f>
        <v>0</v>
      </c>
      <c r="T183" s="2121"/>
      <c r="U183" s="1499"/>
      <c r="V183" s="2239"/>
    </row>
    <row r="184" spans="1:22" ht="15.75" customHeight="1">
      <c r="A184" s="2240" t="str">
        <f>IF(AND(G184&gt;0,OR(C184="",C184="&lt;Enter detailed description here; use Comments section if needed&gt;")),"X","")</f>
        <v/>
      </c>
      <c r="B184" s="2196" t="s">
        <v>598</v>
      </c>
      <c r="C184" s="2241">
        <f>'Part III-A-Uses of Funds'!C71</f>
        <v>0</v>
      </c>
      <c r="D184" s="2241"/>
      <c r="E184" s="2241"/>
      <c r="F184" s="2241"/>
      <c r="G184" s="2121">
        <f>'Part III-A-Uses of Funds'!G71</f>
        <v>0</v>
      </c>
      <c r="H184" s="2121"/>
      <c r="I184" s="1499"/>
      <c r="J184" s="2121">
        <f>'Part III-A-Uses of Funds'!J71</f>
        <v>0</v>
      </c>
      <c r="K184" s="2121"/>
      <c r="L184" s="2119"/>
      <c r="M184" s="2121">
        <f>'Part III-A-Uses of Funds'!M71</f>
        <v>0</v>
      </c>
      <c r="N184" s="2121"/>
      <c r="O184" s="1499"/>
      <c r="P184" s="2121">
        <f>'Part III-A-Uses of Funds'!P71</f>
        <v>0</v>
      </c>
      <c r="Q184" s="2121"/>
      <c r="R184" s="1499"/>
      <c r="S184" s="2121">
        <f>'Part III-A-Uses of Funds'!S71</f>
        <v>0</v>
      </c>
      <c r="T184" s="2121"/>
      <c r="U184" s="2198" t="str">
        <f>IF(AND(G184&gt;0,OR(C184="",C184="&lt;Enter detailed description here; use Comments section if needed&gt;")),"NO DESCRIPTION PROVIDED - please enter detailed description in Other box at left; use Comments section below if needed.","")</f>
        <v/>
      </c>
      <c r="V184" s="2239"/>
    </row>
    <row r="185" spans="1:22" ht="16.5" customHeight="1">
      <c r="A185" s="2240" t="str">
        <f>IF(AND(G185&gt;0,OR(C185="",C185="&lt;Enter detailed description here; use Comments section if needed&gt;")),"X","")</f>
        <v/>
      </c>
      <c r="B185" s="2196" t="s">
        <v>599</v>
      </c>
      <c r="C185" s="2241" t="str">
        <f>'Part III-A-Uses of Funds'!C72</f>
        <v>&lt;&lt; Enter description here; provide detail &amp; justification in tab Part III-b &gt;&gt;</v>
      </c>
      <c r="D185" s="2241"/>
      <c r="E185" s="2241"/>
      <c r="F185" s="2241"/>
      <c r="G185" s="2121">
        <f>'Part III-A-Uses of Funds'!G72</f>
        <v>0</v>
      </c>
      <c r="H185" s="2121"/>
      <c r="I185" s="1499"/>
      <c r="J185" s="2121">
        <f>'Part III-A-Uses of Funds'!J72</f>
        <v>0</v>
      </c>
      <c r="K185" s="2121"/>
      <c r="L185" s="2119"/>
      <c r="M185" s="2121">
        <f>'Part III-A-Uses of Funds'!M72</f>
        <v>0</v>
      </c>
      <c r="N185" s="2121"/>
      <c r="O185" s="1499"/>
      <c r="P185" s="2121">
        <f>'Part III-A-Uses of Funds'!P72</f>
        <v>0</v>
      </c>
      <c r="Q185" s="2121"/>
      <c r="R185" s="1499"/>
      <c r="S185" s="2121">
        <f>'Part III-A-Uses of Funds'!S72</f>
        <v>0</v>
      </c>
      <c r="T185" s="2121"/>
      <c r="U185" s="2198" t="str">
        <f>IF(AND(G185&gt;0,OR(C185="",C185="&lt;Enter detailed description here; use Comments section if needed&gt;")),"NO DESCRIPTION PROVIDED - please enter detailed description in Other box at left; use Comments section below if needed.","")</f>
        <v/>
      </c>
      <c r="V185" s="2239"/>
    </row>
    <row r="186" spans="1:22">
      <c r="A186" s="1499"/>
      <c r="B186" s="1499"/>
      <c r="C186" s="1499"/>
      <c r="D186" s="1499"/>
      <c r="E186" s="1499"/>
      <c r="F186" s="2243" t="s">
        <v>536</v>
      </c>
      <c r="G186" s="2121">
        <f>SUM(G174:G185)</f>
        <v>2719435</v>
      </c>
      <c r="H186" s="2121"/>
      <c r="I186" s="1499"/>
      <c r="J186" s="2121">
        <f>SUM(J174:J185)</f>
        <v>0</v>
      </c>
      <c r="K186" s="2121"/>
      <c r="L186" s="2119"/>
      <c r="M186" s="2121">
        <f>SUM(M174:M185)</f>
        <v>0</v>
      </c>
      <c r="N186" s="2121"/>
      <c r="O186" s="1499"/>
      <c r="P186" s="2121">
        <f>SUM(P174:P185)</f>
        <v>1820890</v>
      </c>
      <c r="Q186" s="2121"/>
      <c r="R186" s="1499"/>
      <c r="S186" s="2121">
        <f>SUM(S174:S185)</f>
        <v>898545</v>
      </c>
      <c r="T186" s="2121"/>
      <c r="U186" s="1499"/>
      <c r="V186" s="2239">
        <f>SUM(V174:V185)</f>
        <v>0</v>
      </c>
    </row>
    <row r="187" spans="1:22">
      <c r="A187" s="1499"/>
      <c r="B187" s="2188" t="s">
        <v>600</v>
      </c>
      <c r="C187" s="1499"/>
      <c r="D187" s="1499"/>
      <c r="E187" s="1499"/>
      <c r="F187" s="1499"/>
      <c r="G187" s="2121"/>
      <c r="H187" s="2121"/>
      <c r="I187" s="1499"/>
      <c r="J187" s="2121"/>
      <c r="K187" s="2121"/>
      <c r="L187" s="1499"/>
      <c r="M187" s="2121"/>
      <c r="N187" s="2121"/>
      <c r="O187" s="2128" t="str">
        <f>B187</f>
        <v>PROFESSIONAL SERVICES</v>
      </c>
      <c r="P187" s="2121"/>
      <c r="Q187" s="2121"/>
      <c r="R187" s="1499"/>
      <c r="S187" s="2121"/>
      <c r="T187" s="2121"/>
      <c r="U187" s="1499"/>
      <c r="V187" s="2239"/>
    </row>
    <row r="188" spans="1:22">
      <c r="A188" s="1499"/>
      <c r="B188" s="1499" t="s">
        <v>601</v>
      </c>
      <c r="C188" s="1499"/>
      <c r="D188" s="1499"/>
      <c r="E188" s="1499"/>
      <c r="F188" s="1499"/>
      <c r="G188" s="2121">
        <f>'Part III-A-Uses of Funds'!G75</f>
        <v>290400</v>
      </c>
      <c r="H188" s="2121"/>
      <c r="I188" s="1499"/>
      <c r="J188" s="2121">
        <f>'Part III-A-Uses of Funds'!J75</f>
        <v>0</v>
      </c>
      <c r="K188" s="2121"/>
      <c r="L188" s="2119"/>
      <c r="M188" s="2121">
        <f>'Part III-A-Uses of Funds'!M75</f>
        <v>0</v>
      </c>
      <c r="N188" s="2121"/>
      <c r="O188" s="1499"/>
      <c r="P188" s="2121">
        <f>'Part III-A-Uses of Funds'!P75</f>
        <v>290400</v>
      </c>
      <c r="Q188" s="2121"/>
      <c r="R188" s="1499"/>
      <c r="S188" s="2121">
        <f>'Part III-A-Uses of Funds'!S75</f>
        <v>0</v>
      </c>
      <c r="T188" s="2121"/>
      <c r="U188" s="1499"/>
      <c r="V188" s="2239"/>
    </row>
    <row r="189" spans="1:22">
      <c r="A189" s="1499"/>
      <c r="B189" s="1499" t="s">
        <v>602</v>
      </c>
      <c r="C189" s="1499"/>
      <c r="D189" s="1499"/>
      <c r="E189" s="1499"/>
      <c r="F189" s="1499"/>
      <c r="G189" s="2121">
        <f>'Part III-A-Uses of Funds'!G76</f>
        <v>72600</v>
      </c>
      <c r="H189" s="2121"/>
      <c r="I189" s="1499"/>
      <c r="J189" s="2121">
        <f>'Part III-A-Uses of Funds'!J76</f>
        <v>0</v>
      </c>
      <c r="K189" s="2121"/>
      <c r="L189" s="2119"/>
      <c r="M189" s="2121">
        <f>'Part III-A-Uses of Funds'!M76</f>
        <v>0</v>
      </c>
      <c r="N189" s="2121"/>
      <c r="O189" s="1499"/>
      <c r="P189" s="2121">
        <f>'Part III-A-Uses of Funds'!P76</f>
        <v>72600</v>
      </c>
      <c r="Q189" s="2121"/>
      <c r="R189" s="1499"/>
      <c r="S189" s="2121">
        <f>'Part III-A-Uses of Funds'!S76</f>
        <v>0</v>
      </c>
      <c r="T189" s="2121"/>
      <c r="U189" s="1499"/>
      <c r="V189" s="2239"/>
    </row>
    <row r="190" spans="1:22">
      <c r="A190" s="1499"/>
      <c r="B190" s="1499" t="s">
        <v>603</v>
      </c>
      <c r="C190" s="1499"/>
      <c r="D190" s="2199"/>
      <c r="E190" s="2265"/>
      <c r="F190" s="2188"/>
      <c r="G190" s="2121">
        <f>'Part III-A-Uses of Funds'!G77</f>
        <v>42950</v>
      </c>
      <c r="H190" s="2121"/>
      <c r="I190" s="1499"/>
      <c r="J190" s="2121">
        <f>'Part III-A-Uses of Funds'!J77</f>
        <v>0</v>
      </c>
      <c r="K190" s="2121"/>
      <c r="L190" s="2119"/>
      <c r="M190" s="2121">
        <f>'Part III-A-Uses of Funds'!M77</f>
        <v>0</v>
      </c>
      <c r="N190" s="2121"/>
      <c r="O190" s="1499"/>
      <c r="P190" s="2121">
        <f>'Part III-A-Uses of Funds'!P77</f>
        <v>42950</v>
      </c>
      <c r="Q190" s="2121"/>
      <c r="R190" s="1499"/>
      <c r="S190" s="2121">
        <f>'Part III-A-Uses of Funds'!S77</f>
        <v>0</v>
      </c>
      <c r="T190" s="2121"/>
      <c r="U190" s="1499"/>
      <c r="V190" s="2239"/>
    </row>
    <row r="191" spans="1:22">
      <c r="A191" s="1499"/>
      <c r="B191" s="1499" t="s">
        <v>604</v>
      </c>
      <c r="C191" s="1499"/>
      <c r="D191" s="1499"/>
      <c r="E191" s="1499"/>
      <c r="F191" s="1499"/>
      <c r="G191" s="2121">
        <f>'Part III-A-Uses of Funds'!G78</f>
        <v>11100</v>
      </c>
      <c r="H191" s="2121"/>
      <c r="I191" s="1499"/>
      <c r="J191" s="2121">
        <f>'Part III-A-Uses of Funds'!J78</f>
        <v>0</v>
      </c>
      <c r="K191" s="2121"/>
      <c r="L191" s="2119"/>
      <c r="M191" s="2121">
        <f>'Part III-A-Uses of Funds'!M78</f>
        <v>0</v>
      </c>
      <c r="N191" s="2121"/>
      <c r="O191" s="1499"/>
      <c r="P191" s="2121">
        <f>'Part III-A-Uses of Funds'!P78</f>
        <v>11100</v>
      </c>
      <c r="Q191" s="2121"/>
      <c r="R191" s="1499"/>
      <c r="S191" s="2121">
        <f>'Part III-A-Uses of Funds'!S78</f>
        <v>0</v>
      </c>
      <c r="T191" s="2121"/>
      <c r="U191" s="1499"/>
      <c r="V191" s="2239"/>
    </row>
    <row r="192" spans="1:22">
      <c r="A192" s="1499"/>
      <c r="B192" s="1499" t="s">
        <v>605</v>
      </c>
      <c r="C192" s="1499"/>
      <c r="D192" s="1499"/>
      <c r="E192" s="1499"/>
      <c r="F192" s="1499"/>
      <c r="G192" s="2121">
        <f>'Part III-A-Uses of Funds'!G79</f>
        <v>15000</v>
      </c>
      <c r="H192" s="2121"/>
      <c r="I192" s="1499"/>
      <c r="J192" s="2121">
        <f>'Part III-A-Uses of Funds'!J79</f>
        <v>0</v>
      </c>
      <c r="K192" s="2121"/>
      <c r="L192" s="2119"/>
      <c r="M192" s="2121">
        <f>'Part III-A-Uses of Funds'!M79</f>
        <v>0</v>
      </c>
      <c r="N192" s="2121"/>
      <c r="O192" s="1499"/>
      <c r="P192" s="2121">
        <f>'Part III-A-Uses of Funds'!P79</f>
        <v>15000</v>
      </c>
      <c r="Q192" s="2121"/>
      <c r="R192" s="1499"/>
      <c r="S192" s="2121">
        <f>'Part III-A-Uses of Funds'!S79</f>
        <v>0</v>
      </c>
      <c r="T192" s="2121"/>
      <c r="U192" s="1499"/>
      <c r="V192" s="2239"/>
    </row>
    <row r="193" spans="1:22">
      <c r="A193" s="1499"/>
      <c r="B193" s="1499" t="s">
        <v>607</v>
      </c>
      <c r="C193" s="1499"/>
      <c r="D193" s="1499"/>
      <c r="E193" s="1499"/>
      <c r="F193" s="1499"/>
      <c r="G193" s="2121">
        <f>'Part III-A-Uses of Funds'!G80</f>
        <v>20000</v>
      </c>
      <c r="H193" s="2121"/>
      <c r="I193" s="1499"/>
      <c r="J193" s="2121">
        <f>'Part III-A-Uses of Funds'!J80</f>
        <v>0</v>
      </c>
      <c r="K193" s="2121"/>
      <c r="L193" s="2119"/>
      <c r="M193" s="2121">
        <f>'Part III-A-Uses of Funds'!M80</f>
        <v>0</v>
      </c>
      <c r="N193" s="2121"/>
      <c r="O193" s="1499"/>
      <c r="P193" s="2121">
        <f>'Part III-A-Uses of Funds'!P80</f>
        <v>20000</v>
      </c>
      <c r="Q193" s="2121"/>
      <c r="R193" s="1499"/>
      <c r="S193" s="2121">
        <f>'Part III-A-Uses of Funds'!S80</f>
        <v>0</v>
      </c>
      <c r="T193" s="2121"/>
      <c r="U193" s="1499"/>
      <c r="V193" s="2239"/>
    </row>
    <row r="194" spans="1:22">
      <c r="A194" s="1499"/>
      <c r="B194" s="1499" t="s">
        <v>609</v>
      </c>
      <c r="C194" s="1499"/>
      <c r="D194" s="1499"/>
      <c r="E194" s="1499"/>
      <c r="F194" s="1499"/>
      <c r="G194" s="2121">
        <f>'Part III-A-Uses of Funds'!G81</f>
        <v>70085</v>
      </c>
      <c r="H194" s="2121"/>
      <c r="I194" s="1499"/>
      <c r="J194" s="2121">
        <f>'Part III-A-Uses of Funds'!J81</f>
        <v>0</v>
      </c>
      <c r="K194" s="2121"/>
      <c r="L194" s="2119"/>
      <c r="M194" s="2121">
        <f>'Part III-A-Uses of Funds'!M81</f>
        <v>0</v>
      </c>
      <c r="N194" s="2121"/>
      <c r="O194" s="1499"/>
      <c r="P194" s="2121">
        <f>'Part III-A-Uses of Funds'!P81</f>
        <v>70085</v>
      </c>
      <c r="Q194" s="2121"/>
      <c r="R194" s="1499"/>
      <c r="S194" s="2121">
        <f>'Part III-A-Uses of Funds'!S81</f>
        <v>0</v>
      </c>
      <c r="T194" s="2121"/>
      <c r="U194" s="1499"/>
      <c r="V194" s="2239"/>
    </row>
    <row r="195" spans="1:22">
      <c r="A195" s="1499"/>
      <c r="B195" s="1499" t="s">
        <v>610</v>
      </c>
      <c r="C195" s="1499"/>
      <c r="D195" s="1499"/>
      <c r="E195" s="1499"/>
      <c r="F195" s="1499"/>
      <c r="G195" s="2121">
        <f>'Part III-A-Uses of Funds'!G82</f>
        <v>172500</v>
      </c>
      <c r="H195" s="2121"/>
      <c r="I195" s="1499"/>
      <c r="J195" s="2121">
        <f>'Part III-A-Uses of Funds'!J82</f>
        <v>0</v>
      </c>
      <c r="K195" s="2121"/>
      <c r="L195" s="2119"/>
      <c r="M195" s="2121">
        <f>'Part III-A-Uses of Funds'!M82</f>
        <v>0</v>
      </c>
      <c r="N195" s="2121"/>
      <c r="O195" s="1499"/>
      <c r="P195" s="2121">
        <f>'Part III-A-Uses of Funds'!P82</f>
        <v>43125</v>
      </c>
      <c r="Q195" s="2121"/>
      <c r="R195" s="1499"/>
      <c r="S195" s="2121">
        <f>'Part III-A-Uses of Funds'!S82</f>
        <v>129375</v>
      </c>
      <c r="T195" s="2121"/>
      <c r="U195" s="1499"/>
      <c r="V195" s="2239"/>
    </row>
    <row r="196" spans="1:22">
      <c r="A196" s="1499"/>
      <c r="B196" s="1499" t="s">
        <v>611</v>
      </c>
      <c r="C196" s="1499"/>
      <c r="D196" s="1499"/>
      <c r="E196" s="1499"/>
      <c r="F196" s="1499"/>
      <c r="G196" s="2121">
        <f>'Part III-A-Uses of Funds'!G83</f>
        <v>49000</v>
      </c>
      <c r="H196" s="2121"/>
      <c r="I196" s="1499"/>
      <c r="J196" s="2121">
        <f>'Part III-A-Uses of Funds'!J83</f>
        <v>0</v>
      </c>
      <c r="K196" s="2121"/>
      <c r="L196" s="2119"/>
      <c r="M196" s="2121">
        <f>'Part III-A-Uses of Funds'!M83</f>
        <v>0</v>
      </c>
      <c r="N196" s="2121"/>
      <c r="O196" s="1499"/>
      <c r="P196" s="2121">
        <f>'Part III-A-Uses of Funds'!P83</f>
        <v>49000</v>
      </c>
      <c r="Q196" s="2121"/>
      <c r="R196" s="1499"/>
      <c r="S196" s="2121">
        <f>'Part III-A-Uses of Funds'!S83</f>
        <v>0</v>
      </c>
      <c r="T196" s="2121"/>
      <c r="U196" s="1499"/>
      <c r="V196" s="2239"/>
    </row>
    <row r="197" spans="1:22">
      <c r="A197" s="1499"/>
      <c r="B197" s="1499" t="s">
        <v>612</v>
      </c>
      <c r="C197" s="1499"/>
      <c r="D197" s="1499"/>
      <c r="E197" s="1499"/>
      <c r="F197" s="1499"/>
      <c r="G197" s="2121">
        <f>'Part III-A-Uses of Funds'!G84</f>
        <v>35000</v>
      </c>
      <c r="H197" s="2121"/>
      <c r="I197" s="1499"/>
      <c r="J197" s="2121">
        <f>'Part III-A-Uses of Funds'!J84</f>
        <v>0</v>
      </c>
      <c r="K197" s="2121"/>
      <c r="L197" s="2119"/>
      <c r="M197" s="2121">
        <f>'Part III-A-Uses of Funds'!M84</f>
        <v>0</v>
      </c>
      <c r="N197" s="2121"/>
      <c r="O197" s="1499"/>
      <c r="P197" s="2121">
        <f>'Part III-A-Uses of Funds'!P84</f>
        <v>35000</v>
      </c>
      <c r="Q197" s="2121"/>
      <c r="R197" s="1499"/>
      <c r="S197" s="2121">
        <f>'Part III-A-Uses of Funds'!S84</f>
        <v>0</v>
      </c>
      <c r="T197" s="2121"/>
      <c r="U197" s="1499"/>
      <c r="V197" s="2239"/>
    </row>
    <row r="198" spans="1:22" ht="16.5" customHeight="1">
      <c r="A198" s="2240" t="str">
        <f>IF(AND(G198&gt;0,OR(C198="",C198="&lt;Enter detailed description here; use Comments section if needed&gt;")),"X","")</f>
        <v/>
      </c>
      <c r="B198" s="2196" t="s">
        <v>613</v>
      </c>
      <c r="C198" s="2241" t="str">
        <f>'Part III-A-Uses of Funds'!C85</f>
        <v>&lt;&lt; Enter description here; provide detail &amp; justification in tab Part III-b &gt;&gt;</v>
      </c>
      <c r="D198" s="2241"/>
      <c r="E198" s="2241"/>
      <c r="F198" s="2241"/>
      <c r="G198" s="2121">
        <f>'Part III-A-Uses of Funds'!G85</f>
        <v>0</v>
      </c>
      <c r="H198" s="2121"/>
      <c r="I198" s="1499"/>
      <c r="J198" s="2121">
        <f>'Part III-A-Uses of Funds'!J85</f>
        <v>0</v>
      </c>
      <c r="K198" s="2121"/>
      <c r="L198" s="2119"/>
      <c r="M198" s="2121">
        <f>'Part III-A-Uses of Funds'!M85</f>
        <v>0</v>
      </c>
      <c r="N198" s="2121"/>
      <c r="O198" s="1499"/>
      <c r="P198" s="2121">
        <f>'Part III-A-Uses of Funds'!P85</f>
        <v>0</v>
      </c>
      <c r="Q198" s="2121"/>
      <c r="R198" s="1499"/>
      <c r="S198" s="2121">
        <f>'Part III-A-Uses of Funds'!S85</f>
        <v>0</v>
      </c>
      <c r="T198" s="2121"/>
      <c r="U198" s="2198" t="str">
        <f>IF(AND(G198&gt;0,OR(C198="",C198="&lt;Enter detailed description here; use Comments section if needed&gt;")),"NO DESCRIPTION PROVIDED - please enter detailed description in Other box at left; use Comments section below if needed.","")</f>
        <v/>
      </c>
      <c r="V198" s="2239"/>
    </row>
    <row r="199" spans="1:22">
      <c r="A199" s="1499"/>
      <c r="B199" s="1499"/>
      <c r="C199" s="1499"/>
      <c r="D199" s="1499"/>
      <c r="E199" s="1499"/>
      <c r="F199" s="2243" t="s">
        <v>536</v>
      </c>
      <c r="G199" s="2121">
        <f>SUM(G188:G198)</f>
        <v>778635</v>
      </c>
      <c r="H199" s="2121"/>
      <c r="I199" s="1499"/>
      <c r="J199" s="2121">
        <f>SUM(J188:J198)</f>
        <v>0</v>
      </c>
      <c r="K199" s="2121"/>
      <c r="L199" s="2119"/>
      <c r="M199" s="2121">
        <f>SUM(M188:M198)</f>
        <v>0</v>
      </c>
      <c r="N199" s="2121"/>
      <c r="O199" s="1499"/>
      <c r="P199" s="2121">
        <f>SUM(P188:P198)</f>
        <v>649260</v>
      </c>
      <c r="Q199" s="2121"/>
      <c r="R199" s="1499"/>
      <c r="S199" s="2121">
        <f>SUM(S188:S198)</f>
        <v>129375</v>
      </c>
      <c r="T199" s="2121"/>
      <c r="U199" s="1499"/>
      <c r="V199" s="2239">
        <f>SUM(V188:V198)</f>
        <v>0</v>
      </c>
    </row>
    <row r="200" spans="1:22">
      <c r="A200" s="1499"/>
      <c r="B200" s="2188" t="s">
        <v>615</v>
      </c>
      <c r="C200" s="1499"/>
      <c r="D200" s="2266" t="s">
        <v>616</v>
      </c>
      <c r="E200" s="2267">
        <f>G205/'Part V-Revenues &amp; Expenses'!$P$67</f>
        <v>402.0100502512563</v>
      </c>
      <c r="F200" s="1499"/>
      <c r="G200" s="1499"/>
      <c r="H200" s="1499"/>
      <c r="I200" s="1499"/>
      <c r="J200" s="2119"/>
      <c r="K200" s="2119"/>
      <c r="L200" s="281"/>
      <c r="M200" s="2119"/>
      <c r="N200" s="2119"/>
      <c r="O200" s="2128" t="str">
        <f>B200</f>
        <v>LOCAL GOVERNMENT FEES</v>
      </c>
      <c r="P200" s="2119"/>
      <c r="Q200" s="2119"/>
      <c r="R200" s="281"/>
      <c r="S200" s="2119"/>
      <c r="T200" s="2119"/>
      <c r="U200" s="281"/>
      <c r="V200" s="2239"/>
    </row>
    <row r="201" spans="1:22">
      <c r="A201" s="1499"/>
      <c r="B201" s="1499" t="s">
        <v>617</v>
      </c>
      <c r="C201" s="1499"/>
      <c r="D201" s="1499"/>
      <c r="E201" s="1499"/>
      <c r="F201" s="1499"/>
      <c r="G201" s="2121">
        <f>'Part III-A-Uses of Funds'!G88</f>
        <v>80000</v>
      </c>
      <c r="H201" s="2121"/>
      <c r="I201" s="1499"/>
      <c r="J201" s="2121">
        <f>'Part III-A-Uses of Funds'!J88</f>
        <v>0</v>
      </c>
      <c r="K201" s="2121"/>
      <c r="L201" s="2119"/>
      <c r="M201" s="2121">
        <f>'Part III-A-Uses of Funds'!M88</f>
        <v>0</v>
      </c>
      <c r="N201" s="2121"/>
      <c r="O201" s="1499"/>
      <c r="P201" s="2121">
        <f>'Part III-A-Uses of Funds'!P88</f>
        <v>80000</v>
      </c>
      <c r="Q201" s="2121"/>
      <c r="R201" s="1499"/>
      <c r="S201" s="2121">
        <f>'Part III-A-Uses of Funds'!S88</f>
        <v>0</v>
      </c>
      <c r="T201" s="2121"/>
      <c r="U201" s="1499"/>
      <c r="V201" s="2239"/>
    </row>
    <row r="202" spans="1:22">
      <c r="A202" s="1499"/>
      <c r="B202" s="1499" t="s">
        <v>618</v>
      </c>
      <c r="C202" s="1499"/>
      <c r="D202" s="1499"/>
      <c r="E202" s="1499"/>
      <c r="F202" s="1499"/>
      <c r="G202" s="2121">
        <f>'Part III-A-Uses of Funds'!G89</f>
        <v>0</v>
      </c>
      <c r="H202" s="2121"/>
      <c r="I202" s="1499"/>
      <c r="J202" s="2121">
        <f>'Part III-A-Uses of Funds'!J89</f>
        <v>0</v>
      </c>
      <c r="K202" s="2121"/>
      <c r="L202" s="2119"/>
      <c r="M202" s="2121">
        <f>'Part III-A-Uses of Funds'!M89</f>
        <v>0</v>
      </c>
      <c r="N202" s="2121"/>
      <c r="O202" s="1499"/>
      <c r="P202" s="2121">
        <f>'Part III-A-Uses of Funds'!P89</f>
        <v>0</v>
      </c>
      <c r="Q202" s="2121"/>
      <c r="R202" s="1499"/>
      <c r="S202" s="2121">
        <f>'Part III-A-Uses of Funds'!S89</f>
        <v>0</v>
      </c>
      <c r="T202" s="2121"/>
      <c r="U202" s="1499"/>
      <c r="V202" s="2239"/>
    </row>
    <row r="203" spans="1:22">
      <c r="A203" s="1499"/>
      <c r="B203" s="1499" t="s">
        <v>619</v>
      </c>
      <c r="C203" s="1499"/>
      <c r="D203" s="2268" t="s">
        <v>620</v>
      </c>
      <c r="E203" s="2269">
        <f>'Part III-A-Uses of Funds'!E90</f>
        <v>0</v>
      </c>
      <c r="F203" s="1499"/>
      <c r="G203" s="2121">
        <f>'Part III-A-Uses of Funds'!G90</f>
        <v>0</v>
      </c>
      <c r="H203" s="2121"/>
      <c r="I203" s="281"/>
      <c r="J203" s="2121">
        <f>'Part III-A-Uses of Funds'!J90</f>
        <v>0</v>
      </c>
      <c r="K203" s="2121"/>
      <c r="L203" s="2119"/>
      <c r="M203" s="2121">
        <f>'Part III-A-Uses of Funds'!M90</f>
        <v>0</v>
      </c>
      <c r="N203" s="2121"/>
      <c r="O203" s="1499"/>
      <c r="P203" s="2121">
        <f>'Part III-A-Uses of Funds'!P90</f>
        <v>0</v>
      </c>
      <c r="Q203" s="2121"/>
      <c r="R203" s="1499"/>
      <c r="S203" s="2121">
        <f>'Part III-A-Uses of Funds'!S90</f>
        <v>0</v>
      </c>
      <c r="T203" s="2121"/>
      <c r="U203" s="1499"/>
      <c r="V203" s="2239"/>
    </row>
    <row r="204" spans="1:22">
      <c r="A204" s="1499"/>
      <c r="B204" s="1499" t="s">
        <v>621</v>
      </c>
      <c r="C204" s="1499"/>
      <c r="D204" s="2268" t="s">
        <v>620</v>
      </c>
      <c r="E204" s="2269">
        <f>'Part III-A-Uses of Funds'!E91</f>
        <v>0</v>
      </c>
      <c r="F204" s="1499"/>
      <c r="G204" s="2121">
        <f>'Part III-A-Uses of Funds'!G91</f>
        <v>0</v>
      </c>
      <c r="H204" s="2121"/>
      <c r="I204" s="281"/>
      <c r="J204" s="2121">
        <f>'Part III-A-Uses of Funds'!J91</f>
        <v>0</v>
      </c>
      <c r="K204" s="2121"/>
      <c r="L204" s="2119"/>
      <c r="M204" s="2121">
        <f>'Part III-A-Uses of Funds'!M91</f>
        <v>0</v>
      </c>
      <c r="N204" s="2121"/>
      <c r="O204" s="1499"/>
      <c r="P204" s="2121">
        <f>'Part III-A-Uses of Funds'!P91</f>
        <v>0</v>
      </c>
      <c r="Q204" s="2121"/>
      <c r="R204" s="1499"/>
      <c r="S204" s="2121">
        <f>'Part III-A-Uses of Funds'!S91</f>
        <v>0</v>
      </c>
      <c r="T204" s="2121"/>
      <c r="U204" s="1499"/>
      <c r="V204" s="2239"/>
    </row>
    <row r="205" spans="1:22">
      <c r="A205" s="1499"/>
      <c r="B205" s="1499"/>
      <c r="C205" s="1499"/>
      <c r="D205" s="1499"/>
      <c r="E205" s="1499"/>
      <c r="F205" s="2243" t="s">
        <v>536</v>
      </c>
      <c r="G205" s="2121">
        <f>SUM(G201:G204)</f>
        <v>80000</v>
      </c>
      <c r="H205" s="2121"/>
      <c r="I205" s="1499"/>
      <c r="J205" s="2121">
        <f>SUM(J201:J204)</f>
        <v>0</v>
      </c>
      <c r="K205" s="2121"/>
      <c r="L205" s="2119"/>
      <c r="M205" s="2121">
        <f>SUM(M201:M204)</f>
        <v>0</v>
      </c>
      <c r="N205" s="2121"/>
      <c r="O205" s="1499"/>
      <c r="P205" s="2121">
        <f>SUM(P201:P204)</f>
        <v>80000</v>
      </c>
      <c r="Q205" s="2121"/>
      <c r="R205" s="1499"/>
      <c r="S205" s="2121">
        <f>SUM(S201:S204)</f>
        <v>0</v>
      </c>
      <c r="T205" s="2121"/>
      <c r="U205" s="1499"/>
      <c r="V205" s="2239">
        <f>SUM(V201:V204)</f>
        <v>0</v>
      </c>
    </row>
    <row r="206" spans="1:22">
      <c r="A206" s="2189"/>
      <c r="B206" s="2189"/>
      <c r="C206" s="2189"/>
      <c r="D206" s="2189"/>
      <c r="E206" s="2189"/>
      <c r="F206" s="2189"/>
      <c r="G206" s="2189"/>
      <c r="H206" s="2189"/>
      <c r="I206" s="2189"/>
      <c r="J206" s="2189"/>
      <c r="K206" s="2189"/>
      <c r="L206" s="2189"/>
      <c r="M206" s="2189"/>
      <c r="N206" s="2189"/>
      <c r="O206" s="2189"/>
      <c r="P206" s="2189"/>
      <c r="Q206" s="2189"/>
      <c r="R206" s="2189"/>
      <c r="S206" s="2189"/>
      <c r="T206" s="2189"/>
      <c r="U206" s="1499"/>
      <c r="V206" s="2239"/>
    </row>
    <row r="207" spans="1:22" ht="17.25" customHeight="1">
      <c r="A207" s="2236" t="s">
        <v>21</v>
      </c>
      <c r="B207" s="2236" t="s">
        <v>6968</v>
      </c>
      <c r="C207" s="1499"/>
      <c r="D207" s="1499"/>
      <c r="E207" s="1499"/>
      <c r="F207" s="1499"/>
      <c r="G207" s="1499"/>
      <c r="H207" s="1499"/>
      <c r="I207" s="1499"/>
      <c r="J207" s="2190" t="s">
        <v>517</v>
      </c>
      <c r="K207" s="2190"/>
      <c r="L207" s="2121"/>
      <c r="M207" s="2127" t="s">
        <v>518</v>
      </c>
      <c r="N207" s="2127"/>
      <c r="O207" s="1499"/>
      <c r="P207" s="2190" t="s">
        <v>519</v>
      </c>
      <c r="Q207" s="2190"/>
      <c r="R207" s="1499"/>
      <c r="S207" s="2190" t="s">
        <v>520</v>
      </c>
      <c r="T207" s="2190"/>
      <c r="U207" s="1499"/>
      <c r="V207" s="2238" t="str">
        <f>B207</f>
        <v>DEVELOPMENT BUDGET  (cont'd)</v>
      </c>
    </row>
    <row r="208" spans="1:22">
      <c r="A208" s="1499"/>
      <c r="B208" s="1499"/>
      <c r="C208" s="1499"/>
      <c r="D208" s="1499"/>
      <c r="E208" s="1499"/>
      <c r="F208" s="1499"/>
      <c r="G208" s="2188" t="s">
        <v>521</v>
      </c>
      <c r="H208" s="2188"/>
      <c r="I208" s="1499"/>
      <c r="J208" s="2190"/>
      <c r="K208" s="2190"/>
      <c r="L208" s="2121"/>
      <c r="M208" s="2127"/>
      <c r="N208" s="2127"/>
      <c r="O208" s="1499"/>
      <c r="P208" s="2190"/>
      <c r="Q208" s="2190"/>
      <c r="R208" s="1499"/>
      <c r="S208" s="2190"/>
      <c r="T208" s="2190"/>
      <c r="U208" s="1499"/>
      <c r="V208" s="280" t="s">
        <v>358</v>
      </c>
    </row>
    <row r="209" spans="1:33">
      <c r="A209" s="1499"/>
      <c r="B209" s="2188" t="s">
        <v>623</v>
      </c>
      <c r="C209" s="1499"/>
      <c r="D209" s="1499"/>
      <c r="E209" s="1499"/>
      <c r="F209" s="1499"/>
      <c r="G209" s="1499"/>
      <c r="H209" s="1499"/>
      <c r="I209" s="1499"/>
      <c r="J209" s="2119"/>
      <c r="K209" s="2119"/>
      <c r="L209" s="1499"/>
      <c r="M209" s="2119"/>
      <c r="N209" s="2119"/>
      <c r="O209" s="2128" t="str">
        <f>B209</f>
        <v>PERMANENT FINANCING FEES</v>
      </c>
      <c r="P209" s="2119"/>
      <c r="Q209" s="2119"/>
      <c r="R209" s="1499"/>
      <c r="S209" s="2119"/>
      <c r="T209" s="2119"/>
      <c r="U209" s="1499"/>
      <c r="V209" s="2239"/>
    </row>
    <row r="210" spans="1:33">
      <c r="A210" s="1499"/>
      <c r="B210" s="1499" t="s">
        <v>625</v>
      </c>
      <c r="C210" s="1499"/>
      <c r="D210" s="1499"/>
      <c r="E210" s="1499"/>
      <c r="F210" s="1499"/>
      <c r="G210" s="2121">
        <f>'Part III-A-Uses of Funds'!G97</f>
        <v>212770</v>
      </c>
      <c r="H210" s="2121"/>
      <c r="I210" s="1499"/>
      <c r="J210" s="2121"/>
      <c r="K210" s="2121"/>
      <c r="L210" s="2119"/>
      <c r="M210" s="2121"/>
      <c r="N210" s="2121"/>
      <c r="O210" s="1499"/>
      <c r="P210" s="2121"/>
      <c r="Q210" s="2121"/>
      <c r="R210" s="1499"/>
      <c r="S210" s="2121">
        <f>'Part III-A-Uses of Funds'!S97</f>
        <v>212770</v>
      </c>
      <c r="T210" s="2121"/>
      <c r="U210" s="1499"/>
      <c r="V210" s="2239"/>
    </row>
    <row r="211" spans="1:33">
      <c r="A211" s="1499"/>
      <c r="B211" s="1499" t="s">
        <v>627</v>
      </c>
      <c r="C211" s="1499"/>
      <c r="D211" s="1499"/>
      <c r="E211" s="1499"/>
      <c r="F211" s="1499"/>
      <c r="G211" s="2121">
        <f>'Part III-A-Uses of Funds'!G98</f>
        <v>110000</v>
      </c>
      <c r="H211" s="2121"/>
      <c r="I211" s="1499"/>
      <c r="J211" s="2121"/>
      <c r="K211" s="2121"/>
      <c r="L211" s="2119"/>
      <c r="M211" s="2121"/>
      <c r="N211" s="2121"/>
      <c r="O211" s="1499"/>
      <c r="P211" s="2121"/>
      <c r="Q211" s="2121"/>
      <c r="R211" s="1499"/>
      <c r="S211" s="2121">
        <f>'Part III-A-Uses of Funds'!S98</f>
        <v>110000</v>
      </c>
      <c r="T211" s="2121"/>
      <c r="U211" s="1499"/>
      <c r="V211" s="2239"/>
    </row>
    <row r="212" spans="1:33">
      <c r="A212" s="1499"/>
      <c r="B212" s="1499" t="s">
        <v>596</v>
      </c>
      <c r="C212" s="1499"/>
      <c r="D212" s="1499"/>
      <c r="E212" s="1499"/>
      <c r="F212" s="1499"/>
      <c r="G212" s="2121">
        <f>'Part III-A-Uses of Funds'!G99</f>
        <v>10000</v>
      </c>
      <c r="H212" s="2121"/>
      <c r="I212" s="1499"/>
      <c r="J212" s="2121"/>
      <c r="K212" s="2121"/>
      <c r="L212" s="2119"/>
      <c r="M212" s="2121"/>
      <c r="N212" s="2121"/>
      <c r="O212" s="1499"/>
      <c r="P212" s="2121"/>
      <c r="Q212" s="2121"/>
      <c r="R212" s="1499"/>
      <c r="S212" s="2121">
        <f>'Part III-A-Uses of Funds'!S99</f>
        <v>10000</v>
      </c>
      <c r="T212" s="2121"/>
      <c r="U212" s="1499"/>
      <c r="V212" s="2239"/>
    </row>
    <row r="213" spans="1:33">
      <c r="A213" s="1499"/>
      <c r="B213" s="1499" t="s">
        <v>628</v>
      </c>
      <c r="C213" s="1499"/>
      <c r="D213" s="1499"/>
      <c r="E213" s="1499"/>
      <c r="F213" s="1499"/>
      <c r="G213" s="2121">
        <f>'Part III-A-Uses of Funds'!G100</f>
        <v>0</v>
      </c>
      <c r="H213" s="2121"/>
      <c r="I213" s="1499"/>
      <c r="J213" s="2121"/>
      <c r="K213" s="2121"/>
      <c r="L213" s="2119"/>
      <c r="M213" s="2121"/>
      <c r="N213" s="2121"/>
      <c r="O213" s="1499"/>
      <c r="P213" s="2121"/>
      <c r="Q213" s="2121"/>
      <c r="R213" s="1499"/>
      <c r="S213" s="2121">
        <f>'Part III-A-Uses of Funds'!S100</f>
        <v>0</v>
      </c>
      <c r="T213" s="2121"/>
      <c r="U213" s="1499"/>
      <c r="V213" s="2239"/>
    </row>
    <row r="214" spans="1:33">
      <c r="A214" s="1499"/>
      <c r="B214" s="1499" t="s">
        <v>629</v>
      </c>
      <c r="C214" s="1499"/>
      <c r="D214" s="1499"/>
      <c r="E214" s="1499"/>
      <c r="F214" s="1499"/>
      <c r="G214" s="2121">
        <f>'Part III-A-Uses of Funds'!G101</f>
        <v>407750</v>
      </c>
      <c r="H214" s="2121"/>
      <c r="I214" s="1499"/>
      <c r="J214" s="2121"/>
      <c r="K214" s="2121"/>
      <c r="L214" s="2119"/>
      <c r="M214" s="2121"/>
      <c r="N214" s="2121"/>
      <c r="O214" s="1499"/>
      <c r="P214" s="2121"/>
      <c r="Q214" s="2121"/>
      <c r="R214" s="1499"/>
      <c r="S214" s="2121">
        <f>'Part III-A-Uses of Funds'!S101</f>
        <v>407750</v>
      </c>
      <c r="T214" s="2121"/>
      <c r="U214" s="1499"/>
      <c r="V214" s="2239"/>
    </row>
    <row r="215" spans="1:33" ht="16.5" customHeight="1">
      <c r="A215" s="2240" t="str">
        <f>IF(AND(G215&gt;0,OR(C215="",C215="&lt;Enter detailed description here; use Comments section if needed&gt;")),"X","")</f>
        <v/>
      </c>
      <c r="B215" s="2196" t="s">
        <v>630</v>
      </c>
      <c r="C215" s="2241" t="str">
        <f>'Part III-A-Uses of Funds'!C102</f>
        <v>Subordinate Debt Fees</v>
      </c>
      <c r="D215" s="2241"/>
      <c r="E215" s="2241"/>
      <c r="F215" s="2241"/>
      <c r="G215" s="2121">
        <f>'Part III-A-Uses of Funds'!G102</f>
        <v>162000</v>
      </c>
      <c r="H215" s="2121"/>
      <c r="I215" s="1499"/>
      <c r="J215" s="2121"/>
      <c r="K215" s="2121"/>
      <c r="L215" s="2119"/>
      <c r="M215" s="2121"/>
      <c r="N215" s="2121"/>
      <c r="O215" s="1499"/>
      <c r="P215" s="2121"/>
      <c r="Q215" s="2121"/>
      <c r="R215" s="1499"/>
      <c r="S215" s="2121">
        <f>'Part III-A-Uses of Funds'!S102</f>
        <v>162000</v>
      </c>
      <c r="T215" s="2121"/>
      <c r="U215" s="2198" t="str">
        <f>IF(AND(G215&gt;0,OR(C215="",C215="&lt;Enter detailed description here; use Comments section if needed&gt;")),"NO DESCRIPTION PROVIDED - please enter detailed description in Other box at left; use Comments section below if needed.","")</f>
        <v/>
      </c>
      <c r="V215" s="2239"/>
    </row>
    <row r="216" spans="1:33">
      <c r="A216" s="1499"/>
      <c r="B216" s="1499"/>
      <c r="C216" s="1499"/>
      <c r="D216" s="1499"/>
      <c r="E216" s="1499"/>
      <c r="F216" s="2243" t="s">
        <v>536</v>
      </c>
      <c r="G216" s="2121">
        <f>SUM(G210:G215)</f>
        <v>902520</v>
      </c>
      <c r="H216" s="2121"/>
      <c r="I216" s="1499"/>
      <c r="J216" s="2121"/>
      <c r="K216" s="2121"/>
      <c r="L216" s="2119"/>
      <c r="M216" s="2121"/>
      <c r="N216" s="2121"/>
      <c r="O216" s="1499"/>
      <c r="P216" s="2121"/>
      <c r="Q216" s="2121"/>
      <c r="R216" s="1499"/>
      <c r="S216" s="2121">
        <f>SUM(S210:S215)</f>
        <v>902520</v>
      </c>
      <c r="T216" s="2121"/>
      <c r="U216" s="1499"/>
      <c r="V216" s="2239">
        <f>SUM(V210:V215)</f>
        <v>0</v>
      </c>
    </row>
    <row r="217" spans="1:33">
      <c r="A217" s="1499"/>
      <c r="B217" s="2188" t="s">
        <v>631</v>
      </c>
      <c r="C217" s="1499"/>
      <c r="D217" s="1499"/>
      <c r="E217" s="1499"/>
      <c r="F217" s="1499"/>
      <c r="G217" s="1499"/>
      <c r="H217" s="1499"/>
      <c r="I217" s="1499"/>
      <c r="J217" s="2119"/>
      <c r="K217" s="2119"/>
      <c r="L217" s="1499"/>
      <c r="M217" s="2119"/>
      <c r="N217" s="2119"/>
      <c r="O217" s="2128" t="str">
        <f>B217</f>
        <v>DCA-RELATED COSTS</v>
      </c>
      <c r="P217" s="2119"/>
      <c r="Q217" s="2119"/>
      <c r="R217" s="1499"/>
      <c r="S217" s="2119"/>
      <c r="T217" s="2119"/>
      <c r="U217" s="1499"/>
      <c r="V217" s="2239"/>
      <c r="W217" s="1499"/>
      <c r="X217" s="1499"/>
      <c r="Y217" s="2196" t="s">
        <v>632</v>
      </c>
      <c r="Z217" s="2196"/>
      <c r="AA217" s="2196"/>
      <c r="AB217" s="2270" t="str">
        <f>IF(OR($M$34="9% Credit Competitive Round only", $M$34="9% Credit &amp; HOME"),"9%",IF(OR($M$34="4% Credit/TE Bond", $M$34="4% Credit/TE Bond &amp; HOME", $M$34="4% Credit/TE Bond &amp; HOME NOFA", $M$34="4% Credit &amp; NHTF", $M$34="4% Credit &amp; NHTF &amp; HOME"),"4%",""))</f>
        <v/>
      </c>
      <c r="AC217" s="1499"/>
      <c r="AD217" s="1499"/>
      <c r="AE217" s="1499"/>
      <c r="AF217" s="1499"/>
      <c r="AG217" s="1499"/>
    </row>
    <row r="218" spans="1:33" ht="13.5" customHeight="1">
      <c r="A218" s="1499"/>
      <c r="B218" s="1499" t="str">
        <f>CONCATENATE("DCA HOME Loan Consent Pre-Application Fee ($",'DCA Underwriting Assumptions'!$Q$42, " FP/JV, $",'DCA Underwriting Assumptions'!$Q$43, " NP)")</f>
        <v>DCA HOME Loan Consent Pre-Application Fee ($1000 FP/JV, $500 NP)</v>
      </c>
      <c r="C218" s="1499"/>
      <c r="D218" s="1499"/>
      <c r="E218" s="1499"/>
      <c r="F218" s="1499"/>
      <c r="G218" s="2121">
        <f>'Part III-A-Uses of Funds'!G105</f>
        <v>0</v>
      </c>
      <c r="H218" s="2121"/>
      <c r="I218" s="1499"/>
      <c r="J218" s="2119"/>
      <c r="K218" s="2119"/>
      <c r="L218" s="2119"/>
      <c r="M218" s="2119"/>
      <c r="N218" s="2119"/>
      <c r="O218" s="1499"/>
      <c r="P218" s="2119"/>
      <c r="Q218" s="2119"/>
      <c r="R218" s="1499"/>
      <c r="S218" s="2121">
        <f>'Part III-A-Uses of Funds'!S105</f>
        <v>0</v>
      </c>
      <c r="T218" s="2121"/>
      <c r="U218" s="1499"/>
      <c r="V218" s="2239"/>
      <c r="W218" s="2219" t="s">
        <v>633</v>
      </c>
      <c r="X218" s="1499"/>
      <c r="Y218" s="301" t="s">
        <v>634</v>
      </c>
      <c r="Z218" s="2196"/>
      <c r="AA218" s="2196"/>
      <c r="AB218" s="2271" t="str">
        <f>'Part V-Revenues &amp; Expenses'!$O$53</f>
        <v>40% of Units at 60% of AMI</v>
      </c>
      <c r="AC218" s="2272"/>
      <c r="AD218" s="2272"/>
      <c r="AE218" s="1499"/>
      <c r="AF218" s="1499"/>
      <c r="AG218" s="1499"/>
    </row>
    <row r="219" spans="1:33">
      <c r="A219" s="1499"/>
      <c r="B219" s="1499" t="str">
        <f>CONCATENATE("Tax Credit Application Fee ($",'DCA Underwriting Assumptions'!$Q$51, " ForProf/JntVent, $",'DCA Underwriting Assumptions'!$Q$52, " NonProf)")</f>
        <v>Tax Credit Application Fee ($10000 ForProf/JntVent, $8000 NonProf)</v>
      </c>
      <c r="C219" s="1499"/>
      <c r="D219" s="1499"/>
      <c r="E219" s="1499"/>
      <c r="F219" s="1499"/>
      <c r="G219" s="2121">
        <f>'Part III-A-Uses of Funds'!G106</f>
        <v>6500</v>
      </c>
      <c r="H219" s="2121"/>
      <c r="I219" s="1499"/>
      <c r="J219" s="2119"/>
      <c r="K219" s="2119"/>
      <c r="L219" s="2134"/>
      <c r="M219" s="2119"/>
      <c r="N219" s="2119"/>
      <c r="O219" s="1499"/>
      <c r="P219" s="2119"/>
      <c r="Q219" s="2119"/>
      <c r="R219" s="1499"/>
      <c r="S219" s="2121">
        <f>'Part III-A-Uses of Funds'!S106</f>
        <v>6500</v>
      </c>
      <c r="T219" s="2121"/>
      <c r="U219" s="1499"/>
      <c r="V219" s="2239"/>
      <c r="W219" s="2219"/>
      <c r="X219" s="1499"/>
      <c r="Y219" s="2258" t="s">
        <v>635</v>
      </c>
      <c r="Z219" s="2258"/>
      <c r="AA219" s="2258"/>
      <c r="AB219" s="2273">
        <f>'Part V-Revenues &amp; Expenses'!$P$67</f>
        <v>199</v>
      </c>
      <c r="AC219" s="1499"/>
      <c r="AD219" s="1499"/>
      <c r="AE219" s="1499"/>
      <c r="AF219" s="1499"/>
      <c r="AG219" s="1499"/>
    </row>
    <row r="220" spans="1:33">
      <c r="A220" s="1499"/>
      <c r="B220" s="1499" t="s">
        <v>637</v>
      </c>
      <c r="C220" s="1499"/>
      <c r="D220" s="1499"/>
      <c r="E220" s="1499"/>
      <c r="F220" s="1499"/>
      <c r="G220" s="2121">
        <f>'Part III-A-Uses of Funds'!G107</f>
        <v>0</v>
      </c>
      <c r="H220" s="2121"/>
      <c r="I220" s="1499"/>
      <c r="J220" s="2119"/>
      <c r="K220" s="2119"/>
      <c r="L220" s="2134"/>
      <c r="M220" s="2119"/>
      <c r="N220" s="2119"/>
      <c r="O220" s="1499"/>
      <c r="P220" s="2119"/>
      <c r="Q220" s="2119"/>
      <c r="R220" s="1499"/>
      <c r="S220" s="2121">
        <f>'Part III-A-Uses of Funds'!S107</f>
        <v>0</v>
      </c>
      <c r="T220" s="2121"/>
      <c r="U220" s="1499"/>
      <c r="V220" s="2239"/>
      <c r="W220" s="2219"/>
      <c r="X220" s="2219"/>
      <c r="Y220" s="2274" t="s">
        <v>638</v>
      </c>
      <c r="Z220" s="2196"/>
      <c r="AA220" s="2196"/>
      <c r="AB220" s="2196"/>
      <c r="AC220" s="1499"/>
      <c r="AD220" s="2275" t="s">
        <v>639</v>
      </c>
      <c r="AE220" s="1499"/>
      <c r="AF220" s="1499"/>
      <c r="AG220" s="1499"/>
    </row>
    <row r="221" spans="1:33">
      <c r="A221" s="1499"/>
      <c r="B221" s="1499" t="s">
        <v>641</v>
      </c>
      <c r="C221" s="1499"/>
      <c r="D221" s="1499"/>
      <c r="E221" s="2135">
        <f ca="1">'Part III-A-Uses of Funds'!E108</f>
        <v>71685</v>
      </c>
      <c r="F221" s="2135"/>
      <c r="G221" s="2121">
        <f ca="1">'Part III-A-Uses of Funds'!G108</f>
        <v>71685</v>
      </c>
      <c r="H221" s="2121"/>
      <c r="I221" s="1499"/>
      <c r="J221" s="2136" t="str">
        <f ca="1">IF(E221&gt;G221,"WARNING!  LIHTC Allocation Fee proposed is below minimum required.","")</f>
        <v/>
      </c>
      <c r="K221" s="2119"/>
      <c r="L221" s="2119"/>
      <c r="M221" s="2119"/>
      <c r="N221" s="2119"/>
      <c r="O221" s="1499"/>
      <c r="P221" s="2119"/>
      <c r="Q221" s="2119"/>
      <c r="R221" s="1499"/>
      <c r="S221" s="2121">
        <f ca="1">'Part III-A-Uses of Funds'!S108</f>
        <v>71685</v>
      </c>
      <c r="T221" s="2121"/>
      <c r="U221" s="1499"/>
      <c r="V221" s="2239"/>
      <c r="W221" s="2219"/>
      <c r="X221" s="2219"/>
      <c r="Y221" s="2196" t="s">
        <v>642</v>
      </c>
      <c r="Z221" s="2196"/>
      <c r="AA221" s="2196"/>
      <c r="AB221" s="2276">
        <f>'Part V-Revenues &amp; Expenses'!N253+'Part V-Revenues &amp; Expenses'!N254</f>
        <v>0</v>
      </c>
      <c r="AC221" s="1499"/>
      <c r="AD221" s="2277">
        <f>AB221*'DCA Underwriting Assumptions'!$Q$63</f>
        <v>0</v>
      </c>
      <c r="AE221" s="1499"/>
      <c r="AF221" s="1499"/>
      <c r="AG221" s="1499"/>
    </row>
    <row r="222" spans="1:33">
      <c r="A222" s="1499"/>
      <c r="B222" s="1499" t="s">
        <v>644</v>
      </c>
      <c r="C222" s="1499"/>
      <c r="D222" s="1499"/>
      <c r="E222" s="2135">
        <f>'Part III-A-Uses of Funds'!E109</f>
        <v>159200</v>
      </c>
      <c r="F222" s="2135"/>
      <c r="G222" s="2121">
        <f>'Part III-A-Uses of Funds'!G109</f>
        <v>159200</v>
      </c>
      <c r="H222" s="2121"/>
      <c r="I222" s="2137" t="str">
        <f>IF(E222&gt;G222,"WARNING!  LIHTC Compliance Fee proposed is below minimum required.","")</f>
        <v/>
      </c>
      <c r="J222" s="2137"/>
      <c r="K222" s="2137"/>
      <c r="L222" s="2137"/>
      <c r="M222" s="2137"/>
      <c r="N222" s="2137"/>
      <c r="O222" s="2137"/>
      <c r="P222" s="2137"/>
      <c r="Q222" s="2137"/>
      <c r="R222" s="2137"/>
      <c r="S222" s="2121">
        <f>'Part III-A-Uses of Funds'!S109</f>
        <v>159200</v>
      </c>
      <c r="T222" s="2121"/>
      <c r="U222" s="1499"/>
      <c r="V222" s="2239"/>
      <c r="W222" s="2219"/>
      <c r="X222" s="2219"/>
      <c r="Y222" s="2196" t="s">
        <v>645</v>
      </c>
      <c r="Z222" s="2196"/>
      <c r="AA222" s="2196"/>
      <c r="AB222" s="2276">
        <f>'Part V-Revenues &amp; Expenses'!$P$140+'Part V-Revenues &amp; Expenses'!$P$141</f>
        <v>0</v>
      </c>
      <c r="AC222" s="1499"/>
      <c r="AD222" s="2277">
        <f>AB222*'DCA Underwriting Assumptions'!$Q$63</f>
        <v>0</v>
      </c>
      <c r="AE222" s="1499"/>
      <c r="AF222" s="1499"/>
      <c r="AG222" s="1499"/>
    </row>
    <row r="223" spans="1:33">
      <c r="A223" s="1499"/>
      <c r="B223" s="1499" t="s">
        <v>646</v>
      </c>
      <c r="C223" s="1499"/>
      <c r="D223" s="1499"/>
      <c r="E223" s="1499"/>
      <c r="F223" s="2278"/>
      <c r="G223" s="2121">
        <f>'Part III-A-Uses of Funds'!G110</f>
        <v>0</v>
      </c>
      <c r="H223" s="2121"/>
      <c r="I223" s="2137"/>
      <c r="J223" s="2137"/>
      <c r="K223" s="2137"/>
      <c r="L223" s="2137"/>
      <c r="M223" s="2137"/>
      <c r="N223" s="2137"/>
      <c r="O223" s="2137"/>
      <c r="P223" s="2137"/>
      <c r="Q223" s="2137"/>
      <c r="R223" s="2137"/>
      <c r="S223" s="2121">
        <f>'Part III-A-Uses of Funds'!S110</f>
        <v>0</v>
      </c>
      <c r="T223" s="2121"/>
      <c r="U223" s="1499"/>
      <c r="V223" s="2239"/>
      <c r="W223" s="2219"/>
      <c r="X223" s="1499"/>
      <c r="Y223" s="2196" t="s">
        <v>647</v>
      </c>
      <c r="Z223" s="2196"/>
      <c r="AA223" s="2196"/>
      <c r="AB223" s="2276">
        <f>'Part V-Revenues &amp; Expenses'!$P$142+'Part V-Revenues &amp; Expenses'!$P$143</f>
        <v>0</v>
      </c>
      <c r="AC223" s="1499"/>
      <c r="AD223" s="2277">
        <f>AB223*'DCA Underwriting Assumptions'!$Q$63</f>
        <v>0</v>
      </c>
      <c r="AE223" s="1499"/>
      <c r="AF223" s="1499"/>
      <c r="AG223" s="1499"/>
    </row>
    <row r="224" spans="1:33">
      <c r="A224" s="1499"/>
      <c r="B224" s="1499" t="s">
        <v>6969</v>
      </c>
      <c r="C224" s="1499"/>
      <c r="D224" s="1499"/>
      <c r="E224" s="1499"/>
      <c r="F224" s="2278">
        <f>ROUNDUP('DCA Underwriting Assumptions'!$Q$58,0)</f>
        <v>8000</v>
      </c>
      <c r="G224" s="2121">
        <f>'Part III-A-Uses of Funds'!G111</f>
        <v>8000</v>
      </c>
      <c r="H224" s="2121"/>
      <c r="I224" s="1499"/>
      <c r="J224" s="281"/>
      <c r="K224" s="281"/>
      <c r="L224" s="281"/>
      <c r="M224" s="281"/>
      <c r="N224" s="281"/>
      <c r="O224" s="281"/>
      <c r="P224" s="281"/>
      <c r="Q224" s="281"/>
      <c r="R224" s="1499"/>
      <c r="S224" s="2121">
        <f>'Part III-A-Uses of Funds'!S111</f>
        <v>8000</v>
      </c>
      <c r="T224" s="2121"/>
      <c r="U224" s="1499"/>
      <c r="V224" s="2239"/>
      <c r="W224" s="1499"/>
      <c r="X224" s="1499"/>
      <c r="Y224" s="2196"/>
      <c r="Z224" s="2249" t="s">
        <v>649</v>
      </c>
      <c r="AA224" s="2196"/>
      <c r="AB224" s="2279">
        <f>SUM(AB221:AB223)</f>
        <v>0</v>
      </c>
      <c r="AC224" s="1499"/>
      <c r="AD224" s="2280">
        <f>SUM(AD221:AD223)</f>
        <v>0</v>
      </c>
      <c r="AE224" s="1499"/>
      <c r="AF224" s="1499"/>
      <c r="AG224" s="1499"/>
    </row>
    <row r="225" spans="1:33" ht="15.75" customHeight="1">
      <c r="A225" s="2240" t="str">
        <f>IF(AND(G225&gt;0,OR(C225="",C225="&lt;Enter detailed description here; use Comments section if needed&gt;")),"X","")</f>
        <v/>
      </c>
      <c r="B225" s="2196" t="s">
        <v>650</v>
      </c>
      <c r="C225" s="2241" t="str">
        <f>'Part III-A-Uses of Funds'!C112</f>
        <v>&lt;&lt; Enter description here; provide detail &amp; justification in tab Part III-b &gt;&gt;</v>
      </c>
      <c r="D225" s="2241"/>
      <c r="E225" s="2241"/>
      <c r="F225" s="2241"/>
      <c r="G225" s="2121">
        <f>'Part III-A-Uses of Funds'!G112</f>
        <v>0</v>
      </c>
      <c r="H225" s="2121"/>
      <c r="I225" s="1499"/>
      <c r="J225" s="281"/>
      <c r="K225" s="281"/>
      <c r="L225" s="281"/>
      <c r="M225" s="281"/>
      <c r="N225" s="281"/>
      <c r="O225" s="281"/>
      <c r="P225" s="281"/>
      <c r="Q225" s="281"/>
      <c r="R225" s="1499"/>
      <c r="S225" s="2121">
        <f>'Part III-A-Uses of Funds'!S112</f>
        <v>0</v>
      </c>
      <c r="T225" s="2121"/>
      <c r="U225" s="2198" t="str">
        <f>IF(AND(G225&gt;0,OR(C225="",C225="&lt;Enter detailed description here; use Comments section if needed&gt;")),"NO DESCRIPTION PROVIDED - please enter detailed description in Other box at left; use Comments section below if needed.","")</f>
        <v/>
      </c>
      <c r="V225" s="2239"/>
      <c r="W225" s="1499"/>
      <c r="X225" s="1499"/>
      <c r="Y225" s="2274" t="s">
        <v>651</v>
      </c>
      <c r="Z225" s="2196"/>
      <c r="AA225" s="1065"/>
      <c r="AB225" s="2196"/>
      <c r="AC225" s="1499"/>
      <c r="AD225" s="2277"/>
      <c r="AE225" s="1499"/>
      <c r="AF225" s="1499"/>
      <c r="AG225" s="1499"/>
    </row>
    <row r="226" spans="1:33" ht="16.5" customHeight="1">
      <c r="A226" s="2240" t="str">
        <f>IF(AND(G226&gt;0,OR(C226="",C226="&lt;Enter detailed description here; use Comments section if needed&gt;")),"X","")</f>
        <v/>
      </c>
      <c r="B226" s="2196" t="s">
        <v>650</v>
      </c>
      <c r="C226" s="2241" t="str">
        <f>'Part III-A-Uses of Funds'!C113</f>
        <v>&lt;&lt; Enter description here; provide detail &amp; justification in tab Part III-b &gt;&gt;</v>
      </c>
      <c r="D226" s="2241"/>
      <c r="E226" s="2241"/>
      <c r="F226" s="2241"/>
      <c r="G226" s="2121">
        <f>'Part III-A-Uses of Funds'!G113</f>
        <v>0</v>
      </c>
      <c r="H226" s="2121"/>
      <c r="I226" s="1499"/>
      <c r="J226" s="281"/>
      <c r="K226" s="281"/>
      <c r="L226" s="281"/>
      <c r="M226" s="281"/>
      <c r="N226" s="281"/>
      <c r="O226" s="281"/>
      <c r="P226" s="281"/>
      <c r="Q226" s="281"/>
      <c r="R226" s="1499"/>
      <c r="S226" s="2121">
        <f>'Part III-A-Uses of Funds'!S113</f>
        <v>0</v>
      </c>
      <c r="T226" s="2121"/>
      <c r="U226" s="2198" t="str">
        <f>IF(AND(G226&gt;0,OR(C226="",C226="&lt;Enter detailed description here; use Comments section if needed&gt;")),"NO DESCRIPTION PROVIDED - please enter detailed description in Other box at left; use Comments section below if needed.","")</f>
        <v/>
      </c>
      <c r="V226" s="2239"/>
      <c r="W226" s="1499"/>
      <c r="X226" s="1499"/>
      <c r="Y226" s="2196" t="s">
        <v>652</v>
      </c>
      <c r="Z226" s="2196"/>
      <c r="AA226" s="1065"/>
      <c r="AB226" s="2276">
        <f>'Part V-Revenues &amp; Expenses'!$P$127</f>
        <v>157</v>
      </c>
      <c r="AC226" s="1499"/>
      <c r="AD226" s="2277">
        <f>IF($AD$101="Income Averaging",AB226*'DCA Underwriting Assumptions'!$Q$61,AB226*'DCA Underwriting Assumptions'!$Q$60)</f>
        <v>125600</v>
      </c>
      <c r="AE226" s="1499"/>
      <c r="AF226" s="1499"/>
      <c r="AG226" s="1499"/>
    </row>
    <row r="227" spans="1:33">
      <c r="A227" s="1499"/>
      <c r="B227" s="1499"/>
      <c r="C227" s="1499"/>
      <c r="D227" s="1499"/>
      <c r="E227" s="1499"/>
      <c r="F227" s="2243" t="s">
        <v>536</v>
      </c>
      <c r="G227" s="2121">
        <f ca="1">SUM(G218:G226)</f>
        <v>245385</v>
      </c>
      <c r="H227" s="2121"/>
      <c r="I227" s="1499"/>
      <c r="J227" s="2119"/>
      <c r="K227" s="2119"/>
      <c r="L227" s="2119"/>
      <c r="M227" s="2119"/>
      <c r="N227" s="2119"/>
      <c r="O227" s="1499"/>
      <c r="P227" s="2119"/>
      <c r="Q227" s="2119"/>
      <c r="R227" s="1499"/>
      <c r="S227" s="2121">
        <f ca="1">SUM(S218:S226)</f>
        <v>245385</v>
      </c>
      <c r="T227" s="2121"/>
      <c r="U227" s="1499"/>
      <c r="V227" s="2239">
        <f>SUM(V218:V226)</f>
        <v>0</v>
      </c>
      <c r="W227" s="1499"/>
      <c r="X227" s="1499"/>
      <c r="Y227" s="2196" t="s">
        <v>654</v>
      </c>
      <c r="Z227" s="2196"/>
      <c r="AA227" s="2281"/>
      <c r="AB227" s="2276">
        <f>'Part V-Revenues &amp; Expenses'!$P$138+'Part V-Revenues &amp; Expenses'!$P$139</f>
        <v>42</v>
      </c>
      <c r="AC227" s="1499"/>
      <c r="AD227" s="2277">
        <f>IF($AD$101="Income Averaging",AB227*'DCA Underwriting Assumptions'!$Q$61,AB227*'DCA Underwriting Assumptions'!$Q$60)</f>
        <v>33600</v>
      </c>
      <c r="AE227" s="1499"/>
      <c r="AF227" s="1499"/>
      <c r="AG227" s="1499"/>
    </row>
    <row r="228" spans="1:33">
      <c r="A228" s="1499"/>
      <c r="B228" s="2188" t="s">
        <v>656</v>
      </c>
      <c r="C228" s="1499"/>
      <c r="D228" s="1499"/>
      <c r="E228" s="1499"/>
      <c r="F228" s="1499"/>
      <c r="G228" s="1499"/>
      <c r="H228" s="1499"/>
      <c r="I228" s="1499"/>
      <c r="J228" s="2119"/>
      <c r="K228" s="2119"/>
      <c r="L228" s="1499"/>
      <c r="M228" s="2119"/>
      <c r="N228" s="2119"/>
      <c r="O228" s="2128" t="str">
        <f>B228</f>
        <v>EQUITY COSTS</v>
      </c>
      <c r="P228" s="2119"/>
      <c r="Q228" s="2119"/>
      <c r="R228" s="1499"/>
      <c r="S228" s="2119"/>
      <c r="T228" s="2119"/>
      <c r="U228" s="1499"/>
      <c r="V228" s="2239"/>
      <c r="W228" s="1499"/>
      <c r="X228" s="1499"/>
      <c r="Y228" s="2196"/>
      <c r="Z228" s="2249" t="s">
        <v>649</v>
      </c>
      <c r="AA228" s="2196"/>
      <c r="AB228" s="2279">
        <f>SUM(AB226:AB227)</f>
        <v>199</v>
      </c>
      <c r="AC228" s="1499"/>
      <c r="AD228" s="2280">
        <f>SUM(AD226:AD227)</f>
        <v>159200</v>
      </c>
      <c r="AE228" s="1499"/>
      <c r="AF228" s="1499"/>
      <c r="AG228" s="1499"/>
    </row>
    <row r="229" spans="1:33">
      <c r="A229" s="1499"/>
      <c r="B229" s="1499" t="s">
        <v>657</v>
      </c>
      <c r="C229" s="1499"/>
      <c r="D229" s="1499"/>
      <c r="E229" s="1499"/>
      <c r="F229" s="1499"/>
      <c r="G229" s="2121">
        <f>'Part III-A-Uses of Funds'!G116</f>
        <v>0</v>
      </c>
      <c r="H229" s="2121"/>
      <c r="I229" s="1499"/>
      <c r="J229" s="2121"/>
      <c r="K229" s="2121"/>
      <c r="L229" s="2119"/>
      <c r="M229" s="2121"/>
      <c r="N229" s="2121"/>
      <c r="O229" s="1499"/>
      <c r="P229" s="2121"/>
      <c r="Q229" s="2121"/>
      <c r="R229" s="1499"/>
      <c r="S229" s="2121">
        <f>'Part III-A-Uses of Funds'!S116</f>
        <v>0</v>
      </c>
      <c r="T229" s="2121"/>
      <c r="U229" s="1499"/>
      <c r="V229" s="2239"/>
      <c r="W229" s="1499"/>
      <c r="X229" s="1499"/>
      <c r="Y229" s="1499"/>
      <c r="Z229" s="1499"/>
      <c r="AA229" s="1499"/>
      <c r="AB229" s="1499"/>
      <c r="AC229" s="1499"/>
      <c r="AD229" s="1499"/>
      <c r="AE229" s="1499"/>
      <c r="AF229" s="1499"/>
      <c r="AG229" s="1499"/>
    </row>
    <row r="230" spans="1:33">
      <c r="A230" s="1499"/>
      <c r="B230" s="1499" t="s">
        <v>658</v>
      </c>
      <c r="C230" s="1499"/>
      <c r="D230" s="1499"/>
      <c r="E230" s="1499"/>
      <c r="F230" s="1499"/>
      <c r="G230" s="2121">
        <f>'Part III-A-Uses of Funds'!G117</f>
        <v>0</v>
      </c>
      <c r="H230" s="2121"/>
      <c r="I230" s="1499"/>
      <c r="J230" s="2121"/>
      <c r="K230" s="2121"/>
      <c r="L230" s="2119"/>
      <c r="M230" s="2121"/>
      <c r="N230" s="2121"/>
      <c r="O230" s="1499"/>
      <c r="P230" s="2121"/>
      <c r="Q230" s="2121"/>
      <c r="R230" s="1499"/>
      <c r="S230" s="2121">
        <f>'Part III-A-Uses of Funds'!S117</f>
        <v>0</v>
      </c>
      <c r="T230" s="2121"/>
      <c r="U230" s="1499"/>
      <c r="V230" s="2239"/>
      <c r="W230" s="1499"/>
      <c r="X230" s="1499"/>
      <c r="Y230" s="1499"/>
      <c r="Z230" s="1499"/>
      <c r="AA230" s="1499"/>
      <c r="AB230" s="1499"/>
      <c r="AC230" s="1499"/>
      <c r="AD230" s="1499"/>
      <c r="AE230" s="1499"/>
      <c r="AF230" s="1499"/>
      <c r="AG230" s="1499"/>
    </row>
    <row r="231" spans="1:33">
      <c r="A231" s="1499"/>
      <c r="B231" s="1499" t="s">
        <v>659</v>
      </c>
      <c r="C231" s="1499"/>
      <c r="D231" s="1499"/>
      <c r="E231" s="1499"/>
      <c r="F231" s="1499"/>
      <c r="G231" s="2121">
        <f>'Part III-A-Uses of Funds'!G118</f>
        <v>80000</v>
      </c>
      <c r="H231" s="2121"/>
      <c r="I231" s="1499"/>
      <c r="J231" s="2121"/>
      <c r="K231" s="2121"/>
      <c r="L231" s="2119"/>
      <c r="M231" s="2121"/>
      <c r="N231" s="2121"/>
      <c r="O231" s="1499"/>
      <c r="P231" s="2121"/>
      <c r="Q231" s="2121"/>
      <c r="R231" s="1499"/>
      <c r="S231" s="2121">
        <f>'Part III-A-Uses of Funds'!S118</f>
        <v>80000</v>
      </c>
      <c r="T231" s="2121"/>
      <c r="U231" s="1499"/>
      <c r="V231" s="2239"/>
      <c r="W231" s="1499"/>
      <c r="X231" s="1499"/>
      <c r="Y231" s="1499"/>
      <c r="Z231" s="1499"/>
      <c r="AA231" s="1499"/>
      <c r="AB231" s="1499"/>
      <c r="AC231" s="1499"/>
      <c r="AD231" s="1499"/>
      <c r="AE231" s="1499"/>
      <c r="AF231" s="1499"/>
      <c r="AG231" s="1499"/>
    </row>
    <row r="232" spans="1:33" ht="16.5" customHeight="1">
      <c r="A232" s="2240" t="str">
        <f>IF(AND(G232&gt;0,OR(C232="",C232="&lt;Enter detailed description here; use Comments section if needed&gt;")),"X","")</f>
        <v/>
      </c>
      <c r="B232" s="2196" t="s">
        <v>650</v>
      </c>
      <c r="C232" s="2241" t="str">
        <f>'Part III-A-Uses of Funds'!C119</f>
        <v>&lt;&lt; Enter description here; provide detail &amp; justification in tab Part III-b &gt;&gt;</v>
      </c>
      <c r="D232" s="2241"/>
      <c r="E232" s="2241"/>
      <c r="F232" s="2241"/>
      <c r="G232" s="2121">
        <f>'Part III-A-Uses of Funds'!G119</f>
        <v>0</v>
      </c>
      <c r="H232" s="2121"/>
      <c r="I232" s="1499"/>
      <c r="J232" s="2121"/>
      <c r="K232" s="2121"/>
      <c r="L232" s="2119"/>
      <c r="M232" s="2121"/>
      <c r="N232" s="2121"/>
      <c r="O232" s="1499"/>
      <c r="P232" s="2121"/>
      <c r="Q232" s="2121"/>
      <c r="R232" s="1499"/>
      <c r="S232" s="2121">
        <f>'Part III-A-Uses of Funds'!S119</f>
        <v>0</v>
      </c>
      <c r="T232" s="2121"/>
      <c r="U232" s="2198" t="str">
        <f>IF(AND(G232&gt;0,OR(C232="",C232="&lt;Enter detailed description here; use Comments section if needed&gt;")),"NO DESCRIPTION PROVIDED - please enter detailed description in Other box at left; use Comments section below if needed.","")</f>
        <v/>
      </c>
      <c r="V232" s="2239"/>
      <c r="W232" s="1499"/>
      <c r="X232" s="1499"/>
      <c r="Y232" s="1499"/>
      <c r="Z232" s="1499"/>
      <c r="AA232" s="1499"/>
      <c r="AB232" s="1499"/>
      <c r="AC232" s="1499"/>
      <c r="AD232" s="1499"/>
      <c r="AE232" s="1499"/>
      <c r="AF232" s="1499"/>
      <c r="AG232" s="1499"/>
    </row>
    <row r="233" spans="1:33" ht="13.5" customHeight="1">
      <c r="A233" s="1499"/>
      <c r="B233" s="1499"/>
      <c r="C233" s="1499"/>
      <c r="D233" s="1499"/>
      <c r="E233" s="1499"/>
      <c r="F233" s="2243" t="s">
        <v>536</v>
      </c>
      <c r="G233" s="2121">
        <f>SUM(G229:G232)</f>
        <v>80000</v>
      </c>
      <c r="H233" s="2121"/>
      <c r="I233" s="1499"/>
      <c r="J233" s="2121"/>
      <c r="K233" s="2121"/>
      <c r="L233" s="2119"/>
      <c r="M233" s="2121"/>
      <c r="N233" s="2121"/>
      <c r="O233" s="1499"/>
      <c r="P233" s="2121"/>
      <c r="Q233" s="2121"/>
      <c r="R233" s="1499"/>
      <c r="S233" s="2121">
        <f>SUM(S229:S232)</f>
        <v>80000</v>
      </c>
      <c r="T233" s="2121"/>
      <c r="U233" s="1499"/>
      <c r="V233" s="2239">
        <f>SUM(V229:V232)</f>
        <v>0</v>
      </c>
      <c r="W233" s="1499"/>
      <c r="X233" s="1499"/>
      <c r="Y233" s="1499"/>
      <c r="Z233" s="1499"/>
      <c r="AA233" s="2282" t="s">
        <v>660</v>
      </c>
      <c r="AB233" s="2282" t="s">
        <v>661</v>
      </c>
      <c r="AC233" s="2282" t="s">
        <v>662</v>
      </c>
      <c r="AD233" s="2283" t="s">
        <v>663</v>
      </c>
      <c r="AE233" s="2282" t="s">
        <v>664</v>
      </c>
      <c r="AF233" s="2284" t="s">
        <v>665</v>
      </c>
      <c r="AG233" s="2284"/>
    </row>
    <row r="234" spans="1:33" ht="13.5">
      <c r="A234" s="1499"/>
      <c r="B234" s="2188" t="s">
        <v>666</v>
      </c>
      <c r="C234" s="1499"/>
      <c r="D234" s="1499"/>
      <c r="E234" s="2228" t="s">
        <v>632</v>
      </c>
      <c r="F234" s="2193" t="str">
        <f>'Part III-A-Uses of Funds'!F121</f>
        <v>4%</v>
      </c>
      <c r="G234" s="1499"/>
      <c r="H234" s="1499"/>
      <c r="I234" s="1499"/>
      <c r="J234" s="2119"/>
      <c r="K234" s="2121"/>
      <c r="L234" s="1499"/>
      <c r="M234" s="2119"/>
      <c r="N234" s="2121"/>
      <c r="O234" s="2128" t="str">
        <f>B234</f>
        <v>DEVELOPER'S FEE</v>
      </c>
      <c r="P234" s="2119"/>
      <c r="Q234" s="2121"/>
      <c r="R234" s="1499"/>
      <c r="S234" s="2119"/>
      <c r="T234" s="2121"/>
      <c r="U234" s="1499"/>
      <c r="V234" s="2239"/>
      <c r="W234" s="301" t="s">
        <v>667</v>
      </c>
      <c r="X234" s="301"/>
      <c r="Y234" s="1065" t="s">
        <v>668</v>
      </c>
      <c r="Z234" s="1065" t="s">
        <v>669</v>
      </c>
      <c r="AA234" s="2282"/>
      <c r="AB234" s="2282"/>
      <c r="AC234" s="2282"/>
      <c r="AD234" s="2283"/>
      <c r="AE234" s="2282"/>
      <c r="AF234" s="2284"/>
      <c r="AG234" s="2284"/>
    </row>
    <row r="235" spans="1:33" ht="13.5">
      <c r="A235" s="1499"/>
      <c r="B235" s="1499" t="s">
        <v>671</v>
      </c>
      <c r="C235" s="1499"/>
      <c r="D235" s="1499"/>
      <c r="E235" s="1499"/>
      <c r="F235" s="2223">
        <f>'Part III-A-Uses of Funds'!F122</f>
        <v>0.2</v>
      </c>
      <c r="G235" s="2121">
        <f>'Part III-A-Uses of Funds'!G122</f>
        <v>700000</v>
      </c>
      <c r="H235" s="2121"/>
      <c r="I235" s="1499"/>
      <c r="J235" s="2121">
        <f>'Part III-A-Uses of Funds'!J122</f>
        <v>0</v>
      </c>
      <c r="K235" s="2121"/>
      <c r="L235" s="2119"/>
      <c r="M235" s="2121">
        <f>'Part III-A-Uses of Funds'!M122</f>
        <v>0</v>
      </c>
      <c r="N235" s="2121"/>
      <c r="O235" s="1499"/>
      <c r="P235" s="2121">
        <f>'Part III-A-Uses of Funds'!P122</f>
        <v>700000</v>
      </c>
      <c r="Q235" s="2121"/>
      <c r="R235" s="1499"/>
      <c r="S235" s="2121">
        <f>'Part III-A-Uses of Funds'!S122</f>
        <v>0</v>
      </c>
      <c r="T235" s="2121"/>
      <c r="U235" s="1499"/>
      <c r="V235" s="2239"/>
      <c r="X235" s="2285">
        <v>0.09</v>
      </c>
      <c r="Y235" s="2286">
        <f>'DCA Underwriting Assumptions'!$J$67</f>
        <v>1</v>
      </c>
      <c r="Z235" s="2286">
        <f>'DCA Underwriting Assumptions'!$K$67</f>
        <v>50</v>
      </c>
      <c r="AA235" s="2276">
        <f>'DCA Underwriting Assumptions'!$Q$67</f>
        <v>27500</v>
      </c>
      <c r="AB235" s="2276">
        <f>Z235*AA235</f>
        <v>1375000</v>
      </c>
      <c r="AC235" s="2276">
        <f>IF('Part V-Revenues &amp; Expenses'!$P$67&lt;Y236,'Part V-Revenues &amp; Expenses'!$P$67*'Part III-A-Uses of Funds'!AA239,Z235*AA235)</f>
        <v>1375000</v>
      </c>
      <c r="AD235" s="2287">
        <f>SUM(AC235:AC237)</f>
        <v>1560000</v>
      </c>
      <c r="AE235" s="2287">
        <f>'DCA Underwriting Assumptions'!$Q$74</f>
        <v>2000000</v>
      </c>
      <c r="AF235" s="2221">
        <f>MIN(AD235,AE235)</f>
        <v>1560000</v>
      </c>
      <c r="AG235" s="2221"/>
    </row>
    <row r="236" spans="1:33" ht="13.5">
      <c r="A236" s="1499"/>
      <c r="B236" s="1499" t="s">
        <v>672</v>
      </c>
      <c r="C236" s="1499"/>
      <c r="D236" s="1499"/>
      <c r="E236" s="1499"/>
      <c r="F236" s="2138">
        <f>'Part III-A-Uses of Funds'!F123</f>
        <v>700000</v>
      </c>
      <c r="G236" s="2281" t="s">
        <v>673</v>
      </c>
      <c r="H236" s="1499"/>
      <c r="I236" s="1499"/>
      <c r="J236" s="1499"/>
      <c r="K236" s="1499"/>
      <c r="L236" s="1499"/>
      <c r="M236" s="1499"/>
      <c r="N236" s="1499"/>
      <c r="O236" s="1499"/>
      <c r="P236" s="1499"/>
      <c r="Q236" s="1499"/>
      <c r="R236" s="1499"/>
      <c r="S236" s="1499"/>
      <c r="T236" s="1499"/>
      <c r="U236" s="1499"/>
      <c r="V236" s="2239"/>
      <c r="X236" s="1441"/>
      <c r="Y236" s="2286">
        <f>'DCA Underwriting Assumptions'!$J$68</f>
        <v>51</v>
      </c>
      <c r="Z236" s="2286">
        <f>'DCA Underwriting Assumptions'!$K$68</f>
        <v>70</v>
      </c>
      <c r="AA236" s="2276">
        <f>'DCA Underwriting Assumptions'!$Q$68</f>
        <v>22000</v>
      </c>
      <c r="AB236" s="2276">
        <f>(Z236-Z235)*AA236</f>
        <v>440000</v>
      </c>
      <c r="AC236" s="2276">
        <f>IF(AND('Part V-Revenues &amp; Expenses'!$P$67&gt;Z235,'Part V-Revenues &amp; Expenses'!$P$67&lt;Y237),('Part V-Revenues &amp; Expenses'!$P$67-Z235)*'Part III-A-Uses of Funds'!AA240,IF(AND('Part V-Revenues &amp; Expenses'!$P$67&gt;Z235,'Part V-Revenues &amp; Expenses'!$P$67&gt;Z236),(Z236-Z235)*'Part III-A-Uses of Funds'!AA240,0))</f>
        <v>0</v>
      </c>
      <c r="AD236" s="2287"/>
      <c r="AE236" s="2287"/>
      <c r="AF236" s="2221"/>
      <c r="AG236" s="2221"/>
    </row>
    <row r="237" spans="1:33" ht="13.5">
      <c r="A237" s="1499"/>
      <c r="B237" s="1499" t="s">
        <v>674</v>
      </c>
      <c r="C237" s="1499"/>
      <c r="D237" s="1499"/>
      <c r="E237" s="1499"/>
      <c r="F237" s="2223">
        <f>'Part III-A-Uses of Funds'!F124</f>
        <v>0</v>
      </c>
      <c r="G237" s="2121">
        <f>'Part III-A-Uses of Funds'!G124</f>
        <v>0</v>
      </c>
      <c r="H237" s="2121"/>
      <c r="I237" s="1499"/>
      <c r="J237" s="2121">
        <f>'Part III-A-Uses of Funds'!J124</f>
        <v>0</v>
      </c>
      <c r="K237" s="2121"/>
      <c r="L237" s="2119"/>
      <c r="M237" s="2121">
        <f>'Part III-A-Uses of Funds'!M124</f>
        <v>0</v>
      </c>
      <c r="N237" s="2121"/>
      <c r="O237" s="1499"/>
      <c r="P237" s="2121">
        <f>'Part III-A-Uses of Funds'!P124</f>
        <v>0</v>
      </c>
      <c r="Q237" s="2121"/>
      <c r="R237" s="1499"/>
      <c r="S237" s="2121">
        <f>'Part III-A-Uses of Funds'!S124</f>
        <v>0</v>
      </c>
      <c r="T237" s="2121"/>
      <c r="U237" s="1499"/>
      <c r="V237" s="2239"/>
      <c r="X237" s="1441"/>
      <c r="Y237" s="2286">
        <f>'DCA Underwriting Assumptions'!$J$69</f>
        <v>71</v>
      </c>
      <c r="Z237" s="1441"/>
      <c r="AA237" s="2276">
        <f>'DCA Underwriting Assumptions'!$Q$69</f>
        <v>16500</v>
      </c>
      <c r="AB237" s="2276">
        <f>AE235-AB236-AB235</f>
        <v>185000</v>
      </c>
      <c r="AC237" s="2276">
        <f>MIN(AB237,IF('Part V-Revenues &amp; Expenses'!$P$67&gt;Z236,('Part V-Revenues &amp; Expenses'!$P$67-Z236)*AA237,0))</f>
        <v>185000</v>
      </c>
      <c r="AD237" s="2287"/>
      <c r="AE237" s="2287"/>
      <c r="AF237" s="2221"/>
      <c r="AG237" s="2221"/>
    </row>
    <row r="238" spans="1:33" ht="13.5">
      <c r="A238" s="1499"/>
      <c r="B238" s="1499" t="s">
        <v>675</v>
      </c>
      <c r="C238" s="1499"/>
      <c r="D238" s="1499"/>
      <c r="E238" s="1499"/>
      <c r="F238" s="2223">
        <f>'Part III-A-Uses of Funds'!F125</f>
        <v>0</v>
      </c>
      <c r="G238" s="2121">
        <f>'Part III-A-Uses of Funds'!G125</f>
        <v>0</v>
      </c>
      <c r="H238" s="2121"/>
      <c r="I238" s="1499"/>
      <c r="J238" s="2121">
        <f>'Part III-A-Uses of Funds'!J125</f>
        <v>0</v>
      </c>
      <c r="K238" s="2121"/>
      <c r="L238" s="2119"/>
      <c r="M238" s="2121">
        <f>'Part III-A-Uses of Funds'!M125</f>
        <v>0</v>
      </c>
      <c r="N238" s="2121"/>
      <c r="O238" s="1499"/>
      <c r="P238" s="2121">
        <f>'Part III-A-Uses of Funds'!P125</f>
        <v>0</v>
      </c>
      <c r="Q238" s="2121"/>
      <c r="R238" s="1499"/>
      <c r="S238" s="2121">
        <f>'Part III-A-Uses of Funds'!S125</f>
        <v>0</v>
      </c>
      <c r="T238" s="2121"/>
      <c r="U238" s="1499"/>
      <c r="V238" s="2239"/>
      <c r="X238" s="2285">
        <v>0.04</v>
      </c>
      <c r="Y238" s="2286">
        <f>'DCA Underwriting Assumptions'!$J$70</f>
        <v>1</v>
      </c>
      <c r="Z238" s="2286">
        <f>'DCA Underwriting Assumptions'!$K$70</f>
        <v>50</v>
      </c>
      <c r="AA238" s="2276">
        <f>'DCA Underwriting Assumptions'!$Q$70</f>
        <v>27500</v>
      </c>
      <c r="AB238" s="2276">
        <f>Z238*AA238</f>
        <v>1375000</v>
      </c>
      <c r="AC238" s="2276">
        <f>IF('Part V-Revenues &amp; Expenses'!$P$67&lt;Y239,'Part V-Revenues &amp; Expenses'!$P$67*'Part III-A-Uses of Funds'!AA242,Z238*AA238)</f>
        <v>1375000</v>
      </c>
      <c r="AD238" s="2287">
        <f>SUM(AC238:AC240)</f>
        <v>3060000</v>
      </c>
      <c r="AE238" s="2287">
        <f>'DCA Underwriting Assumptions'!$Q$75</f>
        <v>3500000</v>
      </c>
      <c r="AF238" s="2221">
        <f>MIN(AD238,AE238)</f>
        <v>3060000</v>
      </c>
      <c r="AG238" s="2221"/>
    </row>
    <row r="239" spans="1:33" ht="13.5">
      <c r="A239" s="1499"/>
      <c r="B239" s="1499" t="s">
        <v>676</v>
      </c>
      <c r="C239" s="1499"/>
      <c r="D239" s="1499"/>
      <c r="E239" s="1499"/>
      <c r="F239" s="2223">
        <f>'Part III-A-Uses of Funds'!F126</f>
        <v>0.8</v>
      </c>
      <c r="G239" s="2121">
        <f>'Part III-A-Uses of Funds'!G126</f>
        <v>2800000</v>
      </c>
      <c r="H239" s="2121"/>
      <c r="I239" s="1499"/>
      <c r="J239" s="2121">
        <f>'Part III-A-Uses of Funds'!J126</f>
        <v>0</v>
      </c>
      <c r="K239" s="2121"/>
      <c r="L239" s="2119"/>
      <c r="M239" s="2121">
        <f>'Part III-A-Uses of Funds'!M126</f>
        <v>0</v>
      </c>
      <c r="N239" s="2121"/>
      <c r="O239" s="1499"/>
      <c r="P239" s="2121">
        <f>'Part III-A-Uses of Funds'!P126</f>
        <v>2800000</v>
      </c>
      <c r="Q239" s="2121"/>
      <c r="R239" s="1499"/>
      <c r="S239" s="2121">
        <f>'Part III-A-Uses of Funds'!S126</f>
        <v>0</v>
      </c>
      <c r="T239" s="2121"/>
      <c r="U239" s="1499"/>
      <c r="V239" s="2239"/>
      <c r="X239" s="1441"/>
      <c r="Y239" s="2286">
        <f>'DCA Underwriting Assumptions'!$J$71</f>
        <v>51</v>
      </c>
      <c r="Z239" s="2286">
        <f>'DCA Underwriting Assumptions'!$K$71</f>
        <v>70</v>
      </c>
      <c r="AA239" s="2276">
        <f>'DCA Underwriting Assumptions'!$Q$71</f>
        <v>22000</v>
      </c>
      <c r="AB239" s="2276">
        <f>(Z239-Z238)*AA239</f>
        <v>440000</v>
      </c>
      <c r="AC239" s="2276">
        <f>IF(AND('Part V-Revenues &amp; Expenses'!$P$67&gt;Z238,'Part V-Revenues &amp; Expenses'!$P$67&lt;Y240),('Part V-Revenues &amp; Expenses'!$P$67-Z238)*'Part III-A-Uses of Funds'!AA243,IF(AND('Part V-Revenues &amp; Expenses'!$P$67&gt;Z238,'Part V-Revenues &amp; Expenses'!$P$67&gt;Z239),(Z239-Z238)*'Part III-A-Uses of Funds'!AA243,0))</f>
        <v>0</v>
      </c>
      <c r="AD239" s="2287"/>
      <c r="AE239" s="2287"/>
      <c r="AF239" s="2221"/>
      <c r="AG239" s="2221"/>
    </row>
    <row r="240" spans="1:33" ht="13.5">
      <c r="A240" s="2288" t="str">
        <f>IF(G240&gt;E240,"DF over limit!  Round down/Enter nbr.","")</f>
        <v/>
      </c>
      <c r="B240" s="2289"/>
      <c r="C240" s="1499"/>
      <c r="D240" s="2228" t="s">
        <v>677</v>
      </c>
      <c r="E240" s="2290">
        <f>'Part III-A-Uses of Funds'!E127</f>
        <v>3500000</v>
      </c>
      <c r="F240" s="2243" t="s">
        <v>536</v>
      </c>
      <c r="G240" s="2121">
        <f>SUM(G235:G239)</f>
        <v>3500000</v>
      </c>
      <c r="H240" s="2121"/>
      <c r="I240" s="1499"/>
      <c r="J240" s="2121">
        <f>SUM(J235:J239)</f>
        <v>0</v>
      </c>
      <c r="K240" s="2121"/>
      <c r="L240" s="2119"/>
      <c r="M240" s="2121">
        <f>SUM(M235:M239)</f>
        <v>0</v>
      </c>
      <c r="N240" s="2121"/>
      <c r="O240" s="1499"/>
      <c r="P240" s="2121">
        <f>SUM(P235:P239)</f>
        <v>3500000</v>
      </c>
      <c r="Q240" s="2121"/>
      <c r="R240" s="1499"/>
      <c r="S240" s="2121">
        <f>SUM(S235:S239)</f>
        <v>0</v>
      </c>
      <c r="T240" s="2121"/>
      <c r="U240" s="1499"/>
      <c r="V240" s="2239">
        <f>SUM(V235:V239)</f>
        <v>0</v>
      </c>
      <c r="X240" s="1441"/>
      <c r="Y240" s="2286">
        <f>'DCA Underwriting Assumptions'!$J$72</f>
        <v>71</v>
      </c>
      <c r="Z240" s="1441"/>
      <c r="AA240" s="2276">
        <f>'DCA Underwriting Assumptions'!$Q$72</f>
        <v>16500</v>
      </c>
      <c r="AB240" s="2276">
        <f>AE238-AB239-AB238</f>
        <v>1685000</v>
      </c>
      <c r="AC240" s="2276">
        <f>MIN(AB240,IF('Part V-Revenues &amp; Expenses'!$P$67&gt;Z239,('Part V-Revenues &amp; Expenses'!$P$67-Z239)*AA240,0))</f>
        <v>1685000</v>
      </c>
      <c r="AD240" s="2287"/>
      <c r="AE240" s="2287"/>
      <c r="AF240" s="2221"/>
      <c r="AG240" s="2221"/>
    </row>
    <row r="241" spans="1:22">
      <c r="A241" s="1499"/>
      <c r="B241" s="2188" t="s">
        <v>678</v>
      </c>
      <c r="C241" s="1499"/>
      <c r="D241" s="1499"/>
      <c r="E241" s="1499"/>
      <c r="F241" s="1499"/>
      <c r="G241" s="1499"/>
      <c r="H241" s="1499"/>
      <c r="I241" s="1499"/>
      <c r="J241" s="2121"/>
      <c r="K241" s="2121"/>
      <c r="L241" s="1499"/>
      <c r="M241" s="2121"/>
      <c r="N241" s="2121"/>
      <c r="O241" s="2128" t="str">
        <f>B241</f>
        <v>START-UP AND RESERVES</v>
      </c>
      <c r="P241" s="2121"/>
      <c r="Q241" s="2121"/>
      <c r="R241" s="1499"/>
      <c r="S241" s="2121"/>
      <c r="T241" s="2121"/>
      <c r="U241" s="1499"/>
      <c r="V241" s="2239"/>
    </row>
    <row r="242" spans="1:22">
      <c r="A242" s="1499"/>
      <c r="B242" s="1499" t="s">
        <v>680</v>
      </c>
      <c r="C242" s="1499"/>
      <c r="D242" s="1499"/>
      <c r="E242" s="1499"/>
      <c r="F242" s="1499"/>
      <c r="G242" s="2121">
        <f>'Part III-A-Uses of Funds'!G129</f>
        <v>30000</v>
      </c>
      <c r="H242" s="2121"/>
      <c r="I242" s="1499"/>
      <c r="J242" s="2134"/>
      <c r="K242" s="2134"/>
      <c r="L242" s="2134"/>
      <c r="M242" s="2134"/>
      <c r="N242" s="2134"/>
      <c r="O242" s="1499"/>
      <c r="P242" s="2134"/>
      <c r="Q242" s="2134"/>
      <c r="R242" s="1499"/>
      <c r="S242" s="2121">
        <f>'Part III-A-Uses of Funds'!S129</f>
        <v>30000</v>
      </c>
      <c r="T242" s="2121"/>
      <c r="U242" s="1499"/>
      <c r="V242" s="2239"/>
    </row>
    <row r="243" spans="1:22">
      <c r="A243" s="1499"/>
      <c r="B243" s="1499" t="s">
        <v>682</v>
      </c>
      <c r="C243" s="1499"/>
      <c r="D243" s="1499"/>
      <c r="E243" s="1499"/>
      <c r="F243" s="2291">
        <f>'Part III-A-Uses of Funds'!F130</f>
        <v>375450.25</v>
      </c>
      <c r="G243" s="2121">
        <f>'Part III-A-Uses of Funds'!G130</f>
        <v>50000</v>
      </c>
      <c r="H243" s="2121"/>
      <c r="I243" s="1499"/>
      <c r="J243" s="2139" t="str">
        <f>IF(E243&gt;G243,"WARNING! Rent-Up Reserves proposed is below minimum - add comment.","")</f>
        <v/>
      </c>
      <c r="K243" s="2139"/>
      <c r="L243" s="2119"/>
      <c r="M243" s="2121"/>
      <c r="N243" s="2121"/>
      <c r="O243" s="1499"/>
      <c r="P243" s="2121"/>
      <c r="Q243" s="2121"/>
      <c r="R243" s="1499"/>
      <c r="S243" s="2121">
        <f>'Part III-A-Uses of Funds'!S130</f>
        <v>50000</v>
      </c>
      <c r="T243" s="2121"/>
      <c r="U243" s="1499"/>
      <c r="V243" s="2239"/>
    </row>
    <row r="244" spans="1:22">
      <c r="A244" s="1499"/>
      <c r="B244" s="1499" t="s">
        <v>683</v>
      </c>
      <c r="C244" s="1499"/>
      <c r="D244" s="1499"/>
      <c r="E244" s="1499"/>
      <c r="F244" s="2291">
        <f>'Part III-A-Uses of Funds'!F131</f>
        <v>1325612.3682879163</v>
      </c>
      <c r="G244" s="2121">
        <f>'Part III-A-Uses of Funds'!G131</f>
        <v>1325612.3682879163</v>
      </c>
      <c r="H244" s="2121"/>
      <c r="I244" s="1499"/>
      <c r="J244" s="2139" t="str">
        <f>IF(E244&gt;G244,"WARNING! ODR proposed is below minimum - add comment.","")</f>
        <v/>
      </c>
      <c r="K244" s="2134"/>
      <c r="L244" s="2134"/>
      <c r="M244" s="2134"/>
      <c r="N244" s="2134"/>
      <c r="O244" s="1499"/>
      <c r="P244" s="2134"/>
      <c r="Q244" s="2134"/>
      <c r="R244" s="1499"/>
      <c r="S244" s="2121">
        <f>'Part III-A-Uses of Funds'!S131</f>
        <v>1325612.3682879163</v>
      </c>
      <c r="T244" s="2121"/>
      <c r="U244" s="1499"/>
      <c r="V244" s="2239"/>
    </row>
    <row r="245" spans="1:22">
      <c r="A245" s="1499"/>
      <c r="B245" s="1499" t="s">
        <v>684</v>
      </c>
      <c r="C245" s="1499"/>
      <c r="D245" s="1499"/>
      <c r="E245" s="1499"/>
      <c r="F245" s="1499"/>
      <c r="G245" s="2121">
        <f>'Part III-A-Uses of Funds'!G132</f>
        <v>0</v>
      </c>
      <c r="H245" s="2121"/>
      <c r="I245" s="1499"/>
      <c r="J245" s="2134"/>
      <c r="K245" s="2134"/>
      <c r="L245" s="2134"/>
      <c r="M245" s="2134"/>
      <c r="N245" s="2134"/>
      <c r="O245" s="1499"/>
      <c r="P245" s="2134"/>
      <c r="Q245" s="2134"/>
      <c r="R245" s="1499"/>
      <c r="S245" s="2121">
        <f>'Part III-A-Uses of Funds'!S132</f>
        <v>0</v>
      </c>
      <c r="T245" s="2121"/>
      <c r="U245" s="1499"/>
      <c r="V245" s="2239"/>
    </row>
    <row r="246" spans="1:22">
      <c r="A246" s="1499"/>
      <c r="B246" s="1499" t="s">
        <v>686</v>
      </c>
      <c r="C246" s="1499"/>
      <c r="D246" s="1499"/>
      <c r="E246" s="2244" t="s">
        <v>687</v>
      </c>
      <c r="F246" s="2291">
        <f>'Part III-A-Uses of Funds'!F133</f>
        <v>376.88442211055275</v>
      </c>
      <c r="G246" s="2121">
        <f>'Part III-A-Uses of Funds'!G133</f>
        <v>75000</v>
      </c>
      <c r="H246" s="2121"/>
      <c r="I246" s="1499"/>
      <c r="J246" s="2121">
        <f>'Part III-A-Uses of Funds'!J133</f>
        <v>0</v>
      </c>
      <c r="K246" s="2121"/>
      <c r="L246" s="2119"/>
      <c r="M246" s="2121">
        <f>'Part III-A-Uses of Funds'!M133</f>
        <v>0</v>
      </c>
      <c r="N246" s="2121"/>
      <c r="O246" s="1499"/>
      <c r="P246" s="2121">
        <f>'Part III-A-Uses of Funds'!P133</f>
        <v>75000</v>
      </c>
      <c r="Q246" s="2121"/>
      <c r="R246" s="1499"/>
      <c r="S246" s="2121">
        <f>'Part III-A-Uses of Funds'!S133</f>
        <v>0</v>
      </c>
      <c r="T246" s="2121"/>
      <c r="U246" s="1499"/>
      <c r="V246" s="2239"/>
    </row>
    <row r="247" spans="1:22" ht="16.5" customHeight="1">
      <c r="A247" s="2240" t="str">
        <f>IF(AND(G247&gt;0,OR(C247="",C247="&lt;Enter detailed description here; use Comments section if needed&gt;")),"X","")</f>
        <v/>
      </c>
      <c r="B247" s="2196" t="s">
        <v>650</v>
      </c>
      <c r="C247" s="2241" t="str">
        <f>'Part III-A-Uses of Funds'!C134</f>
        <v>&lt;&lt; Enter description here; provide detail &amp; justification in tab Part III-b &gt;&gt;</v>
      </c>
      <c r="D247" s="2241"/>
      <c r="E247" s="2241"/>
      <c r="F247" s="2241"/>
      <c r="G247" s="2121">
        <f>'Part III-A-Uses of Funds'!G134</f>
        <v>0</v>
      </c>
      <c r="H247" s="2121"/>
      <c r="I247" s="1499"/>
      <c r="J247" s="2121">
        <f>'Part III-A-Uses of Funds'!J134</f>
        <v>0</v>
      </c>
      <c r="K247" s="2121"/>
      <c r="L247" s="2119"/>
      <c r="M247" s="2121">
        <f>'Part III-A-Uses of Funds'!M134</f>
        <v>0</v>
      </c>
      <c r="N247" s="2121"/>
      <c r="O247" s="1499"/>
      <c r="P247" s="2121">
        <f>'Part III-A-Uses of Funds'!P134</f>
        <v>0</v>
      </c>
      <c r="Q247" s="2121"/>
      <c r="R247" s="1499"/>
      <c r="S247" s="2121">
        <f>'Part III-A-Uses of Funds'!S134</f>
        <v>0</v>
      </c>
      <c r="T247" s="2121"/>
      <c r="U247" s="2198" t="str">
        <f>IF(AND(G247&gt;0,OR(C247="",C247="&lt;Enter detailed description here; use Comments section if needed&gt;")),"NO DESCRIPTION PROVIDED - please enter detailed description in Other box at left; use Comments section below if needed.","")</f>
        <v/>
      </c>
      <c r="V247" s="2239"/>
    </row>
    <row r="248" spans="1:22">
      <c r="A248" s="1499"/>
      <c r="B248" s="2292"/>
      <c r="C248" s="1499"/>
      <c r="D248" s="1499"/>
      <c r="E248" s="1499"/>
      <c r="F248" s="2243" t="s">
        <v>536</v>
      </c>
      <c r="G248" s="2121">
        <f>SUM(G242:G247)</f>
        <v>1480612.3682879163</v>
      </c>
      <c r="H248" s="2121"/>
      <c r="I248" s="1499"/>
      <c r="J248" s="2121">
        <f>SUM(J246:J247)</f>
        <v>0</v>
      </c>
      <c r="K248" s="2121"/>
      <c r="L248" s="2119"/>
      <c r="M248" s="2121">
        <f>SUM(M246:M247)</f>
        <v>0</v>
      </c>
      <c r="N248" s="2121"/>
      <c r="O248" s="1499"/>
      <c r="P248" s="2121">
        <f>SUM(P246:P247)</f>
        <v>75000</v>
      </c>
      <c r="Q248" s="2121"/>
      <c r="R248" s="1499"/>
      <c r="S248" s="2121">
        <f>SUM(S242:S247)</f>
        <v>1405612.3682879163</v>
      </c>
      <c r="T248" s="2121"/>
      <c r="U248" s="1499"/>
      <c r="V248" s="2239">
        <f>SUM(V242:V247)</f>
        <v>0</v>
      </c>
    </row>
    <row r="249" spans="1:22">
      <c r="A249" s="1499"/>
      <c r="B249" s="1499"/>
      <c r="C249" s="1499"/>
      <c r="D249" s="1499"/>
      <c r="E249" s="1499"/>
      <c r="F249" s="1499"/>
      <c r="G249" s="1499"/>
      <c r="H249" s="1499"/>
      <c r="I249" s="2293"/>
      <c r="J249" s="1499"/>
      <c r="K249" s="1499"/>
      <c r="L249" s="2293"/>
      <c r="M249" s="1499"/>
      <c r="N249" s="1499"/>
      <c r="O249" s="1499"/>
      <c r="P249" s="1499"/>
      <c r="Q249" s="1499"/>
      <c r="R249" s="1499"/>
      <c r="S249" s="1499"/>
      <c r="T249" s="1499"/>
      <c r="U249" s="1499"/>
      <c r="V249" s="2239"/>
    </row>
    <row r="250" spans="1:22">
      <c r="A250" s="1499"/>
      <c r="B250" s="1499"/>
      <c r="C250" s="1499"/>
      <c r="D250" s="2197"/>
      <c r="E250" s="2197"/>
      <c r="F250" s="1499"/>
      <c r="G250" s="1499"/>
      <c r="H250" s="1499"/>
      <c r="I250" s="2294"/>
      <c r="J250" s="2294"/>
      <c r="K250" s="2140"/>
      <c r="L250" s="2197"/>
      <c r="M250" s="1499"/>
      <c r="N250" s="1499"/>
      <c r="O250" s="1499"/>
      <c r="P250" s="1499"/>
      <c r="Q250" s="1499"/>
      <c r="R250" s="1499"/>
      <c r="S250" s="1499"/>
      <c r="T250" s="1499"/>
      <c r="U250" s="1499"/>
      <c r="V250" s="2239"/>
    </row>
    <row r="251" spans="1:22">
      <c r="A251" s="2189"/>
      <c r="B251" s="2189"/>
      <c r="C251" s="2189"/>
      <c r="D251" s="2189"/>
      <c r="E251" s="2189"/>
      <c r="F251" s="2189"/>
      <c r="G251" s="2189"/>
      <c r="H251" s="2189"/>
      <c r="I251" s="2189"/>
      <c r="J251" s="2189"/>
      <c r="K251" s="2189"/>
      <c r="L251" s="2189"/>
      <c r="M251" s="2189"/>
      <c r="N251" s="2189"/>
      <c r="O251" s="2189"/>
      <c r="P251" s="2189"/>
      <c r="Q251" s="2189"/>
      <c r="R251" s="2189"/>
      <c r="S251" s="2189"/>
      <c r="T251" s="2189"/>
      <c r="U251" s="1499"/>
      <c r="V251" s="2239"/>
    </row>
    <row r="252" spans="1:22" ht="17.25" customHeight="1">
      <c r="A252" s="2236" t="s">
        <v>21</v>
      </c>
      <c r="B252" s="2236" t="s">
        <v>6968</v>
      </c>
      <c r="C252" s="1499"/>
      <c r="D252" s="1499"/>
      <c r="E252" s="1499"/>
      <c r="F252" s="1499"/>
      <c r="G252" s="1499"/>
      <c r="H252" s="1499"/>
      <c r="I252" s="1499"/>
      <c r="J252" s="2190" t="s">
        <v>517</v>
      </c>
      <c r="K252" s="2190"/>
      <c r="L252" s="2121"/>
      <c r="M252" s="2127" t="s">
        <v>518</v>
      </c>
      <c r="N252" s="2127"/>
      <c r="O252" s="1499"/>
      <c r="P252" s="2190" t="s">
        <v>519</v>
      </c>
      <c r="Q252" s="2190"/>
      <c r="R252" s="1499"/>
      <c r="S252" s="2190" t="s">
        <v>520</v>
      </c>
      <c r="T252" s="2190"/>
      <c r="U252" s="1499"/>
      <c r="V252" s="2238" t="str">
        <f>B252</f>
        <v>DEVELOPMENT BUDGET  (cont'd)</v>
      </c>
    </row>
    <row r="253" spans="1:22">
      <c r="A253" s="1499"/>
      <c r="B253" s="1499"/>
      <c r="C253" s="1499"/>
      <c r="D253" s="1499"/>
      <c r="E253" s="1499"/>
      <c r="F253" s="1499"/>
      <c r="G253" s="2188" t="s">
        <v>521</v>
      </c>
      <c r="H253" s="2188"/>
      <c r="I253" s="1499"/>
      <c r="J253" s="2190"/>
      <c r="K253" s="2190"/>
      <c r="L253" s="2121"/>
      <c r="M253" s="2127"/>
      <c r="N253" s="2127"/>
      <c r="O253" s="1499"/>
      <c r="P253" s="2190"/>
      <c r="Q253" s="2190"/>
      <c r="R253" s="1499"/>
      <c r="S253" s="2190"/>
      <c r="T253" s="2190"/>
      <c r="U253" s="1499"/>
      <c r="V253" s="280" t="s">
        <v>358</v>
      </c>
    </row>
    <row r="254" spans="1:22">
      <c r="A254" s="1499"/>
      <c r="B254" s="2188" t="s">
        <v>689</v>
      </c>
      <c r="C254" s="2197"/>
      <c r="D254" s="1499"/>
      <c r="E254" s="1499"/>
      <c r="F254" s="1499"/>
      <c r="G254" s="1499"/>
      <c r="H254" s="2294"/>
      <c r="I254" s="2294"/>
      <c r="J254" s="2121"/>
      <c r="K254" s="2121"/>
      <c r="L254" s="1499"/>
      <c r="M254" s="2121"/>
      <c r="N254" s="2121"/>
      <c r="O254" s="2128" t="str">
        <f>B254</f>
        <v>OTHER COSTS</v>
      </c>
      <c r="P254" s="2121"/>
      <c r="Q254" s="2121"/>
      <c r="R254" s="1499"/>
      <c r="S254" s="2121"/>
      <c r="T254" s="2121"/>
      <c r="U254" s="1499"/>
      <c r="V254" s="2239"/>
    </row>
    <row r="255" spans="1:22">
      <c r="A255" s="1499"/>
      <c r="B255" s="1499" t="s">
        <v>690</v>
      </c>
      <c r="C255" s="2197"/>
      <c r="D255" s="1499"/>
      <c r="E255" s="1499"/>
      <c r="F255" s="1499"/>
      <c r="G255" s="2121">
        <f>'Part III-A-Uses of Funds'!G142</f>
        <v>547250</v>
      </c>
      <c r="H255" s="2121"/>
      <c r="I255" s="1499"/>
      <c r="J255" s="2121">
        <f>'Part III-A-Uses of Funds'!J142</f>
        <v>0</v>
      </c>
      <c r="K255" s="2121"/>
      <c r="L255" s="2119"/>
      <c r="M255" s="2121">
        <f>'Part III-A-Uses of Funds'!M142</f>
        <v>0</v>
      </c>
      <c r="N255" s="2121"/>
      <c r="O255" s="1499"/>
      <c r="P255" s="2121">
        <f>'Part III-A-Uses of Funds'!P142</f>
        <v>547250</v>
      </c>
      <c r="Q255" s="2121"/>
      <c r="R255" s="1499"/>
      <c r="S255" s="2121">
        <f>'Part III-A-Uses of Funds'!S142</f>
        <v>0</v>
      </c>
      <c r="T255" s="2121"/>
      <c r="U255" s="1499"/>
      <c r="V255" s="2239"/>
    </row>
    <row r="256" spans="1:22" ht="16.5" customHeight="1">
      <c r="A256" s="2240" t="str">
        <f>IF(AND(G256&gt;0,OR(C256="",C256="&lt;Enter detailed description here; use Comments section if needed&gt;")),"X","")</f>
        <v/>
      </c>
      <c r="B256" s="2196" t="s">
        <v>650</v>
      </c>
      <c r="C256" s="2241" t="str">
        <f>'Part III-A-Uses of Funds'!C143</f>
        <v>&lt;&lt; Enter description here; provide detail &amp; justification in tab Part III-b &gt;&gt;</v>
      </c>
      <c r="D256" s="2241"/>
      <c r="E256" s="2241"/>
      <c r="F256" s="2241"/>
      <c r="G256" s="2121">
        <f>'Part III-A-Uses of Funds'!G143</f>
        <v>0</v>
      </c>
      <c r="H256" s="2121"/>
      <c r="I256" s="1499"/>
      <c r="J256" s="2121">
        <f>'Part III-A-Uses of Funds'!J143</f>
        <v>0</v>
      </c>
      <c r="K256" s="2121"/>
      <c r="L256" s="2119"/>
      <c r="M256" s="2121">
        <f>'Part III-A-Uses of Funds'!M143</f>
        <v>0</v>
      </c>
      <c r="N256" s="2121"/>
      <c r="O256" s="1499"/>
      <c r="P256" s="2121">
        <f>'Part III-A-Uses of Funds'!P143</f>
        <v>0</v>
      </c>
      <c r="Q256" s="2121"/>
      <c r="R256" s="1499"/>
      <c r="S256" s="2121">
        <f>'Part III-A-Uses of Funds'!S143</f>
        <v>0</v>
      </c>
      <c r="T256" s="2121"/>
      <c r="U256" s="2198" t="str">
        <f>IF(AND(G256&gt;0,OR(C256="",C256="&lt;Enter detailed description here; use Comments section if needed&gt;")),"NO DESCRIPTION PROVIDED - please enter detailed description in Other box at left; use Comments section below if needed.","")</f>
        <v/>
      </c>
      <c r="V256" s="2239"/>
    </row>
    <row r="257" spans="1:22">
      <c r="A257" s="1499"/>
      <c r="B257" s="1499"/>
      <c r="C257" s="2197"/>
      <c r="D257" s="1499"/>
      <c r="E257" s="1499"/>
      <c r="F257" s="2243" t="s">
        <v>536</v>
      </c>
      <c r="G257" s="2121">
        <f>SUM(G255:G256)</f>
        <v>547250</v>
      </c>
      <c r="H257" s="2121"/>
      <c r="I257" s="1499"/>
      <c r="J257" s="2121">
        <f>SUM(J255:J256)</f>
        <v>0</v>
      </c>
      <c r="K257" s="2121"/>
      <c r="L257" s="2119"/>
      <c r="M257" s="2121">
        <f>SUM(M255:M256)</f>
        <v>0</v>
      </c>
      <c r="N257" s="2121"/>
      <c r="O257" s="1499"/>
      <c r="P257" s="2121">
        <f>SUM(P255:P256)</f>
        <v>547250</v>
      </c>
      <c r="Q257" s="2121"/>
      <c r="R257" s="1499"/>
      <c r="S257" s="2121">
        <f>SUM(S255:S256)</f>
        <v>0</v>
      </c>
      <c r="T257" s="2121"/>
      <c r="U257" s="1499"/>
      <c r="V257" s="2239">
        <f>SUM(V255:V256)</f>
        <v>0</v>
      </c>
    </row>
    <row r="258" spans="1:22">
      <c r="A258" s="1499"/>
      <c r="B258" s="1499"/>
      <c r="C258" s="2197"/>
      <c r="D258" s="1499"/>
      <c r="E258" s="1499"/>
      <c r="F258" s="1499"/>
      <c r="G258" s="1499"/>
      <c r="H258" s="2294"/>
      <c r="I258" s="2294"/>
      <c r="J258" s="1499"/>
      <c r="K258" s="1499"/>
      <c r="L258" s="1499"/>
      <c r="M258" s="1499"/>
      <c r="N258" s="1499"/>
      <c r="O258" s="1499"/>
      <c r="P258" s="1499"/>
      <c r="Q258" s="1499"/>
      <c r="R258" s="1499"/>
      <c r="S258" s="1499"/>
      <c r="T258" s="1499"/>
      <c r="U258" s="1499"/>
      <c r="V258" s="2239"/>
    </row>
    <row r="259" spans="1:22" ht="16.5">
      <c r="A259" s="1499"/>
      <c r="B259" s="2295" t="s">
        <v>6970</v>
      </c>
      <c r="C259" s="1499"/>
      <c r="D259" s="1499"/>
      <c r="E259" s="2244"/>
      <c r="F259" s="2296"/>
      <c r="G259" s="2141">
        <f ca="1">G131+G137+G141+G149+G154+G159+G168+G186+G199+G205+G216+G227+G233+G240+G248+G257</f>
        <v>35829793.968287915</v>
      </c>
      <c r="H259" s="2141"/>
      <c r="I259" s="1499"/>
      <c r="J259" s="2141">
        <f>J131+J137+J141+J149+J154+J159+J168+J186+J199+J205+J216+J227+J233+J240+J248+J257</f>
        <v>0</v>
      </c>
      <c r="K259" s="2141"/>
      <c r="L259" s="1499"/>
      <c r="M259" s="2141">
        <f>M131+M137+M141+M149+M154+M159+M168+M186+M199+M205+M216+M227+M233+M240+M248+M257</f>
        <v>13259000</v>
      </c>
      <c r="N259" s="2141"/>
      <c r="O259" s="1499"/>
      <c r="P259" s="2141">
        <f>P131+P137+P141+P149+P154+P159+P168+P186+P199+P205+P216+P227+P233+P240+P248+P257</f>
        <v>18909356.600000001</v>
      </c>
      <c r="Q259" s="2141"/>
      <c r="R259" s="1499"/>
      <c r="S259" s="2141">
        <f ca="1">S131+S137+S141+S149+S154+S159+S168+S186+S199+S205+S216+S227+S233+S240+S248+S257</f>
        <v>3661437.3682879163</v>
      </c>
      <c r="T259" s="2141"/>
      <c r="U259" s="1499"/>
      <c r="V259" s="2239">
        <f>V131+V137+V141+V149+V154+V159+V168+V186+V199+V205+V216+V227+V233+V240+V248+V257</f>
        <v>0</v>
      </c>
    </row>
    <row r="260" spans="1:22">
      <c r="A260" s="1499"/>
      <c r="B260" s="1499"/>
      <c r="C260" s="2197"/>
      <c r="D260" s="1499"/>
      <c r="E260" s="1499"/>
      <c r="F260" s="1499"/>
      <c r="G260" s="1499"/>
      <c r="H260" s="2294"/>
      <c r="I260" s="2294"/>
      <c r="J260" s="1499"/>
      <c r="K260" s="1499"/>
      <c r="L260" s="1499"/>
      <c r="M260" s="1499"/>
      <c r="N260" s="1499"/>
      <c r="O260" s="1499"/>
      <c r="P260" s="1499"/>
      <c r="Q260" s="1499"/>
      <c r="R260" s="1499"/>
      <c r="S260" s="1499"/>
      <c r="T260" s="1499"/>
      <c r="U260" s="1499"/>
      <c r="V260" s="2239"/>
    </row>
    <row r="261" spans="1:22">
      <c r="A261" s="1499"/>
      <c r="B261" s="2297" t="s">
        <v>6971</v>
      </c>
      <c r="C261" s="2255"/>
      <c r="D261" s="2142">
        <f ca="1">IF('Part V-Revenues &amp; Expenses'!$P$67=0,0,G259/'Part V-Revenues &amp; Expenses'!$P$67)</f>
        <v>180049.21592104479</v>
      </c>
      <c r="E261" s="2142"/>
      <c r="F261" s="2269" t="s">
        <v>693</v>
      </c>
      <c r="G261" s="2142">
        <f ca="1">IF('Part V-Revenues &amp; Expenses'!$K$175=0,0,G259/'Part V-Revenues &amp; Expenses'!$K$175)</f>
        <v>167.12904866169077</v>
      </c>
      <c r="H261" s="2142"/>
      <c r="I261" s="2293"/>
      <c r="J261" s="1499"/>
      <c r="K261" s="1499"/>
      <c r="L261" s="1499"/>
      <c r="M261" s="1499"/>
      <c r="N261" s="1499"/>
      <c r="O261" s="1499"/>
      <c r="P261" s="1499"/>
      <c r="Q261" s="1499"/>
      <c r="R261" s="1499"/>
      <c r="S261" s="1499"/>
      <c r="T261" s="1499"/>
      <c r="U261" s="1499"/>
      <c r="V261" s="2239"/>
    </row>
    <row r="262" spans="1:22">
      <c r="A262" s="1499"/>
      <c r="B262" s="2297"/>
      <c r="C262" s="2255"/>
      <c r="D262" s="2143"/>
      <c r="E262" s="2143"/>
      <c r="F262" s="2269"/>
      <c r="G262" s="2142"/>
      <c r="H262" s="2142"/>
      <c r="I262" s="2293"/>
      <c r="J262" s="1499"/>
      <c r="K262" s="1499"/>
      <c r="L262" s="1499"/>
      <c r="M262" s="1499"/>
      <c r="N262" s="1499"/>
      <c r="O262" s="1499"/>
      <c r="P262" s="1499"/>
      <c r="Q262" s="1499"/>
      <c r="R262" s="1499"/>
      <c r="S262" s="1499"/>
      <c r="T262" s="1499"/>
      <c r="U262" s="1499"/>
      <c r="V262" s="2239"/>
    </row>
    <row r="263" spans="1:22" ht="16.5" customHeight="1">
      <c r="A263" s="2236" t="s">
        <v>25</v>
      </c>
      <c r="B263" s="2298" t="s">
        <v>694</v>
      </c>
      <c r="C263" s="2189"/>
      <c r="D263" s="2119"/>
      <c r="E263" s="2119"/>
      <c r="F263" s="2119"/>
      <c r="G263" s="1499"/>
      <c r="H263" s="1499"/>
      <c r="I263" s="2299"/>
      <c r="J263" s="2190" t="s">
        <v>517</v>
      </c>
      <c r="K263" s="2190"/>
      <c r="L263" s="1499"/>
      <c r="M263" s="2190" t="s">
        <v>695</v>
      </c>
      <c r="N263" s="2190"/>
      <c r="O263" s="1499"/>
      <c r="P263" s="2190" t="s">
        <v>519</v>
      </c>
      <c r="Q263" s="2190"/>
      <c r="R263" s="1499"/>
      <c r="S263" s="1499"/>
      <c r="T263" s="1499"/>
      <c r="U263" s="1499"/>
      <c r="V263" s="2239"/>
    </row>
    <row r="264" spans="1:22">
      <c r="A264" s="1499"/>
      <c r="B264" s="2198" t="s">
        <v>696</v>
      </c>
      <c r="C264" s="1499"/>
      <c r="D264" s="2119"/>
      <c r="E264" s="2119"/>
      <c r="F264" s="1499"/>
      <c r="G264" s="1499"/>
      <c r="H264" s="1499"/>
      <c r="I264" s="2299"/>
      <c r="J264" s="2190"/>
      <c r="K264" s="2190"/>
      <c r="L264" s="2189"/>
      <c r="M264" s="2190"/>
      <c r="N264" s="2190"/>
      <c r="O264" s="1499"/>
      <c r="P264" s="2190"/>
      <c r="Q264" s="2190"/>
      <c r="R264" s="1499"/>
      <c r="S264" s="1499"/>
      <c r="T264" s="1499"/>
      <c r="U264" s="1499"/>
      <c r="V264" s="2239"/>
    </row>
    <row r="265" spans="1:22">
      <c r="A265" s="1499"/>
      <c r="B265" s="1499"/>
      <c r="C265" s="1499"/>
      <c r="D265" s="2197"/>
      <c r="E265" s="2197"/>
      <c r="F265" s="1499"/>
      <c r="G265" s="1499"/>
      <c r="H265" s="1499"/>
      <c r="I265" s="2294"/>
      <c r="J265" s="2294"/>
      <c r="K265" s="2140"/>
      <c r="L265" s="2197"/>
      <c r="M265" s="1499"/>
      <c r="N265" s="1499"/>
      <c r="O265" s="1499"/>
      <c r="P265" s="1499"/>
      <c r="Q265" s="1499"/>
      <c r="R265" s="1499"/>
      <c r="S265" s="1499"/>
      <c r="T265" s="1499"/>
      <c r="U265" s="1499"/>
      <c r="V265" s="2239"/>
    </row>
    <row r="266" spans="1:22">
      <c r="A266" s="1499"/>
      <c r="B266" s="2197" t="s">
        <v>697</v>
      </c>
      <c r="C266" s="1499"/>
      <c r="D266" s="1499"/>
      <c r="E266" s="1499"/>
      <c r="F266" s="1499"/>
      <c r="G266" s="1499"/>
      <c r="H266" s="1499"/>
      <c r="I266" s="2299"/>
      <c r="J266" s="2221">
        <f>'Part III-A-Uses of Funds'!J153</f>
        <v>0</v>
      </c>
      <c r="K266" s="2221"/>
      <c r="L266" s="1499"/>
      <c r="M266" s="1499"/>
      <c r="N266" s="1499"/>
      <c r="O266" s="1499"/>
      <c r="P266" s="2221">
        <f>'Part III-A-Uses of Funds'!P153</f>
        <v>0</v>
      </c>
      <c r="Q266" s="2221"/>
      <c r="R266" s="1499"/>
      <c r="S266" s="1499"/>
      <c r="T266" s="1499"/>
      <c r="U266" s="1499"/>
      <c r="V266" s="2239"/>
    </row>
    <row r="267" spans="1:22">
      <c r="A267" s="1499"/>
      <c r="B267" s="1499" t="s">
        <v>698</v>
      </c>
      <c r="C267" s="1499"/>
      <c r="D267" s="1499"/>
      <c r="E267" s="1499"/>
      <c r="F267" s="1499"/>
      <c r="G267" s="1499"/>
      <c r="H267" s="1499"/>
      <c r="I267" s="2299"/>
      <c r="J267" s="2221">
        <f>'Part III-A-Uses of Funds'!J154</f>
        <v>0</v>
      </c>
      <c r="K267" s="2221"/>
      <c r="L267" s="1499"/>
      <c r="M267" s="1499"/>
      <c r="N267" s="1499"/>
      <c r="O267" s="1499"/>
      <c r="P267" s="2221">
        <f>'Part III-A-Uses of Funds'!P154</f>
        <v>0</v>
      </c>
      <c r="Q267" s="2221"/>
      <c r="R267" s="1499"/>
      <c r="S267" s="1499"/>
      <c r="T267" s="1499"/>
      <c r="U267" s="1499"/>
      <c r="V267" s="2239"/>
    </row>
    <row r="268" spans="1:22">
      <c r="A268" s="1499"/>
      <c r="B268" s="1499" t="s">
        <v>699</v>
      </c>
      <c r="C268" s="1499"/>
      <c r="D268" s="1499"/>
      <c r="E268" s="1499"/>
      <c r="F268" s="1499"/>
      <c r="G268" s="1499"/>
      <c r="H268" s="1499"/>
      <c r="I268" s="2299"/>
      <c r="J268" s="2221">
        <f>'Part III-A-Uses of Funds'!J155</f>
        <v>0</v>
      </c>
      <c r="K268" s="2221"/>
      <c r="L268" s="1499"/>
      <c r="M268" s="1499"/>
      <c r="N268" s="1499"/>
      <c r="O268" s="1499"/>
      <c r="P268" s="2221">
        <f>'Part III-A-Uses of Funds'!P155</f>
        <v>0</v>
      </c>
      <c r="Q268" s="2221"/>
      <c r="R268" s="1499"/>
      <c r="S268" s="1499"/>
      <c r="T268" s="1499"/>
      <c r="U268" s="1499"/>
      <c r="V268" s="2239"/>
    </row>
    <row r="269" spans="1:22">
      <c r="A269" s="1499"/>
      <c r="B269" s="1499" t="s">
        <v>700</v>
      </c>
      <c r="C269" s="1499"/>
      <c r="D269" s="1499"/>
      <c r="E269" s="1499"/>
      <c r="F269" s="1499"/>
      <c r="G269" s="1499"/>
      <c r="H269" s="1499"/>
      <c r="I269" s="2299"/>
      <c r="J269" s="2221">
        <f>'Part III-A-Uses of Funds'!J156</f>
        <v>0</v>
      </c>
      <c r="K269" s="2221"/>
      <c r="L269" s="1499"/>
      <c r="M269" s="1499"/>
      <c r="N269" s="1499"/>
      <c r="O269" s="1499"/>
      <c r="P269" s="2221">
        <f>'Part III-A-Uses of Funds'!P156</f>
        <v>0</v>
      </c>
      <c r="Q269" s="2221"/>
      <c r="R269" s="1499"/>
      <c r="S269" s="1499"/>
      <c r="T269" s="1499"/>
      <c r="U269" s="1499"/>
      <c r="V269" s="2239"/>
    </row>
    <row r="270" spans="1:22">
      <c r="A270" s="1499"/>
      <c r="B270" s="1499" t="s">
        <v>701</v>
      </c>
      <c r="C270" s="1499"/>
      <c r="D270" s="1499"/>
      <c r="E270" s="1499"/>
      <c r="F270" s="1499"/>
      <c r="G270" s="1499"/>
      <c r="H270" s="1499"/>
      <c r="I270" s="2299"/>
      <c r="J270" s="2221">
        <f>'Part III-A-Uses of Funds'!J157</f>
        <v>0</v>
      </c>
      <c r="K270" s="2221"/>
      <c r="L270" s="1499"/>
      <c r="M270" s="1499"/>
      <c r="N270" s="1499"/>
      <c r="O270" s="1499"/>
      <c r="P270" s="2221">
        <f>'Part III-A-Uses of Funds'!P157</f>
        <v>0</v>
      </c>
      <c r="Q270" s="2221"/>
      <c r="R270" s="1499"/>
      <c r="S270" s="1499"/>
      <c r="T270" s="1499"/>
      <c r="U270" s="1499"/>
      <c r="V270" s="2239"/>
    </row>
    <row r="271" spans="1:22" ht="13.5" customHeight="1">
      <c r="A271" s="1499"/>
      <c r="B271" s="1499" t="s">
        <v>702</v>
      </c>
      <c r="C271" s="2219" t="str">
        <f>'Part III-A-Uses of Funds'!C158</f>
        <v>&lt;Enter detailed description here; use Comments section if needed&gt;</v>
      </c>
      <c r="D271" s="2219"/>
      <c r="E271" s="2219"/>
      <c r="F271" s="2219"/>
      <c r="G271" s="2219"/>
      <c r="H271" s="2219"/>
      <c r="I271" s="2219"/>
      <c r="J271" s="2221">
        <f>'Part III-A-Uses of Funds'!J158</f>
        <v>0</v>
      </c>
      <c r="K271" s="2221"/>
      <c r="L271" s="1499"/>
      <c r="M271" s="1499"/>
      <c r="N271" s="1499"/>
      <c r="O271" s="1499"/>
      <c r="P271" s="2221">
        <f>'Part III-A-Uses of Funds'!P158</f>
        <v>0</v>
      </c>
      <c r="Q271" s="2221"/>
      <c r="R271" s="1499"/>
      <c r="S271" s="1499"/>
      <c r="T271" s="1499"/>
      <c r="U271" s="1499"/>
      <c r="V271" s="2239"/>
    </row>
    <row r="272" spans="1:22">
      <c r="A272" s="1499"/>
      <c r="B272" s="2188" t="s">
        <v>704</v>
      </c>
      <c r="C272" s="2300"/>
      <c r="D272" s="1499"/>
      <c r="E272" s="1499"/>
      <c r="F272" s="1499"/>
      <c r="G272" s="1499"/>
      <c r="H272" s="1499"/>
      <c r="I272" s="1499"/>
      <c r="J272" s="2221">
        <f>SUM(J266:K271)</f>
        <v>0</v>
      </c>
      <c r="K272" s="2221"/>
      <c r="L272" s="1499"/>
      <c r="M272" s="1499"/>
      <c r="N272" s="1499"/>
      <c r="O272" s="1499"/>
      <c r="P272" s="2221">
        <f>SUM(P266:Q271)</f>
        <v>0</v>
      </c>
      <c r="Q272" s="2221"/>
      <c r="R272" s="1499"/>
      <c r="S272" s="1499"/>
      <c r="T272" s="1499"/>
      <c r="U272" s="1499"/>
      <c r="V272" s="2239">
        <f>SUM(V266:V271)</f>
        <v>0</v>
      </c>
    </row>
    <row r="273" spans="1:22">
      <c r="A273" s="1499"/>
      <c r="B273" s="1499"/>
      <c r="C273" s="1499"/>
      <c r="D273" s="1499"/>
      <c r="E273" s="1499"/>
      <c r="F273" s="1499"/>
      <c r="G273" s="1499"/>
      <c r="H273" s="1499"/>
      <c r="I273" s="1499"/>
      <c r="J273" s="1499"/>
      <c r="K273" s="1499"/>
      <c r="L273" s="1499"/>
      <c r="M273" s="1499"/>
      <c r="N273" s="1499"/>
      <c r="O273" s="1499"/>
      <c r="P273" s="1499"/>
      <c r="Q273" s="1499"/>
      <c r="R273" s="1499"/>
      <c r="S273" s="1499"/>
      <c r="T273" s="1499"/>
      <c r="U273" s="1499"/>
      <c r="V273" s="2239"/>
    </row>
    <row r="274" spans="1:22">
      <c r="A274" s="1499"/>
      <c r="B274" s="2188" t="s">
        <v>705</v>
      </c>
      <c r="C274" s="1499"/>
      <c r="D274" s="1499"/>
      <c r="E274" s="1499"/>
      <c r="F274" s="1499"/>
      <c r="G274" s="1499"/>
      <c r="H274" s="1499"/>
      <c r="I274" s="1499"/>
      <c r="J274" s="1499"/>
      <c r="K274" s="1499"/>
      <c r="L274" s="1499"/>
      <c r="M274" s="1499"/>
      <c r="N274" s="1499"/>
      <c r="O274" s="1499"/>
      <c r="P274" s="1499"/>
      <c r="Q274" s="1499"/>
      <c r="R274" s="1499"/>
      <c r="S274" s="1499"/>
      <c r="T274" s="1499"/>
      <c r="U274" s="1499"/>
      <c r="V274" s="2239"/>
    </row>
    <row r="275" spans="1:22" ht="12.75" customHeight="1">
      <c r="A275" s="1499"/>
      <c r="B275" s="1499" t="s">
        <v>706</v>
      </c>
      <c r="C275" s="1499"/>
      <c r="D275" s="1499"/>
      <c r="E275" s="1499"/>
      <c r="F275" s="1499"/>
      <c r="G275" s="1499"/>
      <c r="H275" s="1499"/>
      <c r="I275" s="1499"/>
      <c r="J275" s="2222">
        <f>J259</f>
        <v>0</v>
      </c>
      <c r="K275" s="2222"/>
      <c r="L275" s="1499"/>
      <c r="M275" s="2222">
        <f>M259</f>
        <v>13259000</v>
      </c>
      <c r="N275" s="2222"/>
      <c r="O275" s="1499"/>
      <c r="P275" s="2222">
        <f>P259</f>
        <v>18909356.600000001</v>
      </c>
      <c r="Q275" s="2222"/>
      <c r="R275" s="2301" t="s">
        <v>707</v>
      </c>
      <c r="S275" s="2301"/>
      <c r="T275" s="2301"/>
      <c r="U275" s="1499"/>
      <c r="V275" s="2239"/>
    </row>
    <row r="276" spans="1:22">
      <c r="A276" s="1499"/>
      <c r="B276" s="1499" t="s">
        <v>708</v>
      </c>
      <c r="C276" s="1499"/>
      <c r="D276" s="1499"/>
      <c r="E276" s="1499"/>
      <c r="F276" s="1499"/>
      <c r="G276" s="1499"/>
      <c r="H276" s="1499"/>
      <c r="I276" s="1499"/>
      <c r="J276" s="2222">
        <f>J272</f>
        <v>0</v>
      </c>
      <c r="K276" s="2222"/>
      <c r="L276" s="1499"/>
      <c r="M276" s="2222"/>
      <c r="N276" s="2222"/>
      <c r="O276" s="1499"/>
      <c r="P276" s="2222">
        <f>P272</f>
        <v>0</v>
      </c>
      <c r="Q276" s="2222"/>
      <c r="R276" s="2301"/>
      <c r="S276" s="2301"/>
      <c r="T276" s="2301"/>
      <c r="U276" s="2283"/>
      <c r="V276" s="2239"/>
    </row>
    <row r="277" spans="1:22">
      <c r="A277" s="1499"/>
      <c r="B277" s="1499" t="s">
        <v>709</v>
      </c>
      <c r="C277" s="1499"/>
      <c r="D277" s="1499"/>
      <c r="E277" s="1499"/>
      <c r="F277" s="1499"/>
      <c r="G277" s="1499"/>
      <c r="H277" s="1499"/>
      <c r="I277" s="1499"/>
      <c r="J277" s="2222">
        <f>J275-J276</f>
        <v>0</v>
      </c>
      <c r="K277" s="2222"/>
      <c r="L277" s="1499"/>
      <c r="M277" s="2222">
        <f>M275</f>
        <v>13259000</v>
      </c>
      <c r="N277" s="2222"/>
      <c r="O277" s="1499"/>
      <c r="P277" s="2222">
        <f>P275-P276</f>
        <v>18909356.600000001</v>
      </c>
      <c r="Q277" s="2222"/>
      <c r="R277" s="2301"/>
      <c r="S277" s="2301"/>
      <c r="T277" s="2301"/>
      <c r="U277" s="2283"/>
      <c r="V277" s="2239"/>
    </row>
    <row r="278" spans="1:22">
      <c r="A278" s="1499"/>
      <c r="B278" s="1499" t="s">
        <v>710</v>
      </c>
      <c r="C278" s="1499"/>
      <c r="D278" s="1499"/>
      <c r="E278" s="1499"/>
      <c r="F278" s="1499"/>
      <c r="G278" s="1324" t="s">
        <v>711</v>
      </c>
      <c r="H278" s="1499" t="str">
        <f>'Part III-A-Uses of Funds'!H165</f>
        <v>DDA/QCT</v>
      </c>
      <c r="I278" s="1499"/>
      <c r="J278" s="2302">
        <f>'Part III-A-Uses of Funds'!J165</f>
        <v>0</v>
      </c>
      <c r="K278" s="2302"/>
      <c r="L278" s="1499"/>
      <c r="M278" s="2302"/>
      <c r="N278" s="2302"/>
      <c r="O278" s="1499"/>
      <c r="P278" s="2302">
        <f>'Part III-A-Uses of Funds'!P165</f>
        <v>1.3</v>
      </c>
      <c r="Q278" s="2302"/>
      <c r="R278" s="2283" t="str">
        <f>'Part III-A-Uses of Funds'!R165</f>
        <v>&lt;&lt; Select &gt;&gt;</v>
      </c>
      <c r="S278" s="2283"/>
      <c r="T278" s="2283"/>
      <c r="U278" s="2219"/>
      <c r="V278" s="2239"/>
    </row>
    <row r="279" spans="1:22">
      <c r="A279" s="1499"/>
      <c r="B279" s="1499" t="s">
        <v>714</v>
      </c>
      <c r="C279" s="1499"/>
      <c r="D279" s="1499"/>
      <c r="E279" s="1499"/>
      <c r="F279" s="1499"/>
      <c r="G279" s="1499"/>
      <c r="H279" s="1499"/>
      <c r="I279" s="1499"/>
      <c r="J279" s="2222">
        <f>J277*J278</f>
        <v>0</v>
      </c>
      <c r="K279" s="2222"/>
      <c r="L279" s="1499"/>
      <c r="M279" s="2222">
        <f>+M277</f>
        <v>13259000</v>
      </c>
      <c r="N279" s="2222"/>
      <c r="O279" s="1499"/>
      <c r="P279" s="2222">
        <f>P277*P278</f>
        <v>24582163.580000002</v>
      </c>
      <c r="Q279" s="2222"/>
      <c r="R279" s="2283"/>
      <c r="S279" s="2283"/>
      <c r="T279" s="2283"/>
      <c r="U279" s="2219"/>
      <c r="V279" s="2239"/>
    </row>
    <row r="280" spans="1:22">
      <c r="A280" s="1499"/>
      <c r="B280" s="1499" t="s">
        <v>715</v>
      </c>
      <c r="C280" s="1499"/>
      <c r="D280" s="1499"/>
      <c r="E280" s="1499"/>
      <c r="F280" s="1499"/>
      <c r="G280" s="1499"/>
      <c r="H280" s="1499"/>
      <c r="I280" s="1499"/>
      <c r="J280" s="2303">
        <f>MIN('Part V-Revenues &amp; Expenses'!$P$63/'Part V-Revenues &amp; Expenses'!$P$65,'Part V-Revenues &amp; Expenses'!$P$164/'Part V-Revenues &amp; Expenses'!$P$166)</f>
        <v>0.59198388447961103</v>
      </c>
      <c r="K280" s="2303"/>
      <c r="L280" s="1499"/>
      <c r="M280" s="2303">
        <f>MIN('Part V-Revenues &amp; Expenses'!$P$63/'Part V-Revenues &amp; Expenses'!$P$65,'Part V-Revenues &amp; Expenses'!$P$164/'Part V-Revenues &amp; Expenses'!$P$166)</f>
        <v>0.59198388447961103</v>
      </c>
      <c r="N280" s="2303"/>
      <c r="O280" s="1499"/>
      <c r="P280" s="2303">
        <f>MIN('Part V-Revenues &amp; Expenses'!$P$63/'Part V-Revenues &amp; Expenses'!$P$65,'Part V-Revenues &amp; Expenses'!$P$164/'Part V-Revenues &amp; Expenses'!$P$166)</f>
        <v>0.59198388447961103</v>
      </c>
      <c r="Q280" s="2303"/>
      <c r="R280" s="2283"/>
      <c r="S280" s="2283"/>
      <c r="T280" s="2283"/>
      <c r="U280" s="1499"/>
      <c r="V280" s="2239"/>
    </row>
    <row r="281" spans="1:22">
      <c r="A281" s="1499"/>
      <c r="B281" s="1499" t="s">
        <v>716</v>
      </c>
      <c r="C281" s="1499"/>
      <c r="D281" s="1499"/>
      <c r="E281" s="1499"/>
      <c r="F281" s="1499"/>
      <c r="G281" s="1499"/>
      <c r="H281" s="1499"/>
      <c r="I281" s="1499"/>
      <c r="J281" s="2222">
        <f>J279*J280</f>
        <v>0</v>
      </c>
      <c r="K281" s="2222"/>
      <c r="L281" s="1499"/>
      <c r="M281" s="2222">
        <f>M279*M280</f>
        <v>7849114.3243151624</v>
      </c>
      <c r="N281" s="2222"/>
      <c r="O281" s="1499"/>
      <c r="P281" s="2222">
        <f>P279*P280</f>
        <v>14552244.685001623</v>
      </c>
      <c r="Q281" s="2222"/>
      <c r="R281" s="1499"/>
      <c r="S281" s="1499"/>
      <c r="T281" s="1499"/>
      <c r="U281" s="1499"/>
      <c r="V281" s="2239"/>
    </row>
    <row r="282" spans="1:22">
      <c r="A282" s="1499"/>
      <c r="B282" s="1499" t="s">
        <v>717</v>
      </c>
      <c r="C282" s="1499"/>
      <c r="D282" s="1499"/>
      <c r="E282" s="1499"/>
      <c r="F282" s="1499"/>
      <c r="G282" s="1499"/>
      <c r="H282" s="1499"/>
      <c r="I282" s="1499"/>
      <c r="J282" s="2302">
        <f>'Part III-A-Uses of Funds'!J169</f>
        <v>0</v>
      </c>
      <c r="K282" s="2302"/>
      <c r="L282" s="1499"/>
      <c r="M282" s="2302">
        <f>'Part III-A-Uses of Funds'!M169</f>
        <v>0.04</v>
      </c>
      <c r="N282" s="2302"/>
      <c r="O282" s="1499"/>
      <c r="P282" s="2302">
        <f>'Part III-A-Uses of Funds'!P169</f>
        <v>0.04</v>
      </c>
      <c r="Q282" s="2302"/>
      <c r="R282" s="1499"/>
      <c r="S282" s="1499"/>
      <c r="T282" s="1499"/>
      <c r="U282" s="1499"/>
      <c r="V282" s="2239"/>
    </row>
    <row r="283" spans="1:22">
      <c r="A283" s="1499"/>
      <c r="B283" s="1499" t="s">
        <v>718</v>
      </c>
      <c r="C283" s="1499"/>
      <c r="D283" s="1499"/>
      <c r="E283" s="1499"/>
      <c r="F283" s="1499"/>
      <c r="G283" s="1499"/>
      <c r="H283" s="1499"/>
      <c r="I283" s="1499"/>
      <c r="J283" s="2222">
        <f>J281*J282</f>
        <v>0</v>
      </c>
      <c r="K283" s="2222"/>
      <c r="L283" s="1499"/>
      <c r="M283" s="2222">
        <f>M281*M282</f>
        <v>313964.57297260652</v>
      </c>
      <c r="N283" s="2222"/>
      <c r="O283" s="1499"/>
      <c r="P283" s="2222">
        <f>P281*P282</f>
        <v>582089.78740006487</v>
      </c>
      <c r="Q283" s="2222"/>
      <c r="R283" s="1499"/>
      <c r="S283" s="1499"/>
      <c r="T283" s="1499"/>
      <c r="U283" s="1499"/>
      <c r="V283" s="2239"/>
    </row>
    <row r="284" spans="1:22">
      <c r="A284" s="1499"/>
      <c r="B284" s="2188" t="s">
        <v>719</v>
      </c>
      <c r="C284" s="1499"/>
      <c r="D284" s="1499"/>
      <c r="E284" s="1499"/>
      <c r="F284" s="1499"/>
      <c r="G284" s="1499"/>
      <c r="H284" s="1499"/>
      <c r="I284" s="1499"/>
      <c r="J284" s="2221">
        <f>ROUNDDOWN(J283+M283+P283,0)</f>
        <v>896054</v>
      </c>
      <c r="K284" s="2221"/>
      <c r="L284" s="2221"/>
      <c r="M284" s="2221"/>
      <c r="N284" s="2221"/>
      <c r="O284" s="2221"/>
      <c r="P284" s="2221"/>
      <c r="Q284" s="2221"/>
      <c r="R284" s="1499"/>
      <c r="S284" s="1499"/>
      <c r="T284" s="1499"/>
      <c r="U284" s="1499"/>
      <c r="V284" s="2239"/>
    </row>
    <row r="285" spans="1:22">
      <c r="A285" s="1499"/>
      <c r="B285" s="2304"/>
      <c r="C285" s="1499"/>
      <c r="D285" s="1499"/>
      <c r="E285" s="1499"/>
      <c r="F285" s="1499"/>
      <c r="G285" s="1499"/>
      <c r="H285" s="1499"/>
      <c r="I285" s="1499"/>
      <c r="J285" s="1499"/>
      <c r="K285" s="1499"/>
      <c r="L285" s="2226"/>
      <c r="M285" s="2226"/>
      <c r="N285" s="2226"/>
      <c r="O285" s="2226"/>
      <c r="P285" s="1499"/>
      <c r="Q285" s="1499"/>
      <c r="R285" s="1499"/>
      <c r="S285" s="1499"/>
      <c r="T285" s="1499"/>
      <c r="U285" s="1499"/>
      <c r="V285" s="2239"/>
    </row>
    <row r="286" spans="1:22" ht="16.5">
      <c r="A286" s="2238" t="s">
        <v>31</v>
      </c>
      <c r="B286" s="2238" t="s">
        <v>720</v>
      </c>
      <c r="C286" s="1499"/>
      <c r="D286" s="1499"/>
      <c r="E286" s="1499"/>
      <c r="F286" s="1499"/>
      <c r="G286" s="1499"/>
      <c r="H286" s="2294"/>
      <c r="I286" s="2294"/>
      <c r="J286" s="1499"/>
      <c r="K286" s="1499"/>
      <c r="L286" s="1499"/>
      <c r="M286" s="2305"/>
      <c r="N286" s="1499"/>
      <c r="O286" s="1499"/>
      <c r="P286" s="1499"/>
      <c r="Q286" s="1499"/>
      <c r="R286" s="1499"/>
      <c r="S286" s="1499"/>
      <c r="T286" s="1499"/>
      <c r="U286" s="1499"/>
      <c r="V286" s="2239"/>
    </row>
    <row r="287" spans="1:22">
      <c r="A287" s="1499"/>
      <c r="B287" s="1499"/>
      <c r="C287" s="1499"/>
      <c r="D287" s="1499"/>
      <c r="E287" s="1499"/>
      <c r="F287" s="1499"/>
      <c r="G287" s="1499"/>
      <c r="H287" s="2294"/>
      <c r="I287" s="2294"/>
      <c r="J287" s="1499"/>
      <c r="K287" s="1499"/>
      <c r="L287" s="1499"/>
      <c r="M287" s="2305"/>
      <c r="N287" s="1499"/>
      <c r="O287" s="2188"/>
      <c r="P287" s="2188"/>
      <c r="Q287" s="2188"/>
      <c r="R287" s="2188"/>
      <c r="S287" s="2188"/>
      <c r="T287" s="2188"/>
      <c r="U287" s="2188"/>
      <c r="V287" s="2188"/>
    </row>
    <row r="288" spans="1:22">
      <c r="A288" s="1499"/>
      <c r="B288" s="2188" t="s">
        <v>721</v>
      </c>
      <c r="C288" s="1499"/>
      <c r="D288" s="1499"/>
      <c r="E288" s="1499"/>
      <c r="F288" s="1499"/>
      <c r="G288" s="1499"/>
      <c r="H288" s="1499"/>
      <c r="I288" s="1499"/>
      <c r="J288" s="1499"/>
      <c r="K288" s="1499"/>
      <c r="L288" s="1499"/>
      <c r="M288" s="1499"/>
      <c r="N288" s="1499"/>
      <c r="O288" s="1499"/>
      <c r="P288" s="1499"/>
      <c r="Q288" s="1499"/>
      <c r="R288" s="1499"/>
      <c r="S288" s="1499"/>
      <c r="T288" s="1499"/>
      <c r="U288" s="1499"/>
      <c r="V288" s="2239"/>
    </row>
    <row r="289" spans="1:22" ht="12.75" customHeight="1">
      <c r="A289" s="1499"/>
      <c r="B289" s="1499" t="s">
        <v>6972</v>
      </c>
      <c r="C289" s="1499"/>
      <c r="D289" s="1499"/>
      <c r="E289" s="1499"/>
      <c r="F289" s="1499"/>
      <c r="G289" s="1499"/>
      <c r="H289" s="1499"/>
      <c r="I289" s="1499"/>
      <c r="J289" s="2222">
        <f ca="1">G259</f>
        <v>35829793.968287915</v>
      </c>
      <c r="K289" s="2222"/>
      <c r="L289" s="2222"/>
      <c r="M289" s="1499"/>
      <c r="N289" s="2301" t="s">
        <v>723</v>
      </c>
      <c r="O289" s="2301"/>
      <c r="P289" s="2301"/>
      <c r="Q289" s="2301"/>
      <c r="R289" s="1499"/>
      <c r="S289" s="2283" t="s">
        <v>724</v>
      </c>
      <c r="T289" s="2283"/>
      <c r="U289" s="1499"/>
      <c r="V289" s="2239"/>
    </row>
    <row r="290" spans="1:22">
      <c r="A290" s="1499"/>
      <c r="B290" s="1499" t="s">
        <v>725</v>
      </c>
      <c r="C290" s="1499"/>
      <c r="D290" s="1499"/>
      <c r="E290" s="1499"/>
      <c r="F290" s="1499"/>
      <c r="G290" s="1499"/>
      <c r="H290" s="1499"/>
      <c r="I290" s="1499"/>
      <c r="J290" s="2222">
        <f ca="1">'Part II-Sources of Funds'!$I$60-'Part II-Sources of Funds'!$I$44-'Part II-Sources of Funds'!$I$45-'Part II-Sources of Funds'!$I$51-'Part II-Sources of Funds'!$I$52</f>
        <v>22376059.999999996</v>
      </c>
      <c r="K290" s="2222"/>
      <c r="L290" s="2222"/>
      <c r="M290" s="2301"/>
      <c r="N290" s="2301"/>
      <c r="O290" s="2301"/>
      <c r="P290" s="2301"/>
      <c r="Q290" s="2301"/>
      <c r="R290" s="1499"/>
      <c r="S290" s="2283"/>
      <c r="T290" s="2283"/>
      <c r="U290" s="1499"/>
      <c r="V290" s="2239"/>
    </row>
    <row r="291" spans="1:22">
      <c r="A291" s="1499"/>
      <c r="B291" s="1499" t="s">
        <v>726</v>
      </c>
      <c r="C291" s="1499"/>
      <c r="D291" s="1499"/>
      <c r="E291" s="1499"/>
      <c r="F291" s="1499"/>
      <c r="G291" s="1499"/>
      <c r="H291" s="1499"/>
      <c r="I291" s="1499"/>
      <c r="J291" s="2222">
        <f ca="1">+J289-J290</f>
        <v>13453733.968287919</v>
      </c>
      <c r="K291" s="2222"/>
      <c r="L291" s="2222"/>
      <c r="M291" s="2301"/>
      <c r="N291" s="2301"/>
      <c r="O291" s="2301"/>
      <c r="P291" s="2301"/>
      <c r="Q291" s="2301"/>
      <c r="R291" s="1499"/>
      <c r="S291" s="2283"/>
      <c r="T291" s="2283"/>
      <c r="U291" s="1499"/>
      <c r="V291" s="2239"/>
    </row>
    <row r="292" spans="1:22" ht="13.5">
      <c r="A292" s="1499"/>
      <c r="B292" s="1499" t="s">
        <v>727</v>
      </c>
      <c r="C292" s="1499"/>
      <c r="D292" s="1499"/>
      <c r="E292" s="1499"/>
      <c r="F292" s="1499"/>
      <c r="G292" s="1499"/>
      <c r="H292" s="1499"/>
      <c r="I292" s="1499"/>
      <c r="J292" s="1499" t="str">
        <f>"/ 10"</f>
        <v>/ 10</v>
      </c>
      <c r="K292" s="1499"/>
      <c r="L292" s="1499"/>
      <c r="M292" s="2215"/>
      <c r="N292" s="2306">
        <f>'Part II-Sources of Funds'!$I$44</f>
        <v>0</v>
      </c>
      <c r="O292" s="2306"/>
      <c r="P292" s="2306"/>
      <c r="Q292" s="2306"/>
      <c r="R292" s="1499"/>
      <c r="S292" s="2218" t="s">
        <v>728</v>
      </c>
      <c r="T292" s="2144">
        <f>'Part III-A-Uses of Funds'!T179</f>
        <v>0</v>
      </c>
      <c r="U292" s="1499"/>
      <c r="V292" s="2239"/>
    </row>
    <row r="293" spans="1:22" ht="13.5">
      <c r="A293" s="1499"/>
      <c r="B293" s="1499" t="s">
        <v>729</v>
      </c>
      <c r="C293" s="1499"/>
      <c r="D293" s="1499"/>
      <c r="E293" s="1499"/>
      <c r="F293" s="1499"/>
      <c r="G293" s="1499"/>
      <c r="H293" s="1499"/>
      <c r="I293" s="1499"/>
      <c r="J293" s="2222">
        <f ca="1">J291/10</f>
        <v>1345373.3968287918</v>
      </c>
      <c r="K293" s="2222"/>
      <c r="L293" s="2222"/>
      <c r="M293" s="1499"/>
      <c r="N293" s="2306"/>
      <c r="O293" s="2306"/>
      <c r="P293" s="2306"/>
      <c r="Q293" s="2306"/>
      <c r="R293" s="2306"/>
      <c r="S293" s="1499"/>
      <c r="T293" s="1499"/>
      <c r="U293" s="1499"/>
      <c r="V293" s="2239"/>
    </row>
    <row r="294" spans="1:22">
      <c r="A294" s="1499"/>
      <c r="B294" s="1499"/>
      <c r="C294" s="1499"/>
      <c r="D294" s="1499"/>
      <c r="E294" s="1499"/>
      <c r="F294" s="1499"/>
      <c r="G294" s="1499"/>
      <c r="H294" s="1499"/>
      <c r="I294" s="1499"/>
      <c r="J294" s="1499"/>
      <c r="K294" s="1499"/>
      <c r="L294" s="1499"/>
      <c r="M294" s="281"/>
      <c r="N294" s="1499" t="s">
        <v>730</v>
      </c>
      <c r="O294" s="1499"/>
      <c r="P294" s="1499"/>
      <c r="Q294" s="1499" t="s">
        <v>201</v>
      </c>
      <c r="R294" s="1499"/>
      <c r="S294" s="1499"/>
      <c r="T294" s="1499"/>
      <c r="U294" s="1499"/>
      <c r="V294" s="2239"/>
    </row>
    <row r="295" spans="1:22">
      <c r="A295" s="1499"/>
      <c r="B295" s="1499" t="s">
        <v>6973</v>
      </c>
      <c r="C295" s="1499"/>
      <c r="D295" s="1499"/>
      <c r="E295" s="1499"/>
      <c r="F295" s="1499"/>
      <c r="G295" s="1499"/>
      <c r="H295" s="1499"/>
      <c r="I295" s="1499"/>
      <c r="J295" s="2307">
        <f>N295+Q295</f>
        <v>1.3900000000000001</v>
      </c>
      <c r="K295" s="2307"/>
      <c r="L295" s="2307"/>
      <c r="M295" s="1324" t="s">
        <v>732</v>
      </c>
      <c r="N295" s="2308">
        <f>'Part III-A-Uses of Funds'!N182</f>
        <v>0.87</v>
      </c>
      <c r="O295" s="2308"/>
      <c r="P295" s="1324" t="s">
        <v>733</v>
      </c>
      <c r="Q295" s="2308">
        <f>'Part III-A-Uses of Funds'!Q182</f>
        <v>0.52</v>
      </c>
      <c r="R295" s="2308"/>
      <c r="S295" s="1499"/>
      <c r="T295" s="1499"/>
      <c r="U295" s="1499"/>
      <c r="V295" s="2239"/>
    </row>
    <row r="296" spans="1:22">
      <c r="A296" s="1499"/>
      <c r="B296" s="2188" t="s">
        <v>734</v>
      </c>
      <c r="C296" s="1499"/>
      <c r="D296" s="1499"/>
      <c r="E296" s="1499"/>
      <c r="F296" s="1499"/>
      <c r="G296" s="1499"/>
      <c r="H296" s="1499"/>
      <c r="I296" s="1499"/>
      <c r="J296" s="2221">
        <f ca="1">ROUNDDOWN(IF(J295=0,"",J293/J295),0)</f>
        <v>967894</v>
      </c>
      <c r="K296" s="2221"/>
      <c r="L296" s="2221"/>
      <c r="M296" s="281"/>
      <c r="N296" s="1499"/>
      <c r="O296" s="1499"/>
      <c r="P296" s="1499"/>
      <c r="Q296" s="1499"/>
      <c r="R296" s="1499"/>
      <c r="S296" s="1499"/>
      <c r="T296" s="1499"/>
      <c r="U296" s="1499"/>
      <c r="V296" s="2239"/>
    </row>
    <row r="297" spans="1:22">
      <c r="A297" s="1499"/>
      <c r="B297" s="1499"/>
      <c r="C297" s="1499"/>
      <c r="D297" s="1499"/>
      <c r="E297" s="1499"/>
      <c r="F297" s="1499"/>
      <c r="G297" s="1499"/>
      <c r="H297" s="1499"/>
      <c r="I297" s="1499"/>
      <c r="J297" s="2309"/>
      <c r="K297" s="2309"/>
      <c r="L297" s="2309"/>
      <c r="M297" s="281"/>
      <c r="N297" s="1324"/>
      <c r="O297" s="1324"/>
      <c r="P297" s="1499"/>
      <c r="Q297" s="1499"/>
      <c r="R297" s="1499"/>
      <c r="S297" s="1499"/>
      <c r="T297" s="1499"/>
      <c r="U297" s="1499"/>
      <c r="V297" s="2239"/>
    </row>
    <row r="298" spans="1:22" ht="16.5">
      <c r="A298" s="2238" t="s">
        <v>50</v>
      </c>
      <c r="B298" s="2238" t="s">
        <v>735</v>
      </c>
      <c r="C298" s="1499"/>
      <c r="D298" s="1499"/>
      <c r="E298" s="1499"/>
      <c r="F298" s="1499"/>
      <c r="G298" s="1499"/>
      <c r="H298" s="2294"/>
      <c r="I298" s="2294"/>
      <c r="J298" s="1499"/>
      <c r="K298" s="1499"/>
      <c r="L298" s="1499"/>
      <c r="M298" s="1499"/>
      <c r="N298" s="1499"/>
      <c r="O298" s="1499"/>
      <c r="P298" s="1499"/>
      <c r="Q298" s="1499"/>
      <c r="R298" s="1499"/>
      <c r="S298" s="1499"/>
      <c r="T298" s="1499"/>
      <c r="U298" s="1499"/>
      <c r="V298" s="2239"/>
    </row>
    <row r="299" spans="1:22">
      <c r="A299" s="1499"/>
      <c r="B299" s="1499"/>
      <c r="C299" s="1499"/>
      <c r="D299" s="1499"/>
      <c r="E299" s="1499"/>
      <c r="F299" s="1499"/>
      <c r="G299" s="1499"/>
      <c r="H299" s="2294"/>
      <c r="I299" s="2294"/>
      <c r="J299" s="1499"/>
      <c r="K299" s="1499"/>
      <c r="L299" s="1499"/>
      <c r="M299" s="1499"/>
      <c r="N299" s="1499"/>
      <c r="O299" s="1499"/>
      <c r="P299" s="1499"/>
      <c r="Q299" s="2249"/>
      <c r="R299" s="2249"/>
      <c r="S299" s="2310"/>
      <c r="T299" s="2310"/>
      <c r="U299" s="2188"/>
      <c r="V299" s="2188"/>
    </row>
    <row r="300" spans="1:22">
      <c r="A300" s="1499"/>
      <c r="B300" s="2188" t="s">
        <v>6974</v>
      </c>
      <c r="C300" s="1499"/>
      <c r="D300" s="1499"/>
      <c r="E300" s="1499"/>
      <c r="F300" s="1499"/>
      <c r="G300" s="1499"/>
      <c r="H300" s="1499"/>
      <c r="I300" s="1499"/>
      <c r="J300" s="2221">
        <f ca="1">'Part III-A-Uses of Funds'!J187</f>
        <v>896054</v>
      </c>
      <c r="K300" s="2221"/>
      <c r="L300" s="2221"/>
      <c r="M300" s="1499"/>
      <c r="N300" s="1499"/>
      <c r="O300" s="1499"/>
      <c r="P300" s="1499"/>
      <c r="Q300" s="2196" t="s">
        <v>737</v>
      </c>
      <c r="R300" s="2196"/>
      <c r="S300" s="2196" t="str">
        <f>'Part VIII Scoring Criteria'!$J$36</f>
        <v>Atlanta Metro</v>
      </c>
      <c r="T300" s="2196"/>
      <c r="U300" s="1324" t="str">
        <f>IF(OR(S300="Atlanta Metro", "Other Metro"), "Metro", IF(S300="Rural","Rural",""))</f>
        <v>Metro</v>
      </c>
      <c r="V300" s="2239"/>
    </row>
    <row r="301" spans="1:22">
      <c r="A301" s="1499"/>
      <c r="B301" s="1499"/>
      <c r="C301" s="1499"/>
      <c r="D301" s="1499"/>
      <c r="E301" s="1499"/>
      <c r="F301" s="1499"/>
      <c r="G301" s="1499"/>
      <c r="H301" s="1499"/>
      <c r="I301" s="1499"/>
      <c r="J301" s="2309"/>
      <c r="K301" s="2309"/>
      <c r="L301" s="2309"/>
      <c r="M301" s="281"/>
      <c r="N301" s="1324"/>
      <c r="O301" s="1324"/>
      <c r="P301" s="1499"/>
      <c r="Q301" s="2196"/>
      <c r="R301" s="2196"/>
      <c r="S301" s="2281"/>
      <c r="T301" s="2281"/>
      <c r="U301" s="1499"/>
      <c r="V301" s="2239"/>
    </row>
    <row r="302" spans="1:22">
      <c r="A302" s="1499"/>
      <c r="B302" s="2188" t="s">
        <v>6975</v>
      </c>
      <c r="C302" s="1499"/>
      <c r="D302" s="1499"/>
      <c r="E302" s="1499"/>
      <c r="F302" s="1499"/>
      <c r="G302" s="1499"/>
      <c r="H302" s="1499"/>
      <c r="I302" s="1499"/>
      <c r="J302" s="2221">
        <f ca="1">'Part III-A-Uses of Funds'!J189</f>
        <v>896054</v>
      </c>
      <c r="K302" s="2221"/>
      <c r="L302" s="2221"/>
      <c r="M302" s="2311" t="str">
        <f ca="1">IF(J300=0,"",IF(J302&gt;J300,"Request can't exceed Maximum - REVISE (Try Round Down)!",""))</f>
        <v/>
      </c>
      <c r="N302" s="2311"/>
      <c r="O302" s="2311"/>
      <c r="P302" s="2311"/>
      <c r="Q302" s="2281" t="s">
        <v>739</v>
      </c>
      <c r="R302" s="2196"/>
      <c r="S302" s="2196" t="str">
        <f>'Part VIII Scoring Criteria'!$F$36</f>
        <v>Preservation</v>
      </c>
      <c r="T302" s="2196"/>
      <c r="U302" s="1499"/>
      <c r="V302" s="2239"/>
    </row>
    <row r="303" spans="1:22">
      <c r="A303" s="1499"/>
      <c r="B303" s="1499"/>
      <c r="C303" s="1499"/>
      <c r="D303" s="1499"/>
      <c r="E303" s="1499"/>
      <c r="F303" s="1499"/>
      <c r="G303" s="1499"/>
      <c r="H303" s="1499"/>
      <c r="I303" s="1499"/>
      <c r="J303" s="2309"/>
      <c r="K303" s="2309"/>
      <c r="L303" s="2309"/>
      <c r="M303" s="2311"/>
      <c r="N303" s="2311"/>
      <c r="O303" s="2311"/>
      <c r="P303" s="2311"/>
      <c r="Q303" s="2196"/>
      <c r="R303" s="2196"/>
      <c r="S303" s="2281"/>
      <c r="T303" s="2281"/>
      <c r="U303" s="1499"/>
      <c r="V303" s="2239"/>
    </row>
    <row r="304" spans="1:22" ht="16.5">
      <c r="A304" s="2238"/>
      <c r="B304" s="2238" t="s">
        <v>6976</v>
      </c>
      <c r="C304" s="1499"/>
      <c r="D304" s="281"/>
      <c r="E304" s="281"/>
      <c r="F304" s="2197"/>
      <c r="G304" s="1499"/>
      <c r="H304" s="1499"/>
      <c r="I304" s="1499"/>
      <c r="J304" s="2221">
        <f ca="1">IF(J302="",0,+MIN(J300,J302))</f>
        <v>896054</v>
      </c>
      <c r="K304" s="2221"/>
      <c r="L304" s="2221"/>
      <c r="M304" s="2311"/>
      <c r="N304" s="2311"/>
      <c r="O304" s="2311"/>
      <c r="P304" s="2311"/>
      <c r="Q304" s="301" t="s">
        <v>632</v>
      </c>
      <c r="R304" s="301"/>
      <c r="S304" s="219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196"/>
      <c r="U304" s="1499"/>
      <c r="V304" s="2239"/>
    </row>
    <row r="305" spans="1:22">
      <c r="A305" s="281"/>
      <c r="B305" s="281"/>
      <c r="C305" s="281"/>
      <c r="D305" s="281"/>
      <c r="E305" s="281"/>
      <c r="F305" s="281"/>
      <c r="G305" s="281"/>
      <c r="H305" s="281"/>
      <c r="I305" s="281"/>
      <c r="J305" s="281"/>
      <c r="K305" s="281"/>
      <c r="L305" s="281"/>
      <c r="M305" s="281"/>
      <c r="N305" s="281"/>
      <c r="O305" s="281"/>
      <c r="P305" s="281"/>
      <c r="Q305" s="281"/>
      <c r="R305" s="281"/>
      <c r="S305" s="281"/>
      <c r="T305" s="281"/>
      <c r="U305" s="281"/>
      <c r="V305" s="281"/>
    </row>
    <row r="306" spans="1:22">
      <c r="A306" s="281"/>
      <c r="B306" s="281"/>
      <c r="C306" s="281"/>
      <c r="D306" s="281"/>
      <c r="E306" s="281"/>
      <c r="F306" s="281"/>
      <c r="G306" s="281"/>
      <c r="H306" s="281"/>
      <c r="I306" s="281"/>
      <c r="J306" s="281"/>
      <c r="K306" s="281"/>
      <c r="L306" s="281"/>
      <c r="M306" s="281"/>
      <c r="N306" s="281"/>
      <c r="O306" s="281"/>
      <c r="P306" s="281"/>
      <c r="Q306" s="281"/>
      <c r="R306" s="281"/>
      <c r="S306" s="281"/>
      <c r="T306" s="281"/>
      <c r="U306" s="281"/>
      <c r="V306" s="281"/>
    </row>
    <row r="307" spans="1:22">
      <c r="A307" s="2188" t="s">
        <v>66</v>
      </c>
      <c r="B307" s="280" t="s">
        <v>76</v>
      </c>
      <c r="C307" s="281"/>
      <c r="D307" s="281"/>
      <c r="E307" s="281"/>
      <c r="F307" s="281"/>
      <c r="G307" s="281"/>
      <c r="H307" s="281"/>
      <c r="I307" s="281"/>
      <c r="J307" s="281"/>
      <c r="K307" s="281"/>
      <c r="L307" s="281"/>
      <c r="M307" s="281"/>
      <c r="N307" s="2188" t="s">
        <v>75</v>
      </c>
      <c r="O307" s="2188" t="s">
        <v>78</v>
      </c>
      <c r="P307" s="281"/>
      <c r="Q307" s="281"/>
      <c r="R307" s="281"/>
      <c r="S307" s="281"/>
      <c r="T307" s="281"/>
      <c r="U307" s="281"/>
      <c r="V307" s="281"/>
    </row>
    <row r="308" spans="1:22" ht="13.5" customHeight="1">
      <c r="A308" s="2213" t="str">
        <f>'Part III-A-Uses of Funds'!A195</f>
        <v>* To all applicants: in addition to your other comments, please provide methodology for determining applicable construction hard costs.</v>
      </c>
      <c r="B308" s="2213"/>
      <c r="C308" s="2213"/>
      <c r="D308" s="2213"/>
      <c r="E308" s="2213"/>
      <c r="F308" s="2213"/>
      <c r="G308" s="2213"/>
      <c r="H308" s="2213"/>
      <c r="I308" s="2213"/>
      <c r="J308" s="2213"/>
      <c r="K308" s="2213"/>
      <c r="L308" s="2213"/>
      <c r="M308" s="2213"/>
      <c r="N308" s="2213">
        <f>'Part III-A-Uses of Funds'!N195</f>
        <v>0</v>
      </c>
      <c r="O308" s="2213"/>
      <c r="P308" s="2213"/>
      <c r="Q308" s="2213"/>
      <c r="R308" s="2213"/>
      <c r="S308" s="2213"/>
      <c r="T308" s="2213"/>
      <c r="U308" s="281"/>
      <c r="V308" s="2312"/>
    </row>
    <row r="314" spans="1:22" ht="15.75">
      <c r="A314" s="2313" t="str">
        <f>CONCATENATE("PART THREE (B) -  OTHER COSTS","  -  ",'Part I-Project Identification'!$O$7," - ",'Part I-Project Identification'!$F$25,"  -  ",'Part I-Project Identification'!$F$26,"  -  ",'Part I-Project Identification'!$J$26,",  ","County")</f>
        <v>PART THREE (B) -  OTHER COSTS  -  2023-5 - Ashley Collegetown Phase I  -  Atlanta  -  Fulton,  County</v>
      </c>
      <c r="B314" s="2313"/>
      <c r="C314" s="2313"/>
      <c r="D314" s="2313"/>
      <c r="E314" s="2313"/>
      <c r="F314" s="2313"/>
      <c r="G314" s="2313"/>
      <c r="H314" s="2313"/>
    </row>
    <row r="315" spans="1:22">
      <c r="A315" s="883"/>
      <c r="B315" s="883"/>
      <c r="C315" s="883"/>
      <c r="D315" s="883"/>
      <c r="E315" s="883"/>
      <c r="F315" s="883"/>
      <c r="G315" s="883"/>
      <c r="H315" s="883"/>
    </row>
    <row r="316" spans="1:22" ht="14.25" customHeight="1">
      <c r="A316" s="2314" t="s">
        <v>742</v>
      </c>
      <c r="B316" s="2314"/>
      <c r="C316" s="2314"/>
      <c r="D316" s="2314"/>
      <c r="E316" s="2314"/>
      <c r="F316" s="2314"/>
      <c r="G316" s="2314"/>
      <c r="H316" s="2314"/>
    </row>
    <row r="317" spans="1:22">
      <c r="A317" s="883"/>
      <c r="B317" s="883"/>
      <c r="C317" s="883"/>
      <c r="D317" s="883"/>
      <c r="E317" s="883"/>
      <c r="F317" s="883"/>
      <c r="G317" s="883"/>
      <c r="H317" s="883"/>
    </row>
    <row r="318" spans="1:22" ht="90" customHeight="1">
      <c r="A318" s="2315" t="s">
        <v>6977</v>
      </c>
      <c r="B318" s="2315"/>
      <c r="C318" s="2315"/>
      <c r="D318" s="2315"/>
      <c r="E318" s="883"/>
      <c r="F318" s="2316" t="s">
        <v>744</v>
      </c>
      <c r="G318" s="2317"/>
      <c r="H318" s="2316" t="s">
        <v>745</v>
      </c>
    </row>
    <row r="319" spans="1:22">
      <c r="A319" s="2317"/>
      <c r="B319" s="2317"/>
      <c r="C319" s="2317"/>
      <c r="D319" s="2317"/>
      <c r="E319" s="883"/>
      <c r="F319" s="883"/>
      <c r="G319" s="883"/>
      <c r="H319" s="883"/>
    </row>
    <row r="320" spans="1:22" ht="13.5">
      <c r="A320" s="2318"/>
      <c r="B320" s="2318"/>
      <c r="C320" s="2318"/>
      <c r="D320" s="2318"/>
      <c r="E320" s="2318"/>
      <c r="F320" s="2318"/>
      <c r="G320" s="2318"/>
      <c r="H320" s="2319"/>
    </row>
    <row r="321" spans="1:8">
      <c r="A321" s="2320" t="s">
        <v>522</v>
      </c>
      <c r="B321" s="2321"/>
      <c r="C321" s="2321"/>
      <c r="D321" s="2321"/>
      <c r="E321" s="2321"/>
      <c r="F321" s="2321"/>
      <c r="G321" s="2321"/>
      <c r="H321" s="2321"/>
    </row>
    <row r="322" spans="1:8" ht="13.5" customHeight="1">
      <c r="A322" s="2145" t="str">
        <f>'Part III-A-Uses of Funds'!$C$15</f>
        <v>&lt;&lt; Enter description here; provide detail &amp; justification in tab Part III-b &gt;&gt;</v>
      </c>
      <c r="B322" s="2145"/>
      <c r="C322" s="2145"/>
      <c r="D322" s="2145"/>
      <c r="E322" s="2319"/>
      <c r="F322" s="2146">
        <f>'Part III-B-Other Items'!F9</f>
        <v>0</v>
      </c>
      <c r="G322" s="2321"/>
      <c r="H322" s="2146">
        <f>'Part III-B-Other Items'!H9</f>
        <v>0</v>
      </c>
    </row>
    <row r="323" spans="1:8" ht="13.5">
      <c r="A323" s="2145"/>
      <c r="B323" s="2145"/>
      <c r="C323" s="2145"/>
      <c r="D323" s="2145"/>
      <c r="E323" s="2319"/>
      <c r="F323" s="2146"/>
      <c r="G323" s="2321"/>
      <c r="H323" s="2146"/>
    </row>
    <row r="324" spans="1:8" ht="13.5">
      <c r="A324" s="2319"/>
      <c r="B324" s="2319"/>
      <c r="C324" s="2319"/>
      <c r="D324" s="2319"/>
      <c r="E324" s="2319"/>
      <c r="F324" s="2146"/>
      <c r="G324" s="2321"/>
      <c r="H324" s="2146"/>
    </row>
    <row r="325" spans="1:8" ht="13.5">
      <c r="A325" s="2322" t="s">
        <v>746</v>
      </c>
      <c r="B325" s="2147">
        <f>'Part III-A-Uses of Funds'!$G$15</f>
        <v>0</v>
      </c>
      <c r="C325" s="2322" t="s">
        <v>706</v>
      </c>
      <c r="D325" s="2147">
        <f>'Part III-A-Uses of Funds'!$J$15+'Part III-A-Uses of Funds'!$M$15+'Part III-A-Uses of Funds'!$P$15</f>
        <v>0</v>
      </c>
      <c r="E325" s="2319"/>
      <c r="F325" s="2146"/>
      <c r="G325" s="2321"/>
      <c r="H325" s="2146"/>
    </row>
    <row r="326" spans="1:8" ht="13.5">
      <c r="A326" s="2321"/>
      <c r="B326" s="2323"/>
      <c r="C326" s="2321"/>
      <c r="D326" s="2321"/>
      <c r="E326" s="2319"/>
      <c r="F326" s="2146"/>
      <c r="G326" s="2324"/>
      <c r="H326" s="2146"/>
    </row>
    <row r="327" spans="1:8" ht="13.5" customHeight="1">
      <c r="A327" s="2145" t="str">
        <f>'Part III-A-Uses of Funds'!$C$16</f>
        <v>&lt;&lt; Enter description here; provide detail &amp; justification in tab Part III-b &gt;&gt;</v>
      </c>
      <c r="B327" s="2145"/>
      <c r="C327" s="2145"/>
      <c r="D327" s="2145"/>
      <c r="E327" s="2319"/>
      <c r="F327" s="2146">
        <f>'Part III-B-Other Items'!F14</f>
        <v>0</v>
      </c>
      <c r="G327" s="2321"/>
      <c r="H327" s="2146">
        <f>'Part III-B-Other Items'!H14</f>
        <v>0</v>
      </c>
    </row>
    <row r="328" spans="1:8" ht="13.5">
      <c r="A328" s="2145"/>
      <c r="B328" s="2145"/>
      <c r="C328" s="2145"/>
      <c r="D328" s="2145"/>
      <c r="E328" s="2319"/>
      <c r="F328" s="2146"/>
      <c r="G328" s="2321"/>
      <c r="H328" s="2146"/>
    </row>
    <row r="329" spans="1:8" ht="13.5">
      <c r="A329" s="2319"/>
      <c r="B329" s="2319"/>
      <c r="C329" s="2319"/>
      <c r="D329" s="2319"/>
      <c r="E329" s="2319"/>
      <c r="F329" s="2146"/>
      <c r="G329" s="2321"/>
      <c r="H329" s="2146"/>
    </row>
    <row r="330" spans="1:8" ht="13.5">
      <c r="A330" s="2322" t="s">
        <v>746</v>
      </c>
      <c r="B330" s="2147">
        <f>'Part III-A-Uses of Funds'!$G$16</f>
        <v>0</v>
      </c>
      <c r="C330" s="2322" t="s">
        <v>706</v>
      </c>
      <c r="D330" s="2147">
        <f>'Part III-A-Uses of Funds'!$J$16+'Part III-A-Uses of Funds'!$M$16+'Part III-A-Uses of Funds'!$P$16</f>
        <v>0</v>
      </c>
      <c r="E330" s="2319"/>
      <c r="F330" s="2146"/>
      <c r="G330" s="2321"/>
      <c r="H330" s="2146"/>
    </row>
    <row r="331" spans="1:8" ht="13.5">
      <c r="A331" s="2321"/>
      <c r="B331" s="2323"/>
      <c r="C331" s="2321"/>
      <c r="D331" s="2321"/>
      <c r="E331" s="2319"/>
      <c r="F331" s="2146"/>
      <c r="G331" s="2324"/>
      <c r="H331" s="2146"/>
    </row>
    <row r="332" spans="1:8" ht="13.5" customHeight="1">
      <c r="A332" s="2145" t="str">
        <f>'Part III-A-Uses of Funds'!$C$17</f>
        <v>&lt;&lt; Enter description here; provide detail &amp; justification in tab Part III-b &gt;&gt;</v>
      </c>
      <c r="B332" s="2145"/>
      <c r="C332" s="2145"/>
      <c r="D332" s="2145"/>
      <c r="E332" s="2319"/>
      <c r="F332" s="2146">
        <f>'Part III-B-Other Items'!F19</f>
        <v>0</v>
      </c>
      <c r="G332" s="2321"/>
      <c r="H332" s="2146">
        <f>'Part III-B-Other Items'!H19</f>
        <v>0</v>
      </c>
    </row>
    <row r="333" spans="1:8" ht="13.5">
      <c r="A333" s="2145"/>
      <c r="B333" s="2145"/>
      <c r="C333" s="2145"/>
      <c r="D333" s="2145"/>
      <c r="E333" s="2319"/>
      <c r="F333" s="2146"/>
      <c r="G333" s="2321"/>
      <c r="H333" s="2146"/>
    </row>
    <row r="334" spans="1:8" ht="13.5">
      <c r="A334" s="2319"/>
      <c r="B334" s="2319"/>
      <c r="C334" s="2319"/>
      <c r="D334" s="2319"/>
      <c r="E334" s="2319"/>
      <c r="F334" s="2146"/>
      <c r="G334" s="2321"/>
      <c r="H334" s="2146"/>
    </row>
    <row r="335" spans="1:8" ht="13.5">
      <c r="A335" s="2322" t="s">
        <v>746</v>
      </c>
      <c r="B335" s="2147">
        <f>'Part III-A-Uses of Funds'!$G$17</f>
        <v>0</v>
      </c>
      <c r="C335" s="2322" t="s">
        <v>706</v>
      </c>
      <c r="D335" s="2147">
        <f>'Part III-A-Uses of Funds'!$J$17+'Part III-A-Uses of Funds'!$M$17+'Part III-A-Uses of Funds'!$P$17</f>
        <v>0</v>
      </c>
      <c r="E335" s="2319"/>
      <c r="F335" s="2146"/>
      <c r="G335" s="2321"/>
      <c r="H335" s="2146"/>
    </row>
    <row r="336" spans="1:8" ht="13.5">
      <c r="A336" s="2321"/>
      <c r="B336" s="2323"/>
      <c r="C336" s="2321"/>
      <c r="D336" s="2321"/>
      <c r="E336" s="2319"/>
      <c r="F336" s="2146"/>
      <c r="G336" s="2324"/>
      <c r="H336" s="2146"/>
    </row>
    <row r="337" spans="1:8" ht="13.5">
      <c r="A337" s="2320" t="s">
        <v>747</v>
      </c>
      <c r="B337" s="2321"/>
      <c r="C337" s="2321"/>
      <c r="D337" s="2321"/>
      <c r="E337" s="2321"/>
      <c r="F337" s="2321"/>
      <c r="G337" s="2321"/>
      <c r="H337" s="2319"/>
    </row>
    <row r="338" spans="1:8" ht="12.75" customHeight="1">
      <c r="A338" s="2145">
        <f>'Part III-A-Uses of Funds'!$C$46</f>
        <v>0</v>
      </c>
      <c r="B338" s="2145"/>
      <c r="C338" s="2145"/>
      <c r="D338" s="2145"/>
      <c r="E338" s="2321"/>
      <c r="F338" s="2146">
        <f>'Part III-B-Other Items'!F25</f>
        <v>0</v>
      </c>
      <c r="G338" s="2321"/>
      <c r="H338" s="2146">
        <f>'Part III-B-Other Items'!H25</f>
        <v>0</v>
      </c>
    </row>
    <row r="339" spans="1:8" ht="12.75" customHeight="1">
      <c r="A339" s="2145"/>
      <c r="B339" s="2145"/>
      <c r="C339" s="2145"/>
      <c r="D339" s="2145"/>
      <c r="E339" s="2321"/>
      <c r="F339" s="2146"/>
      <c r="G339" s="2321"/>
      <c r="H339" s="2146"/>
    </row>
    <row r="340" spans="1:8">
      <c r="A340" s="2321"/>
      <c r="B340" s="2321"/>
      <c r="C340" s="2321"/>
      <c r="D340" s="2321"/>
      <c r="E340" s="2321"/>
      <c r="F340" s="2146"/>
      <c r="G340" s="2321"/>
      <c r="H340" s="2146"/>
    </row>
    <row r="341" spans="1:8">
      <c r="A341" s="2322" t="s">
        <v>746</v>
      </c>
      <c r="B341" s="2147">
        <f>'Part III-A-Uses of Funds'!$G$46</f>
        <v>0</v>
      </c>
      <c r="C341" s="2322" t="s">
        <v>706</v>
      </c>
      <c r="D341" s="2147">
        <f>'Part III-A-Uses of Funds'!$J$46+'Part III-A-Uses of Funds'!$M$46+'Part III-A-Uses of Funds'!$P$46</f>
        <v>0</v>
      </c>
      <c r="E341" s="2321"/>
      <c r="F341" s="2146"/>
      <c r="G341" s="2321"/>
      <c r="H341" s="2146"/>
    </row>
    <row r="342" spans="1:8">
      <c r="A342" s="2321"/>
      <c r="B342" s="2323"/>
      <c r="C342" s="2321"/>
      <c r="D342" s="2321"/>
      <c r="E342" s="2321"/>
      <c r="F342" s="2146"/>
      <c r="G342" s="2324"/>
      <c r="H342" s="2146"/>
    </row>
    <row r="343" spans="1:8" ht="13.5">
      <c r="A343" s="2320" t="s">
        <v>584</v>
      </c>
      <c r="B343" s="2321"/>
      <c r="C343" s="2321"/>
      <c r="D343" s="2321"/>
      <c r="E343" s="2321"/>
      <c r="F343" s="2321"/>
      <c r="G343" s="2321"/>
      <c r="H343" s="2319"/>
    </row>
    <row r="344" spans="1:8" ht="12.75" customHeight="1">
      <c r="A344" s="2145">
        <f>'Part III-A-Uses of Funds'!$C$71</f>
        <v>0</v>
      </c>
      <c r="B344" s="2145"/>
      <c r="C344" s="2145"/>
      <c r="D344" s="2145"/>
      <c r="E344" s="2321"/>
      <c r="F344" s="2146">
        <f>'Part III-B-Other Items'!F31</f>
        <v>0</v>
      </c>
      <c r="G344" s="2321"/>
      <c r="H344" s="2146">
        <f>'Part III-B-Other Items'!H31</f>
        <v>0</v>
      </c>
    </row>
    <row r="345" spans="1:8" ht="12.75" customHeight="1">
      <c r="A345" s="2145"/>
      <c r="B345" s="2145"/>
      <c r="C345" s="2145"/>
      <c r="D345" s="2145"/>
      <c r="E345" s="2321"/>
      <c r="F345" s="2146"/>
      <c r="G345" s="2321"/>
      <c r="H345" s="2146"/>
    </row>
    <row r="346" spans="1:8">
      <c r="A346" s="2321"/>
      <c r="B346" s="2321"/>
      <c r="C346" s="2321"/>
      <c r="D346" s="2321"/>
      <c r="E346" s="2321"/>
      <c r="F346" s="2146"/>
      <c r="G346" s="2321"/>
      <c r="H346" s="2146"/>
    </row>
    <row r="347" spans="1:8">
      <c r="A347" s="2322" t="s">
        <v>746</v>
      </c>
      <c r="B347" s="2147">
        <f>'Part III-A-Uses of Funds'!$G$71</f>
        <v>0</v>
      </c>
      <c r="C347" s="2322" t="s">
        <v>706</v>
      </c>
      <c r="D347" s="2147">
        <f>'Part III-A-Uses of Funds'!$J$71+'Part III-A-Uses of Funds'!$M$71+'Part III-A-Uses of Funds'!$P$71</f>
        <v>0</v>
      </c>
      <c r="E347" s="2321"/>
      <c r="F347" s="2146"/>
      <c r="G347" s="2321"/>
      <c r="H347" s="2146"/>
    </row>
    <row r="348" spans="1:8" ht="13.5">
      <c r="A348" s="2319"/>
      <c r="B348" s="2319"/>
      <c r="C348" s="2319"/>
      <c r="D348" s="2321"/>
      <c r="E348" s="2321"/>
      <c r="F348" s="2146"/>
      <c r="G348" s="2324"/>
      <c r="H348" s="2146"/>
    </row>
    <row r="349" spans="1:8" ht="12.75" customHeight="1">
      <c r="A349" s="2145" t="str">
        <f>'Part III-A-Uses of Funds'!$C$72</f>
        <v>&lt;&lt; Enter description here; provide detail &amp; justification in tab Part III-b &gt;&gt;</v>
      </c>
      <c r="B349" s="2145"/>
      <c r="C349" s="2145"/>
      <c r="D349" s="2145"/>
      <c r="E349" s="2321"/>
      <c r="F349" s="2146">
        <f>'Part III-B-Other Items'!F36</f>
        <v>0</v>
      </c>
      <c r="G349" s="2321"/>
      <c r="H349" s="2146">
        <f>'Part III-B-Other Items'!H36</f>
        <v>0</v>
      </c>
    </row>
    <row r="350" spans="1:8" ht="12.75" customHeight="1">
      <c r="A350" s="2145"/>
      <c r="B350" s="2145"/>
      <c r="C350" s="2145"/>
      <c r="D350" s="2145"/>
      <c r="E350" s="2321"/>
      <c r="F350" s="2146"/>
      <c r="G350" s="2321"/>
      <c r="H350" s="2146"/>
    </row>
    <row r="351" spans="1:8">
      <c r="A351" s="2321"/>
      <c r="B351" s="2321"/>
      <c r="C351" s="2321"/>
      <c r="D351" s="2321"/>
      <c r="E351" s="2321"/>
      <c r="F351" s="2146"/>
      <c r="G351" s="2321"/>
      <c r="H351" s="2146"/>
    </row>
    <row r="352" spans="1:8">
      <c r="A352" s="2322" t="s">
        <v>746</v>
      </c>
      <c r="B352" s="2147">
        <f>'Part III-A-Uses of Funds'!$G$72</f>
        <v>0</v>
      </c>
      <c r="C352" s="2322" t="s">
        <v>706</v>
      </c>
      <c r="D352" s="2147">
        <f>'Part III-A-Uses of Funds'!$J$72+'Part III-A-Uses of Funds'!$M$72+'Part III-A-Uses of Funds'!$P$72</f>
        <v>0</v>
      </c>
      <c r="E352" s="2321"/>
      <c r="F352" s="2146"/>
      <c r="G352" s="2321"/>
      <c r="H352" s="2146"/>
    </row>
    <row r="353" spans="1:8" ht="13.5">
      <c r="A353" s="2319"/>
      <c r="B353" s="2319"/>
      <c r="C353" s="2319"/>
      <c r="D353" s="2321"/>
      <c r="E353" s="2321"/>
      <c r="F353" s="2146"/>
      <c r="G353" s="2324"/>
      <c r="H353" s="2146"/>
    </row>
    <row r="354" spans="1:8" ht="13.5">
      <c r="A354" s="2320" t="s">
        <v>600</v>
      </c>
      <c r="B354" s="2321"/>
      <c r="C354" s="2321"/>
      <c r="D354" s="2321"/>
      <c r="E354" s="2148"/>
      <c r="F354" s="2148"/>
      <c r="G354" s="2321"/>
      <c r="H354" s="2319"/>
    </row>
    <row r="355" spans="1:8" ht="13.5" customHeight="1">
      <c r="A355" s="2145" t="str">
        <f>'Part III-A-Uses of Funds'!$C$85</f>
        <v>&lt;&lt; Enter description here; provide detail &amp; justification in tab Part III-b &gt;&gt;</v>
      </c>
      <c r="B355" s="2145"/>
      <c r="C355" s="2145"/>
      <c r="D355" s="2145"/>
      <c r="E355" s="2319"/>
      <c r="F355" s="2146">
        <f>'Part III-B-Other Items'!F42</f>
        <v>0</v>
      </c>
      <c r="G355" s="2321"/>
      <c r="H355" s="2146">
        <f>'Part III-B-Other Items'!H42</f>
        <v>0</v>
      </c>
    </row>
    <row r="356" spans="1:8" ht="12.75" customHeight="1">
      <c r="A356" s="2145"/>
      <c r="B356" s="2145"/>
      <c r="C356" s="2145"/>
      <c r="D356" s="2145"/>
      <c r="E356" s="2321"/>
      <c r="F356" s="2146"/>
      <c r="G356" s="2321"/>
      <c r="H356" s="2146"/>
    </row>
    <row r="357" spans="1:8">
      <c r="A357" s="2321"/>
      <c r="B357" s="2321"/>
      <c r="C357" s="2321"/>
      <c r="D357" s="2321"/>
      <c r="E357" s="2321"/>
      <c r="F357" s="2146"/>
      <c r="G357" s="2321"/>
      <c r="H357" s="2146"/>
    </row>
    <row r="358" spans="1:8">
      <c r="A358" s="2322" t="s">
        <v>746</v>
      </c>
      <c r="B358" s="2147">
        <f>'Part III-A-Uses of Funds'!$G$85</f>
        <v>0</v>
      </c>
      <c r="C358" s="2322" t="s">
        <v>706</v>
      </c>
      <c r="D358" s="2147">
        <f>'Part III-A-Uses of Funds'!$J$85+'Part III-A-Uses of Funds'!$M$85+'Part III-A-Uses of Funds'!$P$85</f>
        <v>0</v>
      </c>
      <c r="E358" s="2321"/>
      <c r="F358" s="2146"/>
      <c r="G358" s="2321"/>
      <c r="H358" s="2146"/>
    </row>
    <row r="359" spans="1:8">
      <c r="A359" s="2321"/>
      <c r="B359" s="2323"/>
      <c r="C359" s="2321"/>
      <c r="D359" s="2321"/>
      <c r="E359" s="2321"/>
      <c r="F359" s="2146"/>
      <c r="G359" s="2324"/>
      <c r="H359" s="2146"/>
    </row>
    <row r="360" spans="1:8" ht="13.5">
      <c r="A360" s="2320" t="s">
        <v>623</v>
      </c>
      <c r="B360" s="2321"/>
      <c r="C360" s="2321"/>
      <c r="D360" s="2321"/>
      <c r="E360" s="2321"/>
      <c r="F360" s="2321"/>
      <c r="G360" s="2321"/>
      <c r="H360" s="2319"/>
    </row>
    <row r="361" spans="1:8" ht="13.5" customHeight="1">
      <c r="A361" s="2145" t="str">
        <f>'Part III-A-Uses of Funds'!$C$102</f>
        <v>Subordinate Debt Fees</v>
      </c>
      <c r="B361" s="2145"/>
      <c r="C361" s="2145"/>
      <c r="D361" s="2145"/>
      <c r="E361" s="2319"/>
      <c r="F361" s="2146" t="str">
        <f>'Part III-B-Other Items'!F48</f>
        <v>Estimated fees for AH Secondary Financing: 
$100,000 Underwriting fee
$35,000 Legal Fee
$27,000 Inspection Fee</v>
      </c>
      <c r="G361" s="2321"/>
      <c r="H361" s="2319"/>
    </row>
    <row r="362" spans="1:8" ht="13.5">
      <c r="A362" s="2145"/>
      <c r="B362" s="2145"/>
      <c r="C362" s="2145"/>
      <c r="D362" s="2145"/>
      <c r="E362" s="2321"/>
      <c r="F362" s="2146"/>
      <c r="G362" s="2321"/>
      <c r="H362" s="2319"/>
    </row>
    <row r="363" spans="1:8" ht="13.5">
      <c r="A363" s="2321"/>
      <c r="B363" s="2321"/>
      <c r="C363" s="2321"/>
      <c r="D363" s="2321"/>
      <c r="E363" s="2321"/>
      <c r="F363" s="2146"/>
      <c r="G363" s="2321"/>
      <c r="H363" s="2319"/>
    </row>
    <row r="364" spans="1:8" ht="13.5">
      <c r="A364" s="2322" t="s">
        <v>746</v>
      </c>
      <c r="B364" s="2147">
        <f>'Part III-A-Uses of Funds'!$G$102</f>
        <v>162000</v>
      </c>
      <c r="C364" s="2325"/>
      <c r="D364" s="2325"/>
      <c r="E364" s="2321"/>
      <c r="F364" s="2146"/>
      <c r="G364" s="2321"/>
      <c r="H364" s="2319"/>
    </row>
    <row r="365" spans="1:8" ht="13.5">
      <c r="A365" s="2321"/>
      <c r="B365" s="2321"/>
      <c r="C365" s="2321"/>
      <c r="D365" s="2321"/>
      <c r="E365" s="2321"/>
      <c r="F365" s="2146"/>
      <c r="G365" s="2324"/>
      <c r="H365" s="2319"/>
    </row>
    <row r="366" spans="1:8" ht="13.5">
      <c r="A366" s="2320" t="s">
        <v>6978</v>
      </c>
      <c r="B366" s="2321"/>
      <c r="C366" s="2321"/>
      <c r="D366" s="2321"/>
      <c r="E366" s="2321"/>
      <c r="F366" s="2321"/>
      <c r="G366" s="2321"/>
      <c r="H366" s="2319"/>
    </row>
    <row r="367" spans="1:8" ht="13.5" customHeight="1">
      <c r="A367" s="2145" t="str">
        <f>'Part III-A-Uses of Funds'!$C$112</f>
        <v>&lt;&lt; Enter description here; provide detail &amp; justification in tab Part III-b &gt;&gt;</v>
      </c>
      <c r="B367" s="2145"/>
      <c r="C367" s="2145"/>
      <c r="D367" s="2145"/>
      <c r="E367" s="2319"/>
      <c r="F367" s="2146">
        <f>'Part III-B-Other Items'!F54</f>
        <v>0</v>
      </c>
      <c r="G367" s="2321"/>
      <c r="H367" s="2319"/>
    </row>
    <row r="368" spans="1:8" ht="13.5">
      <c r="A368" s="2145"/>
      <c r="B368" s="2145"/>
      <c r="C368" s="2145"/>
      <c r="D368" s="2145"/>
      <c r="E368" s="2321"/>
      <c r="F368" s="2146"/>
      <c r="G368" s="2321"/>
      <c r="H368" s="2319"/>
    </row>
    <row r="369" spans="1:8" ht="13.5">
      <c r="A369" s="2321"/>
      <c r="B369" s="2321"/>
      <c r="C369" s="2321"/>
      <c r="D369" s="2321"/>
      <c r="E369" s="2321"/>
      <c r="F369" s="2146"/>
      <c r="G369" s="2321"/>
      <c r="H369" s="2319"/>
    </row>
    <row r="370" spans="1:8" ht="13.5">
      <c r="A370" s="2322" t="s">
        <v>746</v>
      </c>
      <c r="B370" s="2147">
        <f>'Part III-A-Uses of Funds'!$G$112</f>
        <v>0</v>
      </c>
      <c r="C370" s="2325"/>
      <c r="D370" s="2325"/>
      <c r="E370" s="2321"/>
      <c r="F370" s="2146"/>
      <c r="G370" s="2321"/>
      <c r="H370" s="2319"/>
    </row>
    <row r="371" spans="1:8" ht="13.5">
      <c r="A371" s="2318"/>
      <c r="B371" s="2318"/>
      <c r="C371" s="2318"/>
      <c r="D371" s="2318"/>
      <c r="E371" s="2318"/>
      <c r="F371" s="2146"/>
      <c r="G371" s="2324"/>
      <c r="H371" s="2319"/>
    </row>
    <row r="372" spans="1:8" ht="13.5" customHeight="1">
      <c r="A372" s="2145" t="str">
        <f>'Part III-A-Uses of Funds'!$C$113</f>
        <v>&lt;&lt; Enter description here; provide detail &amp; justification in tab Part III-b &gt;&gt;</v>
      </c>
      <c r="B372" s="2145"/>
      <c r="C372" s="2145"/>
      <c r="D372" s="2145"/>
      <c r="E372" s="2319"/>
      <c r="F372" s="2146">
        <f>'Part III-B-Other Items'!F59</f>
        <v>0</v>
      </c>
      <c r="G372" s="2321"/>
      <c r="H372" s="2319"/>
    </row>
    <row r="373" spans="1:8" ht="13.5">
      <c r="A373" s="2145"/>
      <c r="B373" s="2145"/>
      <c r="C373" s="2145"/>
      <c r="D373" s="2145"/>
      <c r="E373" s="2321"/>
      <c r="F373" s="2146"/>
      <c r="G373" s="2321"/>
      <c r="H373" s="2319"/>
    </row>
    <row r="374" spans="1:8" ht="13.5">
      <c r="A374" s="2321"/>
      <c r="B374" s="2321"/>
      <c r="C374" s="2321"/>
      <c r="D374" s="2321"/>
      <c r="E374" s="2321"/>
      <c r="F374" s="2146"/>
      <c r="G374" s="2321"/>
      <c r="H374" s="2319"/>
    </row>
    <row r="375" spans="1:8" ht="13.5">
      <c r="A375" s="2322" t="s">
        <v>746</v>
      </c>
      <c r="B375" s="2147">
        <f>'Part III-A-Uses of Funds'!$G$113</f>
        <v>0</v>
      </c>
      <c r="C375" s="2325"/>
      <c r="D375" s="2325"/>
      <c r="E375" s="2321"/>
      <c r="F375" s="2146"/>
      <c r="G375" s="2321"/>
      <c r="H375" s="2319"/>
    </row>
    <row r="376" spans="1:8" ht="13.5">
      <c r="A376" s="2318"/>
      <c r="B376" s="2318"/>
      <c r="C376" s="2318"/>
      <c r="D376" s="2318"/>
      <c r="E376" s="2318"/>
      <c r="F376" s="2146"/>
      <c r="G376" s="2324"/>
      <c r="H376" s="2319"/>
    </row>
    <row r="377" spans="1:8" ht="13.5">
      <c r="A377" s="2320" t="s">
        <v>6979</v>
      </c>
      <c r="B377" s="2321"/>
      <c r="C377" s="2321"/>
      <c r="D377" s="2321"/>
      <c r="E377" s="2321"/>
      <c r="F377" s="2321"/>
      <c r="G377" s="2321"/>
      <c r="H377" s="2319"/>
    </row>
    <row r="378" spans="1:8" ht="13.5" customHeight="1">
      <c r="A378" s="2145" t="str">
        <f>'Part III-A-Uses of Funds'!$C$119</f>
        <v>&lt;&lt; Enter description here; provide detail &amp; justification in tab Part III-b &gt;&gt;</v>
      </c>
      <c r="B378" s="2145"/>
      <c r="C378" s="2145"/>
      <c r="D378" s="2145"/>
      <c r="E378" s="2319"/>
      <c r="F378" s="2146">
        <f>'Part III-B-Other Items'!F65</f>
        <v>0</v>
      </c>
      <c r="G378" s="2321"/>
      <c r="H378" s="2319"/>
    </row>
    <row r="379" spans="1:8" ht="13.5">
      <c r="A379" s="2145"/>
      <c r="B379" s="2145"/>
      <c r="C379" s="2145"/>
      <c r="D379" s="2145"/>
      <c r="E379" s="2321"/>
      <c r="F379" s="2146"/>
      <c r="G379" s="2321"/>
      <c r="H379" s="2319"/>
    </row>
    <row r="380" spans="1:8" ht="13.5">
      <c r="A380" s="2321"/>
      <c r="B380" s="2321"/>
      <c r="C380" s="2321"/>
      <c r="D380" s="2321"/>
      <c r="E380" s="2321"/>
      <c r="F380" s="2146"/>
      <c r="G380" s="2321"/>
      <c r="H380" s="2319"/>
    </row>
    <row r="381" spans="1:8" ht="13.5">
      <c r="A381" s="2322" t="s">
        <v>746</v>
      </c>
      <c r="B381" s="2147">
        <f>'Part III-A-Uses of Funds'!$G$119</f>
        <v>0</v>
      </c>
      <c r="C381" s="2325"/>
      <c r="D381" s="2325"/>
      <c r="E381" s="2321"/>
      <c r="F381" s="2146"/>
      <c r="G381" s="2321"/>
      <c r="H381" s="2319"/>
    </row>
    <row r="382" spans="1:8" ht="13.5">
      <c r="A382" s="2321"/>
      <c r="B382" s="2323"/>
      <c r="C382" s="2321"/>
      <c r="D382" s="2321"/>
      <c r="E382" s="2321"/>
      <c r="F382" s="2146"/>
      <c r="G382" s="2324"/>
      <c r="H382" s="2319"/>
    </row>
    <row r="383" spans="1:8" ht="13.5">
      <c r="A383" s="2320" t="s">
        <v>678</v>
      </c>
      <c r="B383" s="2321"/>
      <c r="C383" s="2321"/>
      <c r="D383" s="2321"/>
      <c r="E383" s="2321"/>
      <c r="F383" s="2321"/>
      <c r="G383" s="2321"/>
      <c r="H383" s="2319"/>
    </row>
    <row r="384" spans="1:8" ht="13.5" customHeight="1">
      <c r="A384" s="2145" t="str">
        <f>'Part III-A-Uses of Funds'!$C$134</f>
        <v>&lt;&lt; Enter description here; provide detail &amp; justification in tab Part III-b &gt;&gt;</v>
      </c>
      <c r="B384" s="2145"/>
      <c r="C384" s="2145"/>
      <c r="D384" s="2145"/>
      <c r="E384" s="2319"/>
      <c r="F384" s="2146">
        <f>'Part III-B-Other Items'!F71</f>
        <v>0</v>
      </c>
      <c r="G384" s="2321"/>
      <c r="H384" s="2146">
        <f>'Part III-B-Other Items'!H71</f>
        <v>0</v>
      </c>
    </row>
    <row r="385" spans="1:13" ht="12.75" customHeight="1">
      <c r="A385" s="2145"/>
      <c r="B385" s="2145"/>
      <c r="C385" s="2145"/>
      <c r="D385" s="2145"/>
      <c r="E385" s="2321"/>
      <c r="F385" s="2146"/>
      <c r="G385" s="2321"/>
      <c r="H385" s="2146"/>
    </row>
    <row r="386" spans="1:13">
      <c r="A386" s="2321"/>
      <c r="B386" s="2321"/>
      <c r="C386" s="2321"/>
      <c r="D386" s="2321"/>
      <c r="E386" s="2321"/>
      <c r="F386" s="2146"/>
      <c r="G386" s="2321"/>
      <c r="H386" s="2146"/>
    </row>
    <row r="387" spans="1:13">
      <c r="A387" s="2322" t="s">
        <v>746</v>
      </c>
      <c r="B387" s="2147">
        <f>'Part III-A-Uses of Funds'!$G$134</f>
        <v>0</v>
      </c>
      <c r="C387" s="2322" t="s">
        <v>706</v>
      </c>
      <c r="D387" s="2147">
        <f>'Part III-A-Uses of Funds'!$J$134+'Part III-A-Uses of Funds'!$M$134+'Part III-A-Uses of Funds'!$P$134</f>
        <v>0</v>
      </c>
      <c r="E387" s="2321"/>
      <c r="F387" s="2146"/>
      <c r="G387" s="2321"/>
      <c r="H387" s="2146"/>
    </row>
    <row r="388" spans="1:13">
      <c r="A388" s="2321"/>
      <c r="B388" s="2323"/>
      <c r="C388" s="2321"/>
      <c r="D388" s="2321"/>
      <c r="E388" s="2321"/>
      <c r="F388" s="2146"/>
      <c r="G388" s="2324"/>
      <c r="H388" s="2146"/>
    </row>
    <row r="389" spans="1:13" ht="13.5">
      <c r="A389" s="2320" t="s">
        <v>6980</v>
      </c>
      <c r="B389" s="2323"/>
      <c r="C389" s="2321"/>
      <c r="D389" s="2321"/>
      <c r="E389" s="2321"/>
      <c r="F389" s="2321"/>
      <c r="G389" s="2324"/>
      <c r="H389" s="2319"/>
    </row>
    <row r="390" spans="1:13" ht="13.5" customHeight="1">
      <c r="A390" s="2145" t="str">
        <f>'Part III-A-Uses of Funds'!$C$143</f>
        <v>&lt;&lt; Enter description here; provide detail &amp; justification in tab Part III-b &gt;&gt;</v>
      </c>
      <c r="B390" s="2145"/>
      <c r="C390" s="2145"/>
      <c r="D390" s="2145"/>
      <c r="E390" s="2319"/>
      <c r="F390" s="2146">
        <f>'Part III-B-Other Items'!F77</f>
        <v>0</v>
      </c>
      <c r="G390" s="2321"/>
      <c r="H390" s="2146">
        <f>'Part III-B-Other Items'!H77</f>
        <v>0</v>
      </c>
    </row>
    <row r="391" spans="1:13" ht="12.75" customHeight="1">
      <c r="A391" s="2145"/>
      <c r="B391" s="2145"/>
      <c r="C391" s="2145"/>
      <c r="D391" s="2145"/>
      <c r="E391" s="2321"/>
      <c r="F391" s="2146"/>
      <c r="G391" s="2321"/>
      <c r="H391" s="2146"/>
    </row>
    <row r="392" spans="1:13">
      <c r="A392" s="2321"/>
      <c r="B392" s="2321"/>
      <c r="C392" s="2321"/>
      <c r="D392" s="2321"/>
      <c r="E392" s="2321"/>
      <c r="F392" s="2146"/>
      <c r="G392" s="2321"/>
      <c r="H392" s="2146"/>
    </row>
    <row r="393" spans="1:13">
      <c r="A393" s="2322" t="s">
        <v>746</v>
      </c>
      <c r="B393" s="2147">
        <f>'Part III-A-Uses of Funds'!$G$143</f>
        <v>0</v>
      </c>
      <c r="C393" s="2322" t="s">
        <v>706</v>
      </c>
      <c r="D393" s="2147">
        <f>'Part III-A-Uses of Funds'!$J$143+'Part III-A-Uses of Funds'!$M$143+'Part III-A-Uses of Funds'!$P$143</f>
        <v>0</v>
      </c>
      <c r="E393" s="2321"/>
      <c r="F393" s="2146"/>
      <c r="G393" s="2321"/>
      <c r="H393" s="2146"/>
    </row>
    <row r="394" spans="1:13" ht="13.5">
      <c r="A394" s="2319"/>
      <c r="B394" s="2319"/>
      <c r="C394" s="2319"/>
      <c r="D394" s="2321"/>
      <c r="E394" s="2147"/>
      <c r="F394" s="2146"/>
      <c r="G394" s="2324"/>
      <c r="H394" s="2146"/>
    </row>
    <row r="399" spans="1:13">
      <c r="A399" s="1440" t="str">
        <f>CONCATENATE("PART FOUR - UTILITY ALLOWANCES","  -  ",'Part I-Project Identification'!$O$7," ",'Part I-Project Identification'!$F$25,", ",'Part I-Project Identification'!F428,", ",'Part I-Project Identification'!J428," County")</f>
        <v>PART FOUR - UTILITY ALLOWANCES  -  2023-5 Ashley Collegetown Phase I, ,  County</v>
      </c>
      <c r="B399" s="1440"/>
      <c r="C399" s="1440"/>
      <c r="D399" s="1440"/>
      <c r="E399" s="1440"/>
      <c r="F399" s="1440"/>
      <c r="G399" s="1440"/>
      <c r="H399" s="1440"/>
      <c r="I399" s="1440"/>
      <c r="J399" s="1440"/>
      <c r="K399" s="1440"/>
      <c r="L399" s="1440"/>
      <c r="M399" s="1440"/>
    </row>
    <row r="401" spans="1:13">
      <c r="B401" s="2326" t="str">
        <f>'Part I-Project Identification'!$A$6</f>
        <v>Sept 2023</v>
      </c>
      <c r="C401" s="2326"/>
      <c r="D401" s="2326"/>
      <c r="E401" s="2326"/>
      <c r="F401" s="1440" t="s">
        <v>751</v>
      </c>
      <c r="I401" s="2327" t="str">
        <f>'Part IV-Utility Allowances'!I3</f>
        <v>Local PHA</v>
      </c>
    </row>
    <row r="403" spans="1:13">
      <c r="A403" s="2328" t="s">
        <v>6981</v>
      </c>
    </row>
    <row r="405" spans="1:13" ht="63.75">
      <c r="A405" s="265" t="s">
        <v>21</v>
      </c>
      <c r="B405" s="265" t="s">
        <v>753</v>
      </c>
      <c r="F405" s="263" t="s">
        <v>754</v>
      </c>
      <c r="G405" s="263"/>
      <c r="H405" s="263"/>
      <c r="I405" s="2195" t="str">
        <f>'Part IV-Utility Allowances'!I7</f>
        <v>Energy Consulting Inc. Energy Consumption Model</v>
      </c>
      <c r="J405" s="2195"/>
      <c r="K405" s="2195"/>
      <c r="L405" s="2195"/>
      <c r="M405" s="2195"/>
    </row>
    <row r="406" spans="1:13">
      <c r="A406" s="265"/>
      <c r="F406" s="263" t="s">
        <v>755</v>
      </c>
      <c r="G406" s="263"/>
      <c r="H406" s="263"/>
      <c r="I406" s="2329">
        <f>'Part IV-Utility Allowances'!I8</f>
        <v>45132</v>
      </c>
      <c r="J406" s="2329"/>
      <c r="K406" s="1573" t="s">
        <v>756</v>
      </c>
      <c r="L406" s="263" t="str">
        <f>'Part IV-Utility Allowances'!L8</f>
        <v>Low-Rise Apt</v>
      </c>
      <c r="M406" s="263"/>
    </row>
    <row r="407" spans="1:13">
      <c r="A407" s="265"/>
    </row>
    <row r="408" spans="1:13">
      <c r="A408" s="265"/>
      <c r="B408" s="265"/>
      <c r="C408" s="265"/>
      <c r="D408" s="265"/>
      <c r="E408" s="265"/>
      <c r="F408" s="265" t="s">
        <v>757</v>
      </c>
      <c r="G408" s="265"/>
      <c r="H408" s="265"/>
      <c r="I408" s="265" t="s">
        <v>758</v>
      </c>
      <c r="J408" s="265"/>
      <c r="K408" s="265"/>
      <c r="L408" s="265"/>
      <c r="M408" s="265"/>
    </row>
    <row r="409" spans="1:13">
      <c r="A409" s="265"/>
      <c r="B409" s="265" t="s">
        <v>759</v>
      </c>
      <c r="C409" s="265"/>
      <c r="D409" s="265" t="s">
        <v>760</v>
      </c>
      <c r="E409" s="265"/>
      <c r="F409" s="1564" t="s">
        <v>761</v>
      </c>
      <c r="G409" s="1564" t="s">
        <v>762</v>
      </c>
      <c r="H409" s="265"/>
      <c r="I409" s="1564" t="s">
        <v>763</v>
      </c>
      <c r="J409" s="1564">
        <v>1</v>
      </c>
      <c r="K409" s="1564">
        <v>2</v>
      </c>
      <c r="L409" s="1564">
        <v>3</v>
      </c>
      <c r="M409" s="1564">
        <v>4</v>
      </c>
    </row>
    <row r="410" spans="1:13">
      <c r="B410" s="263" t="s">
        <v>764</v>
      </c>
      <c r="C410" s="263"/>
      <c r="D410" s="263" t="str">
        <f>'Part IV-Utility Allowances'!D12</f>
        <v>Electric</v>
      </c>
      <c r="E410" s="263"/>
      <c r="F410" s="2330" t="str">
        <f>'Part IV-Utility Allowances'!F12</f>
        <v>X</v>
      </c>
      <c r="G410" s="2330">
        <f>'Part IV-Utility Allowances'!G12</f>
        <v>0</v>
      </c>
      <c r="I410" s="1573">
        <f>'Part IV-Utility Allowances'!I12</f>
        <v>0</v>
      </c>
      <c r="J410" s="1573">
        <f>'Part IV-Utility Allowances'!J12</f>
        <v>5</v>
      </c>
      <c r="K410" s="1573">
        <f>'Part IV-Utility Allowances'!K12</f>
        <v>6</v>
      </c>
      <c r="L410" s="1573">
        <f>'Part IV-Utility Allowances'!L12</f>
        <v>8</v>
      </c>
      <c r="M410" s="1573">
        <f>'Part IV-Utility Allowances'!M12</f>
        <v>0</v>
      </c>
    </row>
    <row r="411" spans="1:13">
      <c r="B411" s="263" t="s">
        <v>766</v>
      </c>
      <c r="C411" s="263"/>
      <c r="D411" s="263" t="str">
        <f>'Part IV-Utility Allowances'!D13</f>
        <v>Electric</v>
      </c>
      <c r="E411" s="263"/>
      <c r="F411" s="2330" t="str">
        <f>'Part IV-Utility Allowances'!F13</f>
        <v>X</v>
      </c>
      <c r="G411" s="2330">
        <f>'Part IV-Utility Allowances'!G13</f>
        <v>0</v>
      </c>
      <c r="I411" s="1573">
        <f>'Part IV-Utility Allowances'!I13</f>
        <v>0</v>
      </c>
      <c r="J411" s="1573">
        <f>'Part IV-Utility Allowances'!J13</f>
        <v>8</v>
      </c>
      <c r="K411" s="1573">
        <f>'Part IV-Utility Allowances'!K13</f>
        <v>10</v>
      </c>
      <c r="L411" s="1573">
        <f>'Part IV-Utility Allowances'!L13</f>
        <v>13</v>
      </c>
      <c r="M411" s="1573">
        <f>'Part IV-Utility Allowances'!M13</f>
        <v>0</v>
      </c>
    </row>
    <row r="412" spans="1:13">
      <c r="B412" s="263" t="s">
        <v>768</v>
      </c>
      <c r="C412" s="263"/>
      <c r="D412" s="263" t="str">
        <f>'Part IV-Utility Allowances'!D14</f>
        <v>Electric</v>
      </c>
      <c r="E412" s="263"/>
      <c r="F412" s="2330" t="str">
        <f>'Part IV-Utility Allowances'!F14</f>
        <v>X</v>
      </c>
      <c r="G412" s="2330">
        <f>'Part IV-Utility Allowances'!G14</f>
        <v>0</v>
      </c>
      <c r="I412" s="1573">
        <f>'Part IV-Utility Allowances'!I14</f>
        <v>0</v>
      </c>
      <c r="J412" s="1573">
        <f>'Part IV-Utility Allowances'!J14</f>
        <v>22</v>
      </c>
      <c r="K412" s="1573">
        <f>'Part IV-Utility Allowances'!K14</f>
        <v>25</v>
      </c>
      <c r="L412" s="1573">
        <f>'Part IV-Utility Allowances'!L14</f>
        <v>33</v>
      </c>
      <c r="M412" s="1573">
        <f>'Part IV-Utility Allowances'!M14</f>
        <v>0</v>
      </c>
    </row>
    <row r="413" spans="1:13">
      <c r="B413" s="263" t="s">
        <v>769</v>
      </c>
      <c r="C413" s="263"/>
      <c r="D413" s="263" t="s">
        <v>770</v>
      </c>
      <c r="F413" s="2330" t="str">
        <f>'Part IV-Utility Allowances'!F15</f>
        <v>X</v>
      </c>
      <c r="G413" s="2330">
        <f>'Part IV-Utility Allowances'!G15</f>
        <v>0</v>
      </c>
      <c r="I413" s="1573">
        <f>'Part IV-Utility Allowances'!I15</f>
        <v>0</v>
      </c>
      <c r="J413" s="1573">
        <f>'Part IV-Utility Allowances'!J15</f>
        <v>9</v>
      </c>
      <c r="K413" s="1573">
        <f>'Part IV-Utility Allowances'!K15</f>
        <v>11</v>
      </c>
      <c r="L413" s="1573">
        <f>'Part IV-Utility Allowances'!L15</f>
        <v>14</v>
      </c>
      <c r="M413" s="1573">
        <f>'Part IV-Utility Allowances'!M15</f>
        <v>0</v>
      </c>
    </row>
    <row r="414" spans="1:13">
      <c r="B414" s="263" t="s">
        <v>771</v>
      </c>
      <c r="C414" s="263"/>
      <c r="D414" s="263" t="s">
        <v>770</v>
      </c>
      <c r="F414" s="2330">
        <f>'Part IV-Utility Allowances'!F16</f>
        <v>0</v>
      </c>
      <c r="G414" s="2330">
        <f>'Part IV-Utility Allowances'!G16</f>
        <v>0</v>
      </c>
      <c r="I414" s="1573">
        <f>'Part IV-Utility Allowances'!I16</f>
        <v>0</v>
      </c>
      <c r="J414" s="1573">
        <f>'Part IV-Utility Allowances'!J16</f>
        <v>0</v>
      </c>
      <c r="K414" s="1573">
        <f>'Part IV-Utility Allowances'!K16</f>
        <v>0</v>
      </c>
      <c r="L414" s="1573">
        <f>'Part IV-Utility Allowances'!L16</f>
        <v>0</v>
      </c>
      <c r="M414" s="1573">
        <f>'Part IV-Utility Allowances'!M16</f>
        <v>0</v>
      </c>
    </row>
    <row r="415" spans="1:13">
      <c r="B415" s="263" t="s">
        <v>772</v>
      </c>
      <c r="C415" s="263"/>
      <c r="D415" s="263" t="s">
        <v>770</v>
      </c>
      <c r="F415" s="2330">
        <f>'Part IV-Utility Allowances'!F17</f>
        <v>0</v>
      </c>
      <c r="G415" s="2330">
        <f>'Part IV-Utility Allowances'!G17</f>
        <v>0</v>
      </c>
      <c r="I415" s="1573">
        <f>'Part IV-Utility Allowances'!I17</f>
        <v>0</v>
      </c>
      <c r="J415" s="1573">
        <f>'Part IV-Utility Allowances'!J17</f>
        <v>0</v>
      </c>
      <c r="K415" s="1573">
        <f>'Part IV-Utility Allowances'!K17</f>
        <v>0</v>
      </c>
      <c r="L415" s="1573">
        <f>'Part IV-Utility Allowances'!L17</f>
        <v>0</v>
      </c>
      <c r="M415" s="1573">
        <f>'Part IV-Utility Allowances'!M17</f>
        <v>0</v>
      </c>
    </row>
    <row r="416" spans="1:13">
      <c r="B416" s="263" t="s">
        <v>773</v>
      </c>
      <c r="C416" s="263"/>
      <c r="D416" s="263" t="s">
        <v>770</v>
      </c>
      <c r="F416" s="2330" t="str">
        <f>'Part IV-Utility Allowances'!F18</f>
        <v>X</v>
      </c>
      <c r="G416" s="2330">
        <f>'Part IV-Utility Allowances'!G18</f>
        <v>0</v>
      </c>
      <c r="I416" s="1573">
        <f>'Part IV-Utility Allowances'!I18</f>
        <v>0</v>
      </c>
      <c r="J416" s="1573">
        <f>'Part IV-Utility Allowances'!J18</f>
        <v>30</v>
      </c>
      <c r="K416" s="1573">
        <f>'Part IV-Utility Allowances'!K18</f>
        <v>36</v>
      </c>
      <c r="L416" s="1573">
        <f>'Part IV-Utility Allowances'!L18</f>
        <v>47</v>
      </c>
      <c r="M416" s="1573">
        <f>'Part IV-Utility Allowances'!M18</f>
        <v>0</v>
      </c>
    </row>
    <row r="417" spans="1:13">
      <c r="B417" s="263" t="s">
        <v>774</v>
      </c>
      <c r="C417" s="263"/>
      <c r="D417" s="263" t="s">
        <v>6982</v>
      </c>
      <c r="E417" s="1573" t="str">
        <f>'Part IV-Utility Allowances'!E19</f>
        <v>Yes</v>
      </c>
      <c r="F417" s="2330" t="str">
        <f>'Part IV-Utility Allowances'!F19</f>
        <v>X</v>
      </c>
      <c r="G417" s="2330">
        <f>'Part IV-Utility Allowances'!G19</f>
        <v>0</v>
      </c>
      <c r="I417" s="1573">
        <f>'Part IV-Utility Allowances'!I19</f>
        <v>0</v>
      </c>
      <c r="J417" s="1573">
        <f>'Part IV-Utility Allowances'!J19</f>
        <v>64</v>
      </c>
      <c r="K417" s="1573">
        <f>'Part IV-Utility Allowances'!K19</f>
        <v>85</v>
      </c>
      <c r="L417" s="1573">
        <f>'Part IV-Utility Allowances'!L19</f>
        <v>101</v>
      </c>
      <c r="M417" s="1573">
        <f>'Part IV-Utility Allowances'!M19</f>
        <v>0</v>
      </c>
    </row>
    <row r="418" spans="1:13">
      <c r="B418" s="263" t="s">
        <v>777</v>
      </c>
      <c r="C418" s="263"/>
      <c r="F418" s="2330">
        <f>'Part IV-Utility Allowances'!F20</f>
        <v>0</v>
      </c>
      <c r="G418" s="2330" t="str">
        <f>'Part IV-Utility Allowances'!G20</f>
        <v>X</v>
      </c>
      <c r="I418" s="1573">
        <f>'Part IV-Utility Allowances'!I20</f>
        <v>0</v>
      </c>
      <c r="J418" s="1573">
        <f>'Part IV-Utility Allowances'!J20</f>
        <v>0</v>
      </c>
      <c r="K418" s="1573">
        <f>'Part IV-Utility Allowances'!K20</f>
        <v>0</v>
      </c>
      <c r="L418" s="1573">
        <f>'Part IV-Utility Allowances'!L20</f>
        <v>0</v>
      </c>
      <c r="M418" s="1573">
        <f>'Part IV-Utility Allowances'!M20</f>
        <v>0</v>
      </c>
    </row>
    <row r="419" spans="1:13">
      <c r="B419" s="263" t="s">
        <v>440</v>
      </c>
      <c r="C419" s="266">
        <f>'Part IV-Utility Allowances'!C21</f>
        <v>0</v>
      </c>
      <c r="D419" s="266"/>
      <c r="E419" s="266"/>
      <c r="F419" s="2330">
        <f>'Part IV-Utility Allowances'!F21</f>
        <v>0</v>
      </c>
      <c r="G419" s="2330">
        <f>'Part IV-Utility Allowances'!G21</f>
        <v>0</v>
      </c>
      <c r="I419" s="1573">
        <f>'Part IV-Utility Allowances'!I21</f>
        <v>0</v>
      </c>
      <c r="J419" s="1573">
        <f>'Part IV-Utility Allowances'!J21</f>
        <v>0</v>
      </c>
      <c r="K419" s="1573">
        <f>'Part IV-Utility Allowances'!K21</f>
        <v>0</v>
      </c>
      <c r="L419" s="1573">
        <f>'Part IV-Utility Allowances'!L21</f>
        <v>0</v>
      </c>
      <c r="M419" s="1573">
        <f>'Part IV-Utility Allowances'!M21</f>
        <v>0</v>
      </c>
    </row>
    <row r="420" spans="1:13">
      <c r="B420" s="265" t="s">
        <v>778</v>
      </c>
      <c r="F420" s="1441"/>
      <c r="G420" s="1441"/>
      <c r="I420" s="2330">
        <f>IF(SUM(I410:I419)=0,0,IF(OR($D410="&lt;&lt;Select Fuel &gt;&gt;",$D411="&lt;&lt;Select Fuel &gt;&gt;",$D412="&lt;&lt;Select Fuel &gt;&gt;"),"Select Fuel",IF($E417="&lt;Select&gt;","Submeter?",SUM(I410:I419))))</f>
        <v>0</v>
      </c>
      <c r="J420" s="2330">
        <f>IF(SUM(J410:J419)=0,0,IF(OR($D410="&lt;&lt;Select Fuel &gt;&gt;",$D411="&lt;&lt;Select Fuel &gt;&gt;",$D412="&lt;&lt;Select Fuel &gt;&gt;"),"Select Fuel",IF($E417="&lt;Select&gt;","Submeter?",SUM(J410:J419))))</f>
        <v>138</v>
      </c>
      <c r="K420" s="2330">
        <f>IF(SUM(K410:K419)=0,0,IF(OR($D410="&lt;&lt;Select Fuel &gt;&gt;",$D411="&lt;&lt;Select Fuel &gt;&gt;",$D412="&lt;&lt;Select Fuel &gt;&gt;"),"Select Fuel",IF($E417="&lt;Select&gt;","Submeter?",SUM(K410:K419))))</f>
        <v>173</v>
      </c>
      <c r="L420" s="2330">
        <f>IF(SUM(L410:L419)=0,0,IF(OR($D410="&lt;&lt;Select Fuel &gt;&gt;",$D411="&lt;&lt;Select Fuel &gt;&gt;",$D412="&lt;&lt;Select Fuel &gt;&gt;"),"Select Fuel",IF($E417="&lt;Select&gt;","Submeter?",SUM(L410:L419))))</f>
        <v>216</v>
      </c>
      <c r="M420" s="2330">
        <f>IF(SUM(M410:M419)=0,0,IF(OR($D410="&lt;&lt;Select Fuel &gt;&gt;",$D411="&lt;&lt;Select Fuel &gt;&gt;",$D412="&lt;&lt;Select Fuel &gt;&gt;"),"Select Fuel",IF($E417="&lt;Select&gt;","Submeter?",SUM(M410:M419))))</f>
        <v>0</v>
      </c>
    </row>
    <row r="422" spans="1:13">
      <c r="A422" s="265" t="s">
        <v>25</v>
      </c>
      <c r="B422" s="265" t="s">
        <v>779</v>
      </c>
      <c r="F422" s="263" t="s">
        <v>754</v>
      </c>
      <c r="G422" s="263"/>
      <c r="H422" s="263"/>
      <c r="I422" s="2195">
        <f>'Part IV-Utility Allowances'!I24</f>
        <v>0</v>
      </c>
      <c r="J422" s="2195"/>
      <c r="K422" s="2195"/>
      <c r="L422" s="2195"/>
      <c r="M422" s="2195"/>
    </row>
    <row r="423" spans="1:13">
      <c r="A423" s="265"/>
      <c r="B423" s="265"/>
      <c r="F423" s="263" t="s">
        <v>755</v>
      </c>
      <c r="G423" s="263"/>
      <c r="H423" s="263"/>
      <c r="I423" s="2329">
        <f>'Part IV-Utility Allowances'!I25</f>
        <v>0</v>
      </c>
      <c r="J423" s="2329"/>
      <c r="K423" s="1573" t="s">
        <v>756</v>
      </c>
      <c r="L423" s="263">
        <f>'Part IV-Utility Allowances'!L25</f>
        <v>0</v>
      </c>
      <c r="M423" s="263"/>
    </row>
    <row r="424" spans="1:13">
      <c r="A424" s="265"/>
    </row>
    <row r="425" spans="1:13">
      <c r="A425" s="265"/>
      <c r="B425" s="265"/>
      <c r="C425" s="265"/>
      <c r="D425" s="265"/>
      <c r="E425" s="265"/>
      <c r="F425" s="265" t="s">
        <v>757</v>
      </c>
      <c r="G425" s="265"/>
      <c r="H425" s="265"/>
      <c r="I425" s="265" t="s">
        <v>758</v>
      </c>
      <c r="J425" s="265"/>
      <c r="K425" s="265"/>
      <c r="L425" s="265"/>
      <c r="M425" s="265"/>
    </row>
    <row r="426" spans="1:13">
      <c r="A426" s="265"/>
      <c r="B426" s="265" t="s">
        <v>759</v>
      </c>
      <c r="C426" s="265"/>
      <c r="D426" s="265" t="s">
        <v>760</v>
      </c>
      <c r="E426" s="265"/>
      <c r="F426" s="1564" t="s">
        <v>761</v>
      </c>
      <c r="G426" s="1564" t="s">
        <v>762</v>
      </c>
      <c r="H426" s="265"/>
      <c r="I426" s="1564" t="s">
        <v>763</v>
      </c>
      <c r="J426" s="1564">
        <v>1</v>
      </c>
      <c r="K426" s="1564">
        <v>2</v>
      </c>
      <c r="L426" s="1564">
        <v>3</v>
      </c>
      <c r="M426" s="1564">
        <v>4</v>
      </c>
    </row>
    <row r="427" spans="1:13">
      <c r="B427" s="263" t="s">
        <v>764</v>
      </c>
      <c r="C427" s="263"/>
      <c r="D427" s="263" t="str">
        <f>'Part IV-Utility Allowances'!D29</f>
        <v>&lt;&lt;Select Fuel &gt;&gt;</v>
      </c>
      <c r="E427" s="263"/>
      <c r="F427" s="2330">
        <f>'Part IV-Utility Allowances'!F29</f>
        <v>0</v>
      </c>
      <c r="G427" s="2330">
        <f>'Part IV-Utility Allowances'!G29</f>
        <v>0</v>
      </c>
      <c r="I427" s="1573">
        <f>'Part IV-Utility Allowances'!I29</f>
        <v>0</v>
      </c>
      <c r="J427" s="1573">
        <f>'Part IV-Utility Allowances'!J29</f>
        <v>0</v>
      </c>
      <c r="K427" s="1573">
        <f>'Part IV-Utility Allowances'!K29</f>
        <v>0</v>
      </c>
      <c r="L427" s="1573">
        <f>'Part IV-Utility Allowances'!L29</f>
        <v>0</v>
      </c>
      <c r="M427" s="1573">
        <f>'Part IV-Utility Allowances'!M29</f>
        <v>0</v>
      </c>
    </row>
    <row r="428" spans="1:13">
      <c r="B428" s="263" t="s">
        <v>766</v>
      </c>
      <c r="C428" s="263"/>
      <c r="D428" s="263" t="str">
        <f>'Part IV-Utility Allowances'!D30</f>
        <v>&lt;&lt;Select Fuel &gt;&gt;</v>
      </c>
      <c r="E428" s="263"/>
      <c r="F428" s="2330">
        <f>'Part IV-Utility Allowances'!F30</f>
        <v>0</v>
      </c>
      <c r="G428" s="2330">
        <f>'Part IV-Utility Allowances'!G30</f>
        <v>0</v>
      </c>
      <c r="I428" s="1573">
        <f>'Part IV-Utility Allowances'!I30</f>
        <v>0</v>
      </c>
      <c r="J428" s="1573">
        <f>'Part IV-Utility Allowances'!J30</f>
        <v>0</v>
      </c>
      <c r="K428" s="1573">
        <f>'Part IV-Utility Allowances'!K30</f>
        <v>0</v>
      </c>
      <c r="L428" s="1573">
        <f>'Part IV-Utility Allowances'!L30</f>
        <v>0</v>
      </c>
      <c r="M428" s="1573">
        <f>'Part IV-Utility Allowances'!M30</f>
        <v>0</v>
      </c>
    </row>
    <row r="429" spans="1:13">
      <c r="B429" s="263" t="s">
        <v>768</v>
      </c>
      <c r="C429" s="263"/>
      <c r="D429" s="263" t="str">
        <f>'Part IV-Utility Allowances'!D31</f>
        <v>&lt;&lt;Select Fuel &gt;&gt;</v>
      </c>
      <c r="E429" s="263"/>
      <c r="F429" s="2330">
        <f>'Part IV-Utility Allowances'!F31</f>
        <v>0</v>
      </c>
      <c r="G429" s="2330">
        <f>'Part IV-Utility Allowances'!G31</f>
        <v>0</v>
      </c>
      <c r="I429" s="1573">
        <f>'Part IV-Utility Allowances'!I31</f>
        <v>0</v>
      </c>
      <c r="J429" s="1573">
        <f>'Part IV-Utility Allowances'!J31</f>
        <v>0</v>
      </c>
      <c r="K429" s="1573">
        <f>'Part IV-Utility Allowances'!K31</f>
        <v>0</v>
      </c>
      <c r="L429" s="1573">
        <f>'Part IV-Utility Allowances'!L31</f>
        <v>0</v>
      </c>
      <c r="M429" s="1573">
        <f>'Part IV-Utility Allowances'!M31</f>
        <v>0</v>
      </c>
    </row>
    <row r="430" spans="1:13">
      <c r="B430" s="263" t="s">
        <v>769</v>
      </c>
      <c r="C430" s="263"/>
      <c r="D430" s="263" t="s">
        <v>770</v>
      </c>
      <c r="F430" s="2330">
        <f>'Part IV-Utility Allowances'!F32</f>
        <v>0</v>
      </c>
      <c r="G430" s="2330">
        <f>'Part IV-Utility Allowances'!G32</f>
        <v>0</v>
      </c>
      <c r="I430" s="1573">
        <f>'Part IV-Utility Allowances'!I32</f>
        <v>0</v>
      </c>
      <c r="J430" s="1573">
        <f>'Part IV-Utility Allowances'!J32</f>
        <v>0</v>
      </c>
      <c r="K430" s="1573">
        <f>'Part IV-Utility Allowances'!K32</f>
        <v>0</v>
      </c>
      <c r="L430" s="1573">
        <f>'Part IV-Utility Allowances'!L32</f>
        <v>0</v>
      </c>
      <c r="M430" s="1573">
        <f>'Part IV-Utility Allowances'!M32</f>
        <v>0</v>
      </c>
    </row>
    <row r="431" spans="1:13">
      <c r="B431" s="263" t="s">
        <v>771</v>
      </c>
      <c r="C431" s="263"/>
      <c r="D431" s="263" t="s">
        <v>770</v>
      </c>
      <c r="F431" s="2330">
        <f>'Part IV-Utility Allowances'!F33</f>
        <v>0</v>
      </c>
      <c r="G431" s="2330">
        <f>'Part IV-Utility Allowances'!G33</f>
        <v>0</v>
      </c>
      <c r="I431" s="1573">
        <f>'Part IV-Utility Allowances'!I33</f>
        <v>0</v>
      </c>
      <c r="J431" s="1573">
        <f>'Part IV-Utility Allowances'!J33</f>
        <v>0</v>
      </c>
      <c r="K431" s="1573">
        <f>'Part IV-Utility Allowances'!K33</f>
        <v>0</v>
      </c>
      <c r="L431" s="1573">
        <f>'Part IV-Utility Allowances'!L33</f>
        <v>0</v>
      </c>
      <c r="M431" s="1573">
        <f>'Part IV-Utility Allowances'!M33</f>
        <v>0</v>
      </c>
    </row>
    <row r="432" spans="1:13">
      <c r="B432" s="263" t="s">
        <v>772</v>
      </c>
      <c r="C432" s="263"/>
      <c r="D432" s="263" t="s">
        <v>770</v>
      </c>
      <c r="F432" s="2330">
        <f>'Part IV-Utility Allowances'!F34</f>
        <v>0</v>
      </c>
      <c r="G432" s="2330">
        <f>'Part IV-Utility Allowances'!G34</f>
        <v>0</v>
      </c>
      <c r="I432" s="1573">
        <f>'Part IV-Utility Allowances'!I34</f>
        <v>0</v>
      </c>
      <c r="J432" s="1573">
        <f>'Part IV-Utility Allowances'!J34</f>
        <v>0</v>
      </c>
      <c r="K432" s="1573">
        <f>'Part IV-Utility Allowances'!K34</f>
        <v>0</v>
      </c>
      <c r="L432" s="1573">
        <f>'Part IV-Utility Allowances'!L34</f>
        <v>0</v>
      </c>
      <c r="M432" s="1573">
        <f>'Part IV-Utility Allowances'!M34</f>
        <v>0</v>
      </c>
    </row>
    <row r="433" spans="1:13">
      <c r="B433" s="263" t="s">
        <v>773</v>
      </c>
      <c r="C433" s="263"/>
      <c r="D433" s="263" t="s">
        <v>770</v>
      </c>
      <c r="F433" s="2330">
        <f>'Part IV-Utility Allowances'!F35</f>
        <v>0</v>
      </c>
      <c r="G433" s="2330">
        <f>'Part IV-Utility Allowances'!G35</f>
        <v>0</v>
      </c>
      <c r="I433" s="1573">
        <f>'Part IV-Utility Allowances'!I35</f>
        <v>0</v>
      </c>
      <c r="J433" s="1573">
        <f>'Part IV-Utility Allowances'!J35</f>
        <v>0</v>
      </c>
      <c r="K433" s="1573">
        <f>'Part IV-Utility Allowances'!K35</f>
        <v>0</v>
      </c>
      <c r="L433" s="1573">
        <f>'Part IV-Utility Allowances'!L35</f>
        <v>0</v>
      </c>
      <c r="M433" s="1573">
        <f>'Part IV-Utility Allowances'!M35</f>
        <v>0</v>
      </c>
    </row>
    <row r="434" spans="1:13">
      <c r="B434" s="263" t="s">
        <v>774</v>
      </c>
      <c r="C434" s="263"/>
      <c r="D434" s="263" t="s">
        <v>6982</v>
      </c>
      <c r="E434" s="1573" t="str">
        <f>'Part IV-Utility Allowances'!E36</f>
        <v>&lt;Select&gt;</v>
      </c>
      <c r="F434" s="2330">
        <f>'Part IV-Utility Allowances'!F36</f>
        <v>0</v>
      </c>
      <c r="G434" s="2330">
        <f>'Part IV-Utility Allowances'!G36</f>
        <v>0</v>
      </c>
      <c r="I434" s="1573">
        <f>'Part IV-Utility Allowances'!I36</f>
        <v>0</v>
      </c>
      <c r="J434" s="1573">
        <f>'Part IV-Utility Allowances'!J36</f>
        <v>0</v>
      </c>
      <c r="K434" s="1573">
        <f>'Part IV-Utility Allowances'!K36</f>
        <v>0</v>
      </c>
      <c r="L434" s="1573">
        <f>'Part IV-Utility Allowances'!L36</f>
        <v>0</v>
      </c>
      <c r="M434" s="1573">
        <f>'Part IV-Utility Allowances'!M36</f>
        <v>0</v>
      </c>
    </row>
    <row r="435" spans="1:13">
      <c r="B435" s="263" t="s">
        <v>777</v>
      </c>
      <c r="C435" s="263"/>
      <c r="F435" s="2330">
        <f>'Part IV-Utility Allowances'!F37</f>
        <v>0</v>
      </c>
      <c r="G435" s="2330">
        <f>'Part IV-Utility Allowances'!G37</f>
        <v>0</v>
      </c>
      <c r="I435" s="1573">
        <f>'Part IV-Utility Allowances'!I37</f>
        <v>0</v>
      </c>
      <c r="J435" s="1573">
        <f>'Part IV-Utility Allowances'!J37</f>
        <v>0</v>
      </c>
      <c r="K435" s="1573">
        <f>'Part IV-Utility Allowances'!K37</f>
        <v>0</v>
      </c>
      <c r="L435" s="1573">
        <f>'Part IV-Utility Allowances'!L37</f>
        <v>0</v>
      </c>
      <c r="M435" s="1573">
        <f>'Part IV-Utility Allowances'!M37</f>
        <v>0</v>
      </c>
    </row>
    <row r="436" spans="1:13">
      <c r="B436" s="263" t="s">
        <v>440</v>
      </c>
      <c r="C436" s="266">
        <f>'Part IV-Utility Allowances'!C38</f>
        <v>0</v>
      </c>
      <c r="D436" s="266"/>
      <c r="E436" s="266"/>
      <c r="F436" s="2330">
        <f>'Part IV-Utility Allowances'!F38</f>
        <v>0</v>
      </c>
      <c r="G436" s="2330">
        <f>'Part IV-Utility Allowances'!G38</f>
        <v>0</v>
      </c>
      <c r="I436" s="1573">
        <f>'Part IV-Utility Allowances'!I38</f>
        <v>0</v>
      </c>
      <c r="J436" s="1573">
        <f>'Part IV-Utility Allowances'!J38</f>
        <v>0</v>
      </c>
      <c r="K436" s="1573">
        <f>'Part IV-Utility Allowances'!K38</f>
        <v>0</v>
      </c>
      <c r="L436" s="1573">
        <f>'Part IV-Utility Allowances'!L38</f>
        <v>0</v>
      </c>
      <c r="M436" s="1573">
        <f>'Part IV-Utility Allowances'!M38</f>
        <v>0</v>
      </c>
    </row>
    <row r="437" spans="1:13">
      <c r="B437" s="265" t="s">
        <v>778</v>
      </c>
      <c r="F437" s="1441"/>
      <c r="G437" s="1441"/>
      <c r="I437" s="2330">
        <f>IF(SUM(I427:I436)=0,0,IF(OR($D427="&lt;&lt;Select Fuel &gt;&gt;",$D429="&lt;&lt;Select Fuel &gt;&gt;",$D430="&lt;&lt;Select Fuel &gt;&gt;"),"Select Fuel",IF($E434="&lt;Select&gt;","Submeter?",SUM(I427:I436))))</f>
        <v>0</v>
      </c>
      <c r="J437" s="2330">
        <f>IF(SUM(J427:J436)=0,0,IF(OR($D427="&lt;&lt;Select Fuel &gt;&gt;",$D429="&lt;&lt;Select Fuel &gt;&gt;",$D430="&lt;&lt;Select Fuel &gt;&gt;"),"Select Fuel",IF($E434="&lt;Select&gt;","Submeter?",SUM(J427:J436))))</f>
        <v>0</v>
      </c>
      <c r="K437" s="2330">
        <f>IF(SUM(K427:K436)=0,0,IF(OR($D427="&lt;&lt;Select Fuel &gt;&gt;",$D429="&lt;&lt;Select Fuel &gt;&gt;",$D430="&lt;&lt;Select Fuel &gt;&gt;"),"Select Fuel",IF($E434="&lt;Select&gt;","Submeter?",SUM(K427:K436))))</f>
        <v>0</v>
      </c>
      <c r="L437" s="2330">
        <f>IF(SUM(L427:L436)=0,0,IF(OR($D427="&lt;&lt;Select Fuel &gt;&gt;",$D429="&lt;&lt;Select Fuel &gt;&gt;",$D430="&lt;&lt;Select Fuel &gt;&gt;"),"Select Fuel",IF($E434="&lt;Select&gt;","Submeter?",SUM(L427:L436))))</f>
        <v>0</v>
      </c>
      <c r="M437" s="2330">
        <f>IF(SUM(M427:M436)=0,0,IF(OR($D427="&lt;&lt;Select Fuel &gt;&gt;",$D429="&lt;&lt;Select Fuel &gt;&gt;",$D430="&lt;&lt;Select Fuel &gt;&gt;"),"Select Fuel",IF($E434="&lt;Select&gt;","Submeter?",SUM(M427:M436))))</f>
        <v>0</v>
      </c>
    </row>
    <row r="439" spans="1:13">
      <c r="B439" s="639" t="s">
        <v>6983</v>
      </c>
      <c r="F439" s="1441"/>
      <c r="G439" s="1441"/>
      <c r="I439" s="1564"/>
      <c r="J439" s="1564"/>
      <c r="K439" s="1564"/>
      <c r="L439" s="1564"/>
      <c r="M439" s="1564"/>
    </row>
    <row r="440" spans="1:13">
      <c r="A440" s="265"/>
      <c r="B440" s="265" t="s">
        <v>76</v>
      </c>
    </row>
    <row r="441" spans="1:13" ht="72">
      <c r="B441" s="2331" t="str">
        <f>'Part IV-Utility Allowances'!B43</f>
        <v>Applicant uses engineered utility allowances</v>
      </c>
      <c r="C441" s="2331"/>
      <c r="D441" s="2331"/>
      <c r="E441" s="2331"/>
      <c r="F441" s="2331"/>
      <c r="G441" s="2331"/>
      <c r="H441" s="2331"/>
      <c r="I441" s="2331"/>
      <c r="J441" s="2331"/>
      <c r="K441" s="2331"/>
      <c r="L441" s="2331"/>
      <c r="M441" s="2331"/>
    </row>
    <row r="443" spans="1:13">
      <c r="A443" s="265"/>
      <c r="B443" s="265" t="s">
        <v>781</v>
      </c>
    </row>
    <row r="444" spans="1:13">
      <c r="B444" s="2331"/>
      <c r="C444" s="2331"/>
      <c r="D444" s="2331"/>
      <c r="E444" s="2331"/>
      <c r="F444" s="2331"/>
      <c r="G444" s="2331"/>
      <c r="H444" s="2331"/>
      <c r="I444" s="2331"/>
      <c r="J444" s="2331"/>
      <c r="K444" s="2331"/>
      <c r="L444" s="2331"/>
      <c r="M444" s="2331"/>
    </row>
    <row r="449" spans="1:380" s="263" customFormat="1" ht="14.1" customHeight="1">
      <c r="A449" s="1440" t="str">
        <f>CONCATENATE("PART FOUR - PROJECTED REVENUES &amp; EXPENSES","  -  ",'Part I-Project Identification'!$O$7," ",'Part I-Project Identification'!$F$25,", ",'Part I-Project Identification'!F477,", ",'Part I-Project Identification'!J477," County")</f>
        <v>PART FOUR - PROJECTED REVENUES &amp; EXPENSES  -  2023-5 Ashley Collegetown Phase I, ,  County</v>
      </c>
      <c r="B449" s="1440"/>
      <c r="C449" s="1440"/>
      <c r="D449" s="1440"/>
      <c r="E449" s="1440"/>
      <c r="F449" s="1440"/>
      <c r="G449" s="1440"/>
      <c r="H449" s="1440"/>
      <c r="I449" s="1440"/>
      <c r="J449" s="1440"/>
      <c r="K449" s="1440"/>
      <c r="L449" s="1440"/>
      <c r="M449" s="1440"/>
      <c r="N449" s="1440"/>
      <c r="O449" s="1440"/>
      <c r="P449" s="1440"/>
      <c r="Q449" s="1440"/>
      <c r="T449" s="1440" t="str">
        <f>A449</f>
        <v>PART FOUR - PROJECTED REVENUES &amp; EXPENSES  -  2023-5 Ashley Collegetown Phase I, ,  County</v>
      </c>
      <c r="U449" s="1440"/>
      <c r="V449" s="1440"/>
      <c r="W449" s="1440"/>
      <c r="HX449" s="1573"/>
      <c r="HY449" s="1573"/>
      <c r="HZ449" s="1573"/>
      <c r="IA449" s="1573"/>
      <c r="IB449" s="1573"/>
      <c r="IC449" s="1573"/>
      <c r="ID449" s="1573"/>
      <c r="IE449" s="1573"/>
      <c r="IF449" s="1573"/>
      <c r="IG449" s="1573"/>
      <c r="IH449" s="1573"/>
      <c r="II449" s="1573"/>
      <c r="IJ449" s="1573"/>
      <c r="IK449" s="1573"/>
      <c r="IL449" s="1573"/>
      <c r="IM449" s="1573"/>
      <c r="IN449" s="1573"/>
      <c r="IO449" s="1573"/>
      <c r="IP449" s="1573"/>
      <c r="IQ449" s="1573"/>
      <c r="IR449" s="1573"/>
      <c r="IS449" s="1573"/>
      <c r="IT449" s="1573"/>
      <c r="IU449" s="1573"/>
      <c r="IV449" s="1573"/>
      <c r="IW449" s="1573"/>
      <c r="IX449" s="1573"/>
      <c r="IY449" s="1573"/>
      <c r="IZ449" s="1573"/>
      <c r="JA449" s="1573"/>
      <c r="JB449" s="1573"/>
      <c r="JC449" s="1573"/>
      <c r="JD449" s="1573"/>
      <c r="JE449" s="1573"/>
      <c r="JF449" s="1573"/>
      <c r="JG449" s="1573"/>
      <c r="JH449" s="1573"/>
      <c r="JI449" s="1573"/>
      <c r="JJ449" s="1573"/>
      <c r="JK449" s="1573"/>
      <c r="JL449" s="1573"/>
      <c r="JM449" s="1573"/>
      <c r="JN449" s="1573"/>
      <c r="JO449" s="1573"/>
      <c r="JP449" s="1573"/>
      <c r="JQ449" s="1573"/>
      <c r="JR449" s="1573"/>
      <c r="JS449" s="1573"/>
      <c r="JT449" s="1573"/>
      <c r="JU449" s="1573"/>
      <c r="JV449" s="1573"/>
      <c r="JW449" s="1573"/>
      <c r="JX449" s="1573"/>
      <c r="JY449" s="1573"/>
      <c r="JZ449" s="1573"/>
      <c r="KA449" s="1573"/>
      <c r="KB449" s="1573"/>
      <c r="KC449" s="1573"/>
      <c r="KD449" s="1573"/>
      <c r="KE449" s="1573"/>
      <c r="KF449" s="1573"/>
      <c r="KG449" s="1573"/>
      <c r="KH449" s="1573"/>
      <c r="KI449" s="1573"/>
      <c r="KJ449" s="1573"/>
      <c r="KK449" s="1573"/>
      <c r="KL449" s="1573"/>
      <c r="KO449" s="1440"/>
      <c r="KT449" s="1440"/>
      <c r="KY449" s="1440"/>
      <c r="LD449" s="1440"/>
    </row>
    <row r="450" spans="1:380" ht="6" customHeight="1">
      <c r="X450" s="264"/>
      <c r="Y450" s="264"/>
      <c r="Z450" s="264"/>
      <c r="AA450" s="264"/>
      <c r="AB450" s="264"/>
      <c r="AC450" s="264"/>
      <c r="AD450" s="264"/>
      <c r="AE450" s="264"/>
      <c r="AF450" s="264"/>
      <c r="AG450" s="264"/>
      <c r="AH450" s="264"/>
      <c r="AI450" s="264"/>
      <c r="AJ450" s="264"/>
      <c r="AK450" s="264"/>
      <c r="AL450" s="264"/>
      <c r="AM450" s="264"/>
      <c r="AN450" s="264"/>
      <c r="AO450" s="264"/>
      <c r="AP450" s="264"/>
      <c r="AQ450" s="264"/>
      <c r="AR450" s="264"/>
      <c r="AS450" s="264"/>
      <c r="AT450" s="264"/>
      <c r="AU450" s="264"/>
      <c r="AV450" s="264"/>
      <c r="AW450" s="264"/>
      <c r="AX450" s="264"/>
      <c r="AY450" s="264"/>
      <c r="AZ450" s="264"/>
      <c r="BA450" s="264"/>
      <c r="BB450" s="264"/>
      <c r="BC450" s="264"/>
      <c r="BD450" s="264"/>
      <c r="BE450" s="264"/>
      <c r="BF450" s="264"/>
      <c r="BG450" s="264"/>
      <c r="BH450" s="264"/>
      <c r="BI450" s="264"/>
      <c r="BJ450" s="264"/>
      <c r="BK450" s="264"/>
      <c r="BL450" s="264"/>
      <c r="BM450" s="264"/>
      <c r="BN450" s="264"/>
      <c r="BO450" s="264"/>
      <c r="BP450" s="264"/>
      <c r="BQ450" s="264"/>
      <c r="BR450" s="264"/>
      <c r="BS450" s="264"/>
      <c r="BT450" s="264"/>
      <c r="BU450" s="264"/>
      <c r="BV450" s="264"/>
      <c r="BW450" s="264"/>
      <c r="BX450" s="264"/>
      <c r="BY450" s="264"/>
      <c r="BZ450" s="264"/>
      <c r="CA450" s="264"/>
      <c r="CB450" s="264"/>
      <c r="CC450" s="264"/>
      <c r="CD450" s="264"/>
      <c r="CE450" s="264"/>
      <c r="CF450" s="264"/>
      <c r="CG450" s="264"/>
      <c r="CH450" s="264"/>
      <c r="CI450" s="264"/>
      <c r="CJ450" s="264"/>
      <c r="CK450" s="264"/>
      <c r="CL450" s="264"/>
      <c r="CM450" s="264"/>
      <c r="CN450" s="264"/>
      <c r="CO450" s="264"/>
      <c r="CP450" s="264"/>
      <c r="CQ450" s="264"/>
      <c r="CR450" s="264"/>
      <c r="CS450" s="264"/>
      <c r="CT450" s="264"/>
      <c r="CU450" s="264"/>
      <c r="CV450" s="264"/>
      <c r="CW450" s="264"/>
      <c r="CX450" s="264"/>
      <c r="CY450" s="264"/>
      <c r="CZ450" s="264"/>
      <c r="DA450" s="264"/>
      <c r="DB450" s="264"/>
      <c r="DC450" s="264"/>
      <c r="DD450" s="264"/>
      <c r="DE450" s="264"/>
      <c r="DF450" s="264"/>
      <c r="DG450" s="264"/>
      <c r="DH450" s="264"/>
      <c r="DI450" s="264"/>
      <c r="DJ450" s="264"/>
      <c r="DK450" s="264"/>
      <c r="DL450" s="264"/>
      <c r="DM450" s="264"/>
      <c r="DN450" s="264"/>
      <c r="DO450" s="264"/>
      <c r="DP450" s="264"/>
      <c r="DQ450" s="264"/>
      <c r="DR450" s="264"/>
      <c r="DS450" s="264"/>
      <c r="DT450" s="264"/>
      <c r="DU450" s="264"/>
      <c r="DV450" s="264"/>
      <c r="DW450" s="264"/>
      <c r="DX450" s="264"/>
      <c r="DY450" s="264"/>
      <c r="DZ450" s="264"/>
      <c r="EA450" s="264"/>
      <c r="EB450" s="264"/>
      <c r="EC450" s="264"/>
      <c r="ED450" s="264"/>
      <c r="EE450" s="264"/>
      <c r="EF450" s="264"/>
      <c r="EG450" s="264"/>
      <c r="EH450" s="264"/>
      <c r="EI450" s="264"/>
      <c r="EJ450" s="264"/>
      <c r="EK450" s="264"/>
      <c r="EL450" s="264"/>
      <c r="EM450" s="264"/>
      <c r="EN450" s="264"/>
      <c r="EO450" s="264"/>
      <c r="EP450" s="264"/>
      <c r="EQ450" s="264"/>
      <c r="ER450" s="264"/>
      <c r="ES450" s="264"/>
      <c r="ET450" s="264"/>
      <c r="EU450" s="264"/>
      <c r="EV450" s="264"/>
      <c r="EW450" s="264"/>
      <c r="EX450" s="264"/>
      <c r="EY450" s="264"/>
      <c r="EZ450" s="264"/>
      <c r="FA450" s="264"/>
      <c r="FB450" s="264"/>
      <c r="FC450" s="264"/>
      <c r="FD450" s="264"/>
      <c r="FE450" s="264"/>
      <c r="FF450" s="264"/>
      <c r="FG450" s="264"/>
      <c r="FH450" s="264"/>
      <c r="FI450" s="264"/>
      <c r="FJ450" s="264"/>
      <c r="FK450" s="264"/>
      <c r="FL450" s="264"/>
      <c r="FM450" s="264"/>
      <c r="FN450" s="264"/>
      <c r="FO450" s="264"/>
      <c r="FP450" s="264"/>
      <c r="FQ450" s="264"/>
      <c r="FR450" s="264"/>
      <c r="FS450" s="264"/>
      <c r="FT450" s="264"/>
      <c r="FU450" s="264"/>
      <c r="FV450" s="264"/>
      <c r="FW450" s="264"/>
      <c r="FX450" s="264"/>
      <c r="FY450" s="264"/>
      <c r="FZ450" s="264"/>
      <c r="GA450" s="264"/>
      <c r="GB450" s="264"/>
      <c r="GC450" s="264"/>
      <c r="GD450" s="264"/>
      <c r="GE450" s="264"/>
      <c r="GF450" s="264"/>
      <c r="GG450" s="264"/>
      <c r="GH450" s="264"/>
      <c r="GI450" s="264"/>
      <c r="GJ450" s="264"/>
      <c r="GK450" s="264"/>
      <c r="GL450" s="264"/>
      <c r="GM450" s="264"/>
      <c r="GN450" s="264"/>
      <c r="GO450" s="264"/>
      <c r="GP450" s="264"/>
      <c r="GQ450" s="264"/>
      <c r="GR450" s="264"/>
      <c r="GS450" s="264"/>
      <c r="GT450" s="264"/>
      <c r="GU450" s="264"/>
      <c r="GV450" s="264"/>
      <c r="GW450" s="264"/>
      <c r="GX450" s="264"/>
      <c r="GY450" s="264"/>
      <c r="GZ450" s="264"/>
      <c r="HA450" s="264"/>
      <c r="HB450" s="264"/>
      <c r="HC450" s="264"/>
      <c r="HD450" s="264"/>
      <c r="HE450" s="264"/>
      <c r="HF450" s="264"/>
      <c r="HG450" s="264"/>
      <c r="HH450" s="264"/>
      <c r="HI450" s="264"/>
      <c r="HJ450" s="264"/>
      <c r="HK450" s="264"/>
      <c r="HL450" s="264"/>
      <c r="HM450" s="264"/>
      <c r="HN450" s="264"/>
      <c r="HO450" s="264"/>
      <c r="HP450" s="264"/>
      <c r="HQ450" s="264"/>
      <c r="HR450" s="264"/>
      <c r="HS450" s="264"/>
      <c r="HT450" s="264"/>
      <c r="HU450" s="264"/>
      <c r="HV450" s="264"/>
      <c r="HW450" s="264"/>
      <c r="HX450" s="264"/>
      <c r="HY450" s="264"/>
      <c r="HZ450" s="1563"/>
      <c r="IA450" s="1563"/>
      <c r="IB450" s="1563"/>
      <c r="IC450" s="1563"/>
      <c r="ID450" s="1563"/>
      <c r="IE450" s="1563"/>
      <c r="IF450" s="1563"/>
      <c r="IG450" s="1563"/>
      <c r="IH450" s="1563"/>
      <c r="II450" s="1563"/>
      <c r="IJ450" s="1563"/>
      <c r="IK450" s="1563"/>
      <c r="IL450" s="1563"/>
      <c r="IM450" s="1563"/>
      <c r="IN450" s="1563"/>
      <c r="IO450" s="1563"/>
      <c r="IP450" s="1563"/>
      <c r="IQ450" s="1563"/>
      <c r="IR450" s="1563"/>
      <c r="IS450" s="1563"/>
      <c r="IT450" s="1563"/>
      <c r="IU450" s="1563"/>
      <c r="IV450" s="1563"/>
      <c r="IW450" s="1563"/>
      <c r="IX450" s="1563"/>
      <c r="IY450" s="1563"/>
      <c r="IZ450" s="1563"/>
      <c r="JA450" s="1563"/>
      <c r="JB450" s="1563"/>
      <c r="JC450" s="1563"/>
      <c r="JD450" s="1563"/>
      <c r="JE450" s="1563"/>
      <c r="JF450" s="1563"/>
      <c r="JG450" s="1563"/>
      <c r="JH450" s="1563"/>
      <c r="JI450" s="1563"/>
      <c r="JJ450" s="1563"/>
      <c r="JK450" s="1563"/>
      <c r="JL450" s="1563"/>
      <c r="JM450" s="1563"/>
      <c r="JN450" s="1563"/>
      <c r="JO450" s="1563"/>
      <c r="JP450" s="1563"/>
      <c r="JQ450" s="1563"/>
      <c r="JR450" s="1563"/>
      <c r="JS450" s="1563"/>
      <c r="JT450" s="1563"/>
      <c r="JU450" s="1563"/>
      <c r="JV450" s="1563"/>
      <c r="JW450" s="1563"/>
      <c r="JX450" s="1563"/>
      <c r="JY450" s="1563"/>
      <c r="JZ450" s="1563"/>
      <c r="KA450" s="1563"/>
      <c r="KB450" s="1563"/>
      <c r="KC450" s="1563"/>
      <c r="KD450" s="1563"/>
      <c r="KE450" s="1563"/>
      <c r="KF450" s="1563"/>
      <c r="KG450" s="1563"/>
      <c r="KH450" s="1563"/>
      <c r="KI450" s="1563"/>
      <c r="KJ450" s="1563"/>
      <c r="KK450" s="1563"/>
      <c r="KL450" s="1563"/>
      <c r="KM450" s="264"/>
      <c r="KN450" s="264"/>
      <c r="KO450" s="264"/>
      <c r="KP450" s="264"/>
      <c r="KQ450" s="264"/>
      <c r="KR450" s="264"/>
      <c r="KS450" s="264"/>
      <c r="KT450" s="264"/>
      <c r="KU450" s="264"/>
      <c r="KV450" s="264"/>
      <c r="KW450" s="264"/>
      <c r="KX450" s="264"/>
      <c r="KY450" s="264"/>
      <c r="KZ450" s="264"/>
      <c r="LA450" s="264"/>
      <c r="LB450" s="264"/>
      <c r="LC450" s="264"/>
      <c r="LD450" s="264"/>
      <c r="LE450" s="264"/>
      <c r="LF450" s="264"/>
      <c r="LL450" s="264"/>
      <c r="LM450" s="264"/>
      <c r="LN450" s="264"/>
      <c r="LO450" s="264"/>
      <c r="LP450" s="264"/>
      <c r="LQ450" s="264"/>
      <c r="LR450" s="264"/>
      <c r="LS450" s="264"/>
      <c r="LT450" s="264"/>
      <c r="LU450" s="264"/>
      <c r="LV450" s="264"/>
      <c r="LW450" s="264"/>
      <c r="LX450" s="264"/>
      <c r="LY450" s="264"/>
      <c r="LZ450" s="264"/>
      <c r="MA450" s="264"/>
      <c r="MB450" s="264"/>
      <c r="MC450" s="264"/>
      <c r="MD450" s="264"/>
      <c r="ME450" s="264"/>
    </row>
    <row r="451" spans="1:380" s="263" customFormat="1" ht="12.6" customHeight="1">
      <c r="A451" s="1440" t="s">
        <v>21</v>
      </c>
      <c r="B451" s="1440" t="s">
        <v>798</v>
      </c>
      <c r="D451" s="2204" t="s">
        <v>799</v>
      </c>
      <c r="E451" s="2204"/>
      <c r="F451" s="2204"/>
      <c r="G451" s="2204"/>
      <c r="H451" s="2204"/>
      <c r="I451" s="2204"/>
      <c r="J451" s="2204"/>
      <c r="K451" s="1440"/>
      <c r="L451" s="1440"/>
      <c r="M451" s="1440"/>
      <c r="O451" s="2332" t="s">
        <v>800</v>
      </c>
      <c r="P451" s="2333" t="str">
        <f>'Part I-Project Identification'!$O$28</f>
        <v>Atlanta-Sandy Springs-Marietta</v>
      </c>
      <c r="Q451" s="2333"/>
      <c r="T451" s="1440" t="str">
        <f>B451</f>
        <v>RENT SCHEDULE</v>
      </c>
      <c r="U451" s="1440"/>
      <c r="X451" s="1222"/>
      <c r="Y451" s="1222"/>
      <c r="Z451" s="1222"/>
      <c r="AA451" s="1222"/>
      <c r="AB451" s="1222"/>
      <c r="AC451" s="1222"/>
      <c r="AD451" s="1222"/>
      <c r="AE451" s="1222"/>
      <c r="AF451" s="1222"/>
      <c r="AG451" s="1222"/>
      <c r="AH451" s="1222"/>
      <c r="AI451" s="1222"/>
      <c r="AJ451" s="1222"/>
      <c r="AK451" s="1222"/>
      <c r="AL451" s="1222"/>
      <c r="AM451" s="1222"/>
      <c r="AN451" s="1222"/>
      <c r="AO451" s="1222"/>
      <c r="AP451" s="1222"/>
      <c r="AQ451" s="1222"/>
      <c r="AR451" s="1222"/>
      <c r="AS451" s="1222"/>
      <c r="AT451" s="1222"/>
      <c r="AU451" s="1222"/>
      <c r="AV451" s="1222"/>
      <c r="AW451" s="1222"/>
      <c r="AX451" s="1222"/>
      <c r="AY451" s="1222"/>
      <c r="AZ451" s="1222"/>
      <c r="BA451" s="1222"/>
      <c r="BB451" s="1222"/>
      <c r="BC451" s="1222"/>
      <c r="BD451" s="1222"/>
      <c r="BE451" s="1222"/>
      <c r="BF451" s="1222"/>
      <c r="BG451" s="1222"/>
      <c r="BH451" s="1222"/>
      <c r="BI451" s="1222"/>
      <c r="BJ451" s="1222"/>
      <c r="BK451" s="1222"/>
      <c r="BL451" s="1222"/>
      <c r="BM451" s="1222"/>
      <c r="BN451" s="1222"/>
      <c r="BO451" s="1222"/>
      <c r="BP451" s="1222"/>
      <c r="BQ451" s="1222"/>
      <c r="BR451" s="1222"/>
      <c r="BS451" s="1222"/>
      <c r="BT451" s="1222"/>
      <c r="BU451" s="1222"/>
      <c r="BV451" s="1222"/>
      <c r="BW451" s="1222"/>
      <c r="BX451" s="1222"/>
      <c r="BY451" s="1222"/>
      <c r="BZ451" s="1222"/>
      <c r="CA451" s="1222"/>
      <c r="CB451" s="1222"/>
      <c r="CC451" s="1222"/>
      <c r="CD451" s="1222"/>
      <c r="CE451" s="1222"/>
      <c r="CF451" s="1222"/>
      <c r="CG451" s="1222"/>
      <c r="CH451" s="1222"/>
      <c r="CI451" s="1222"/>
      <c r="CJ451" s="1222"/>
      <c r="CK451" s="1222"/>
      <c r="CL451" s="1222"/>
      <c r="CM451" s="1222"/>
      <c r="CN451" s="1222"/>
      <c r="CO451" s="1222"/>
      <c r="CP451" s="1222"/>
      <c r="CQ451" s="1222"/>
      <c r="CR451" s="1222"/>
      <c r="CS451" s="1222"/>
      <c r="CT451" s="1222"/>
      <c r="CU451" s="1222"/>
      <c r="CV451" s="1222"/>
      <c r="CW451" s="1222"/>
      <c r="CX451" s="1222"/>
      <c r="CY451" s="1222"/>
      <c r="CZ451" s="1222"/>
      <c r="DA451" s="1222"/>
      <c r="DB451" s="1222"/>
      <c r="DC451" s="1222"/>
      <c r="DD451" s="1222"/>
      <c r="DE451" s="1222"/>
      <c r="DF451" s="1222"/>
      <c r="DG451" s="1222"/>
      <c r="DH451" s="1222"/>
      <c r="DI451" s="1222"/>
      <c r="DJ451" s="1222"/>
      <c r="DK451" s="1222"/>
      <c r="DL451" s="1222"/>
      <c r="DM451" s="1222"/>
      <c r="DN451" s="1222"/>
      <c r="DO451" s="1222"/>
      <c r="DP451" s="1222"/>
      <c r="DQ451" s="1222"/>
      <c r="DR451" s="1222"/>
      <c r="DS451" s="1222"/>
      <c r="DT451" s="1222"/>
      <c r="DU451" s="1222"/>
      <c r="DV451" s="1222"/>
      <c r="DW451" s="1222"/>
      <c r="DX451" s="1222"/>
      <c r="DY451" s="1222"/>
      <c r="DZ451" s="1222"/>
      <c r="EA451" s="1222"/>
      <c r="EB451" s="1222"/>
      <c r="EC451" s="1222"/>
      <c r="ED451" s="1222"/>
      <c r="EE451" s="1222"/>
      <c r="EF451" s="1222"/>
      <c r="EG451" s="1222"/>
      <c r="EH451" s="1222"/>
      <c r="EI451" s="1222"/>
      <c r="EJ451" s="1222"/>
      <c r="EK451" s="1222"/>
      <c r="EL451" s="1222"/>
      <c r="EM451" s="1222"/>
      <c r="EN451" s="1222"/>
      <c r="EO451" s="1222"/>
      <c r="EP451" s="1222"/>
      <c r="EQ451" s="1222"/>
      <c r="ER451" s="1222"/>
      <c r="ES451" s="1222"/>
      <c r="ET451" s="1222"/>
      <c r="EU451" s="1222"/>
      <c r="EV451" s="1222"/>
      <c r="EW451" s="1222"/>
      <c r="EX451" s="1222"/>
      <c r="EY451" s="1222"/>
      <c r="EZ451" s="1222"/>
      <c r="FA451" s="1222"/>
      <c r="FB451" s="1222"/>
      <c r="FC451" s="1222"/>
      <c r="FD451" s="1222"/>
      <c r="FE451" s="1222"/>
      <c r="FF451" s="1222"/>
      <c r="FG451" s="1222"/>
      <c r="FH451" s="1222"/>
      <c r="FI451" s="1222"/>
      <c r="FJ451" s="1222"/>
      <c r="FK451" s="1222"/>
      <c r="FL451" s="1222"/>
      <c r="FM451" s="1222"/>
      <c r="FN451" s="1222"/>
      <c r="FO451" s="1222"/>
      <c r="FP451" s="1222"/>
      <c r="FQ451" s="1222"/>
      <c r="FR451" s="1222"/>
      <c r="FS451" s="1222"/>
      <c r="FT451" s="1222"/>
      <c r="FU451" s="1222"/>
      <c r="FV451" s="1222"/>
      <c r="FW451" s="1222"/>
      <c r="FX451" s="1222"/>
      <c r="FY451" s="1222"/>
      <c r="FZ451" s="1222"/>
      <c r="GA451" s="1222"/>
      <c r="GB451" s="1222"/>
      <c r="GC451" s="1222"/>
      <c r="GD451" s="1222"/>
      <c r="GE451" s="1222"/>
      <c r="GF451" s="1222"/>
      <c r="GG451" s="1222"/>
      <c r="GH451" s="1222"/>
      <c r="GI451" s="1222"/>
      <c r="GJ451" s="1222"/>
      <c r="GK451" s="1222"/>
      <c r="GL451" s="1222"/>
      <c r="GM451" s="1222"/>
      <c r="GN451" s="1222"/>
      <c r="GO451" s="1222"/>
      <c r="GP451" s="1222"/>
      <c r="GQ451" s="1222"/>
      <c r="GR451" s="1222"/>
      <c r="GS451" s="1222"/>
      <c r="GT451" s="1222"/>
      <c r="GU451" s="1222"/>
      <c r="GV451" s="1222"/>
      <c r="GW451" s="1222"/>
      <c r="GX451" s="1222"/>
      <c r="GY451" s="1222"/>
      <c r="GZ451" s="1222"/>
      <c r="HA451" s="1222"/>
      <c r="HB451" s="1222"/>
      <c r="HC451" s="1222"/>
      <c r="HD451" s="1222"/>
      <c r="HE451" s="1222"/>
      <c r="HF451" s="1222"/>
      <c r="HG451" s="1222"/>
      <c r="HH451" s="1222"/>
      <c r="HI451" s="1222"/>
      <c r="HJ451" s="1222"/>
      <c r="HK451" s="1222"/>
      <c r="HL451" s="1222"/>
      <c r="HM451" s="1222"/>
      <c r="HN451" s="1222"/>
      <c r="HO451" s="1222"/>
      <c r="HP451" s="1222"/>
      <c r="HQ451" s="1222"/>
      <c r="HR451" s="1222"/>
      <c r="HS451" s="1222"/>
      <c r="HT451" s="1222"/>
      <c r="HU451" s="1222"/>
      <c r="HV451" s="1222"/>
      <c r="HW451" s="1222"/>
      <c r="HX451" s="1222"/>
      <c r="HY451" s="1222"/>
      <c r="HZ451" s="1574"/>
      <c r="IA451" s="1574"/>
      <c r="IB451" s="1574"/>
      <c r="IC451" s="1574"/>
      <c r="ID451" s="1574"/>
      <c r="IE451" s="1563" t="s">
        <v>801</v>
      </c>
      <c r="IF451" s="1563" t="s">
        <v>802</v>
      </c>
      <c r="IG451" s="1563" t="s">
        <v>803</v>
      </c>
      <c r="IH451" s="1563" t="s">
        <v>804</v>
      </c>
      <c r="II451" s="1563" t="s">
        <v>805</v>
      </c>
      <c r="IJ451" s="1563" t="s">
        <v>801</v>
      </c>
      <c r="IK451" s="1563" t="s">
        <v>802</v>
      </c>
      <c r="IL451" s="1563" t="s">
        <v>803</v>
      </c>
      <c r="IM451" s="1563" t="s">
        <v>804</v>
      </c>
      <c r="IN451" s="1563" t="s">
        <v>805</v>
      </c>
      <c r="IO451" s="1574"/>
      <c r="IP451" s="1574"/>
      <c r="IQ451" s="1574"/>
      <c r="IR451" s="1574"/>
      <c r="IS451" s="1574"/>
      <c r="IT451" s="1574"/>
      <c r="IU451" s="1574"/>
      <c r="IV451" s="1574"/>
      <c r="IW451" s="1574"/>
      <c r="IX451" s="1574"/>
      <c r="IY451" s="1563" t="s">
        <v>801</v>
      </c>
      <c r="IZ451" s="1563" t="s">
        <v>802</v>
      </c>
      <c r="JA451" s="1563" t="s">
        <v>803</v>
      </c>
      <c r="JB451" s="1563" t="s">
        <v>804</v>
      </c>
      <c r="JC451" s="1563" t="s">
        <v>805</v>
      </c>
      <c r="JD451" s="1563" t="s">
        <v>801</v>
      </c>
      <c r="JE451" s="1563" t="s">
        <v>802</v>
      </c>
      <c r="JF451" s="1563" t="s">
        <v>803</v>
      </c>
      <c r="JG451" s="1563" t="s">
        <v>804</v>
      </c>
      <c r="JH451" s="1563" t="s">
        <v>805</v>
      </c>
      <c r="JI451" s="1563" t="s">
        <v>801</v>
      </c>
      <c r="JJ451" s="1563" t="s">
        <v>802</v>
      </c>
      <c r="JK451" s="1563" t="s">
        <v>803</v>
      </c>
      <c r="JL451" s="1563" t="s">
        <v>804</v>
      </c>
      <c r="JM451" s="1563" t="s">
        <v>805</v>
      </c>
      <c r="JN451" s="1563" t="s">
        <v>801</v>
      </c>
      <c r="JO451" s="1563" t="s">
        <v>802</v>
      </c>
      <c r="JP451" s="1563" t="s">
        <v>803</v>
      </c>
      <c r="JQ451" s="1563" t="s">
        <v>804</v>
      </c>
      <c r="JR451" s="1563" t="s">
        <v>805</v>
      </c>
      <c r="JS451" s="1563" t="s">
        <v>801</v>
      </c>
      <c r="JT451" s="1563" t="s">
        <v>802</v>
      </c>
      <c r="JU451" s="1563" t="s">
        <v>803</v>
      </c>
      <c r="JV451" s="1563" t="s">
        <v>804</v>
      </c>
      <c r="JW451" s="1563" t="s">
        <v>805</v>
      </c>
      <c r="JX451" s="1563" t="s">
        <v>801</v>
      </c>
      <c r="JY451" s="1563" t="s">
        <v>802</v>
      </c>
      <c r="JZ451" s="1563" t="s">
        <v>803</v>
      </c>
      <c r="KA451" s="1563" t="s">
        <v>804</v>
      </c>
      <c r="KB451" s="1563" t="s">
        <v>805</v>
      </c>
      <c r="KC451" s="1563" t="s">
        <v>801</v>
      </c>
      <c r="KD451" s="1563" t="s">
        <v>802</v>
      </c>
      <c r="KE451" s="1563" t="s">
        <v>803</v>
      </c>
      <c r="KF451" s="1563" t="s">
        <v>804</v>
      </c>
      <c r="KG451" s="1563" t="s">
        <v>805</v>
      </c>
      <c r="KH451" s="1563" t="s">
        <v>801</v>
      </c>
      <c r="KI451" s="1563" t="s">
        <v>802</v>
      </c>
      <c r="KJ451" s="1563" t="s">
        <v>803</v>
      </c>
      <c r="KK451" s="1563" t="s">
        <v>804</v>
      </c>
      <c r="KL451" s="1563" t="s">
        <v>805</v>
      </c>
      <c r="KM451" s="1563" t="s">
        <v>801</v>
      </c>
      <c r="KN451" s="1563" t="s">
        <v>802</v>
      </c>
      <c r="KO451" s="1563" t="s">
        <v>803</v>
      </c>
      <c r="KP451" s="1563" t="s">
        <v>804</v>
      </c>
      <c r="KQ451" s="1563" t="s">
        <v>805</v>
      </c>
      <c r="KR451" s="1563" t="s">
        <v>801</v>
      </c>
      <c r="KS451" s="1563" t="s">
        <v>802</v>
      </c>
      <c r="KT451" s="1563" t="s">
        <v>803</v>
      </c>
      <c r="KU451" s="1563" t="s">
        <v>804</v>
      </c>
      <c r="KV451" s="1563" t="s">
        <v>805</v>
      </c>
      <c r="KW451" s="1563" t="s">
        <v>801</v>
      </c>
      <c r="KX451" s="1563" t="s">
        <v>802</v>
      </c>
      <c r="KY451" s="1563" t="s">
        <v>803</v>
      </c>
      <c r="KZ451" s="1563" t="s">
        <v>804</v>
      </c>
      <c r="LA451" s="1563" t="s">
        <v>805</v>
      </c>
      <c r="LB451" s="1563" t="s">
        <v>801</v>
      </c>
      <c r="LC451" s="1563" t="s">
        <v>802</v>
      </c>
      <c r="LD451" s="1563" t="s">
        <v>803</v>
      </c>
      <c r="LE451" s="1563" t="s">
        <v>804</v>
      </c>
      <c r="LF451" s="1563" t="s">
        <v>805</v>
      </c>
      <c r="LG451" s="1222"/>
      <c r="LH451" s="1222"/>
      <c r="LI451" s="1222"/>
      <c r="LJ451" s="1222"/>
      <c r="LK451" s="1222"/>
      <c r="LL451" s="1222"/>
      <c r="LM451" s="1222"/>
      <c r="LN451" s="1222"/>
      <c r="LO451" s="1222"/>
      <c r="LP451" s="1222"/>
      <c r="LQ451" s="1222"/>
      <c r="LR451" s="1222"/>
      <c r="LS451" s="1222"/>
      <c r="LT451" s="1222"/>
      <c r="LU451" s="1222"/>
      <c r="LV451" s="1222"/>
      <c r="LW451" s="1222"/>
      <c r="LX451" s="1222"/>
      <c r="LY451" s="1222"/>
      <c r="LZ451" s="1222"/>
      <c r="MA451" s="1222"/>
      <c r="MB451" s="1222"/>
      <c r="MC451" s="1222"/>
      <c r="MD451" s="1222"/>
      <c r="ME451" s="1222"/>
      <c r="MF451" s="2334" t="s">
        <v>806</v>
      </c>
      <c r="MG451" s="2334" t="s">
        <v>807</v>
      </c>
      <c r="MH451" s="2334" t="s">
        <v>808</v>
      </c>
      <c r="MI451" s="2334" t="s">
        <v>809</v>
      </c>
      <c r="MJ451" s="2334" t="s">
        <v>810</v>
      </c>
      <c r="MK451" s="1222"/>
      <c r="ML451" s="1222"/>
      <c r="MM451" s="1222"/>
      <c r="MN451" s="1222"/>
      <c r="MO451" s="1222"/>
      <c r="MP451" s="1222"/>
      <c r="MQ451" s="1222"/>
      <c r="MR451" s="1222"/>
      <c r="MS451" s="1222"/>
      <c r="MT451" s="1222"/>
    </row>
    <row r="452" spans="1:380" s="263" customFormat="1" ht="3" customHeight="1">
      <c r="B452" s="1440"/>
      <c r="D452" s="2204"/>
      <c r="E452" s="2204"/>
      <c r="F452" s="2204"/>
      <c r="G452" s="2204"/>
      <c r="H452" s="2204"/>
      <c r="I452" s="2204"/>
      <c r="J452" s="2204"/>
      <c r="P452" s="2333"/>
      <c r="Q452" s="2335" t="s">
        <v>6984</v>
      </c>
      <c r="R452" s="2336"/>
      <c r="S452" s="2195"/>
      <c r="T452" s="2195"/>
      <c r="U452" s="2195"/>
      <c r="X452" s="2334" t="s">
        <v>812</v>
      </c>
      <c r="Y452" s="2334" t="s">
        <v>813</v>
      </c>
      <c r="Z452" s="2334" t="s">
        <v>814</v>
      </c>
      <c r="AA452" s="2334" t="s">
        <v>815</v>
      </c>
      <c r="AB452" s="2334" t="s">
        <v>816</v>
      </c>
      <c r="AC452" s="2334" t="s">
        <v>817</v>
      </c>
      <c r="AD452" s="2334" t="s">
        <v>818</v>
      </c>
      <c r="AE452" s="2334" t="s">
        <v>819</v>
      </c>
      <c r="AF452" s="2334" t="s">
        <v>820</v>
      </c>
      <c r="AG452" s="2334" t="s">
        <v>821</v>
      </c>
      <c r="AH452" s="2334" t="s">
        <v>822</v>
      </c>
      <c r="AI452" s="2334" t="s">
        <v>823</v>
      </c>
      <c r="AJ452" s="2334" t="s">
        <v>824</v>
      </c>
      <c r="AK452" s="2334" t="s">
        <v>825</v>
      </c>
      <c r="AL452" s="2334" t="s">
        <v>826</v>
      </c>
      <c r="AM452" s="2334" t="s">
        <v>827</v>
      </c>
      <c r="AN452" s="2334" t="s">
        <v>828</v>
      </c>
      <c r="AO452" s="2334" t="s">
        <v>829</v>
      </c>
      <c r="AP452" s="2334" t="s">
        <v>830</v>
      </c>
      <c r="AQ452" s="2334" t="s">
        <v>831</v>
      </c>
      <c r="AR452" s="2334" t="s">
        <v>832</v>
      </c>
      <c r="AS452" s="2334" t="s">
        <v>833</v>
      </c>
      <c r="AT452" s="2334" t="s">
        <v>834</v>
      </c>
      <c r="AU452" s="2334" t="s">
        <v>835</v>
      </c>
      <c r="AV452" s="2334" t="s">
        <v>836</v>
      </c>
      <c r="AW452" s="2334" t="s">
        <v>837</v>
      </c>
      <c r="AX452" s="2334" t="s">
        <v>838</v>
      </c>
      <c r="AY452" s="2334" t="s">
        <v>839</v>
      </c>
      <c r="AZ452" s="2334" t="s">
        <v>840</v>
      </c>
      <c r="BA452" s="2334" t="s">
        <v>841</v>
      </c>
      <c r="BB452" s="2334" t="s">
        <v>842</v>
      </c>
      <c r="BC452" s="2334" t="s">
        <v>843</v>
      </c>
      <c r="BD452" s="2334" t="s">
        <v>844</v>
      </c>
      <c r="BE452" s="2334" t="s">
        <v>845</v>
      </c>
      <c r="BF452" s="2334" t="s">
        <v>846</v>
      </c>
      <c r="BG452" s="2334" t="s">
        <v>847</v>
      </c>
      <c r="BH452" s="2334" t="s">
        <v>848</v>
      </c>
      <c r="BI452" s="2334" t="s">
        <v>849</v>
      </c>
      <c r="BJ452" s="2334" t="s">
        <v>850</v>
      </c>
      <c r="BK452" s="2334" t="s">
        <v>851</v>
      </c>
      <c r="BL452" s="2334" t="s">
        <v>852</v>
      </c>
      <c r="BM452" s="2334" t="s">
        <v>853</v>
      </c>
      <c r="BN452" s="2334" t="s">
        <v>854</v>
      </c>
      <c r="BO452" s="2334" t="s">
        <v>855</v>
      </c>
      <c r="BP452" s="2334" t="s">
        <v>856</v>
      </c>
      <c r="BQ452" s="2334" t="s">
        <v>857</v>
      </c>
      <c r="BR452" s="2334" t="s">
        <v>858</v>
      </c>
      <c r="BS452" s="2334" t="s">
        <v>859</v>
      </c>
      <c r="BT452" s="2334" t="s">
        <v>860</v>
      </c>
      <c r="BU452" s="2334" t="s">
        <v>861</v>
      </c>
      <c r="BV452" s="2334" t="s">
        <v>862</v>
      </c>
      <c r="BW452" s="2334" t="s">
        <v>863</v>
      </c>
      <c r="BX452" s="2334" t="s">
        <v>864</v>
      </c>
      <c r="BY452" s="2334" t="s">
        <v>865</v>
      </c>
      <c r="BZ452" s="2334" t="s">
        <v>866</v>
      </c>
      <c r="CA452" s="2334" t="s">
        <v>867</v>
      </c>
      <c r="CB452" s="2334" t="s">
        <v>868</v>
      </c>
      <c r="CC452" s="2334" t="s">
        <v>869</v>
      </c>
      <c r="CD452" s="2334" t="s">
        <v>870</v>
      </c>
      <c r="CE452" s="2334" t="s">
        <v>871</v>
      </c>
      <c r="CF452" s="2334" t="s">
        <v>872</v>
      </c>
      <c r="CG452" s="2334" t="s">
        <v>873</v>
      </c>
      <c r="CH452" s="2334" t="s">
        <v>874</v>
      </c>
      <c r="CI452" s="2334" t="s">
        <v>875</v>
      </c>
      <c r="CJ452" s="2334" t="s">
        <v>876</v>
      </c>
      <c r="CK452" s="2334" t="s">
        <v>877</v>
      </c>
      <c r="CL452" s="2334" t="s">
        <v>878</v>
      </c>
      <c r="CM452" s="2334" t="s">
        <v>879</v>
      </c>
      <c r="CN452" s="2334" t="s">
        <v>880</v>
      </c>
      <c r="CO452" s="2334" t="s">
        <v>881</v>
      </c>
      <c r="CP452" s="2334" t="s">
        <v>882</v>
      </c>
      <c r="CQ452" s="2334" t="s">
        <v>883</v>
      </c>
      <c r="CR452" s="2334" t="s">
        <v>884</v>
      </c>
      <c r="CS452" s="2334" t="s">
        <v>885</v>
      </c>
      <c r="CT452" s="2334" t="s">
        <v>886</v>
      </c>
      <c r="CU452" s="2334" t="s">
        <v>887</v>
      </c>
      <c r="CV452" s="2334" t="s">
        <v>888</v>
      </c>
      <c r="CW452" s="2334" t="s">
        <v>889</v>
      </c>
      <c r="CX452" s="2334" t="s">
        <v>890</v>
      </c>
      <c r="CY452" s="2334" t="s">
        <v>891</v>
      </c>
      <c r="CZ452" s="2334" t="s">
        <v>892</v>
      </c>
      <c r="DA452" s="2334" t="s">
        <v>893</v>
      </c>
      <c r="DB452" s="2334" t="s">
        <v>894</v>
      </c>
      <c r="DC452" s="2334" t="s">
        <v>895</v>
      </c>
      <c r="DD452" s="2334" t="s">
        <v>896</v>
      </c>
      <c r="DE452" s="2334" t="s">
        <v>897</v>
      </c>
      <c r="DF452" s="2334" t="s">
        <v>898</v>
      </c>
      <c r="DG452" s="2334" t="s">
        <v>899</v>
      </c>
      <c r="DH452" s="2334" t="s">
        <v>900</v>
      </c>
      <c r="DI452" s="2334" t="s">
        <v>901</v>
      </c>
      <c r="DJ452" s="2334" t="s">
        <v>902</v>
      </c>
      <c r="DK452" s="2334" t="s">
        <v>903</v>
      </c>
      <c r="DL452" s="2334" t="s">
        <v>904</v>
      </c>
      <c r="DM452" s="2334" t="s">
        <v>905</v>
      </c>
      <c r="DN452" s="2334" t="s">
        <v>906</v>
      </c>
      <c r="DO452" s="2334" t="s">
        <v>907</v>
      </c>
      <c r="DP452" s="2334" t="s">
        <v>908</v>
      </c>
      <c r="DQ452" s="2334" t="s">
        <v>909</v>
      </c>
      <c r="DR452" s="2334" t="s">
        <v>910</v>
      </c>
      <c r="DS452" s="2334" t="s">
        <v>911</v>
      </c>
      <c r="DT452" s="2334" t="s">
        <v>912</v>
      </c>
      <c r="DU452" s="2334" t="s">
        <v>913</v>
      </c>
      <c r="DV452" s="2334" t="s">
        <v>914</v>
      </c>
      <c r="DW452" s="2334" t="s">
        <v>915</v>
      </c>
      <c r="DX452" s="2334" t="s">
        <v>916</v>
      </c>
      <c r="DY452" s="2334" t="s">
        <v>917</v>
      </c>
      <c r="DZ452" s="2334" t="s">
        <v>918</v>
      </c>
      <c r="EA452" s="2334" t="s">
        <v>919</v>
      </c>
      <c r="EB452" s="2334" t="s">
        <v>920</v>
      </c>
      <c r="EC452" s="2334" t="s">
        <v>921</v>
      </c>
      <c r="ED452" s="2334" t="s">
        <v>922</v>
      </c>
      <c r="EE452" s="2334" t="s">
        <v>923</v>
      </c>
      <c r="EF452" s="2334" t="s">
        <v>924</v>
      </c>
      <c r="EG452" s="2334" t="s">
        <v>925</v>
      </c>
      <c r="EH452" s="2334" t="s">
        <v>926</v>
      </c>
      <c r="EI452" s="2334" t="s">
        <v>927</v>
      </c>
      <c r="EJ452" s="2334" t="s">
        <v>928</v>
      </c>
      <c r="EK452" s="2334" t="s">
        <v>929</v>
      </c>
      <c r="EL452" s="2334" t="s">
        <v>930</v>
      </c>
      <c r="EM452" s="2334" t="s">
        <v>931</v>
      </c>
      <c r="EN452" s="2334" t="s">
        <v>932</v>
      </c>
      <c r="EO452" s="2334" t="s">
        <v>933</v>
      </c>
      <c r="EP452" s="2334" t="s">
        <v>934</v>
      </c>
      <c r="EQ452" s="2334" t="s">
        <v>935</v>
      </c>
      <c r="ER452" s="2334" t="s">
        <v>936</v>
      </c>
      <c r="ES452" s="2334" t="s">
        <v>937</v>
      </c>
      <c r="ET452" s="2334" t="s">
        <v>938</v>
      </c>
      <c r="EU452" s="2334" t="s">
        <v>939</v>
      </c>
      <c r="EV452" s="2334" t="s">
        <v>940</v>
      </c>
      <c r="EW452" s="2334" t="s">
        <v>941</v>
      </c>
      <c r="EX452" s="2334" t="s">
        <v>942</v>
      </c>
      <c r="EY452" s="2334" t="s">
        <v>943</v>
      </c>
      <c r="EZ452" s="2334" t="s">
        <v>944</v>
      </c>
      <c r="FA452" s="2334" t="s">
        <v>945</v>
      </c>
      <c r="FB452" s="2334" t="s">
        <v>946</v>
      </c>
      <c r="FC452" s="2334" t="s">
        <v>947</v>
      </c>
      <c r="FD452" s="2334" t="s">
        <v>948</v>
      </c>
      <c r="FE452" s="2334" t="s">
        <v>949</v>
      </c>
      <c r="FF452" s="2334" t="s">
        <v>950</v>
      </c>
      <c r="FG452" s="2334" t="s">
        <v>951</v>
      </c>
      <c r="FH452" s="2334" t="s">
        <v>952</v>
      </c>
      <c r="FI452" s="2334" t="s">
        <v>953</v>
      </c>
      <c r="FJ452" s="2334" t="s">
        <v>954</v>
      </c>
      <c r="FK452" s="2334" t="s">
        <v>955</v>
      </c>
      <c r="FL452" s="2334" t="s">
        <v>956</v>
      </c>
      <c r="FM452" s="2334" t="s">
        <v>957</v>
      </c>
      <c r="FN452" s="2334" t="s">
        <v>958</v>
      </c>
      <c r="FO452" s="2334" t="s">
        <v>959</v>
      </c>
      <c r="FP452" s="2334" t="s">
        <v>960</v>
      </c>
      <c r="FQ452" s="2334" t="s">
        <v>961</v>
      </c>
      <c r="FR452" s="2334" t="s">
        <v>962</v>
      </c>
      <c r="FS452" s="2334" t="s">
        <v>963</v>
      </c>
      <c r="FT452" s="2334" t="s">
        <v>964</v>
      </c>
      <c r="FU452" s="2334" t="s">
        <v>965</v>
      </c>
      <c r="FV452" s="2334" t="s">
        <v>966</v>
      </c>
      <c r="FW452" s="2334" t="s">
        <v>967</v>
      </c>
      <c r="FX452" s="2334" t="s">
        <v>968</v>
      </c>
      <c r="FY452" s="2334" t="s">
        <v>969</v>
      </c>
      <c r="FZ452" s="2334" t="s">
        <v>970</v>
      </c>
      <c r="GA452" s="2334" t="s">
        <v>971</v>
      </c>
      <c r="GB452" s="2334" t="s">
        <v>972</v>
      </c>
      <c r="GC452" s="2334" t="s">
        <v>973</v>
      </c>
      <c r="GD452" s="2334" t="s">
        <v>974</v>
      </c>
      <c r="GE452" s="2334" t="s">
        <v>975</v>
      </c>
      <c r="GF452" s="2334" t="s">
        <v>976</v>
      </c>
      <c r="GG452" s="2334" t="s">
        <v>977</v>
      </c>
      <c r="GH452" s="2334" t="s">
        <v>978</v>
      </c>
      <c r="GI452" s="2334" t="s">
        <v>979</v>
      </c>
      <c r="GJ452" s="2334" t="s">
        <v>980</v>
      </c>
      <c r="GK452" s="2334" t="s">
        <v>981</v>
      </c>
      <c r="GL452" s="2334" t="s">
        <v>982</v>
      </c>
      <c r="GM452" s="2334" t="s">
        <v>983</v>
      </c>
      <c r="GN452" s="2334" t="s">
        <v>984</v>
      </c>
      <c r="GO452" s="2334" t="s">
        <v>985</v>
      </c>
      <c r="GP452" s="2334" t="s">
        <v>986</v>
      </c>
      <c r="GQ452" s="2334" t="s">
        <v>987</v>
      </c>
      <c r="GR452" s="2334" t="s">
        <v>988</v>
      </c>
      <c r="GS452" s="2334" t="s">
        <v>989</v>
      </c>
      <c r="GT452" s="2334" t="s">
        <v>990</v>
      </c>
      <c r="GU452" s="2334" t="s">
        <v>991</v>
      </c>
      <c r="GV452" s="2334" t="s">
        <v>992</v>
      </c>
      <c r="GW452" s="2334" t="s">
        <v>993</v>
      </c>
      <c r="GX452" s="2334" t="s">
        <v>994</v>
      </c>
      <c r="GY452" s="2334" t="s">
        <v>995</v>
      </c>
      <c r="GZ452" s="2334" t="s">
        <v>996</v>
      </c>
      <c r="HA452" s="2334" t="s">
        <v>997</v>
      </c>
      <c r="HB452" s="2334" t="s">
        <v>998</v>
      </c>
      <c r="HC452" s="2334" t="s">
        <v>999</v>
      </c>
      <c r="HD452" s="2334" t="s">
        <v>1000</v>
      </c>
      <c r="HE452" s="2334" t="s">
        <v>1001</v>
      </c>
      <c r="HF452" s="2334" t="s">
        <v>1002</v>
      </c>
      <c r="HG452" s="2334" t="s">
        <v>1003</v>
      </c>
      <c r="HH452" s="2334" t="s">
        <v>1004</v>
      </c>
      <c r="HI452" s="2334" t="s">
        <v>1005</v>
      </c>
      <c r="HJ452" s="2334" t="s">
        <v>1006</v>
      </c>
      <c r="HK452" s="2334" t="s">
        <v>1007</v>
      </c>
      <c r="HL452" s="2334" t="s">
        <v>1008</v>
      </c>
      <c r="HM452" s="2334" t="s">
        <v>1009</v>
      </c>
      <c r="HN452" s="2334" t="s">
        <v>1010</v>
      </c>
      <c r="HO452" s="2334" t="s">
        <v>1011</v>
      </c>
      <c r="HP452" s="2334" t="s">
        <v>1012</v>
      </c>
      <c r="HQ452" s="2334" t="s">
        <v>1013</v>
      </c>
      <c r="HR452" s="2334" t="s">
        <v>1014</v>
      </c>
      <c r="HS452" s="2334" t="s">
        <v>1015</v>
      </c>
      <c r="HT452" s="2334" t="s">
        <v>1016</v>
      </c>
      <c r="HU452" s="2334" t="s">
        <v>1017</v>
      </c>
      <c r="HV452" s="2334" t="s">
        <v>1018</v>
      </c>
      <c r="HW452" s="2334" t="s">
        <v>1019</v>
      </c>
      <c r="HX452" s="2334" t="s">
        <v>1020</v>
      </c>
      <c r="HY452" s="2334" t="s">
        <v>1021</v>
      </c>
      <c r="HZ452" s="1574"/>
      <c r="IA452" s="1574"/>
      <c r="IB452" s="1574"/>
      <c r="IC452" s="1574"/>
      <c r="ID452" s="1574"/>
      <c r="IE452" s="1574"/>
      <c r="IF452" s="1574"/>
      <c r="IG452" s="1574"/>
      <c r="IH452" s="1574"/>
      <c r="II452" s="1574"/>
      <c r="IJ452" s="1574"/>
      <c r="IK452" s="1574"/>
      <c r="IL452" s="1574"/>
      <c r="IM452" s="1574"/>
      <c r="IN452" s="1574"/>
      <c r="IO452" s="1574"/>
      <c r="IP452" s="1574"/>
      <c r="IQ452" s="1574"/>
      <c r="IR452" s="1574"/>
      <c r="IS452" s="1574"/>
      <c r="IT452" s="1574"/>
      <c r="IU452" s="1574"/>
      <c r="IV452" s="1574"/>
      <c r="IW452" s="1574"/>
      <c r="IX452" s="1574"/>
      <c r="IY452" s="1574"/>
      <c r="IZ452" s="1574"/>
      <c r="JA452" s="1574"/>
      <c r="JB452" s="1574"/>
      <c r="JC452" s="1574"/>
      <c r="JD452" s="1574"/>
      <c r="JE452" s="1574"/>
      <c r="JF452" s="1574"/>
      <c r="JG452" s="1574"/>
      <c r="JH452" s="1574"/>
      <c r="JI452" s="1574"/>
      <c r="JJ452" s="1574"/>
      <c r="JK452" s="1574"/>
      <c r="JL452" s="1574"/>
      <c r="JM452" s="1574"/>
      <c r="JN452" s="1574"/>
      <c r="JO452" s="1574"/>
      <c r="JP452" s="1574"/>
      <c r="JQ452" s="1574"/>
      <c r="JR452" s="1574"/>
      <c r="JS452" s="1574"/>
      <c r="JT452" s="1574"/>
      <c r="JU452" s="1574"/>
      <c r="JV452" s="1574"/>
      <c r="JW452" s="1574"/>
      <c r="JX452" s="1574"/>
      <c r="JY452" s="1574"/>
      <c r="JZ452" s="1574"/>
      <c r="KA452" s="1574"/>
      <c r="KB452" s="1574"/>
      <c r="KC452" s="1574"/>
      <c r="KD452" s="1574"/>
      <c r="KE452" s="1574"/>
      <c r="KF452" s="1574"/>
      <c r="KG452" s="1574"/>
      <c r="KH452" s="1574"/>
      <c r="KI452" s="1574"/>
      <c r="KJ452" s="1574"/>
      <c r="KK452" s="1574"/>
      <c r="KL452" s="1574"/>
      <c r="KM452" s="1222"/>
      <c r="KN452" s="1222"/>
      <c r="KO452" s="1222"/>
      <c r="KP452" s="1222"/>
      <c r="KQ452" s="1222"/>
      <c r="KR452" s="1222"/>
      <c r="KS452" s="1222"/>
      <c r="KT452" s="1222"/>
      <c r="KU452" s="1222"/>
      <c r="KV452" s="1222"/>
      <c r="KW452" s="1222"/>
      <c r="KX452" s="1222"/>
      <c r="KY452" s="1222"/>
      <c r="KZ452" s="1222"/>
      <c r="LA452" s="1222"/>
      <c r="LB452" s="1222"/>
      <c r="LC452" s="1222"/>
      <c r="LD452" s="1222"/>
      <c r="LE452" s="1222"/>
      <c r="LF452" s="1222"/>
      <c r="LG452" s="2334" t="s">
        <v>1022</v>
      </c>
      <c r="LH452" s="2334" t="s">
        <v>1023</v>
      </c>
      <c r="LI452" s="2334" t="s">
        <v>1024</v>
      </c>
      <c r="LJ452" s="2334" t="s">
        <v>1025</v>
      </c>
      <c r="LK452" s="2334" t="s">
        <v>1026</v>
      </c>
      <c r="LL452" s="2334" t="s">
        <v>1027</v>
      </c>
      <c r="LM452" s="2334" t="s">
        <v>1028</v>
      </c>
      <c r="LN452" s="2334" t="s">
        <v>1029</v>
      </c>
      <c r="LO452" s="2334" t="s">
        <v>1030</v>
      </c>
      <c r="LP452" s="2334" t="s">
        <v>1031</v>
      </c>
      <c r="LQ452" s="2334" t="s">
        <v>1032</v>
      </c>
      <c r="LR452" s="2334" t="s">
        <v>1033</v>
      </c>
      <c r="LS452" s="2334" t="s">
        <v>1034</v>
      </c>
      <c r="LT452" s="2334" t="s">
        <v>1035</v>
      </c>
      <c r="LU452" s="2334" t="s">
        <v>1036</v>
      </c>
      <c r="LV452" s="2334" t="s">
        <v>1037</v>
      </c>
      <c r="LW452" s="2334" t="s">
        <v>1038</v>
      </c>
      <c r="LX452" s="2334" t="s">
        <v>1039</v>
      </c>
      <c r="LY452" s="2334" t="s">
        <v>1040</v>
      </c>
      <c r="LZ452" s="2334" t="s">
        <v>1041</v>
      </c>
      <c r="MA452" s="2334" t="s">
        <v>1042</v>
      </c>
      <c r="MB452" s="2334" t="s">
        <v>1043</v>
      </c>
      <c r="MC452" s="2334" t="s">
        <v>1044</v>
      </c>
      <c r="MD452" s="2334" t="s">
        <v>1045</v>
      </c>
      <c r="ME452" s="2334" t="s">
        <v>1046</v>
      </c>
      <c r="MF452" s="2334"/>
      <c r="MG452" s="2334"/>
      <c r="MH452" s="2334"/>
      <c r="MI452" s="2334"/>
      <c r="MJ452" s="2334"/>
      <c r="MK452" s="1222"/>
      <c r="ML452" s="1222"/>
      <c r="MM452" s="1222"/>
      <c r="MN452" s="1222"/>
      <c r="MO452" s="1222"/>
      <c r="MP452" s="1222"/>
      <c r="MQ452" s="1222"/>
      <c r="MR452" s="1222"/>
      <c r="MS452" s="1222"/>
      <c r="MT452" s="1222"/>
    </row>
    <row r="453" spans="1:380" s="263" customFormat="1" ht="12.6" customHeight="1">
      <c r="A453" s="2337" t="str">
        <f>IF(A496&gt;0,"Finish Row!","")</f>
        <v/>
      </c>
      <c r="B453" s="1336" t="s">
        <v>6985</v>
      </c>
      <c r="D453" s="2204"/>
      <c r="E453" s="2204"/>
      <c r="F453" s="2204"/>
      <c r="G453" s="1573" t="str">
        <f>'Part V-Revenues &amp; Expenses'!G6</f>
        <v>&lt;Select&gt;</v>
      </c>
      <c r="H453" s="2338" t="s">
        <v>1048</v>
      </c>
      <c r="I453" s="2338"/>
      <c r="J453" s="2338"/>
      <c r="K453" s="2339" t="s">
        <v>791</v>
      </c>
      <c r="L453" s="2340" t="str">
        <f>'Part I-Project Identification'!$A$6</f>
        <v>Sept 2023</v>
      </c>
      <c r="M453" s="2340"/>
      <c r="N453" s="2340"/>
      <c r="O453" s="2341" t="s">
        <v>6986</v>
      </c>
      <c r="P453" s="2342">
        <f>'Part V-Revenues &amp; Expenses'!P6</f>
        <v>103500</v>
      </c>
      <c r="Q453" s="2335"/>
      <c r="R453" s="2336"/>
      <c r="X453" s="2334"/>
      <c r="Y453" s="2334"/>
      <c r="Z453" s="2334"/>
      <c r="AA453" s="2334"/>
      <c r="AB453" s="2334"/>
      <c r="AC453" s="2334"/>
      <c r="AD453" s="2334"/>
      <c r="AE453" s="2334"/>
      <c r="AF453" s="2334"/>
      <c r="AG453" s="2334"/>
      <c r="AH453" s="2334"/>
      <c r="AI453" s="2334"/>
      <c r="AJ453" s="2334"/>
      <c r="AK453" s="2334"/>
      <c r="AL453" s="2334"/>
      <c r="AM453" s="2334"/>
      <c r="AN453" s="2334"/>
      <c r="AO453" s="2334"/>
      <c r="AP453" s="2334"/>
      <c r="AQ453" s="2334"/>
      <c r="AR453" s="2334"/>
      <c r="AS453" s="2334"/>
      <c r="AT453" s="2334"/>
      <c r="AU453" s="2334"/>
      <c r="AV453" s="2334"/>
      <c r="AW453" s="2334"/>
      <c r="AX453" s="2334"/>
      <c r="AY453" s="2334"/>
      <c r="AZ453" s="2334"/>
      <c r="BA453" s="2334"/>
      <c r="BB453" s="2334"/>
      <c r="BC453" s="2334"/>
      <c r="BD453" s="2334"/>
      <c r="BE453" s="2334"/>
      <c r="BF453" s="2334"/>
      <c r="BG453" s="2334"/>
      <c r="BH453" s="2334"/>
      <c r="BI453" s="2334"/>
      <c r="BJ453" s="2334"/>
      <c r="BK453" s="2334"/>
      <c r="BL453" s="2334"/>
      <c r="BM453" s="2334"/>
      <c r="BN453" s="2334"/>
      <c r="BO453" s="2334"/>
      <c r="BP453" s="2334"/>
      <c r="BQ453" s="2334"/>
      <c r="BR453" s="2334"/>
      <c r="BS453" s="2334"/>
      <c r="BT453" s="2334"/>
      <c r="BU453" s="2334"/>
      <c r="BV453" s="2334"/>
      <c r="BW453" s="2334"/>
      <c r="BX453" s="2334"/>
      <c r="BY453" s="2334"/>
      <c r="BZ453" s="2334"/>
      <c r="CA453" s="2334"/>
      <c r="CB453" s="2334"/>
      <c r="CC453" s="2334"/>
      <c r="CD453" s="2334"/>
      <c r="CE453" s="2334"/>
      <c r="CF453" s="2334"/>
      <c r="CG453" s="2334"/>
      <c r="CH453" s="2334"/>
      <c r="CI453" s="2334"/>
      <c r="CJ453" s="2334"/>
      <c r="CK453" s="2334"/>
      <c r="CL453" s="2334"/>
      <c r="CM453" s="2334"/>
      <c r="CN453" s="2334"/>
      <c r="CO453" s="2334"/>
      <c r="CP453" s="2334"/>
      <c r="CQ453" s="2334"/>
      <c r="CR453" s="2334"/>
      <c r="CS453" s="2334"/>
      <c r="CT453" s="2334"/>
      <c r="CU453" s="2334"/>
      <c r="CV453" s="2334"/>
      <c r="CW453" s="2334"/>
      <c r="CX453" s="2334"/>
      <c r="CY453" s="2334"/>
      <c r="CZ453" s="2334"/>
      <c r="DA453" s="2334"/>
      <c r="DB453" s="2334"/>
      <c r="DC453" s="2334"/>
      <c r="DD453" s="2334"/>
      <c r="DE453" s="2334"/>
      <c r="DF453" s="2334"/>
      <c r="DG453" s="2334"/>
      <c r="DH453" s="2334"/>
      <c r="DI453" s="2334"/>
      <c r="DJ453" s="2334"/>
      <c r="DK453" s="2334"/>
      <c r="DL453" s="2334"/>
      <c r="DM453" s="2334"/>
      <c r="DN453" s="2334"/>
      <c r="DO453" s="2334"/>
      <c r="DP453" s="2334"/>
      <c r="DQ453" s="2334"/>
      <c r="DR453" s="2334"/>
      <c r="DS453" s="2334"/>
      <c r="DT453" s="2334"/>
      <c r="DU453" s="2334"/>
      <c r="DV453" s="2334"/>
      <c r="DW453" s="2334"/>
      <c r="DX453" s="2334"/>
      <c r="DY453" s="2334"/>
      <c r="DZ453" s="2334"/>
      <c r="EA453" s="2334"/>
      <c r="EB453" s="2334"/>
      <c r="EC453" s="2334"/>
      <c r="ED453" s="2334"/>
      <c r="EE453" s="2334"/>
      <c r="EF453" s="2334"/>
      <c r="EG453" s="2334"/>
      <c r="EH453" s="2334"/>
      <c r="EI453" s="2334"/>
      <c r="EJ453" s="2334"/>
      <c r="EK453" s="2334"/>
      <c r="EL453" s="2334"/>
      <c r="EM453" s="2334"/>
      <c r="EN453" s="2334"/>
      <c r="EO453" s="2334"/>
      <c r="EP453" s="2334"/>
      <c r="EQ453" s="2334"/>
      <c r="ER453" s="2334"/>
      <c r="ES453" s="2334"/>
      <c r="ET453" s="2334"/>
      <c r="EU453" s="2334"/>
      <c r="EV453" s="2334"/>
      <c r="EW453" s="2334"/>
      <c r="EX453" s="2334"/>
      <c r="EY453" s="2334"/>
      <c r="EZ453" s="2334"/>
      <c r="FA453" s="2334"/>
      <c r="FB453" s="2334"/>
      <c r="FC453" s="2334"/>
      <c r="FD453" s="2334"/>
      <c r="FE453" s="2334"/>
      <c r="FF453" s="2334"/>
      <c r="FG453" s="2334"/>
      <c r="FH453" s="2334"/>
      <c r="FI453" s="2334"/>
      <c r="FJ453" s="2334"/>
      <c r="FK453" s="2334"/>
      <c r="FL453" s="2334"/>
      <c r="FM453" s="2334"/>
      <c r="FN453" s="2334"/>
      <c r="FO453" s="2334"/>
      <c r="FP453" s="2334"/>
      <c r="FQ453" s="2334"/>
      <c r="FR453" s="2334"/>
      <c r="FS453" s="2334"/>
      <c r="FT453" s="2334"/>
      <c r="FU453" s="2334"/>
      <c r="FV453" s="2334"/>
      <c r="FW453" s="2334"/>
      <c r="FX453" s="2334"/>
      <c r="FY453" s="2334"/>
      <c r="FZ453" s="2334"/>
      <c r="GA453" s="2334"/>
      <c r="GB453" s="2334"/>
      <c r="GC453" s="2334"/>
      <c r="GD453" s="2334"/>
      <c r="GE453" s="2334"/>
      <c r="GF453" s="2334"/>
      <c r="GG453" s="2334"/>
      <c r="GH453" s="2334"/>
      <c r="GI453" s="2334"/>
      <c r="GJ453" s="2334"/>
      <c r="GK453" s="2334"/>
      <c r="GL453" s="2334"/>
      <c r="GM453" s="2334"/>
      <c r="GN453" s="2334"/>
      <c r="GO453" s="2334"/>
      <c r="GP453" s="2334"/>
      <c r="GQ453" s="2334"/>
      <c r="GR453" s="2334"/>
      <c r="GS453" s="2334"/>
      <c r="GT453" s="2334"/>
      <c r="GU453" s="2334"/>
      <c r="GV453" s="2334"/>
      <c r="GW453" s="2334"/>
      <c r="GX453" s="2334"/>
      <c r="GY453" s="2334"/>
      <c r="GZ453" s="2334"/>
      <c r="HA453" s="2334"/>
      <c r="HB453" s="2334"/>
      <c r="HC453" s="2334"/>
      <c r="HD453" s="2334"/>
      <c r="HE453" s="2334"/>
      <c r="HF453" s="2334"/>
      <c r="HG453" s="2334"/>
      <c r="HH453" s="2334"/>
      <c r="HI453" s="2334"/>
      <c r="HJ453" s="2334"/>
      <c r="HK453" s="2334"/>
      <c r="HL453" s="2334"/>
      <c r="HM453" s="2334"/>
      <c r="HN453" s="2334"/>
      <c r="HO453" s="2334"/>
      <c r="HP453" s="2334"/>
      <c r="HQ453" s="2334"/>
      <c r="HR453" s="2334"/>
      <c r="HS453" s="2334"/>
      <c r="HT453" s="2334"/>
      <c r="HU453" s="2334"/>
      <c r="HV453" s="2334"/>
      <c r="HW453" s="2334"/>
      <c r="HX453" s="2334"/>
      <c r="HY453" s="2334"/>
      <c r="HZ453" s="1574"/>
      <c r="IA453" s="1574"/>
      <c r="IB453" s="1574"/>
      <c r="IC453" s="1574"/>
      <c r="ID453" s="1574"/>
      <c r="IE453" s="1574"/>
      <c r="IF453" s="1574"/>
      <c r="IG453" s="1574"/>
      <c r="IH453" s="1574"/>
      <c r="II453" s="1574"/>
      <c r="IJ453" s="1574"/>
      <c r="IK453" s="1574"/>
      <c r="IL453" s="1574"/>
      <c r="IM453" s="1574"/>
      <c r="IN453" s="1574"/>
      <c r="IO453" s="1574"/>
      <c r="IP453" s="1574"/>
      <c r="IQ453" s="1574"/>
      <c r="IR453" s="1574"/>
      <c r="IS453" s="1574"/>
      <c r="IT453" s="1574"/>
      <c r="IU453" s="1574"/>
      <c r="IV453" s="1574"/>
      <c r="IW453" s="1574"/>
      <c r="IX453" s="1574"/>
      <c r="IY453" s="1574"/>
      <c r="IZ453" s="1574"/>
      <c r="JA453" s="1574"/>
      <c r="JB453" s="1574"/>
      <c r="JC453" s="1574"/>
      <c r="JD453" s="1574"/>
      <c r="JE453" s="1574"/>
      <c r="JF453" s="1574"/>
      <c r="JG453" s="1574"/>
      <c r="JH453" s="1574"/>
      <c r="JI453" s="1574"/>
      <c r="JJ453" s="1574"/>
      <c r="JK453" s="1574"/>
      <c r="JL453" s="1574"/>
      <c r="JM453" s="1574"/>
      <c r="JN453" s="1574"/>
      <c r="JO453" s="1574"/>
      <c r="JP453" s="1574"/>
      <c r="JQ453" s="1574"/>
      <c r="JR453" s="1574"/>
      <c r="JS453" s="1574"/>
      <c r="JT453" s="1574"/>
      <c r="JU453" s="1574"/>
      <c r="JV453" s="1574"/>
      <c r="JW453" s="1574"/>
      <c r="JX453" s="1574"/>
      <c r="JY453" s="1574"/>
      <c r="JZ453" s="1574"/>
      <c r="KA453" s="1574"/>
      <c r="KB453" s="1574"/>
      <c r="KC453" s="1574"/>
      <c r="KD453" s="1574"/>
      <c r="KE453" s="1574"/>
      <c r="KF453" s="1574"/>
      <c r="KG453" s="1574"/>
      <c r="KH453" s="1574"/>
      <c r="KI453" s="1574"/>
      <c r="KJ453" s="1574"/>
      <c r="KK453" s="1574"/>
      <c r="KL453" s="1574"/>
      <c r="KM453" s="1222"/>
      <c r="KN453" s="1222"/>
      <c r="KO453" s="1222"/>
      <c r="KP453" s="1222"/>
      <c r="KQ453" s="1222"/>
      <c r="KR453" s="1222"/>
      <c r="KS453" s="1222"/>
      <c r="KT453" s="1222"/>
      <c r="KU453" s="1222"/>
      <c r="KV453" s="1222"/>
      <c r="KW453" s="1222"/>
      <c r="KX453" s="1222"/>
      <c r="KY453" s="1222"/>
      <c r="KZ453" s="1222"/>
      <c r="LA453" s="1222"/>
      <c r="LB453" s="1222"/>
      <c r="LC453" s="1222"/>
      <c r="LD453" s="1222"/>
      <c r="LE453" s="1222"/>
      <c r="LF453" s="1222"/>
      <c r="LG453" s="2334"/>
      <c r="LH453" s="2334"/>
      <c r="LI453" s="2334"/>
      <c r="LJ453" s="2334"/>
      <c r="LK453" s="2334"/>
      <c r="LL453" s="2334"/>
      <c r="LM453" s="2334"/>
      <c r="LN453" s="2334"/>
      <c r="LO453" s="2334"/>
      <c r="LP453" s="2334"/>
      <c r="LQ453" s="2334"/>
      <c r="LR453" s="2334"/>
      <c r="LS453" s="2334"/>
      <c r="LT453" s="2334"/>
      <c r="LU453" s="2334"/>
      <c r="LV453" s="2334"/>
      <c r="LW453" s="2334"/>
      <c r="LX453" s="2334"/>
      <c r="LY453" s="2334"/>
      <c r="LZ453" s="2334"/>
      <c r="MA453" s="2334"/>
      <c r="MB453" s="2334"/>
      <c r="MC453" s="2334"/>
      <c r="MD453" s="2334"/>
      <c r="ME453" s="2334"/>
      <c r="MF453" s="2334"/>
      <c r="MG453" s="2334"/>
      <c r="MH453" s="2334"/>
      <c r="MI453" s="2334"/>
      <c r="MJ453" s="2334"/>
      <c r="MK453" s="2343" t="s">
        <v>1050</v>
      </c>
      <c r="ML453" s="2343" t="s">
        <v>1051</v>
      </c>
      <c r="MM453" s="2343" t="s">
        <v>1052</v>
      </c>
      <c r="MN453" s="2343" t="s">
        <v>1053</v>
      </c>
      <c r="MO453" s="2343" t="s">
        <v>1054</v>
      </c>
      <c r="MP453" s="2334" t="s">
        <v>1055</v>
      </c>
      <c r="MQ453" s="2334" t="s">
        <v>1056</v>
      </c>
      <c r="MR453" s="2334" t="s">
        <v>1057</v>
      </c>
      <c r="MS453" s="2334" t="s">
        <v>1058</v>
      </c>
      <c r="MT453" s="2334" t="s">
        <v>1059</v>
      </c>
    </row>
    <row r="454" spans="1:380" s="263" customFormat="1" ht="12.6" customHeight="1">
      <c r="A454" s="2337"/>
      <c r="B454" s="2344" t="s">
        <v>1060</v>
      </c>
      <c r="E454" s="1440"/>
      <c r="G454" s="1573" t="str">
        <f>'Part V-Revenues &amp; Expenses'!G7</f>
        <v>No</v>
      </c>
      <c r="I454" s="2345" t="s">
        <v>1061</v>
      </c>
      <c r="J454" s="2339" t="s">
        <v>759</v>
      </c>
      <c r="K454" s="2339" t="s">
        <v>1062</v>
      </c>
      <c r="L454" s="2340"/>
      <c r="M454" s="2340"/>
      <c r="N454" s="2340"/>
      <c r="O454" s="2346" t="s">
        <v>1063</v>
      </c>
      <c r="P454" s="2347">
        <f>'Part V-Revenues &amp; Expenses'!P7</f>
        <v>45061</v>
      </c>
      <c r="Q454" s="2335"/>
      <c r="R454" s="1440" t="s">
        <v>1064</v>
      </c>
      <c r="S454" s="1440"/>
      <c r="X454" s="2334"/>
      <c r="Y454" s="2334"/>
      <c r="Z454" s="2334"/>
      <c r="AA454" s="2334"/>
      <c r="AB454" s="2334"/>
      <c r="AC454" s="2334"/>
      <c r="AD454" s="2334"/>
      <c r="AE454" s="2334"/>
      <c r="AF454" s="2334"/>
      <c r="AG454" s="2334"/>
      <c r="AH454" s="2334"/>
      <c r="AI454" s="2334"/>
      <c r="AJ454" s="2334"/>
      <c r="AK454" s="2334"/>
      <c r="AL454" s="2334"/>
      <c r="AM454" s="2334"/>
      <c r="AN454" s="2334"/>
      <c r="AO454" s="2334"/>
      <c r="AP454" s="2334"/>
      <c r="AQ454" s="2334"/>
      <c r="AR454" s="2334"/>
      <c r="AS454" s="2334"/>
      <c r="AT454" s="2334"/>
      <c r="AU454" s="2334"/>
      <c r="AV454" s="2334"/>
      <c r="AW454" s="2334"/>
      <c r="AX454" s="2334"/>
      <c r="AY454" s="2334"/>
      <c r="AZ454" s="2334"/>
      <c r="BA454" s="2334"/>
      <c r="BB454" s="2334"/>
      <c r="BC454" s="2334"/>
      <c r="BD454" s="2334"/>
      <c r="BE454" s="2334"/>
      <c r="BF454" s="2334"/>
      <c r="BG454" s="2334"/>
      <c r="BH454" s="2334"/>
      <c r="BI454" s="2334"/>
      <c r="BJ454" s="2334"/>
      <c r="BK454" s="2334"/>
      <c r="BL454" s="2334"/>
      <c r="BM454" s="2334"/>
      <c r="BN454" s="2334"/>
      <c r="BO454" s="2334"/>
      <c r="BP454" s="2334"/>
      <c r="BQ454" s="2334"/>
      <c r="BR454" s="2334"/>
      <c r="BS454" s="2334"/>
      <c r="BT454" s="2334"/>
      <c r="BU454" s="2334"/>
      <c r="BV454" s="2334"/>
      <c r="BW454" s="2334"/>
      <c r="BX454" s="2334"/>
      <c r="BY454" s="2334"/>
      <c r="BZ454" s="2334"/>
      <c r="CA454" s="2334"/>
      <c r="CB454" s="2334"/>
      <c r="CC454" s="2334"/>
      <c r="CD454" s="2334"/>
      <c r="CE454" s="2334"/>
      <c r="CF454" s="2334"/>
      <c r="CG454" s="2334"/>
      <c r="CH454" s="2334"/>
      <c r="CI454" s="2334"/>
      <c r="CJ454" s="2334"/>
      <c r="CK454" s="2334"/>
      <c r="CL454" s="2334"/>
      <c r="CM454" s="2334"/>
      <c r="CN454" s="2334"/>
      <c r="CO454" s="2334"/>
      <c r="CP454" s="2334"/>
      <c r="CQ454" s="2334"/>
      <c r="CR454" s="2334"/>
      <c r="CS454" s="2334"/>
      <c r="CT454" s="2334"/>
      <c r="CU454" s="2334"/>
      <c r="CV454" s="2334"/>
      <c r="CW454" s="2334"/>
      <c r="CX454" s="2334"/>
      <c r="CY454" s="2334"/>
      <c r="CZ454" s="2334"/>
      <c r="DA454" s="2334"/>
      <c r="DB454" s="2334"/>
      <c r="DC454" s="2334"/>
      <c r="DD454" s="2334"/>
      <c r="DE454" s="2334"/>
      <c r="DF454" s="2334"/>
      <c r="DG454" s="2334"/>
      <c r="DH454" s="2334"/>
      <c r="DI454" s="2334"/>
      <c r="DJ454" s="2334"/>
      <c r="DK454" s="2334"/>
      <c r="DL454" s="2334"/>
      <c r="DM454" s="2334"/>
      <c r="DN454" s="2334"/>
      <c r="DO454" s="2334"/>
      <c r="DP454" s="2334"/>
      <c r="DQ454" s="2334"/>
      <c r="DR454" s="2334"/>
      <c r="DS454" s="2334"/>
      <c r="DT454" s="2334"/>
      <c r="DU454" s="2334"/>
      <c r="DV454" s="2334"/>
      <c r="DW454" s="2334"/>
      <c r="DX454" s="2334"/>
      <c r="DY454" s="2334"/>
      <c r="DZ454" s="2334"/>
      <c r="EA454" s="2334"/>
      <c r="EB454" s="2334"/>
      <c r="EC454" s="2334"/>
      <c r="ED454" s="2334"/>
      <c r="EE454" s="2334"/>
      <c r="EF454" s="2334"/>
      <c r="EG454" s="2334"/>
      <c r="EH454" s="2334"/>
      <c r="EI454" s="2334"/>
      <c r="EJ454" s="2334"/>
      <c r="EK454" s="2334"/>
      <c r="EL454" s="2334"/>
      <c r="EM454" s="2334"/>
      <c r="EN454" s="2334"/>
      <c r="EO454" s="2334"/>
      <c r="EP454" s="2334"/>
      <c r="EQ454" s="2334"/>
      <c r="ER454" s="2334"/>
      <c r="ES454" s="2334"/>
      <c r="ET454" s="2334"/>
      <c r="EU454" s="2334"/>
      <c r="EV454" s="2334"/>
      <c r="EW454" s="2334"/>
      <c r="EX454" s="2334"/>
      <c r="EY454" s="2334"/>
      <c r="EZ454" s="2334"/>
      <c r="FA454" s="2334"/>
      <c r="FB454" s="2334"/>
      <c r="FC454" s="2334"/>
      <c r="FD454" s="2334"/>
      <c r="FE454" s="2334"/>
      <c r="FF454" s="2334"/>
      <c r="FG454" s="2334"/>
      <c r="FH454" s="2334"/>
      <c r="FI454" s="2334"/>
      <c r="FJ454" s="2334"/>
      <c r="FK454" s="2334"/>
      <c r="FL454" s="2334"/>
      <c r="FM454" s="2334"/>
      <c r="FN454" s="2334"/>
      <c r="FO454" s="2334"/>
      <c r="FP454" s="2334"/>
      <c r="FQ454" s="2334"/>
      <c r="FR454" s="2334"/>
      <c r="FS454" s="2334"/>
      <c r="FT454" s="2334"/>
      <c r="FU454" s="2334"/>
      <c r="FV454" s="2334"/>
      <c r="FW454" s="2334"/>
      <c r="FX454" s="2334"/>
      <c r="FY454" s="2334"/>
      <c r="FZ454" s="2334"/>
      <c r="GA454" s="2334"/>
      <c r="GB454" s="2334"/>
      <c r="GC454" s="2334"/>
      <c r="GD454" s="2334"/>
      <c r="GE454" s="2334"/>
      <c r="GF454" s="2334"/>
      <c r="GG454" s="2334"/>
      <c r="GH454" s="2334"/>
      <c r="GI454" s="2334"/>
      <c r="GJ454" s="2334"/>
      <c r="GK454" s="2334"/>
      <c r="GL454" s="2334"/>
      <c r="GM454" s="2334"/>
      <c r="GN454" s="2334"/>
      <c r="GO454" s="2334"/>
      <c r="GP454" s="2334"/>
      <c r="GQ454" s="2334"/>
      <c r="GR454" s="2334"/>
      <c r="GS454" s="2334"/>
      <c r="GT454" s="2334"/>
      <c r="GU454" s="2334"/>
      <c r="GV454" s="2334"/>
      <c r="GW454" s="2334"/>
      <c r="GX454" s="2334"/>
      <c r="GY454" s="2334"/>
      <c r="GZ454" s="2334"/>
      <c r="HA454" s="2334"/>
      <c r="HB454" s="2334"/>
      <c r="HC454" s="2334"/>
      <c r="HD454" s="2334"/>
      <c r="HE454" s="2334"/>
      <c r="HF454" s="2334"/>
      <c r="HG454" s="2334"/>
      <c r="HH454" s="2334"/>
      <c r="HI454" s="2334"/>
      <c r="HJ454" s="2334"/>
      <c r="HK454" s="2334"/>
      <c r="HL454" s="2334"/>
      <c r="HM454" s="2334"/>
      <c r="HN454" s="2334"/>
      <c r="HO454" s="2334"/>
      <c r="HP454" s="2334"/>
      <c r="HQ454" s="2334"/>
      <c r="HR454" s="2334"/>
      <c r="HS454" s="2334"/>
      <c r="HT454" s="2334"/>
      <c r="HU454" s="2334"/>
      <c r="HV454" s="2334"/>
      <c r="HW454" s="2334"/>
      <c r="HX454" s="2334"/>
      <c r="HY454" s="2334"/>
      <c r="HZ454" s="1574"/>
      <c r="IA454" s="1574"/>
      <c r="IB454" s="1574"/>
      <c r="IC454" s="1574"/>
      <c r="ID454" s="1574"/>
      <c r="IE454" s="1574"/>
      <c r="IF454" s="1574"/>
      <c r="IG454" s="1574"/>
      <c r="IH454" s="1574"/>
      <c r="II454" s="1574"/>
      <c r="IJ454" s="1574"/>
      <c r="IK454" s="1574"/>
      <c r="IL454" s="1574"/>
      <c r="IM454" s="1574"/>
      <c r="IN454" s="1574"/>
      <c r="IO454" s="1574"/>
      <c r="IP454" s="1574"/>
      <c r="IQ454" s="1574"/>
      <c r="IR454" s="1574"/>
      <c r="IS454" s="1574"/>
      <c r="IT454" s="1574"/>
      <c r="IU454" s="1574"/>
      <c r="IV454" s="1574"/>
      <c r="IW454" s="1574"/>
      <c r="IX454" s="1574"/>
      <c r="IY454" s="1574"/>
      <c r="IZ454" s="1574"/>
      <c r="JA454" s="1574"/>
      <c r="JB454" s="1574"/>
      <c r="JC454" s="1574"/>
      <c r="JD454" s="1574"/>
      <c r="JE454" s="1574"/>
      <c r="JF454" s="1574"/>
      <c r="JG454" s="1574"/>
      <c r="JH454" s="1574"/>
      <c r="JI454" s="1574"/>
      <c r="JJ454" s="1574"/>
      <c r="JK454" s="1574"/>
      <c r="JL454" s="1574"/>
      <c r="JM454" s="1574"/>
      <c r="JN454" s="1574"/>
      <c r="JO454" s="1574"/>
      <c r="JP454" s="1574"/>
      <c r="JQ454" s="1574"/>
      <c r="JR454" s="1574"/>
      <c r="JS454" s="1574"/>
      <c r="JT454" s="1574"/>
      <c r="JU454" s="1574"/>
      <c r="JV454" s="1574"/>
      <c r="JW454" s="1574"/>
      <c r="JX454" s="1574"/>
      <c r="JY454" s="1574"/>
      <c r="JZ454" s="1574"/>
      <c r="KA454" s="1574"/>
      <c r="KB454" s="1574"/>
      <c r="KC454" s="1574"/>
      <c r="KD454" s="1574"/>
      <c r="KE454" s="1574"/>
      <c r="KF454" s="1574"/>
      <c r="KG454" s="1574"/>
      <c r="KH454" s="1574"/>
      <c r="KI454" s="1574"/>
      <c r="KJ454" s="1574"/>
      <c r="KK454" s="1574"/>
      <c r="KL454" s="1574"/>
      <c r="KM454" s="1222"/>
      <c r="KN454" s="1222"/>
      <c r="KO454" s="1222"/>
      <c r="KP454" s="1222"/>
      <c r="KQ454" s="1222"/>
      <c r="KR454" s="1222"/>
      <c r="KS454" s="1222"/>
      <c r="KT454" s="1222"/>
      <c r="KU454" s="1222"/>
      <c r="KV454" s="1222"/>
      <c r="KW454" s="1222"/>
      <c r="KX454" s="1222"/>
      <c r="KY454" s="1222"/>
      <c r="KZ454" s="1222"/>
      <c r="LA454" s="1222"/>
      <c r="LB454" s="1222"/>
      <c r="LC454" s="1222"/>
      <c r="LD454" s="1222"/>
      <c r="LE454" s="1222"/>
      <c r="LF454" s="1222"/>
      <c r="LG454" s="2334"/>
      <c r="LH454" s="2334"/>
      <c r="LI454" s="2334"/>
      <c r="LJ454" s="2334"/>
      <c r="LK454" s="2334"/>
      <c r="LL454" s="2334"/>
      <c r="LM454" s="2334"/>
      <c r="LN454" s="2334"/>
      <c r="LO454" s="2334"/>
      <c r="LP454" s="2334"/>
      <c r="LQ454" s="2334"/>
      <c r="LR454" s="2334"/>
      <c r="LS454" s="2334"/>
      <c r="LT454" s="2334"/>
      <c r="LU454" s="2334"/>
      <c r="LV454" s="2334"/>
      <c r="LW454" s="2334"/>
      <c r="LX454" s="2334"/>
      <c r="LY454" s="2334"/>
      <c r="LZ454" s="2334"/>
      <c r="MA454" s="2334"/>
      <c r="MB454" s="2334"/>
      <c r="MC454" s="2334"/>
      <c r="MD454" s="2334"/>
      <c r="ME454" s="2334"/>
      <c r="MF454" s="2334"/>
      <c r="MG454" s="2334"/>
      <c r="MH454" s="2334"/>
      <c r="MI454" s="2334"/>
      <c r="MJ454" s="2334"/>
      <c r="MK454" s="2343"/>
      <c r="ML454" s="2343"/>
      <c r="MM454" s="2343"/>
      <c r="MN454" s="2343"/>
      <c r="MO454" s="2343"/>
      <c r="MP454" s="2334"/>
      <c r="MQ454" s="2334"/>
      <c r="MR454" s="2334"/>
      <c r="MS454" s="2334"/>
      <c r="MT454" s="2334"/>
    </row>
    <row r="455" spans="1:380" s="263" customFormat="1" ht="12.6" customHeight="1">
      <c r="A455" s="2337"/>
      <c r="B455" s="2348" t="s">
        <v>1065</v>
      </c>
      <c r="I455" s="2345"/>
      <c r="J455" s="2339" t="s">
        <v>1066</v>
      </c>
      <c r="K455" s="2339" t="s">
        <v>1067</v>
      </c>
      <c r="L455" s="2195"/>
      <c r="M455" s="2195"/>
      <c r="N455" s="2349" t="s">
        <v>1068</v>
      </c>
      <c r="O455" s="2196" t="str">
        <f>'Part V-Revenues &amp; Expenses'!O8</f>
        <v>Novogradac</v>
      </c>
      <c r="P455" s="2196"/>
      <c r="Q455" s="2335"/>
      <c r="R455" s="2350"/>
      <c r="S455" s="2351" t="s">
        <v>1069</v>
      </c>
      <c r="T455" s="2195"/>
      <c r="X455" s="2334"/>
      <c r="Y455" s="2334"/>
      <c r="Z455" s="2334"/>
      <c r="AA455" s="2334"/>
      <c r="AB455" s="2334"/>
      <c r="AC455" s="2334"/>
      <c r="AD455" s="2334"/>
      <c r="AE455" s="2334"/>
      <c r="AF455" s="2334"/>
      <c r="AG455" s="2334"/>
      <c r="AH455" s="2334"/>
      <c r="AI455" s="2334"/>
      <c r="AJ455" s="2334"/>
      <c r="AK455" s="2334"/>
      <c r="AL455" s="2334"/>
      <c r="AM455" s="2334"/>
      <c r="AN455" s="2334"/>
      <c r="AO455" s="2334"/>
      <c r="AP455" s="2334"/>
      <c r="AQ455" s="2334"/>
      <c r="AR455" s="2334"/>
      <c r="AS455" s="2334"/>
      <c r="AT455" s="2334"/>
      <c r="AU455" s="2334"/>
      <c r="AV455" s="2334"/>
      <c r="AW455" s="2334"/>
      <c r="AX455" s="2334"/>
      <c r="AY455" s="2334"/>
      <c r="AZ455" s="2334"/>
      <c r="BA455" s="2334"/>
      <c r="BB455" s="2334"/>
      <c r="BC455" s="2334"/>
      <c r="BD455" s="2334"/>
      <c r="BE455" s="2334"/>
      <c r="BF455" s="2334"/>
      <c r="BG455" s="2334"/>
      <c r="BH455" s="2334"/>
      <c r="BI455" s="2334"/>
      <c r="BJ455" s="2334"/>
      <c r="BK455" s="2334"/>
      <c r="BL455" s="2334"/>
      <c r="BM455" s="2334"/>
      <c r="BN455" s="2334"/>
      <c r="BO455" s="2334"/>
      <c r="BP455" s="2334"/>
      <c r="BQ455" s="2334"/>
      <c r="BR455" s="2334"/>
      <c r="BS455" s="2334"/>
      <c r="BT455" s="2334"/>
      <c r="BU455" s="2334"/>
      <c r="BV455" s="2334"/>
      <c r="BW455" s="2334"/>
      <c r="BX455" s="2334"/>
      <c r="BY455" s="2334"/>
      <c r="BZ455" s="2334"/>
      <c r="CA455" s="2334"/>
      <c r="CB455" s="2334"/>
      <c r="CC455" s="2334"/>
      <c r="CD455" s="2334"/>
      <c r="CE455" s="2334"/>
      <c r="CF455" s="2334"/>
      <c r="CG455" s="2334"/>
      <c r="CH455" s="2334"/>
      <c r="CI455" s="2334"/>
      <c r="CJ455" s="2334"/>
      <c r="CK455" s="2334"/>
      <c r="CL455" s="2334"/>
      <c r="CM455" s="2334"/>
      <c r="CN455" s="2334"/>
      <c r="CO455" s="2334"/>
      <c r="CP455" s="2334"/>
      <c r="CQ455" s="2334"/>
      <c r="CR455" s="2334"/>
      <c r="CS455" s="2334"/>
      <c r="CT455" s="2334"/>
      <c r="CU455" s="2334"/>
      <c r="CV455" s="2334"/>
      <c r="CW455" s="2334"/>
      <c r="CX455" s="2334"/>
      <c r="CY455" s="2334"/>
      <c r="CZ455" s="2334"/>
      <c r="DA455" s="2334"/>
      <c r="DB455" s="2334"/>
      <c r="DC455" s="2334"/>
      <c r="DD455" s="2334"/>
      <c r="DE455" s="2334"/>
      <c r="DF455" s="2334"/>
      <c r="DG455" s="2334"/>
      <c r="DH455" s="2334"/>
      <c r="DI455" s="2334"/>
      <c r="DJ455" s="2334"/>
      <c r="DK455" s="2334"/>
      <c r="DL455" s="2334"/>
      <c r="DM455" s="2334"/>
      <c r="DN455" s="2334"/>
      <c r="DO455" s="2334"/>
      <c r="DP455" s="2334"/>
      <c r="DQ455" s="2334"/>
      <c r="DR455" s="2334"/>
      <c r="DS455" s="2334"/>
      <c r="DT455" s="2334"/>
      <c r="DU455" s="2334"/>
      <c r="DV455" s="2334"/>
      <c r="DW455" s="2334"/>
      <c r="DX455" s="2334"/>
      <c r="DY455" s="2334"/>
      <c r="DZ455" s="2334"/>
      <c r="EA455" s="2334"/>
      <c r="EB455" s="2334"/>
      <c r="EC455" s="2334"/>
      <c r="ED455" s="2334"/>
      <c r="EE455" s="2334"/>
      <c r="EF455" s="2334"/>
      <c r="EG455" s="2334"/>
      <c r="EH455" s="2334"/>
      <c r="EI455" s="2334"/>
      <c r="EJ455" s="2334"/>
      <c r="EK455" s="2334"/>
      <c r="EL455" s="2334"/>
      <c r="EM455" s="2334"/>
      <c r="EN455" s="2334"/>
      <c r="EO455" s="2334"/>
      <c r="EP455" s="2334"/>
      <c r="EQ455" s="2334"/>
      <c r="ER455" s="2334"/>
      <c r="ES455" s="2334"/>
      <c r="ET455" s="2334"/>
      <c r="EU455" s="2334"/>
      <c r="EV455" s="2334"/>
      <c r="EW455" s="2334"/>
      <c r="EX455" s="2334"/>
      <c r="EY455" s="2334"/>
      <c r="EZ455" s="2334"/>
      <c r="FA455" s="2334"/>
      <c r="FB455" s="2334"/>
      <c r="FC455" s="2334"/>
      <c r="FD455" s="2334"/>
      <c r="FE455" s="2334"/>
      <c r="FF455" s="2334"/>
      <c r="FG455" s="2334"/>
      <c r="FH455" s="2334"/>
      <c r="FI455" s="2334"/>
      <c r="FJ455" s="2334"/>
      <c r="FK455" s="2334"/>
      <c r="FL455" s="2334"/>
      <c r="FM455" s="2334"/>
      <c r="FN455" s="2334"/>
      <c r="FO455" s="2334"/>
      <c r="FP455" s="2334"/>
      <c r="FQ455" s="2334"/>
      <c r="FR455" s="2334"/>
      <c r="FS455" s="2334"/>
      <c r="FT455" s="2334"/>
      <c r="FU455" s="2334"/>
      <c r="FV455" s="2334"/>
      <c r="FW455" s="2334"/>
      <c r="FX455" s="2334"/>
      <c r="FY455" s="2334"/>
      <c r="FZ455" s="2334"/>
      <c r="GA455" s="2334"/>
      <c r="GB455" s="2334"/>
      <c r="GC455" s="2334"/>
      <c r="GD455" s="2334"/>
      <c r="GE455" s="2334"/>
      <c r="GF455" s="2334"/>
      <c r="GG455" s="2334"/>
      <c r="GH455" s="2334"/>
      <c r="GI455" s="2334"/>
      <c r="GJ455" s="2334"/>
      <c r="GK455" s="2334"/>
      <c r="GL455" s="2334"/>
      <c r="GM455" s="2334"/>
      <c r="GN455" s="2334"/>
      <c r="GO455" s="2334"/>
      <c r="GP455" s="2334"/>
      <c r="GQ455" s="2334"/>
      <c r="GR455" s="2334"/>
      <c r="GS455" s="2334"/>
      <c r="GT455" s="2334"/>
      <c r="GU455" s="2334"/>
      <c r="GV455" s="2334"/>
      <c r="GW455" s="2334"/>
      <c r="GX455" s="2334"/>
      <c r="GY455" s="2334"/>
      <c r="GZ455" s="2334"/>
      <c r="HA455" s="2334"/>
      <c r="HB455" s="2334"/>
      <c r="HC455" s="2334"/>
      <c r="HD455" s="2334"/>
      <c r="HE455" s="2334"/>
      <c r="HF455" s="2334"/>
      <c r="HG455" s="2334"/>
      <c r="HH455" s="2334"/>
      <c r="HI455" s="2334"/>
      <c r="HJ455" s="2334"/>
      <c r="HK455" s="2334"/>
      <c r="HL455" s="2334"/>
      <c r="HM455" s="2334"/>
      <c r="HN455" s="2334"/>
      <c r="HO455" s="2334"/>
      <c r="HP455" s="2334"/>
      <c r="HQ455" s="2334"/>
      <c r="HR455" s="2334"/>
      <c r="HS455" s="2334"/>
      <c r="HT455" s="2334"/>
      <c r="HU455" s="2334"/>
      <c r="HV455" s="2334"/>
      <c r="HW455" s="2334"/>
      <c r="HX455" s="2334"/>
      <c r="HY455" s="2334"/>
      <c r="HZ455" s="1574"/>
      <c r="IA455" s="1574"/>
      <c r="IB455" s="1574"/>
      <c r="IC455" s="1574"/>
      <c r="ID455" s="1574"/>
      <c r="IE455" s="1574"/>
      <c r="IF455" s="1574"/>
      <c r="IG455" s="1574"/>
      <c r="IH455" s="1574"/>
      <c r="II455" s="1574"/>
      <c r="IJ455" s="1574"/>
      <c r="IK455" s="1574"/>
      <c r="IL455" s="1574"/>
      <c r="IM455" s="1574"/>
      <c r="IN455" s="1574"/>
      <c r="IO455" s="1574"/>
      <c r="IP455" s="1574"/>
      <c r="IQ455" s="1574"/>
      <c r="IR455" s="1574"/>
      <c r="IS455" s="1574"/>
      <c r="IT455" s="1574"/>
      <c r="IU455" s="1574"/>
      <c r="IV455" s="1574"/>
      <c r="IW455" s="1574"/>
      <c r="IX455" s="1574"/>
      <c r="IY455" s="1563" t="s">
        <v>763</v>
      </c>
      <c r="IZ455" s="1563" t="s">
        <v>802</v>
      </c>
      <c r="JA455" s="1563" t="s">
        <v>803</v>
      </c>
      <c r="JB455" s="1563" t="s">
        <v>804</v>
      </c>
      <c r="JC455" s="1563" t="s">
        <v>805</v>
      </c>
      <c r="JD455" s="1563" t="s">
        <v>763</v>
      </c>
      <c r="JE455" s="1563" t="s">
        <v>802</v>
      </c>
      <c r="JF455" s="1563" t="s">
        <v>803</v>
      </c>
      <c r="JG455" s="1563" t="s">
        <v>804</v>
      </c>
      <c r="JH455" s="1563" t="s">
        <v>805</v>
      </c>
      <c r="JI455" s="1563" t="s">
        <v>763</v>
      </c>
      <c r="JJ455" s="1563" t="s">
        <v>802</v>
      </c>
      <c r="JK455" s="1563" t="s">
        <v>803</v>
      </c>
      <c r="JL455" s="1563" t="s">
        <v>804</v>
      </c>
      <c r="JM455" s="1563" t="s">
        <v>805</v>
      </c>
      <c r="JN455" s="1563" t="s">
        <v>763</v>
      </c>
      <c r="JO455" s="1563" t="s">
        <v>802</v>
      </c>
      <c r="JP455" s="1563" t="s">
        <v>803</v>
      </c>
      <c r="JQ455" s="1563" t="s">
        <v>804</v>
      </c>
      <c r="JR455" s="1563" t="s">
        <v>805</v>
      </c>
      <c r="JS455" s="1563" t="s">
        <v>763</v>
      </c>
      <c r="JT455" s="1563" t="s">
        <v>802</v>
      </c>
      <c r="JU455" s="1563" t="s">
        <v>803</v>
      </c>
      <c r="JV455" s="1563" t="s">
        <v>804</v>
      </c>
      <c r="JW455" s="1563" t="s">
        <v>805</v>
      </c>
      <c r="JX455" s="1563" t="s">
        <v>763</v>
      </c>
      <c r="JY455" s="1563" t="s">
        <v>802</v>
      </c>
      <c r="JZ455" s="1563" t="s">
        <v>803</v>
      </c>
      <c r="KA455" s="1563" t="s">
        <v>804</v>
      </c>
      <c r="KB455" s="1563" t="s">
        <v>805</v>
      </c>
      <c r="KC455" s="1563" t="s">
        <v>763</v>
      </c>
      <c r="KD455" s="1563" t="s">
        <v>802</v>
      </c>
      <c r="KE455" s="1563" t="s">
        <v>803</v>
      </c>
      <c r="KF455" s="1563" t="s">
        <v>804</v>
      </c>
      <c r="KG455" s="1563" t="s">
        <v>805</v>
      </c>
      <c r="KH455" s="1563" t="s">
        <v>763</v>
      </c>
      <c r="KI455" s="1563" t="s">
        <v>802</v>
      </c>
      <c r="KJ455" s="1563" t="s">
        <v>803</v>
      </c>
      <c r="KK455" s="1563" t="s">
        <v>804</v>
      </c>
      <c r="KL455" s="1563" t="s">
        <v>805</v>
      </c>
      <c r="KM455" s="1563" t="s">
        <v>763</v>
      </c>
      <c r="KN455" s="1563" t="s">
        <v>802</v>
      </c>
      <c r="KO455" s="1563" t="s">
        <v>803</v>
      </c>
      <c r="KP455" s="1563" t="s">
        <v>804</v>
      </c>
      <c r="KQ455" s="1563" t="s">
        <v>805</v>
      </c>
      <c r="KR455" s="1563" t="s">
        <v>763</v>
      </c>
      <c r="KS455" s="1563" t="s">
        <v>802</v>
      </c>
      <c r="KT455" s="1563" t="s">
        <v>803</v>
      </c>
      <c r="KU455" s="1563" t="s">
        <v>804</v>
      </c>
      <c r="KV455" s="1563" t="s">
        <v>805</v>
      </c>
      <c r="KW455" s="1563" t="s">
        <v>763</v>
      </c>
      <c r="KX455" s="1563" t="s">
        <v>802</v>
      </c>
      <c r="KY455" s="1563" t="s">
        <v>803</v>
      </c>
      <c r="KZ455" s="1563" t="s">
        <v>804</v>
      </c>
      <c r="LA455" s="1563" t="s">
        <v>805</v>
      </c>
      <c r="LB455" s="1563" t="s">
        <v>763</v>
      </c>
      <c r="LC455" s="1563" t="s">
        <v>802</v>
      </c>
      <c r="LD455" s="1563" t="s">
        <v>803</v>
      </c>
      <c r="LE455" s="1563" t="s">
        <v>804</v>
      </c>
      <c r="LF455" s="1563" t="s">
        <v>805</v>
      </c>
      <c r="LG455" s="2334"/>
      <c r="LH455" s="2334"/>
      <c r="LI455" s="2334"/>
      <c r="LJ455" s="2334"/>
      <c r="LK455" s="2334"/>
      <c r="LL455" s="2334"/>
      <c r="LM455" s="2334"/>
      <c r="LN455" s="2334"/>
      <c r="LO455" s="2334"/>
      <c r="LP455" s="2334"/>
      <c r="LQ455" s="2334"/>
      <c r="LR455" s="2334"/>
      <c r="LS455" s="2334"/>
      <c r="LT455" s="2334"/>
      <c r="LU455" s="2334"/>
      <c r="LV455" s="2334"/>
      <c r="LW455" s="2334"/>
      <c r="LX455" s="2334"/>
      <c r="LY455" s="2334"/>
      <c r="LZ455" s="2334"/>
      <c r="MA455" s="2334"/>
      <c r="MB455" s="2334"/>
      <c r="MC455" s="2334"/>
      <c r="MD455" s="2334"/>
      <c r="ME455" s="2334"/>
      <c r="MF455" s="2334"/>
      <c r="MG455" s="2334"/>
      <c r="MH455" s="2334"/>
      <c r="MI455" s="2334"/>
      <c r="MJ455" s="2334"/>
      <c r="MK455" s="2343"/>
      <c r="ML455" s="2343"/>
      <c r="MM455" s="2343"/>
      <c r="MN455" s="2343"/>
      <c r="MO455" s="2343"/>
      <c r="MP455" s="2334"/>
      <c r="MQ455" s="2334"/>
      <c r="MR455" s="2334"/>
      <c r="MS455" s="2334"/>
      <c r="MT455" s="2334"/>
    </row>
    <row r="456" spans="1:380" s="264" customFormat="1" ht="11.25" customHeight="1">
      <c r="A456" s="2337"/>
      <c r="B456" s="2339" t="s">
        <v>1070</v>
      </c>
      <c r="C456" s="2339" t="s">
        <v>1071</v>
      </c>
      <c r="D456" s="2339" t="s">
        <v>1072</v>
      </c>
      <c r="E456" s="2339" t="s">
        <v>1073</v>
      </c>
      <c r="F456" s="2339" t="s">
        <v>1073</v>
      </c>
      <c r="G456" s="2345" t="s">
        <v>1074</v>
      </c>
      <c r="H456" s="2336" t="s">
        <v>1075</v>
      </c>
      <c r="I456" s="2345"/>
      <c r="J456" s="2352" t="s">
        <v>1076</v>
      </c>
      <c r="K456" s="2339" t="s">
        <v>6987</v>
      </c>
      <c r="L456" s="1336" t="s">
        <v>1078</v>
      </c>
      <c r="M456" s="1336"/>
      <c r="N456" s="2339" t="s">
        <v>1079</v>
      </c>
      <c r="O456" s="2339" t="s">
        <v>1080</v>
      </c>
      <c r="P456" s="2335" t="s">
        <v>6988</v>
      </c>
      <c r="Q456" s="2335"/>
      <c r="R456" s="2339" t="s">
        <v>1082</v>
      </c>
      <c r="S456" s="2339" t="s">
        <v>1083</v>
      </c>
      <c r="T456" s="2339"/>
      <c r="X456" s="2334"/>
      <c r="Y456" s="2334"/>
      <c r="Z456" s="2334"/>
      <c r="AA456" s="2334"/>
      <c r="AB456" s="2334"/>
      <c r="AC456" s="2334"/>
      <c r="AD456" s="2334"/>
      <c r="AE456" s="2334"/>
      <c r="AF456" s="2334"/>
      <c r="AG456" s="2334"/>
      <c r="AH456" s="2334"/>
      <c r="AI456" s="2334"/>
      <c r="AJ456" s="2334"/>
      <c r="AK456" s="2334"/>
      <c r="AL456" s="2334"/>
      <c r="AM456" s="2334"/>
      <c r="AN456" s="2334"/>
      <c r="AO456" s="2334"/>
      <c r="AP456" s="2334"/>
      <c r="AQ456" s="2334"/>
      <c r="AR456" s="2334"/>
      <c r="AS456" s="2334"/>
      <c r="AT456" s="2334"/>
      <c r="AU456" s="2334"/>
      <c r="AV456" s="2334"/>
      <c r="AW456" s="2334"/>
      <c r="AX456" s="2334"/>
      <c r="AY456" s="2334"/>
      <c r="AZ456" s="2334"/>
      <c r="BA456" s="2334"/>
      <c r="BB456" s="2334"/>
      <c r="BC456" s="2334"/>
      <c r="BD456" s="2334"/>
      <c r="BE456" s="2334"/>
      <c r="BF456" s="2334"/>
      <c r="BG456" s="2334"/>
      <c r="BH456" s="2334"/>
      <c r="BI456" s="2334"/>
      <c r="BJ456" s="2334"/>
      <c r="BK456" s="2334"/>
      <c r="BL456" s="2334"/>
      <c r="BM456" s="2334"/>
      <c r="BN456" s="2334"/>
      <c r="BO456" s="2334"/>
      <c r="BP456" s="2334"/>
      <c r="BQ456" s="2334"/>
      <c r="BR456" s="2334"/>
      <c r="BS456" s="2334"/>
      <c r="BT456" s="2334"/>
      <c r="BU456" s="2334"/>
      <c r="BV456" s="2334"/>
      <c r="BW456" s="2334"/>
      <c r="BX456" s="2334"/>
      <c r="BY456" s="2334"/>
      <c r="BZ456" s="2334"/>
      <c r="CA456" s="2334"/>
      <c r="CB456" s="2334"/>
      <c r="CC456" s="2334"/>
      <c r="CD456" s="2334"/>
      <c r="CE456" s="2334"/>
      <c r="CF456" s="2334"/>
      <c r="CG456" s="2334"/>
      <c r="CH456" s="2334"/>
      <c r="CI456" s="2334"/>
      <c r="CJ456" s="2334"/>
      <c r="CK456" s="2334"/>
      <c r="CL456" s="2334"/>
      <c r="CM456" s="2334"/>
      <c r="CN456" s="2334"/>
      <c r="CO456" s="2334"/>
      <c r="CP456" s="2334"/>
      <c r="CQ456" s="2334"/>
      <c r="CR456" s="2334"/>
      <c r="CS456" s="2334"/>
      <c r="CT456" s="2334"/>
      <c r="CU456" s="2334"/>
      <c r="CV456" s="2334"/>
      <c r="CW456" s="2334"/>
      <c r="CX456" s="2334"/>
      <c r="CY456" s="2334"/>
      <c r="CZ456" s="2334"/>
      <c r="DA456" s="2334"/>
      <c r="DB456" s="2334"/>
      <c r="DC456" s="2334"/>
      <c r="DD456" s="2334"/>
      <c r="DE456" s="2334"/>
      <c r="DF456" s="2334"/>
      <c r="DG456" s="2334"/>
      <c r="DH456" s="2334"/>
      <c r="DI456" s="2334"/>
      <c r="DJ456" s="2334"/>
      <c r="DK456" s="2334"/>
      <c r="DL456" s="2334"/>
      <c r="DM456" s="2334"/>
      <c r="DN456" s="2334"/>
      <c r="DO456" s="2334"/>
      <c r="DP456" s="2334"/>
      <c r="DQ456" s="2334"/>
      <c r="DR456" s="2334"/>
      <c r="DS456" s="2334"/>
      <c r="DT456" s="2334"/>
      <c r="DU456" s="2334"/>
      <c r="DV456" s="2334"/>
      <c r="DW456" s="2334"/>
      <c r="DX456" s="2334"/>
      <c r="DY456" s="2334"/>
      <c r="DZ456" s="2334"/>
      <c r="EA456" s="2334"/>
      <c r="EB456" s="2334"/>
      <c r="EC456" s="2334"/>
      <c r="ED456" s="2334"/>
      <c r="EE456" s="2334"/>
      <c r="EF456" s="2334"/>
      <c r="EG456" s="2334"/>
      <c r="EH456" s="2334"/>
      <c r="EI456" s="2334"/>
      <c r="EJ456" s="2334"/>
      <c r="EK456" s="2334"/>
      <c r="EL456" s="2334"/>
      <c r="EM456" s="2334"/>
      <c r="EN456" s="2334"/>
      <c r="EO456" s="2334"/>
      <c r="EP456" s="2334"/>
      <c r="EQ456" s="2334"/>
      <c r="ER456" s="2334"/>
      <c r="ES456" s="2334"/>
      <c r="ET456" s="2334"/>
      <c r="EU456" s="2334"/>
      <c r="EV456" s="2334"/>
      <c r="EW456" s="2334"/>
      <c r="EX456" s="2334"/>
      <c r="EY456" s="2334"/>
      <c r="EZ456" s="2334"/>
      <c r="FA456" s="2334"/>
      <c r="FB456" s="2334"/>
      <c r="FC456" s="2334"/>
      <c r="FD456" s="2334"/>
      <c r="FE456" s="2334"/>
      <c r="FF456" s="2334"/>
      <c r="FG456" s="2334"/>
      <c r="FH456" s="2334"/>
      <c r="FI456" s="2334"/>
      <c r="FJ456" s="2334"/>
      <c r="FK456" s="2334"/>
      <c r="FL456" s="2334"/>
      <c r="FM456" s="2334"/>
      <c r="FN456" s="2334"/>
      <c r="FO456" s="2334"/>
      <c r="FP456" s="2334"/>
      <c r="FQ456" s="2334"/>
      <c r="FR456" s="2334"/>
      <c r="FS456" s="2334"/>
      <c r="FT456" s="2334"/>
      <c r="FU456" s="2334"/>
      <c r="FV456" s="2334"/>
      <c r="FW456" s="2334"/>
      <c r="FX456" s="2334"/>
      <c r="FY456" s="2334"/>
      <c r="FZ456" s="2334"/>
      <c r="GA456" s="2334"/>
      <c r="GB456" s="2334"/>
      <c r="GC456" s="2334"/>
      <c r="GD456" s="2334"/>
      <c r="GE456" s="2334"/>
      <c r="GF456" s="2334"/>
      <c r="GG456" s="2334"/>
      <c r="GH456" s="2334"/>
      <c r="GI456" s="2334"/>
      <c r="GJ456" s="2334"/>
      <c r="GK456" s="2334"/>
      <c r="GL456" s="2334"/>
      <c r="GM456" s="2334"/>
      <c r="GN456" s="2334"/>
      <c r="GO456" s="2334"/>
      <c r="GP456" s="2334"/>
      <c r="GQ456" s="2334"/>
      <c r="GR456" s="2334"/>
      <c r="GS456" s="2334"/>
      <c r="GT456" s="2334"/>
      <c r="GU456" s="2334"/>
      <c r="GV456" s="2334"/>
      <c r="GW456" s="2334"/>
      <c r="GX456" s="2334"/>
      <c r="GY456" s="2334"/>
      <c r="GZ456" s="2334"/>
      <c r="HA456" s="2334"/>
      <c r="HB456" s="2334"/>
      <c r="HC456" s="2334"/>
      <c r="HD456" s="2334"/>
      <c r="HE456" s="2334"/>
      <c r="HF456" s="2334"/>
      <c r="HG456" s="2334"/>
      <c r="HH456" s="2334"/>
      <c r="HI456" s="2334"/>
      <c r="HJ456" s="2334"/>
      <c r="HK456" s="2334"/>
      <c r="HL456" s="2334"/>
      <c r="HM456" s="2334"/>
      <c r="HN456" s="2334"/>
      <c r="HO456" s="2334"/>
      <c r="HP456" s="2334"/>
      <c r="HQ456" s="2334"/>
      <c r="HR456" s="2334"/>
      <c r="HS456" s="2334"/>
      <c r="HT456" s="2334"/>
      <c r="HU456" s="2334"/>
      <c r="HV456" s="2334"/>
      <c r="HW456" s="2334"/>
      <c r="HX456" s="2334"/>
      <c r="HY456" s="2334"/>
      <c r="HZ456" s="2334" t="s">
        <v>1084</v>
      </c>
      <c r="IA456" s="1563" t="s">
        <v>802</v>
      </c>
      <c r="IB456" s="1563" t="s">
        <v>803</v>
      </c>
      <c r="IC456" s="1563" t="s">
        <v>804</v>
      </c>
      <c r="ID456" s="1563" t="s">
        <v>805</v>
      </c>
      <c r="IE456" s="2334" t="s">
        <v>1085</v>
      </c>
      <c r="IF456" s="2334" t="s">
        <v>1085</v>
      </c>
      <c r="IG456" s="2334" t="s">
        <v>1085</v>
      </c>
      <c r="IH456" s="2334" t="s">
        <v>1085</v>
      </c>
      <c r="II456" s="2334" t="s">
        <v>1085</v>
      </c>
      <c r="IJ456" s="2334" t="s">
        <v>1086</v>
      </c>
      <c r="IK456" s="2334" t="s">
        <v>1086</v>
      </c>
      <c r="IL456" s="2334" t="s">
        <v>1086</v>
      </c>
      <c r="IM456" s="2334" t="s">
        <v>1086</v>
      </c>
      <c r="IN456" s="2334" t="s">
        <v>1086</v>
      </c>
      <c r="IO456" s="1563" t="s">
        <v>763</v>
      </c>
      <c r="IP456" s="1563" t="s">
        <v>802</v>
      </c>
      <c r="IQ456" s="1563" t="s">
        <v>803</v>
      </c>
      <c r="IR456" s="1563" t="s">
        <v>804</v>
      </c>
      <c r="IS456" s="1563" t="s">
        <v>805</v>
      </c>
      <c r="IT456" s="1563" t="s">
        <v>763</v>
      </c>
      <c r="IU456" s="1563" t="s">
        <v>802</v>
      </c>
      <c r="IV456" s="1563" t="s">
        <v>803</v>
      </c>
      <c r="IW456" s="1563" t="s">
        <v>804</v>
      </c>
      <c r="IX456" s="1563" t="s">
        <v>805</v>
      </c>
      <c r="IY456" s="2334" t="s">
        <v>1087</v>
      </c>
      <c r="IZ456" s="2334" t="s">
        <v>1087</v>
      </c>
      <c r="JA456" s="2334" t="s">
        <v>1087</v>
      </c>
      <c r="JB456" s="2334" t="s">
        <v>1087</v>
      </c>
      <c r="JC456" s="2334" t="s">
        <v>1087</v>
      </c>
      <c r="JD456" s="2334" t="s">
        <v>1088</v>
      </c>
      <c r="JE456" s="2334" t="s">
        <v>1088</v>
      </c>
      <c r="JF456" s="2334" t="s">
        <v>1088</v>
      </c>
      <c r="JG456" s="2334" t="s">
        <v>1088</v>
      </c>
      <c r="JH456" s="2334" t="s">
        <v>1088</v>
      </c>
      <c r="JI456" s="2334" t="s">
        <v>1089</v>
      </c>
      <c r="JJ456" s="2334" t="s">
        <v>1089</v>
      </c>
      <c r="JK456" s="2334" t="s">
        <v>1089</v>
      </c>
      <c r="JL456" s="2334" t="s">
        <v>1089</v>
      </c>
      <c r="JM456" s="2334" t="s">
        <v>1089</v>
      </c>
      <c r="JN456" s="2334" t="s">
        <v>1090</v>
      </c>
      <c r="JO456" s="2334" t="s">
        <v>1090</v>
      </c>
      <c r="JP456" s="2334" t="s">
        <v>1090</v>
      </c>
      <c r="JQ456" s="2334" t="s">
        <v>1090</v>
      </c>
      <c r="JR456" s="2334" t="s">
        <v>1090</v>
      </c>
      <c r="JS456" s="2334" t="s">
        <v>1091</v>
      </c>
      <c r="JT456" s="2334" t="s">
        <v>1091</v>
      </c>
      <c r="JU456" s="2334" t="s">
        <v>1091</v>
      </c>
      <c r="JV456" s="2334" t="s">
        <v>1091</v>
      </c>
      <c r="JW456" s="2334" t="s">
        <v>1091</v>
      </c>
      <c r="JX456" s="2334" t="s">
        <v>1092</v>
      </c>
      <c r="JY456" s="2334" t="s">
        <v>1092</v>
      </c>
      <c r="JZ456" s="2334" t="s">
        <v>1092</v>
      </c>
      <c r="KA456" s="2334" t="s">
        <v>1092</v>
      </c>
      <c r="KB456" s="2334" t="s">
        <v>1092</v>
      </c>
      <c r="KC456" s="2334" t="s">
        <v>1093</v>
      </c>
      <c r="KD456" s="2334" t="s">
        <v>1093</v>
      </c>
      <c r="KE456" s="2334" t="s">
        <v>1093</v>
      </c>
      <c r="KF456" s="2334" t="s">
        <v>1093</v>
      </c>
      <c r="KG456" s="2334" t="s">
        <v>1093</v>
      </c>
      <c r="KH456" s="2334" t="s">
        <v>1094</v>
      </c>
      <c r="KI456" s="2334" t="s">
        <v>1094</v>
      </c>
      <c r="KJ456" s="2334" t="s">
        <v>1094</v>
      </c>
      <c r="KK456" s="2334" t="s">
        <v>1094</v>
      </c>
      <c r="KL456" s="2334" t="s">
        <v>1094</v>
      </c>
      <c r="KM456" s="2334" t="s">
        <v>1095</v>
      </c>
      <c r="KN456" s="2334" t="s">
        <v>1095</v>
      </c>
      <c r="KO456" s="2334" t="s">
        <v>1095</v>
      </c>
      <c r="KP456" s="2334" t="s">
        <v>1095</v>
      </c>
      <c r="KQ456" s="2334" t="s">
        <v>1095</v>
      </c>
      <c r="KR456" s="2334" t="s">
        <v>1096</v>
      </c>
      <c r="KS456" s="2334" t="s">
        <v>1096</v>
      </c>
      <c r="KT456" s="2334" t="s">
        <v>1096</v>
      </c>
      <c r="KU456" s="2334" t="s">
        <v>1096</v>
      </c>
      <c r="KV456" s="2334" t="s">
        <v>1096</v>
      </c>
      <c r="KW456" s="2334" t="s">
        <v>1097</v>
      </c>
      <c r="KX456" s="2334" t="s">
        <v>1097</v>
      </c>
      <c r="KY456" s="2334" t="s">
        <v>1097</v>
      </c>
      <c r="KZ456" s="2334" t="s">
        <v>1097</v>
      </c>
      <c r="LA456" s="2334" t="s">
        <v>1097</v>
      </c>
      <c r="LB456" s="2334" t="s">
        <v>1098</v>
      </c>
      <c r="LC456" s="2334" t="s">
        <v>1098</v>
      </c>
      <c r="LD456" s="2334" t="s">
        <v>1098</v>
      </c>
      <c r="LE456" s="2334" t="s">
        <v>1098</v>
      </c>
      <c r="LF456" s="2334" t="s">
        <v>1098</v>
      </c>
      <c r="LG456" s="2334"/>
      <c r="LH456" s="2334"/>
      <c r="LI456" s="2334"/>
      <c r="LJ456" s="2334"/>
      <c r="LK456" s="2334"/>
      <c r="LL456" s="2334"/>
      <c r="LM456" s="2334"/>
      <c r="LN456" s="2334"/>
      <c r="LO456" s="2334"/>
      <c r="LP456" s="2334"/>
      <c r="LQ456" s="2334"/>
      <c r="LR456" s="2334"/>
      <c r="LS456" s="2334"/>
      <c r="LT456" s="2334"/>
      <c r="LU456" s="2334"/>
      <c r="LV456" s="2334"/>
      <c r="LW456" s="2334"/>
      <c r="LX456" s="2334"/>
      <c r="LY456" s="2334"/>
      <c r="LZ456" s="2334"/>
      <c r="MA456" s="2334"/>
      <c r="MB456" s="2334"/>
      <c r="MC456" s="2334"/>
      <c r="MD456" s="2334"/>
      <c r="ME456" s="2334"/>
      <c r="MF456" s="2334"/>
      <c r="MG456" s="2334"/>
      <c r="MH456" s="2334"/>
      <c r="MI456" s="2334"/>
      <c r="MJ456" s="2334"/>
      <c r="MK456" s="2343"/>
      <c r="ML456" s="2343"/>
      <c r="MM456" s="2343"/>
      <c r="MN456" s="2343"/>
      <c r="MO456" s="2343"/>
      <c r="MP456" s="2334"/>
      <c r="MQ456" s="2334"/>
      <c r="MR456" s="2334"/>
      <c r="MS456" s="2334"/>
      <c r="MT456" s="2334"/>
    </row>
    <row r="457" spans="1:380" s="264" customFormat="1" ht="11.25" customHeight="1">
      <c r="A457" s="2337"/>
      <c r="B457" s="2353" t="s">
        <v>1099</v>
      </c>
      <c r="C457" s="2339" t="s">
        <v>783</v>
      </c>
      <c r="D457" s="2339" t="s">
        <v>784</v>
      </c>
      <c r="E457" s="2339" t="s">
        <v>1100</v>
      </c>
      <c r="F457" s="2339" t="s">
        <v>1101</v>
      </c>
      <c r="G457" s="2345"/>
      <c r="H457" s="2339" t="s">
        <v>1102</v>
      </c>
      <c r="I457" s="2345"/>
      <c r="J457" s="2352"/>
      <c r="K457" s="2354" t="s">
        <v>1103</v>
      </c>
      <c r="L457" s="2339" t="s">
        <v>1104</v>
      </c>
      <c r="M457" s="2339" t="s">
        <v>296</v>
      </c>
      <c r="N457" s="2339" t="s">
        <v>1073</v>
      </c>
      <c r="O457" s="2339" t="s">
        <v>1105</v>
      </c>
      <c r="P457" s="2355"/>
      <c r="Q457" s="2335"/>
      <c r="R457" s="2339" t="s">
        <v>1106</v>
      </c>
      <c r="S457" s="2339" t="s">
        <v>1107</v>
      </c>
      <c r="T457" s="265" t="s">
        <v>781</v>
      </c>
      <c r="W457" s="265"/>
      <c r="X457" s="2334"/>
      <c r="Y457" s="2334"/>
      <c r="Z457" s="2334"/>
      <c r="AA457" s="2334"/>
      <c r="AB457" s="2334"/>
      <c r="AC457" s="2334"/>
      <c r="AD457" s="2334"/>
      <c r="AE457" s="2334"/>
      <c r="AF457" s="2334"/>
      <c r="AG457" s="2334"/>
      <c r="AH457" s="2334"/>
      <c r="AI457" s="2334"/>
      <c r="AJ457" s="2334"/>
      <c r="AK457" s="2334"/>
      <c r="AL457" s="2334"/>
      <c r="AM457" s="2334"/>
      <c r="AN457" s="2334"/>
      <c r="AO457" s="2334"/>
      <c r="AP457" s="2334"/>
      <c r="AQ457" s="2334"/>
      <c r="AR457" s="2334"/>
      <c r="AS457" s="2334"/>
      <c r="AT457" s="2334"/>
      <c r="AU457" s="2334"/>
      <c r="AV457" s="2334"/>
      <c r="AW457" s="2334"/>
      <c r="AX457" s="2334"/>
      <c r="AY457" s="2334"/>
      <c r="AZ457" s="2334"/>
      <c r="BA457" s="2334"/>
      <c r="BB457" s="2334"/>
      <c r="BC457" s="2334"/>
      <c r="BD457" s="2334"/>
      <c r="BE457" s="2334"/>
      <c r="BF457" s="2334"/>
      <c r="BG457" s="2334"/>
      <c r="BH457" s="2334"/>
      <c r="BI457" s="2334"/>
      <c r="BJ457" s="2334"/>
      <c r="BK457" s="2334"/>
      <c r="BL457" s="2334"/>
      <c r="BM457" s="2334"/>
      <c r="BN457" s="2334"/>
      <c r="BO457" s="2334"/>
      <c r="BP457" s="2334"/>
      <c r="BQ457" s="2334"/>
      <c r="BR457" s="2334"/>
      <c r="BS457" s="2334"/>
      <c r="BT457" s="2334"/>
      <c r="BU457" s="2334"/>
      <c r="BV457" s="2334"/>
      <c r="BW457" s="2334"/>
      <c r="BX457" s="2334"/>
      <c r="BY457" s="2334"/>
      <c r="BZ457" s="2334"/>
      <c r="CA457" s="2334"/>
      <c r="CB457" s="2334"/>
      <c r="CC457" s="2334"/>
      <c r="CD457" s="2334"/>
      <c r="CE457" s="2334"/>
      <c r="CF457" s="2334"/>
      <c r="CG457" s="2334"/>
      <c r="CH457" s="2334"/>
      <c r="CI457" s="2334"/>
      <c r="CJ457" s="2334"/>
      <c r="CK457" s="2334"/>
      <c r="CL457" s="2334"/>
      <c r="CM457" s="2334"/>
      <c r="CN457" s="2334"/>
      <c r="CO457" s="2334"/>
      <c r="CP457" s="2334"/>
      <c r="CQ457" s="2334"/>
      <c r="CR457" s="2334"/>
      <c r="CS457" s="2334"/>
      <c r="CT457" s="2334"/>
      <c r="CU457" s="2334"/>
      <c r="CV457" s="2334"/>
      <c r="CW457" s="2334"/>
      <c r="CX457" s="2334"/>
      <c r="CY457" s="2334"/>
      <c r="CZ457" s="2334"/>
      <c r="DA457" s="2334"/>
      <c r="DB457" s="2334"/>
      <c r="DC457" s="2334"/>
      <c r="DD457" s="2334"/>
      <c r="DE457" s="2334"/>
      <c r="DF457" s="2334"/>
      <c r="DG457" s="2334"/>
      <c r="DH457" s="2334"/>
      <c r="DI457" s="2334"/>
      <c r="DJ457" s="2334"/>
      <c r="DK457" s="2334"/>
      <c r="DL457" s="2334"/>
      <c r="DM457" s="2334"/>
      <c r="DN457" s="2334"/>
      <c r="DO457" s="2334"/>
      <c r="DP457" s="2334"/>
      <c r="DQ457" s="2334"/>
      <c r="DR457" s="2334"/>
      <c r="DS457" s="2334"/>
      <c r="DT457" s="2334"/>
      <c r="DU457" s="2334"/>
      <c r="DV457" s="2334"/>
      <c r="DW457" s="2334"/>
      <c r="DX457" s="2334"/>
      <c r="DY457" s="2334"/>
      <c r="DZ457" s="2334"/>
      <c r="EA457" s="2334"/>
      <c r="EB457" s="2334"/>
      <c r="EC457" s="2334"/>
      <c r="ED457" s="2334"/>
      <c r="EE457" s="2334"/>
      <c r="EF457" s="2334"/>
      <c r="EG457" s="2334"/>
      <c r="EH457" s="2334"/>
      <c r="EI457" s="2334"/>
      <c r="EJ457" s="2334"/>
      <c r="EK457" s="2334"/>
      <c r="EL457" s="2334"/>
      <c r="EM457" s="2334"/>
      <c r="EN457" s="2334"/>
      <c r="EO457" s="2334"/>
      <c r="EP457" s="2334"/>
      <c r="EQ457" s="2334"/>
      <c r="ER457" s="2334"/>
      <c r="ES457" s="2334"/>
      <c r="ET457" s="2334"/>
      <c r="EU457" s="2334"/>
      <c r="EV457" s="2334"/>
      <c r="EW457" s="2334"/>
      <c r="EX457" s="2334"/>
      <c r="EY457" s="2334"/>
      <c r="EZ457" s="2334"/>
      <c r="FA457" s="2334"/>
      <c r="FB457" s="2334"/>
      <c r="FC457" s="2334"/>
      <c r="FD457" s="2334"/>
      <c r="FE457" s="2334"/>
      <c r="FF457" s="2334"/>
      <c r="FG457" s="2334"/>
      <c r="FH457" s="2334"/>
      <c r="FI457" s="2334"/>
      <c r="FJ457" s="2334"/>
      <c r="FK457" s="2334"/>
      <c r="FL457" s="2334"/>
      <c r="FM457" s="2334"/>
      <c r="FN457" s="2334"/>
      <c r="FO457" s="2334"/>
      <c r="FP457" s="2334"/>
      <c r="FQ457" s="2334"/>
      <c r="FR457" s="2334"/>
      <c r="FS457" s="2334"/>
      <c r="FT457" s="2334"/>
      <c r="FU457" s="2334"/>
      <c r="FV457" s="2334"/>
      <c r="FW457" s="2334"/>
      <c r="FX457" s="2334"/>
      <c r="FY457" s="2334"/>
      <c r="FZ457" s="2334"/>
      <c r="GA457" s="2334"/>
      <c r="GB457" s="2334"/>
      <c r="GC457" s="2334"/>
      <c r="GD457" s="2334"/>
      <c r="GE457" s="2334"/>
      <c r="GF457" s="2334"/>
      <c r="GG457" s="2334"/>
      <c r="GH457" s="2334"/>
      <c r="GI457" s="2334"/>
      <c r="GJ457" s="2334"/>
      <c r="GK457" s="2334"/>
      <c r="GL457" s="2334"/>
      <c r="GM457" s="2334"/>
      <c r="GN457" s="2334"/>
      <c r="GO457" s="2334"/>
      <c r="GP457" s="2334"/>
      <c r="GQ457" s="2334"/>
      <c r="GR457" s="2334"/>
      <c r="GS457" s="2334"/>
      <c r="GT457" s="2334"/>
      <c r="GU457" s="2334"/>
      <c r="GV457" s="2334"/>
      <c r="GW457" s="2334"/>
      <c r="GX457" s="2334"/>
      <c r="GY457" s="2334"/>
      <c r="GZ457" s="2334"/>
      <c r="HA457" s="2334"/>
      <c r="HB457" s="2334"/>
      <c r="HC457" s="2334"/>
      <c r="HD457" s="2334"/>
      <c r="HE457" s="2334"/>
      <c r="HF457" s="2334"/>
      <c r="HG457" s="2334"/>
      <c r="HH457" s="2334"/>
      <c r="HI457" s="2334"/>
      <c r="HJ457" s="2334"/>
      <c r="HK457" s="2334"/>
      <c r="HL457" s="2334"/>
      <c r="HM457" s="2334"/>
      <c r="HN457" s="2334"/>
      <c r="HO457" s="2334"/>
      <c r="HP457" s="2334"/>
      <c r="HQ457" s="2334"/>
      <c r="HR457" s="2334"/>
      <c r="HS457" s="2334"/>
      <c r="HT457" s="2334"/>
      <c r="HU457" s="2334"/>
      <c r="HV457" s="2334"/>
      <c r="HW457" s="2334"/>
      <c r="HX457" s="2334"/>
      <c r="HY457" s="2334"/>
      <c r="HZ457" s="2334"/>
      <c r="IA457" s="1563" t="s">
        <v>1108</v>
      </c>
      <c r="IB457" s="1563" t="s">
        <v>1108</v>
      </c>
      <c r="IC457" s="1563" t="s">
        <v>1108</v>
      </c>
      <c r="ID457" s="1563" t="s">
        <v>1108</v>
      </c>
      <c r="IE457" s="2334"/>
      <c r="IF457" s="2334"/>
      <c r="IG457" s="2334"/>
      <c r="IH457" s="2334"/>
      <c r="II457" s="2334"/>
      <c r="IJ457" s="2334"/>
      <c r="IK457" s="2334"/>
      <c r="IL457" s="2334"/>
      <c r="IM457" s="2334"/>
      <c r="IN457" s="2334"/>
      <c r="IO457" s="1563" t="s">
        <v>1109</v>
      </c>
      <c r="IP457" s="1563" t="s">
        <v>1109</v>
      </c>
      <c r="IQ457" s="1563" t="s">
        <v>1109</v>
      </c>
      <c r="IR457" s="1563" t="s">
        <v>1109</v>
      </c>
      <c r="IS457" s="1563" t="s">
        <v>1109</v>
      </c>
      <c r="IT457" s="1563" t="s">
        <v>1110</v>
      </c>
      <c r="IU457" s="1563" t="s">
        <v>1110</v>
      </c>
      <c r="IV457" s="1563" t="s">
        <v>1110</v>
      </c>
      <c r="IW457" s="1563" t="s">
        <v>1110</v>
      </c>
      <c r="IX457" s="1563" t="s">
        <v>1110</v>
      </c>
      <c r="IY457" s="2334"/>
      <c r="IZ457" s="2334"/>
      <c r="JA457" s="2334"/>
      <c r="JB457" s="2334"/>
      <c r="JC457" s="2334"/>
      <c r="JD457" s="2334"/>
      <c r="JE457" s="2334"/>
      <c r="JF457" s="2334"/>
      <c r="JG457" s="2334"/>
      <c r="JH457" s="2334"/>
      <c r="JI457" s="2334"/>
      <c r="JJ457" s="2334"/>
      <c r="JK457" s="2334"/>
      <c r="JL457" s="2334"/>
      <c r="JM457" s="2334"/>
      <c r="JN457" s="2334"/>
      <c r="JO457" s="2334"/>
      <c r="JP457" s="2334"/>
      <c r="JQ457" s="2334"/>
      <c r="JR457" s="2334"/>
      <c r="JS457" s="2334"/>
      <c r="JT457" s="2334"/>
      <c r="JU457" s="2334"/>
      <c r="JV457" s="2334"/>
      <c r="JW457" s="2334"/>
      <c r="JX457" s="2334"/>
      <c r="JY457" s="2334"/>
      <c r="JZ457" s="2334"/>
      <c r="KA457" s="2334"/>
      <c r="KB457" s="2334"/>
      <c r="KC457" s="2334"/>
      <c r="KD457" s="2334"/>
      <c r="KE457" s="2334"/>
      <c r="KF457" s="2334"/>
      <c r="KG457" s="2334"/>
      <c r="KH457" s="2334"/>
      <c r="KI457" s="2334"/>
      <c r="KJ457" s="2334"/>
      <c r="KK457" s="2334"/>
      <c r="KL457" s="2334"/>
      <c r="KM457" s="2334"/>
      <c r="KN457" s="2334"/>
      <c r="KO457" s="2334"/>
      <c r="KP457" s="2334"/>
      <c r="KQ457" s="2334"/>
      <c r="KR457" s="2334"/>
      <c r="KS457" s="2334"/>
      <c r="KT457" s="2334"/>
      <c r="KU457" s="2334"/>
      <c r="KV457" s="2334"/>
      <c r="KW457" s="2334"/>
      <c r="KX457" s="2334"/>
      <c r="KY457" s="2334"/>
      <c r="KZ457" s="2334"/>
      <c r="LA457" s="2334"/>
      <c r="LB457" s="2334"/>
      <c r="LC457" s="2334"/>
      <c r="LD457" s="2334"/>
      <c r="LE457" s="2334"/>
      <c r="LF457" s="2334"/>
      <c r="LG457" s="2334"/>
      <c r="LH457" s="2334"/>
      <c r="LI457" s="2334"/>
      <c r="LJ457" s="2334"/>
      <c r="LK457" s="2334"/>
      <c r="LL457" s="2334"/>
      <c r="LM457" s="2334"/>
      <c r="LN457" s="2334"/>
      <c r="LO457" s="2334"/>
      <c r="LP457" s="2334"/>
      <c r="LQ457" s="2334"/>
      <c r="LR457" s="2334"/>
      <c r="LS457" s="2334"/>
      <c r="LT457" s="2334"/>
      <c r="LU457" s="2334"/>
      <c r="LV457" s="2334"/>
      <c r="LW457" s="2334"/>
      <c r="LX457" s="2334"/>
      <c r="LY457" s="2334"/>
      <c r="LZ457" s="2334"/>
      <c r="MA457" s="2334"/>
      <c r="MB457" s="2334"/>
      <c r="MC457" s="2334"/>
      <c r="MD457" s="2334"/>
      <c r="ME457" s="2334"/>
      <c r="MF457" s="2334"/>
      <c r="MG457" s="2334"/>
      <c r="MH457" s="2334"/>
      <c r="MI457" s="2334"/>
      <c r="MJ457" s="2334"/>
      <c r="MK457" s="2343"/>
      <c r="ML457" s="2343"/>
      <c r="MM457" s="2343"/>
      <c r="MN457" s="2343"/>
      <c r="MO457" s="2343"/>
      <c r="MP457" s="2334"/>
      <c r="MQ457" s="2334"/>
      <c r="MR457" s="2334"/>
      <c r="MS457" s="2334"/>
      <c r="MT457" s="2334"/>
    </row>
    <row r="458" spans="1:380" ht="13.9" customHeight="1">
      <c r="A458" s="2330" t="str">
        <f t="shared" ref="A458:A495" si="0">IF(AND(E458&gt;0,OR(B458="",C458="",D458="",F458="",G458="", H458="",I458="",N458="",O458="",P458="",Q458="")),1,"")</f>
        <v/>
      </c>
      <c r="B458" s="2149" t="str">
        <f>'Part V-Revenues &amp; Expenses'!B11</f>
        <v>Unrestricted</v>
      </c>
      <c r="C458" s="2150">
        <f>'Part V-Revenues &amp; Expenses'!C11</f>
        <v>2</v>
      </c>
      <c r="D458" s="2151">
        <f>'Part V-Revenues &amp; Expenses'!D11</f>
        <v>3</v>
      </c>
      <c r="E458" s="2152">
        <f>'Part V-Revenues &amp; Expenses'!E11</f>
        <v>3</v>
      </c>
      <c r="F458" s="2152">
        <f>'Part V-Revenues &amp; Expenses'!F11</f>
        <v>1223</v>
      </c>
      <c r="G458" s="2152" t="str">
        <f>'Part V-Revenues &amp; Expenses'!G11</f>
        <v>NA</v>
      </c>
      <c r="H458" s="2152">
        <f>'Part V-Revenues &amp; Expenses'!H11</f>
        <v>1667</v>
      </c>
      <c r="I458" s="2152">
        <f>'Part V-Revenues &amp; Expenses'!I11</f>
        <v>0</v>
      </c>
      <c r="J458" s="2152">
        <f>'Part V-Revenues &amp; Expenses'!J11</f>
        <v>0</v>
      </c>
      <c r="K458" s="2153">
        <f>'Part V-Revenues &amp; Expenses'!K11</f>
        <v>0</v>
      </c>
      <c r="L458" s="2154">
        <f t="shared" ref="L458:L495" si="1">MAX(0,H458-I458-J458)</f>
        <v>1667</v>
      </c>
      <c r="M458" s="2154">
        <f t="shared" ref="M458:M495" si="2">MAX(0,E458*L458)</f>
        <v>5001</v>
      </c>
      <c r="N458" s="2225" t="str">
        <f>'Part V-Revenues &amp; Expenses'!N11</f>
        <v>No</v>
      </c>
      <c r="O458" s="1065" t="str">
        <f>'Part V-Revenues &amp; Expenses'!O11</f>
        <v>Row House/TH</v>
      </c>
      <c r="P458" s="2225" t="str">
        <f>'Part V-Revenues &amp; Expenses'!P11</f>
        <v>Acquisition/Rehab</v>
      </c>
      <c r="Q458" s="1574" t="str">
        <f>'Part V-Revenues &amp; Expenses'!Q11</f>
        <v>No</v>
      </c>
      <c r="R458" s="2356"/>
      <c r="S458" s="2357"/>
      <c r="T458" s="2358"/>
      <c r="U458" s="2358"/>
      <c r="V458" s="2358"/>
      <c r="W458" s="2358"/>
      <c r="X458" s="261" t="str">
        <f t="shared" ref="X458:X495" si="3">IF(AND(C458="Efficiency",B458=80,NOT(N458="Common Space")),E458,"")</f>
        <v/>
      </c>
      <c r="Y458" s="261" t="str">
        <f t="shared" ref="Y458:Y495" si="4">IF(AND(C458=1,B458=80,NOT(N458="Common Space")),E458,"")</f>
        <v/>
      </c>
      <c r="Z458" s="261" t="str">
        <f t="shared" ref="Z458:Z495" si="5">IF(AND(C458=2,B458=80,NOT(N458="Common Space")),E458,"")</f>
        <v/>
      </c>
      <c r="AA458" s="261" t="str">
        <f t="shared" ref="AA458:AA495" si="6">IF(AND(C458=3,B458=80,NOT(N458="Common Space")),E458,"")</f>
        <v/>
      </c>
      <c r="AB458" s="261" t="str">
        <f t="shared" ref="AB458:AB495" si="7">IF(AND(C458=4,B458=80,NOT(N458="Common Space")),E458,"")</f>
        <v/>
      </c>
      <c r="AC458" s="261" t="str">
        <f t="shared" ref="AC458:AC495" si="8">IF(AND(C458="Efficiency",B458=70,NOT(N458="Common Space")),E458,"")</f>
        <v/>
      </c>
      <c r="AD458" s="261" t="str">
        <f t="shared" ref="AD458:AD495" si="9">IF(AND(C458=1,B458=70,NOT(N458="Common Space")),E458,"")</f>
        <v/>
      </c>
      <c r="AE458" s="261" t="str">
        <f t="shared" ref="AE458:AE495" si="10">IF(AND(C458=2,B458=70,NOT(N458="Common Space")),E458,"")</f>
        <v/>
      </c>
      <c r="AF458" s="261" t="str">
        <f t="shared" ref="AF458:AF495" si="11">IF(AND(C458=3,B458=70,NOT(N458="Common Space")),E458,"")</f>
        <v/>
      </c>
      <c r="AG458" s="261" t="str">
        <f t="shared" ref="AG458:AG495" si="12">IF(AND(C458=4,B458=70,NOT(N458="Common Space")),E458,"")</f>
        <v/>
      </c>
      <c r="AH458" s="261" t="str">
        <f t="shared" ref="AH458:AH495" si="13">IF(AND(C458="Efficiency",B458=60,NOT(N458="Common Space")),E458,"")</f>
        <v/>
      </c>
      <c r="AI458" s="261" t="str">
        <f t="shared" ref="AI458:AI495" si="14">IF(AND(C458=1,B458=60,NOT(N458="Common Space")),E458,"")</f>
        <v/>
      </c>
      <c r="AJ458" s="261" t="str">
        <f t="shared" ref="AJ458:AJ495" si="15">IF(AND(C458=2,B458=60,NOT(N458="Common Space")),E458,"")</f>
        <v/>
      </c>
      <c r="AK458" s="261" t="str">
        <f t="shared" ref="AK458:AK495" si="16">IF(AND(C458=3,B458=60,NOT(N458="Common Space")),E458,"")</f>
        <v/>
      </c>
      <c r="AL458" s="261" t="str">
        <f t="shared" ref="AL458:AL495" si="17">IF(AND(C458=4,B458=60,NOT(N458="Common Space")),E458,"")</f>
        <v/>
      </c>
      <c r="AM458" s="261" t="str">
        <f t="shared" ref="AM458:AM495" si="18">IF(AND(C458="Efficiency",B458=50,NOT(N458="Common Space")),E458,"")</f>
        <v/>
      </c>
      <c r="AN458" s="261" t="str">
        <f t="shared" ref="AN458:AN495" si="19">IF(AND(C458=1,B458=50,NOT(N458="Common Space")),E458,"")</f>
        <v/>
      </c>
      <c r="AO458" s="261" t="str">
        <f t="shared" ref="AO458:AO495" si="20">IF(AND(C458=2,B458=50,NOT(N458="Common Space")),E458,"")</f>
        <v/>
      </c>
      <c r="AP458" s="261" t="str">
        <f t="shared" ref="AP458:AP495" si="21">IF(AND(C458=3,B458=50,NOT(N458="Common Space")),E458,"")</f>
        <v/>
      </c>
      <c r="AQ458" s="261" t="str">
        <f t="shared" ref="AQ458:AQ495" si="22">IF(AND(C458=4,B458=50,NOT(N458="Common Space")),E458,"")</f>
        <v/>
      </c>
      <c r="AR458" s="261" t="str">
        <f t="shared" ref="AR458:AR495" si="23">IF(AND(C458="Efficiency",B458=40,NOT(N458="Common Space")),E458,"")</f>
        <v/>
      </c>
      <c r="AS458" s="261" t="str">
        <f t="shared" ref="AS458:AS495" si="24">IF(AND(C458=1,B458=40,NOT(N458="Common Space")),E458,"")</f>
        <v/>
      </c>
      <c r="AT458" s="261" t="str">
        <f t="shared" ref="AT458:AT495" si="25">IF(AND(C458=2,B458=40,NOT(N458="Common Space")),E458,"")</f>
        <v/>
      </c>
      <c r="AU458" s="261" t="str">
        <f t="shared" ref="AU458:AU495" si="26">IF(AND(C458=3,B458=40,NOT(N458="Common Space")),E458,"")</f>
        <v/>
      </c>
      <c r="AV458" s="261" t="str">
        <f t="shared" ref="AV458:AV495" si="27">IF(AND(C458=4,B458=40,NOT(N458="Common Space")),E458,"")</f>
        <v/>
      </c>
      <c r="AW458" s="261" t="str">
        <f t="shared" ref="AW458:AW495" si="28">IF(AND(C458="Efficiency",B458=30,NOT(N458="Common Space")),E458,"")</f>
        <v/>
      </c>
      <c r="AX458" s="261" t="str">
        <f t="shared" ref="AX458:AX495" si="29">IF(AND(C458=1,B458=30,NOT(N458="Common Space")),E458,"")</f>
        <v/>
      </c>
      <c r="AY458" s="261" t="str">
        <f t="shared" ref="AY458:AY495" si="30">IF(AND(C458=2,B458=30,NOT(N458="Common Space")),E458,"")</f>
        <v/>
      </c>
      <c r="AZ458" s="261" t="str">
        <f t="shared" ref="AZ458:AZ495" si="31">IF(AND(C458=3,B458=30,NOT(N458="Common Space")),E458,"")</f>
        <v/>
      </c>
      <c r="BA458" s="261" t="str">
        <f t="shared" ref="BA458:BA495" si="32">IF(AND(C458=4,B458=30,NOT(N458="Common Space")),E458,"")</f>
        <v/>
      </c>
      <c r="BB458" s="261" t="str">
        <f t="shared" ref="BB458:BB495" si="33">IF(AND(C458="Efficiency",B458=20,NOT(N458="Common Space")),E458,"")</f>
        <v/>
      </c>
      <c r="BC458" s="261" t="str">
        <f t="shared" ref="BC458:BC495" si="34">IF(AND(C458=1,B458=20,NOT(N458="Common Space")),E458,"")</f>
        <v/>
      </c>
      <c r="BD458" s="261" t="str">
        <f t="shared" ref="BD458:BD495" si="35">IF(AND(C458=2,B458=20,NOT(N458="Common Space")),E458,"")</f>
        <v/>
      </c>
      <c r="BE458" s="261" t="str">
        <f t="shared" ref="BE458:BE495" si="36">IF(AND(C458=3,B458=20,NOT(N458="Common Space")),E458,"")</f>
        <v/>
      </c>
      <c r="BF458" s="261" t="str">
        <f t="shared" ref="BF458:BF495" si="37">IF(AND(C458=4,B458=20,NOT(N458="Common Space")),E458,"")</f>
        <v/>
      </c>
      <c r="BG458" s="261" t="str">
        <f t="shared" ref="BG458:BG495" si="38">IF(AND(C458="Efficiency",B458="Unrestricted",NOT(N458="Common Space")),E458,"")</f>
        <v/>
      </c>
      <c r="BH458" s="261" t="str">
        <f t="shared" ref="BH458:BH495" si="39">IF(AND(C458=1,B458="Unrestricted",NOT(N458="Common Space")),E458,"")</f>
        <v/>
      </c>
      <c r="BI458" s="261">
        <f t="shared" ref="BI458:BI495" si="40">IF(AND(C458=2,B458="Unrestricted",NOT(N458="Common Space")),E458,"")</f>
        <v>3</v>
      </c>
      <c r="BJ458" s="261" t="str">
        <f t="shared" ref="BJ458:BJ495" si="41">IF(AND(C458=3,B458="Unrestricted",NOT(N458="Common Space")),E458,"")</f>
        <v/>
      </c>
      <c r="BK458" s="261" t="str">
        <f t="shared" ref="BK458:BK495" si="42">IF(AND(C458=4,B458="Unrestricted",NOT(N458="Common Space")),E458,"")</f>
        <v/>
      </c>
      <c r="BL458" s="261" t="str">
        <f t="shared" ref="BL458:BL495" si="43">IF(OR(AND($C458="Efficiency",NOT($K458=""),NOT($K458="PHA Oper Sub"),$B458=20,NOT($N458="Common Space")),AND($C458="Efficiency",NOT($K458=""),NOT($K458="PHA Oper Sub"),$B458="HOME 20",NOT($N458="Common Space"))),$E458,"")</f>
        <v/>
      </c>
      <c r="BM458" s="261" t="str">
        <f t="shared" ref="BM458:BM495" si="44">IF(OR(AND($C458=1,NOT($K458=""),NOT($K458="PHA Oper Sub"),$B458=20,NOT($N458="Common Space")),AND($C458=1,NOT($K458=""),NOT($K458="PHA Oper Sub"),$B458="HOME 20",NOT($N458="Common Space"))),$E458,"")</f>
        <v/>
      </c>
      <c r="BN458" s="261" t="str">
        <f t="shared" ref="BN458:BN495" si="45">IF(OR(AND($C458=2,NOT($K458=""),NOT($K458="PHA Oper Sub"),$B458=20,NOT($N458="Common Space")),AND($C458=2,NOT($K458=""),NOT($K458="PHA Oper Sub"),$B458="HOME 20",NOT($N458="Common Space"))),$E458,"")</f>
        <v/>
      </c>
      <c r="BO458" s="261" t="str">
        <f t="shared" ref="BO458:BO495" si="46">IF(OR(AND($C458=3,NOT($K458=""),NOT($K458="PHA Oper Sub"),$B458=20,NOT($N458="Common Space")),AND($C458=3,NOT($K458=""),NOT($K458="PHA Oper Sub"),$B458="HOME 20",NOT($N458="Common Space"))),$E458,"")</f>
        <v/>
      </c>
      <c r="BP458" s="261" t="str">
        <f t="shared" ref="BP458:BP495" si="47">IF(OR(AND($C458=4,NOT($K458=""),NOT($K458="PHA Oper Sub"),$B458=20,NOT($N458="Common Space")),AND($C458=4,NOT($K458=""),NOT($K458="PHA Oper Sub"),$B458="HOME 20",NOT($N458="Common Space"))),$E458,"")</f>
        <v/>
      </c>
      <c r="BQ458" s="261" t="str">
        <f t="shared" ref="BQ458:BQ495" si="48">IF(OR(AND($C458="Efficiency",NOT($K458=""),NOT($K458="PHA Oper Sub"),$B458=30,NOT($N458="Common Space")),AND($C458="Efficiency",NOT($K458=""),NOT($K458="PHA Oper Sub"),$B458="HOME 30",NOT($N458="Common Space"))),$E458,"")</f>
        <v/>
      </c>
      <c r="BR458" s="261" t="str">
        <f t="shared" ref="BR458:BR495" si="49">IF(OR(AND($C458=1,NOT($K458=""),NOT($K458="PHA Oper Sub"),$B458=30,NOT($N458="Common Space")),AND($C458=1,NOT($K458=""),NOT($K458="PHA Oper Sub"),$B458="HOME 30",NOT($N458="Common Space"))),$E458,"")</f>
        <v/>
      </c>
      <c r="BS458" s="261" t="str">
        <f t="shared" ref="BS458:BS495" si="50">IF(OR(AND($C458=2,NOT($K458=""),NOT($K458="PHA Oper Sub"),$B458=30,NOT($N458="Common Space")),AND($C458=2,NOT($K458=""),NOT($K458="PHA Oper Sub"),$B458="HOME 30",NOT($N458="Common Space"))),$E458,"")</f>
        <v/>
      </c>
      <c r="BT458" s="261" t="str">
        <f t="shared" ref="BT458:BT495" si="51">IF(OR(AND($C458=3,NOT($K458=""),NOT($K458="PHA Oper Sub"),$B458=30,NOT($N458="Common Space")),AND($C458=3,NOT($K458=""),NOT($K458="PHA Oper Sub"),$B458="HOME 30",NOT($N458="Common Space"))),$E458,"")</f>
        <v/>
      </c>
      <c r="BU458" s="261" t="str">
        <f t="shared" ref="BU458:BU495" si="52">IF(OR(AND($C458=4,NOT($K458=""),NOT($K458="PHA Oper Sub"),$B458=30,NOT($N458="Common Space")),AND($C458=4,NOT($K458=""),NOT($K458="PHA Oper Sub"),$B458="HOME 30",NOT($N458="Common Space"))),$E458,"")</f>
        <v/>
      </c>
      <c r="BV458" s="261" t="str">
        <f t="shared" ref="BV458:BV495" si="53">IF(OR(AND($C458="Efficiency",NOT($K458=""),NOT($K458="PHA Oper Sub"),$B458=40,NOT($N458="Common Space")),AND($C458="Efficiency",NOT($K458=""),NOT($K458="PHA Oper Sub"),$B458="HOME 40",NOT($N458="Common Space"))),$E458,"")</f>
        <v/>
      </c>
      <c r="BW458" s="261" t="str">
        <f t="shared" ref="BW458:BW495" si="54">IF(OR(AND($C458=1,NOT($K458=""),NOT($K458="PHA Oper Sub"),$B458=40,NOT($N458="Common Space")),AND($C458=1,NOT($K458=""),NOT($K458="PHA Oper Sub"),$B458="HOME 40",NOT($N458="Common Space"))),$E458,"")</f>
        <v/>
      </c>
      <c r="BX458" s="261" t="str">
        <f t="shared" ref="BX458:BX495" si="55">IF(OR(AND($C458=2,NOT($K458=""),NOT($K458="PHA Oper Sub"),$B458=40,NOT($N458="Common Space")),AND($C458=2,NOT($K458=""),NOT($K458="PHA Oper Sub"),$B458="HOME 40",NOT($N458="Common Space"))),$E458,"")</f>
        <v/>
      </c>
      <c r="BY458" s="261" t="str">
        <f t="shared" ref="BY458:BY495" si="56">IF(OR(AND($C458=3,NOT($K458=""),NOT($K458="PHA Oper Sub"),$B458=40,NOT($N458="Common Space")),AND($C458=3,NOT($K458=""),NOT($K458="PHA Oper Sub"),$B458="HOME 40",NOT($N458="Common Space"))),$E458,"")</f>
        <v/>
      </c>
      <c r="BZ458" s="261" t="str">
        <f t="shared" ref="BZ458:BZ495" si="57">IF(OR(AND($C458=4,NOT($K458=""),NOT($K458="PHA Oper Sub"),$B458=40,NOT($N458="Common Space")),AND($C458=4,NOT($K458=""),NOT($K458="PHA Oper Sub"),$B458="HOME 40",NOT($N458="Common Space"))),$E458,"")</f>
        <v/>
      </c>
      <c r="CA458" s="261" t="str">
        <f t="shared" ref="CA458:CA495" si="58">IF(OR(AND($C458="Efficiency",NOT($K458=""),NOT($K458="PHA Oper Sub"),NOT($K458=0),$B458=50,NOT($N458="Common Space")),AND($C458="Efficiency",NOT($K458=""),NOT($K458=0),NOT($K458="PHA Oper Sub"),$B458="HOME 50",NOT($N458="Common Space"))),$E458,"")</f>
        <v/>
      </c>
      <c r="CB458" s="261" t="str">
        <f t="shared" ref="CB458:CB495" si="59">IF(OR(AND($C458=1,NOT($K458=""),NOT($K458=0),NOT($K458="PHA Oper Sub"),$B458=50,NOT($N458="Common Space")),AND($C458=1,NOT($K458=""),NOT($K458=0),NOT($K458="PHA Oper Sub"),$B458="HOME 50",NOT($N458="Common Space"))),$E458,"")</f>
        <v/>
      </c>
      <c r="CC458" s="261" t="str">
        <f t="shared" ref="CC458:CC495" si="60">IF(OR(AND($C458=2,NOT($K458=""),NOT($K458=0),NOT($K458="PHA Oper Sub"),$B458=50,NOT($N458="Common Space")),AND($C458=2,NOT($K458=""),NOT($K458=0),NOT($K458="PHA Oper Sub"),$B458="HOME 50",NOT($N458="Common Space"))),$E458,"")</f>
        <v/>
      </c>
      <c r="CD458" s="261" t="str">
        <f t="shared" ref="CD458:CD495" si="61">IF(OR(AND($C458=3,NOT($K458=""),NOT($K458=0),NOT($K458="PHA Oper Sub"),$B458=50,NOT($N458="Common Space")),AND($C458=3,NOT($K458=""),NOT($K458=0),NOT($K458="PHA Oper Sub"),$B458="HOME 50",NOT($N458="Common Space"))),$E458,"")</f>
        <v/>
      </c>
      <c r="CE458" s="261" t="str">
        <f t="shared" ref="CE458:CE495" si="62">IF(OR(AND($C458=4,NOT($K458=""),NOT($K458=0),NOT($K458="PHA Oper Sub"),$B458=50,NOT($N458="Common Space")),AND($C458=4,NOT($K458=""),NOT($K458=0),NOT($K458="PHA Oper Sub"),$B458="HOME 50",NOT($N458="Common Space"))),$E458,"")</f>
        <v/>
      </c>
      <c r="CF458" s="261" t="str">
        <f t="shared" ref="CF458:CF495" si="63">IF(OR(AND($C458="Efficiency",NOT($K458=""),NOT($K458=0),NOT($K458="PHA Oper Sub"),$B458=60,NOT($N458="Common Space")),AND($C458="Efficiency",NOT($K458=""),NOT($K458=0),NOT($K458="PHA Oper Sub"),$B458="HOME 60",NOT($N458="Common Space"))),$E458,"")</f>
        <v/>
      </c>
      <c r="CG458" s="261" t="str">
        <f t="shared" ref="CG458:CG495" si="64">IF(OR(AND($C458=1,NOT($K458=""),NOT($K458=0),NOT($K458="PHA Oper Sub"),$B458=60,NOT($N458="Common Space")),AND($C458=1,NOT($K458=""),NOT($K458=0),NOT($K458="PHA Oper Sub"),$B458="HOME 60",NOT($N458="Common Space"))),$E458,"")</f>
        <v/>
      </c>
      <c r="CH458" s="261" t="str">
        <f t="shared" ref="CH458:CH495" si="65">IF(OR(AND($C458=2,NOT($K458=""),NOT($K458=0),NOT($K458="PHA Oper Sub"),$B458=60,NOT($N458="Common Space")),AND($C458=2,NOT($K458=""),NOT($K458=0),NOT($K458="PHA Oper Sub"),$B458="HOME 60",NOT($N458="Common Space"))),$E458,"")</f>
        <v/>
      </c>
      <c r="CI458" s="261" t="str">
        <f t="shared" ref="CI458:CI495" si="66">IF(OR(AND($C458=3,NOT($K458=""),NOT($K458=0),NOT($K458="PHA Oper Sub"),$B458=60,NOT($N458="Common Space")),AND($C458=3,NOT($K458=""),NOT($K458=0),NOT($K458="PHA Oper Sub"),$B458="HOME 60",NOT($N458="Common Space"))),$E458,"")</f>
        <v/>
      </c>
      <c r="CJ458" s="261" t="str">
        <f t="shared" ref="CJ458:CJ495" si="67">IF(OR(AND($C458=4,NOT($K458=""),NOT($K458=0),NOT($K458="PHA Oper Sub"),$B458=60,NOT($N458="Common Space")),AND($C458=4,NOT($K458=""),NOT($K458=0),NOT($K458="PHA Oper Sub"),$B458="HOME 60",NOT($N458="Common Space"))),$E458,"")</f>
        <v/>
      </c>
      <c r="CK458" s="261" t="str">
        <f t="shared" ref="CK458:CK495" si="68">IF(OR(AND($C458="Efficiency",NOT($K458=""),NOT($K458="PHA Oper Sub"),$B458=70,NOT($N458="Common Space")),AND($C458="Efficiency",NOT($K458=""),NOT($K458="PHA Oper Sub"),$B458="HOME 70",NOT($N458="Common Space"))),$E458,"")</f>
        <v/>
      </c>
      <c r="CL458" s="261" t="str">
        <f t="shared" ref="CL458:CL495" si="69">IF(OR(AND($C458=1,NOT($K458=""),NOT($K458="PHA Oper Sub"),$B458=70,NOT($N458="Common Space")),AND($C458=1,NOT($K458=""),NOT($K458="PHA Oper Sub"),$B458="HOME 70",NOT($N458="Common Space"))),$E458,"")</f>
        <v/>
      </c>
      <c r="CM458" s="261" t="str">
        <f t="shared" ref="CM458:CM495" si="70">IF(OR(AND($C458=2,NOT($K458=""),NOT($K458="PHA Oper Sub"),$B458=70,NOT($N458="Common Space")),AND($C458=2,NOT($K458=""),NOT($K458="PHA Oper Sub"),$B458="HOME 70",NOT($N458="Common Space"))),$E458,"")</f>
        <v/>
      </c>
      <c r="CN458" s="261" t="str">
        <f t="shared" ref="CN458:CN495" si="71">IF(OR(AND($C458=3,NOT($K458=""),NOT($K458="PHA Oper Sub"),$B458=70,NOT($N458="Common Space")),AND($C458=3,NOT($K458=""),NOT($K458="PHA Oper Sub"),$B458="HOME 70",NOT($N458="Common Space"))),$E458,"")</f>
        <v/>
      </c>
      <c r="CO458" s="261" t="str">
        <f t="shared" ref="CO458:CO495" si="72">IF(OR(AND($C458=4,NOT($K458=""),NOT($K458="PHA Oper Sub"),$B458=70,NOT($N458="Common Space")),AND($C458=4,NOT($K458=""),NOT($K458="PHA Oper Sub"),$B458="HOME 70",NOT($N458="Common Space"))),$E458,"")</f>
        <v/>
      </c>
      <c r="CP458" s="261" t="str">
        <f t="shared" ref="CP458:CP495" si="73">IF(OR(AND($C458="Efficiency",NOT($K458=""),NOT($K458="PHA Oper Sub"),$B458=80,NOT($N458="Common Space")),AND($C458="Efficiency",NOT($K458=""),NOT($K458="PHA Oper Sub"),$B458="HOME 80",NOT($N458="Common Space"))),$E458,"")</f>
        <v/>
      </c>
      <c r="CQ458" s="261" t="str">
        <f t="shared" ref="CQ458:CQ495" si="74">IF(OR(AND($C458=1,NOT($K458=""),NOT($K458="PHA Oper Sub"),$B458=80,NOT($N458="Common Space")),AND($C458=1,NOT($K458=""),NOT($K458="PHA Oper Sub"),$B458="HOME 80",NOT($N458="Common Space"))),$E458,"")</f>
        <v/>
      </c>
      <c r="CR458" s="261" t="str">
        <f t="shared" ref="CR458:CR495" si="75">IF(OR(AND($C458=2,NOT($K458=""),NOT($K458="PHA Oper Sub"),$B458=80,NOT($N458="Common Space")),AND($C458=2,NOT($K458=""),NOT($K458="PHA Oper Sub"),$B458="HOME 80",NOT($N458="Common Space"))),$E458,"")</f>
        <v/>
      </c>
      <c r="CS458" s="261" t="str">
        <f t="shared" ref="CS458:CS495" si="76">IF(OR(AND($C458=3,NOT($K458=""),NOT($K458="PHA Oper Sub"),$B458=80,NOT($N458="Common Space")),AND($C458=3,NOT($K458=""),NOT($K458="PHA Oper Sub"),$B458="HOME 80",NOT($N458="Common Space"))),$E458,"")</f>
        <v/>
      </c>
      <c r="CT458" s="261" t="str">
        <f t="shared" ref="CT458:CT495" si="77">IF(OR(AND($C458=4,NOT($K458=""),NOT($K458="PHA Oper Sub"),$B458=80,NOT($N458="Common Space")),AND($C458=4,NOT($K458=""),NOT($K458="PHA Oper Sub"),$B458="HOME 80",NOT($N458="Common Space"))),$E458,"")</f>
        <v/>
      </c>
      <c r="CU458" s="261" t="str">
        <f t="shared" ref="CU458:CU495" si="78">IF(OR(AND($C458="Efficiency",$K458="PHA Oper Sub",$B458=20,NOT($N458="Common Space")),AND($C458="Efficiency",$K458="PHA Oper Sub",$B458="HOME 20",NOT($N458="Common Space"))),$E458,"")</f>
        <v/>
      </c>
      <c r="CV458" s="261" t="str">
        <f t="shared" ref="CV458:CV495" si="79">IF(OR(AND($C458=1,$K458="PHA Oper Sub",$B458=20,NOT($N458="Common Space")),AND($C458=1,$K458="PHA Oper Sub",$B458="HOME 20",NOT($N458="Common Space"))),$E458,"")</f>
        <v/>
      </c>
      <c r="CW458" s="261" t="str">
        <f t="shared" ref="CW458:CW495" si="80">IF(OR(AND($C458=2,$K458="PHA Oper Sub",$B458=20,NOT($N458="Common Space")),AND($C458=2,$K458="PHA Oper Sub",$B458="HOME 20",NOT($N458="Common Space"))),$E458,"")</f>
        <v/>
      </c>
      <c r="CX458" s="261" t="str">
        <f t="shared" ref="CX458:CX495" si="81">IF(OR(AND($C458=3,$K458="PHA Oper Sub",$B458=20,NOT($N458="Common Space")),AND($C458=3,$K458="PHA Oper Sub",$B458="HOME 20",NOT($N458="Common Space"))),$E458,"")</f>
        <v/>
      </c>
      <c r="CY458" s="261" t="str">
        <f t="shared" ref="CY458:CY495" si="82">IF(OR(AND($C458=4,$K458="PHA Oper Sub",$B458=20,NOT($N458="Common Space")),AND($C458=4,$K458="PHA Oper Sub",$B458="HOME 20",NOT($N458="Common Space"))),$E458,"")</f>
        <v/>
      </c>
      <c r="CZ458" s="261" t="str">
        <f t="shared" ref="CZ458:CZ495" si="83">IF(OR(AND($C458="Efficiency",$K458="PHA Oper Sub",$B458=30,NOT($N458="Common Space")),AND($C458="Efficiency",$K458="PHA Oper Sub",$B458="HOME 30",NOT($N458="Common Space"))),$E458,"")</f>
        <v/>
      </c>
      <c r="DA458" s="261" t="str">
        <f t="shared" ref="DA458:DA495" si="84">IF(OR(AND($C458=1,$K458="PHA Oper Sub",$B458=30,NOT($N458="Common Space")),AND($C458=1,$K458="PHA Oper Sub",$B458="HOME 30",NOT($N458="Common Space"))),$E458,"")</f>
        <v/>
      </c>
      <c r="DB458" s="261" t="str">
        <f t="shared" ref="DB458:DB495" si="85">IF(OR(AND($C458=2,$K458="PHA Oper Sub",$B458=30,NOT($N458="Common Space")),AND($C458=2,$K458="PHA Oper Sub",$B458="HOME 30",NOT($N458="Common Space"))),$E458,"")</f>
        <v/>
      </c>
      <c r="DC458" s="261" t="str">
        <f t="shared" ref="DC458:DC495" si="86">IF(OR(AND($C458=3,$K458="PHA Oper Sub",$B458=30,NOT($N458="Common Space")),AND($C458=3,$K458="PHA Oper Sub",$B458="HOME 30",NOT($N458="Common Space"))),$E458,"")</f>
        <v/>
      </c>
      <c r="DD458" s="261" t="str">
        <f t="shared" ref="DD458:DD495" si="87">IF(OR(AND($C458=4,$K458="PHA Oper Sub",$B458=30,NOT($N458="Common Space")),AND($C458=4,$K458="PHA Oper Sub",$B458="HOME 30",NOT($N458="Common Space"))),$E458,"")</f>
        <v/>
      </c>
      <c r="DE458" s="261" t="str">
        <f t="shared" ref="DE458:DE495" si="88">IF(OR(AND($C458="Efficiency",$K458="PHA Oper Sub",$B458=40,NOT($N458="Common Space")),AND($C458="Efficiency",$K458="PHA Oper Sub",$B458="HOME 40",NOT($N458="Common Space"))),$E458,"")</f>
        <v/>
      </c>
      <c r="DF458" s="261" t="str">
        <f t="shared" ref="DF458:DF495" si="89">IF(OR(AND($C458=1,$K458="PHA Oper Sub",$B458=40,NOT($N458="Common Space")),AND($C458=1,$K458="PHA Oper Sub",$B458="HOME 40",NOT($N458="Common Space"))),$E458,"")</f>
        <v/>
      </c>
      <c r="DG458" s="261" t="str">
        <f t="shared" ref="DG458:DG495" si="90">IF(OR(AND($C458=2,$K458="PHA Oper Sub",$B458=40,NOT($N458="Common Space")),AND($C458=2,$K458="PHA Oper Sub",$B458="HOME 40",NOT($N458="Common Space"))),$E458,"")</f>
        <v/>
      </c>
      <c r="DH458" s="261" t="str">
        <f t="shared" ref="DH458:DH495" si="91">IF(OR(AND($C458=3,$K458="PHA Oper Sub",$B458=40,NOT($N458="Common Space")),AND($C458=3,$K458="PHA Oper Sub",$B458="HOME 40",NOT($N458="Common Space"))),$E458,"")</f>
        <v/>
      </c>
      <c r="DI458" s="261" t="str">
        <f t="shared" ref="DI458:DI495" si="92">IF(OR(AND($C458=4,$K458="PHA Oper Sub",$B458=40,NOT($N458="Common Space")),AND($C458=4,$K458="PHA Oper Sub",$B458="HOME 40",NOT($N458="Common Space"))),$E458,"")</f>
        <v/>
      </c>
      <c r="DJ458" s="261" t="str">
        <f t="shared" ref="DJ458:DJ495" si="93">IF(OR(AND($C458="Efficiency",$K458="PHA Oper Sub",$B458=50,NOT($N458="Common Space")),AND($C458="Efficiency",$K458="PHA Oper Sub",$B458="HOME 50",NOT($N458="Common Space"))),$E458,"")</f>
        <v/>
      </c>
      <c r="DK458" s="261" t="str">
        <f t="shared" ref="DK458:DK495" si="94">IF(OR(AND($C458=1,$K458="PHA Oper Sub",$B458=50,NOT($N458="Common Space")),AND($C458=1,$K458="PHA Oper Sub",$B458="HOME 50",NOT($N458="Common Space"))),$E458,"")</f>
        <v/>
      </c>
      <c r="DL458" s="261" t="str">
        <f t="shared" ref="DL458:DL495" si="95">IF(OR(AND($C458=2,$K458="PHA Oper Sub",$B458=50,NOT($N458="Common Space")),AND($C458=2,$K458="PHA Oper Sub",$B458="HOME 50",NOT($N458="Common Space"))),$E458,"")</f>
        <v/>
      </c>
      <c r="DM458" s="261" t="str">
        <f t="shared" ref="DM458:DM495" si="96">IF(OR(AND($C458=3,$K458="PHA Oper Sub",$B458=50,NOT($N458="Common Space")),AND($C458=3,$K458="PHA Oper Sub",$B458="HOME 50",NOT($N458="Common Space"))),$E458,"")</f>
        <v/>
      </c>
      <c r="DN458" s="261" t="str">
        <f t="shared" ref="DN458:DN495" si="97">IF(OR(AND($C458=4,$K458="PHA Oper Sub",$B458=50,NOT($N458="Common Space")),AND($C458=4,$K458="PHA Oper Sub",$B458="HOME 50",NOT($N458="Common Space"))),$E458,"")</f>
        <v/>
      </c>
      <c r="DO458" s="261" t="str">
        <f t="shared" ref="DO458:DO495" si="98">IF(OR(AND($C458="Efficiency",$K458="PHA Oper Sub",$B458=60,NOT($N458="Common Space")),AND($C458="Efficiency",$K458="PHA Oper Sub",$B458="HOME 60",NOT($N458="Common Space"))),$E458,"")</f>
        <v/>
      </c>
      <c r="DP458" s="261" t="str">
        <f t="shared" ref="DP458:DP495" si="99">IF(OR(AND($C458=1,$K458="PHA Oper Sub",$B458=60,NOT($N458="Common Space")),AND($C458=1,$K458="PHA Oper Sub",$B458="HOME 60",NOT($N458="Common Space"))),$E458,"")</f>
        <v/>
      </c>
      <c r="DQ458" s="261" t="str">
        <f t="shared" ref="DQ458:DQ495" si="100">IF(OR(AND($C458=2,$K458="PHA Oper Sub",$B458=60,NOT($N458="Common Space")),AND($C458=2,$K458="PHA Oper Sub",$B458="HOME 60",NOT($N458="Common Space"))),$E458,"")</f>
        <v/>
      </c>
      <c r="DR458" s="261" t="str">
        <f t="shared" ref="DR458:DR495" si="101">IF(OR(AND($C458=3,$K458="PHA Oper Sub",$B458=60,NOT($N458="Common Space")),AND($C458=3,$K458="PHA Oper Sub",$B458="HOME 60",NOT($N458="Common Space"))),$E458,"")</f>
        <v/>
      </c>
      <c r="DS458" s="261" t="str">
        <f t="shared" ref="DS458:DS495" si="102">IF(OR(AND($C458=4,$K458="PHA Oper Sub",$B458=60,NOT($N458="Common Space")),AND($C458=4,$K458="PHA Oper Sub",$B458="HOME 60",NOT($N458="Common Space"))),$E458,"")</f>
        <v/>
      </c>
      <c r="DT458" s="261" t="str">
        <f t="shared" ref="DT458:DT495" si="103">IF(OR(AND($C458="Efficiency",$K458="PHA Oper Sub",$B458=70,NOT($N458="Common Space")),AND($C458="Efficiency",$K458="PHA Oper Sub",$B458="HOME 70",NOT($N458="Common Space"))),$E458,"")</f>
        <v/>
      </c>
      <c r="DU458" s="261" t="str">
        <f t="shared" ref="DU458:DU495" si="104">IF(OR(AND($C458=1,$K458="PHA Oper Sub",$B458=70,NOT($N458="Common Space")),AND($C458=1,$K458="PHA Oper Sub",$B458="HOME 70",NOT($N458="Common Space"))),$E458,"")</f>
        <v/>
      </c>
      <c r="DV458" s="261" t="str">
        <f t="shared" ref="DV458:DV495" si="105">IF(OR(AND($C458=2,$K458="PHA Oper Sub",$B458=70,NOT($N458="Common Space")),AND($C458=2,$K458="PHA Oper Sub",$B458="HOME 70",NOT($N458="Common Space"))),$E458,"")</f>
        <v/>
      </c>
      <c r="DW458" s="261" t="str">
        <f t="shared" ref="DW458:DW495" si="106">IF(OR(AND($C458=3,$K458="PHA Oper Sub",$B458=70,NOT($N458="Common Space")),AND($C458=3,$K458="PHA Oper Sub",$B458="HOME 70",NOT($N458="Common Space"))),$E458,"")</f>
        <v/>
      </c>
      <c r="DX458" s="261" t="str">
        <f t="shared" ref="DX458:DX495" si="107">IF(OR(AND($C458=4,$K458="PHA Oper Sub",$B458=70,NOT($N458="Common Space")),AND($C458=4,$K458="PHA Oper Sub",$B458="HOME 70",NOT($N458="Common Space"))),$E458,"")</f>
        <v/>
      </c>
      <c r="DY458" s="261" t="str">
        <f t="shared" ref="DY458:DY495" si="108">IF(OR(AND($C458="Efficiency",$K458="PHA Oper Sub",$B458=80,NOT($N458="Common Space")),AND($C458="Efficiency",$K458="PHA Oper Sub",$B458="HOME 80",NOT($N458="Common Space"))),$E458,"")</f>
        <v/>
      </c>
      <c r="DZ458" s="261" t="str">
        <f t="shared" ref="DZ458:DZ495" si="109">IF(OR(AND($C458=1,$K458="PHA Oper Sub",$B458=80,NOT($N458="Common Space")),AND($C458=1,$K458="PHA Oper Sub",$B458="HOME 80",NOT($N458="Common Space"))),$E458,"")</f>
        <v/>
      </c>
      <c r="EA458" s="261" t="str">
        <f t="shared" ref="EA458:EA495" si="110">IF(OR(AND($C458=2,$K458="PHA Oper Sub",$B458=80,NOT($N458="Common Space")),AND($C458=2,$K458="PHA Oper Sub",$B458="HOME 80",NOT($N458="Common Space"))),$E458,"")</f>
        <v/>
      </c>
      <c r="EB458" s="261" t="str">
        <f t="shared" ref="EB458:EB495" si="111">IF(OR(AND($C458=3,$K458="PHA Oper Sub",$B458=80,NOT($N458="Common Space")),AND($C458=3,$K458="PHA Oper Sub",$B458="HOME 80",NOT($N458="Common Space"))),$E458,"")</f>
        <v/>
      </c>
      <c r="EC458" s="261" t="str">
        <f t="shared" ref="EC458:EC495" si="112">IF(OR(AND($C458=4,$K458="PHA Oper Sub",$B458=80,NOT($N458="Common Space")),AND($C458=4,$K458="PHA Oper Sub",$B458="HOME 80",NOT($N458="Common Space"))),$E458,"")</f>
        <v/>
      </c>
      <c r="ED458" s="261" t="str">
        <f t="shared" ref="ED458:ED495" si="113">IF(AND(C458="Efficiency",N458="Common Space"),E458,"")</f>
        <v/>
      </c>
      <c r="EE458" s="261" t="str">
        <f t="shared" ref="EE458:EE495" si="114">IF(AND(C458=1,N458="Common Space"),E458,"")</f>
        <v/>
      </c>
      <c r="EF458" s="261" t="str">
        <f t="shared" ref="EF458:EF495" si="115">IF(AND(C458=2,N458="Common Space"),E458,"")</f>
        <v/>
      </c>
      <c r="EG458" s="261" t="str">
        <f t="shared" ref="EG458:EG495" si="116">IF(AND(C458=3,N458="Common Space"),E458,"")</f>
        <v/>
      </c>
      <c r="EH458" s="261" t="str">
        <f t="shared" ref="EH458:EH495" si="117">IF(AND(C458=4,N458="Common Space"),E458,"")</f>
        <v/>
      </c>
      <c r="EI458" s="261" t="str">
        <f t="shared" ref="EI458:EI495" si="118">IF(OR(AND($C458="Efficiency",$B458=80,NOT($N458="Common Space")),AND($C458="Efficiency",$B458="HOME 80",NOT($N458="Common Space"))),$E458*$F458,"")</f>
        <v/>
      </c>
      <c r="EJ458" s="261" t="str">
        <f t="shared" ref="EJ458:EJ495" si="119">IF(OR(AND($C458=1,$B458=80,NOT($N458="Common Space")),AND($C458=1,$B458="HOME 80",NOT($N458="Common Space"))),$E458*$F458,"")</f>
        <v/>
      </c>
      <c r="EK458" s="261" t="str">
        <f t="shared" ref="EK458:EK495" si="120">IF(OR(AND($C458=2,$B458=80,NOT($N458="Common Space")),AND($C458=2,$B458="HOME 80",NOT($N458="Common Space"))),$E458*$F458,"")</f>
        <v/>
      </c>
      <c r="EL458" s="261" t="str">
        <f t="shared" ref="EL458:EL495" si="121">IF(OR(AND($C458=3,$B458=80,NOT($N458="Common Space")),AND($C458=3,$B458="HOME 80",NOT($N458="Common Space"))),$E458*$F458,"")</f>
        <v/>
      </c>
      <c r="EM458" s="261" t="str">
        <f t="shared" ref="EM458:EM495" si="122">IF(OR(AND($C458=4,$B458=80,NOT($N458="Common Space")),AND($C458=4,$B458="HOME 80",NOT($N458="Common Space"))),$E458*$F458,"")</f>
        <v/>
      </c>
      <c r="EN458" s="261" t="str">
        <f t="shared" ref="EN458:EN495" si="123">IF(OR(AND($C458="Efficiency",$B458=70,NOT($N458="Common Space")),AND($C458="Efficiency",$B458="HOME 70",NOT($N458="Common Space"))),$E458*$F458,"")</f>
        <v/>
      </c>
      <c r="EO458" s="261" t="str">
        <f t="shared" ref="EO458:EO495" si="124">IF(OR(AND($C458=1,$B458=70,NOT($N458="Common Space")),AND($C458=1,$B458="HOME 70",NOT($N458="Common Space"))),$E458*$F458,"")</f>
        <v/>
      </c>
      <c r="EP458" s="261" t="str">
        <f t="shared" ref="EP458:EP495" si="125">IF(OR(AND($C458=2,$B458=70,NOT($N458="Common Space")),AND($C458=2,$B458="HOME 70",NOT($N458="Common Space"))),$E458*$F458,"")</f>
        <v/>
      </c>
      <c r="EQ458" s="261" t="str">
        <f t="shared" ref="EQ458:EQ495" si="126">IF(OR(AND($C458=3,$B458=70,NOT($N458="Common Space")),AND($C458=3,$B458="HOME 70",NOT($N458="Common Space"))),$E458*$F458,"")</f>
        <v/>
      </c>
      <c r="ER458" s="261" t="str">
        <f t="shared" ref="ER458:ER495" si="127">IF(OR(AND($C458=4,$B458=70,NOT($N458="Common Space")),AND($C458=4,$B458="HOME 70",NOT($N458="Common Space"))),$E458*$F458,"")</f>
        <v/>
      </c>
      <c r="ES458" s="261" t="str">
        <f t="shared" ref="ES458:ES495" si="128">IF(OR(AND($C458="Efficiency",$B458=60,NOT($N458="Common Space")),AND($C458="Efficiency",$B458="HOME 60",NOT($N458="Common Space"))),$E458*$F458,"")</f>
        <v/>
      </c>
      <c r="ET458" s="261" t="str">
        <f t="shared" ref="ET458:ET495" si="129">IF(OR(AND($C458=1,$B458=60,NOT($N458="Common Space")),AND($C458=1,$B458="HOME 60",NOT($N458="Common Space"))),$E458*$F458,"")</f>
        <v/>
      </c>
      <c r="EU458" s="261" t="str">
        <f t="shared" ref="EU458:EU495" si="130">IF(OR(AND($C458=2,$B458=60,NOT($N458="Common Space")),AND($C458=2,$B458="HOME 60",NOT($N458="Common Space"))),$E458*$F458,"")</f>
        <v/>
      </c>
      <c r="EV458" s="261" t="str">
        <f t="shared" ref="EV458:EV495" si="131">IF(OR(AND($C458=3,$B458=60,NOT($N458="Common Space")),AND($C458=3,$B458="HOME 60",NOT($N458="Common Space"))),$E458*$F458,"")</f>
        <v/>
      </c>
      <c r="EW458" s="261" t="str">
        <f t="shared" ref="EW458:EW495" si="132">IF(OR(AND($C458=4,$B458=60,NOT($N458="Common Space")),AND($C458=4,$B458="HOME 60",NOT($N458="Common Space"))),$E458*$F458,"")</f>
        <v/>
      </c>
      <c r="EX458" s="261" t="str">
        <f t="shared" ref="EX458:EX495" si="133">IF(OR(AND($C458="Efficiency",$B458=50,NOT($N458="Common Space")),AND($C458="Efficiency",$B458="HOME 50",NOT($N458="Common Space"))),$E458*$F458,"")</f>
        <v/>
      </c>
      <c r="EY458" s="261" t="str">
        <f t="shared" ref="EY458:EY495" si="134">IF(OR(AND($C458=1,$B458=50,NOT($N458="Common Space")),AND($C458=1,$B458="HOME 50",NOT($N458="Common Space"))),$E458*$F458,"")</f>
        <v/>
      </c>
      <c r="EZ458" s="261" t="str">
        <f t="shared" ref="EZ458:EZ495" si="135">IF(OR(AND($C458=2,$B458=50,NOT($N458="Common Space")),AND($C458=2,$B458="HOME 50",NOT($N458="Common Space"))),$E458*$F458,"")</f>
        <v/>
      </c>
      <c r="FA458" s="261" t="str">
        <f t="shared" ref="FA458:FA495" si="136">IF(OR(AND($C458=3,$B458=50,NOT($N458="Common Space")),AND($C458=3,$B458="HOME 50",NOT($N458="Common Space"))),$E458*$F458,"")</f>
        <v/>
      </c>
      <c r="FB458" s="261" t="str">
        <f t="shared" ref="FB458:FB495" si="137">IF(OR(AND($C458=4,$B458=50,NOT($N458="Common Space")),AND($C458=4,$B458="HOME 50",NOT($N458="Common Space"))),$E458*$F458,"")</f>
        <v/>
      </c>
      <c r="FC458" s="261" t="str">
        <f t="shared" ref="FC458:FC495" si="138">IF(OR(AND($C458="Efficiency",$B458=40,NOT($N458="Common Space")),AND($C458="Efficiency",$B458="HOME 40",NOT($N458="Common Space"))),$E458*$F458,"")</f>
        <v/>
      </c>
      <c r="FD458" s="261" t="str">
        <f t="shared" ref="FD458:FD495" si="139">IF(OR(AND($C458=1,$B458=40,NOT($N458="Common Space")),AND($C458=1,$B458="HOME 40",NOT($N458="Common Space"))),$E458*$F458,"")</f>
        <v/>
      </c>
      <c r="FE458" s="261" t="str">
        <f t="shared" ref="FE458:FE495" si="140">IF(OR(AND($C458=2,$B458=40,NOT($N458="Common Space")),AND($C458=2,$B458="HOME 40",NOT($N458="Common Space"))),$E458*$F458,"")</f>
        <v/>
      </c>
      <c r="FF458" s="261" t="str">
        <f t="shared" ref="FF458:FF495" si="141">IF(OR(AND($C458=3,$B458=40,NOT($N458="Common Space")),AND($C458=3,$B458="HOME 40",NOT($N458="Common Space"))),$E458*$F458,"")</f>
        <v/>
      </c>
      <c r="FG458" s="261" t="str">
        <f t="shared" ref="FG458:FG495" si="142">IF(OR(AND($C458=4,$B458=40,NOT($N458="Common Space")),AND($C458=4,$B458="HOME 40",NOT($N458="Common Space"))),$E458*$F458,"")</f>
        <v/>
      </c>
      <c r="FH458" s="261" t="str">
        <f t="shared" ref="FH458:FH495" si="143">IF(OR(AND($C458="Efficiency",$B458=30,NOT($N458="Common Space")),AND($C458="Efficiency",$B458="HOME 30",NOT($N458="Common Space"))),$E458*$F458,"")</f>
        <v/>
      </c>
      <c r="FI458" s="261" t="str">
        <f t="shared" ref="FI458:FI495" si="144">IF(OR(AND($C458=1,$B458=30,NOT($N458="Common Space")),AND($C458=1,$B458="HOME 30",NOT($N458="Common Space"))),$E458*$F458,"")</f>
        <v/>
      </c>
      <c r="FJ458" s="261" t="str">
        <f t="shared" ref="FJ458:FJ495" si="145">IF(OR(AND($C458=2,$B458=30,NOT($N458="Common Space")),AND($C458=2,$B458="HOME 30",NOT($N458="Common Space"))),$E458*$F458,"")</f>
        <v/>
      </c>
      <c r="FK458" s="261" t="str">
        <f t="shared" ref="FK458:FK495" si="146">IF(OR(AND($C458=3,$B458=30,NOT($N458="Common Space")),AND($C458=3,$B458="HOME 30",NOT($N458="Common Space"))),$E458*$F458,"")</f>
        <v/>
      </c>
      <c r="FL458" s="261" t="str">
        <f t="shared" ref="FL458:FL495" si="147">IF(OR(AND($C458=4,$B458=30,NOT($N458="Common Space")),AND($C458=4,$B458="HOME 30",NOT($N458="Common Space"))),$E458*$F458,"")</f>
        <v/>
      </c>
      <c r="FM458" s="261" t="str">
        <f t="shared" ref="FM458:FM495" si="148">IF(OR(AND($C458="Efficiency",$B458=20,NOT($N458="Common Space")),AND($C458="Efficiency",$B458="HOME 20",NOT($N458="Common Space"))),$E458*$F458,"")</f>
        <v/>
      </c>
      <c r="FN458" s="261" t="str">
        <f t="shared" ref="FN458:FN495" si="149">IF(OR(AND($C458=1,$B458=20,NOT($N458="Common Space")),AND($C458=1,$B458="HOME 20",NOT($N458="Common Space"))),$E458*$F458,"")</f>
        <v/>
      </c>
      <c r="FO458" s="261" t="str">
        <f t="shared" ref="FO458:FO495" si="150">IF(OR(AND($C458=2,$B458=20,NOT($N458="Common Space")),AND($C458=2,$B458="HOME 20",NOT($N458="Common Space"))),$E458*$F458,"")</f>
        <v/>
      </c>
      <c r="FP458" s="261" t="str">
        <f t="shared" ref="FP458:FP495" si="151">IF(OR(AND($C458=3,$B458=20,NOT($N458="Common Space")),AND($C458=3,$B458="HOME 20",NOT($N458="Common Space"))),$E458*$F458,"")</f>
        <v/>
      </c>
      <c r="FQ458" s="261" t="str">
        <f t="shared" ref="FQ458:FQ495" si="152">IF(OR(AND($C458=4,$B458=20,NOT($N458="Common Space")),AND($C458=4,$B458="HOME 20",NOT($N458="Common Space"))),$E458*$F458,"")</f>
        <v/>
      </c>
      <c r="FR458" s="261" t="str">
        <f t="shared" ref="FR458:FR495" si="153">IF(AND(C458="Efficiency",B458="Unrestricted",NOT(N458="Common Space")),E458*F458,"")</f>
        <v/>
      </c>
      <c r="FS458" s="261" t="str">
        <f t="shared" ref="FS458:FS495" si="154">IF(AND(C458=1,B458="Unrestricted",NOT(N458="Common Space")),E458*F458,"")</f>
        <v/>
      </c>
      <c r="FT458" s="261">
        <f t="shared" ref="FT458:FT495" si="155">IF(AND(C458=2,B458="Unrestricted",NOT(N458="Common Space")),E458*F458,"")</f>
        <v>3669</v>
      </c>
      <c r="FU458" s="261" t="str">
        <f t="shared" ref="FU458:FU495" si="156">IF(AND(C458=3,B458="Unrestricted",NOT(N458="Common Space")),E458*F458,"")</f>
        <v/>
      </c>
      <c r="FV458" s="261" t="str">
        <f t="shared" ref="FV458:FV495" si="157">IF(AND(C458=4,B458="Unrestricted",NOT(N458="Common Space")),E458*F458,"")</f>
        <v/>
      </c>
      <c r="FW458" s="261" t="str">
        <f t="shared" ref="FW458:FW495" si="158">IF(AND(C458="Efficiency",NOT(K458=""),NOT($K458=0),NOT(N458="Common Space")),E458*F458,"")</f>
        <v/>
      </c>
      <c r="FX458" s="261" t="str">
        <f t="shared" ref="FX458:FX495" si="159">IF(AND(C458=1,NOT(K458=""),NOT($K458=0),NOT(N458="Common Space")),E458*F458,"")</f>
        <v/>
      </c>
      <c r="FY458" s="261" t="str">
        <f t="shared" ref="FY458:FY495" si="160">IF(AND(C458=2,NOT(K458=""),NOT($K458=0),NOT(N458="Common Space")),E458*F458,"")</f>
        <v/>
      </c>
      <c r="FZ458" s="261" t="str">
        <f t="shared" ref="FZ458:FZ495" si="161">IF(AND(C458=3,NOT(K458=""),NOT($K458=0),NOT(N458="Common Space")),E458*F458,"")</f>
        <v/>
      </c>
      <c r="GA458" s="261" t="str">
        <f t="shared" ref="GA458:GA495" si="162">IF(AND(C458=4,NOT(K458=""),NOT($K458=0),NOT(N458="Common Space")),E458*F458,"")</f>
        <v/>
      </c>
      <c r="GB458" s="261" t="str">
        <f t="shared" ref="GB458:GB495" si="163">IF(AND(C458="Efficiency",N458="Common Space"),E458*F458,"")</f>
        <v/>
      </c>
      <c r="GC458" s="261" t="str">
        <f t="shared" ref="GC458:GC495" si="164">IF(AND(C458=1,N458="Common Space"),E458*F458,"")</f>
        <v/>
      </c>
      <c r="GD458" s="261" t="str">
        <f t="shared" ref="GD458:GD495" si="165">IF(AND(C458=2,N458="Common Space"),E458*F458,"")</f>
        <v/>
      </c>
      <c r="GE458" s="261" t="str">
        <f t="shared" ref="GE458:GE495" si="166">IF(AND(C458=3,N458="Common Space"),E458*F458,"")</f>
        <v/>
      </c>
      <c r="GF458" s="261" t="str">
        <f t="shared" ref="GF458:GF495" si="167">IF(AND(C458=4,N458="Common Space"),E458*F458,"")</f>
        <v/>
      </c>
      <c r="GG458" s="261" t="str">
        <f t="shared" ref="GG458:GG495" si="168">IF(AND($C458="Efficiency", $P458="New Construction",NOT($B458="Unrestricted"),NOT($B458="NSP 120"),NOT($B458="N/A-CS"),NOT($N458="Common Space")),$E458,"")</f>
        <v/>
      </c>
      <c r="GH458" s="261" t="str">
        <f t="shared" ref="GH458:GH495" si="169">IF(AND($C458=1, $P458="New Construction",NOT($B458="Unrestricted"),NOT($B458="NSP 120"),NOT($B458="N/A-CS"),NOT($N458="Common Space")),$E458,"")</f>
        <v/>
      </c>
      <c r="GI458" s="261" t="str">
        <f t="shared" ref="GI458:GI495" si="170">IF(AND($C458=2, $P458="New Construction",NOT($B458="Unrestricted"),NOT($B458="NSP 120"),NOT($B458="N/A-CS"),NOT($N458="Common Space")),$E458,"")</f>
        <v/>
      </c>
      <c r="GJ458" s="261" t="str">
        <f t="shared" ref="GJ458:GJ495" si="171">IF(AND($C458=3, $P458="New Construction",NOT($B458="Unrestricted"),NOT($B458="NSP 120"),NOT($B458="N/A-CS"),NOT($N458="Common Space")),$E458,"")</f>
        <v/>
      </c>
      <c r="GK458" s="261" t="str">
        <f t="shared" ref="GK458:GK495" si="172">IF(AND($C458=4, $P458="New Construction",NOT($B458="Unrestricted"),NOT($B458="NSP 120"),NOT($B458="N/A-CS"),NOT($N458="Common Space")),$E458,"")</f>
        <v/>
      </c>
      <c r="GL458" s="261" t="str">
        <f t="shared" ref="GL458:GL495" si="173">IF(AND($C458="Efficiency", $P458="New Construction",$B458="Unrestricted",NOT($B458="N/A-CS"),NOT($N458="Common Space")),$E458,"")</f>
        <v/>
      </c>
      <c r="GM458" s="261" t="str">
        <f t="shared" ref="GM458:GM495" si="174">IF(AND($C458=1, $P458="New Construction",$B458="Unrestricted",NOT($B458="N/A-CS"),NOT($N458="Common Space")),$E458,"")</f>
        <v/>
      </c>
      <c r="GN458" s="261" t="str">
        <f t="shared" ref="GN458:GN495" si="175">IF(AND($C458=2, $P458="New Construction",$B458="Unrestricted",NOT($B458="N/A-CS"),NOT($N458="Common Space")),$E458,"")</f>
        <v/>
      </c>
      <c r="GO458" s="261" t="str">
        <f t="shared" ref="GO458:GO495" si="176">IF(AND($C458=3, $P458="New Construction",$B458="Unrestricted",NOT($B458="N/A-CS"),NOT($N458="Common Space")),$E458,"")</f>
        <v/>
      </c>
      <c r="GP458" s="261" t="str">
        <f t="shared" ref="GP458:GP495" si="177">IF(AND($C458=4, $P458="New Construction",$B458="Unrestricted",NOT($B458="N/A-CS"),NOT($N458="Common Space")),$E458,"")</f>
        <v/>
      </c>
      <c r="GQ458" s="261" t="str">
        <f t="shared" ref="GQ458:GQ495" si="178">IF(AND($C458="Efficiency", $P458="New Construction",$B458="N/A-CS",$N458="Common Space"),$E458,"")</f>
        <v/>
      </c>
      <c r="GR458" s="261" t="str">
        <f t="shared" ref="GR458:GR495" si="179">IF(AND($C458=1, $P458="New Construction",$B458="N/A-CS",$N458="Common Space"),$E458,"")</f>
        <v/>
      </c>
      <c r="GS458" s="261" t="str">
        <f t="shared" ref="GS458:GS495" si="180">IF(AND($C458=2, $P458="New Construction",$B458="N/A-CS",$N458="Common Space"),$E458,"")</f>
        <v/>
      </c>
      <c r="GT458" s="261" t="str">
        <f t="shared" ref="GT458:GT495" si="181">IF(AND($C458=3, $P458="New Construction",$B458="N/A-CS",$N458="Common Space"),$E458,"")</f>
        <v/>
      </c>
      <c r="GU458" s="261" t="str">
        <f t="shared" ref="GU458:GU495" si="182">IF(AND($C458=4, $P458="New Construction",$B458="N/A-CS",$N458="Common Space"),$E458,"")</f>
        <v/>
      </c>
      <c r="GV458" s="261" t="str">
        <f t="shared" ref="GV458:GV495" si="183">IF(AND($C458="Efficiency", $P458="Acquisition/Rehab",NOT($B458="Unrestricted"),NOT($B458="NSP 120"),NOT($B458="N/A-CS"),NOT($N458="Common Space")),$E458,"")</f>
        <v/>
      </c>
      <c r="GW458" s="261" t="str">
        <f t="shared" ref="GW458:GW495" si="184">IF(AND($C458=1, $P458="Acquisition/Rehab",NOT($B458="Unrestricted"),NOT($B458="NSP 120"),NOT($B458="N/A-CS"),NOT($N458="Common Space")),$E458,"")</f>
        <v/>
      </c>
      <c r="GX458" s="261" t="str">
        <f t="shared" ref="GX458:GX495" si="185">IF(AND($C458=2, $P458="Acquisition/Rehab",NOT($B458="Unrestricted"),NOT($B458="NSP 120"),NOT($B458="N/A-CS"),NOT($N458="Common Space")),$E458,"")</f>
        <v/>
      </c>
      <c r="GY458" s="261" t="str">
        <f t="shared" ref="GY458:GY495" si="186">IF(AND($C458=3, $P458="Acquisition/Rehab",NOT($B458="Unrestricted"),NOT($B458="NSP 120"),NOT($B458="N/A-CS"),NOT($N458="Common Space")),$E458,"")</f>
        <v/>
      </c>
      <c r="GZ458" s="261" t="str">
        <f t="shared" ref="GZ458:GZ495" si="187">IF(AND($C458=4, $P458="Acquisition/Rehab",NOT($B458="Unrestricted"),NOT($B458="NSP 120"),NOT($B458="N/A-CS"),NOT($N458="Common Space")),$E458,"")</f>
        <v/>
      </c>
      <c r="HA458" s="261" t="str">
        <f t="shared" ref="HA458:HA495" si="188">IF(AND($C458="Efficiency", $P458="Acquisition/Rehab",$B458="Unrestricted",NOT($B458="N/A-CS"),NOT($N458="Common Space")),$E458,"")</f>
        <v/>
      </c>
      <c r="HB458" s="261" t="str">
        <f t="shared" ref="HB458:HB495" si="189">IF(AND($C458=1, $P458="Acquisition/Rehab",$B458="Unrestricted",NOT($B458="N/A-CS"),NOT($N458="Common Space")),$E458,"")</f>
        <v/>
      </c>
      <c r="HC458" s="261">
        <f t="shared" ref="HC458:HC495" si="190">IF(AND($C458=2, $P458="Acquisition/Rehab",$B458="Unrestricted",NOT($B458="N/A-CS"),NOT($N458="Common Space")),$E458,"")</f>
        <v>3</v>
      </c>
      <c r="HD458" s="261" t="str">
        <f t="shared" ref="HD458:HD495" si="191">IF(AND($C458=3, $P458="Acquisition/Rehab",$B458="Unrestricted",NOT($B458="N/A-CS"),NOT($N458="Common Space")),$E458,"")</f>
        <v/>
      </c>
      <c r="HE458" s="261" t="str">
        <f t="shared" ref="HE458:HE495" si="192">IF(AND($C458=4, $P458="Acquisition/Rehab",$B458="Unrestricted",NOT($B458="N/A-CS"),NOT($N458="Common Space")),$E458,"")</f>
        <v/>
      </c>
      <c r="HF458" s="261" t="str">
        <f t="shared" ref="HF458:HF495" si="193">IF(AND($C458="Efficiency", $P458="Acquisition/Rehab",$B458="N/A-CS",$N458="Common Space"),$E458,"")</f>
        <v/>
      </c>
      <c r="HG458" s="261" t="str">
        <f t="shared" ref="HG458:HG495" si="194">IF(AND($C458=1, $P458="Acquisition/Rehab",$B458="N/A-CS",$N458="Common Space"),$E458,"")</f>
        <v/>
      </c>
      <c r="HH458" s="261" t="str">
        <f t="shared" ref="HH458:HH495" si="195">IF(AND($C458=2, $P458="Acquisition/Rehab",$B458="N/A-CS",$N458="Common Space"),$E458,"")</f>
        <v/>
      </c>
      <c r="HI458" s="261" t="str">
        <f t="shared" ref="HI458:HI495" si="196">IF(AND($C458=3, $P458="Acquisition/Rehab",$B458="N/A-CS",$N458="Common Space"),$E458,"")</f>
        <v/>
      </c>
      <c r="HJ458" s="261" t="str">
        <f t="shared" ref="HJ458:HJ495" si="197">IF(AND($C458=4, $P458="Acquisition/Rehab",$B458="N/A-CS",$N458="Common Space"),$E458,"")</f>
        <v/>
      </c>
      <c r="HK458" s="261" t="str">
        <f t="shared" ref="HK458:HK495" si="198">IF(AND($C458="Efficiency", $P458="Rehabilitation",NOT($B458="Unrestricted"),NOT($B458="NSP 120"),NOT($B458="N/A-CS"),NOT($N458="Common Space")),$E458,"")</f>
        <v/>
      </c>
      <c r="HL458" s="261" t="str">
        <f t="shared" ref="HL458:HL495" si="199">IF(AND($C458=1, $P458="Rehabilitation",NOT($B458="Unrestricted"),NOT($B458="NSP 120"),NOT($B458="N/A-CS"),NOT($N458="Common Space")),$E458,"")</f>
        <v/>
      </c>
      <c r="HM458" s="261" t="str">
        <f t="shared" ref="HM458:HM495" si="200">IF(AND($C458=2, $P458="Rehabilitation",NOT($B458="Unrestricted"),NOT($B458="NSP 120"),NOT($B458="N/A-CS"),NOT($N458="Common Space")),$E458,"")</f>
        <v/>
      </c>
      <c r="HN458" s="261" t="str">
        <f t="shared" ref="HN458:HN495" si="201">IF(AND($C458=3, $P458="Rehabilitation",NOT($B458="Unrestricted"),NOT($B458="NSP 120"),NOT($B458="N/A-CS"),NOT($N458="Common Space")),$E458,"")</f>
        <v/>
      </c>
      <c r="HO458" s="261" t="str">
        <f t="shared" ref="HO458:HO495" si="202">IF(AND($C458=4, $P458="Rehabilitation",NOT($B458="Unrestricted"),NOT($B458="NSP 120"),NOT($B458="N/A-CS"),NOT($N458="Common Space")),$E458,"")</f>
        <v/>
      </c>
      <c r="HP458" s="261" t="str">
        <f t="shared" ref="HP458:HP495" si="203">IF(AND($C458="Efficiency", $P458="Rehabilitation",$B458="Unrestricted",NOT($B458="N/A-CS"),NOT($N458="Common Space")),$E458,"")</f>
        <v/>
      </c>
      <c r="HQ458" s="261" t="str">
        <f t="shared" ref="HQ458:HQ495" si="204">IF(AND($C458=1, $P458="Rehabilitation",$B458="Unrestricted",NOT($B458="N/A-CS"),NOT($N458="Common Space")),$E458,"")</f>
        <v/>
      </c>
      <c r="HR458" s="261" t="str">
        <f t="shared" ref="HR458:HR495" si="205">IF(AND($C458=2, $P458="Rehabilitation",$B458="Unrestricted",NOT($B458="N/A-CS"),NOT($N458="Common Space")),$E458,"")</f>
        <v/>
      </c>
      <c r="HS458" s="261" t="str">
        <f t="shared" ref="HS458:HS495" si="206">IF(AND($C458=3, $P458="Rehabilitation",$B458="Unrestricted",NOT($B458="N/A-CS"),NOT($N458="Common Space")),$E458,"")</f>
        <v/>
      </c>
      <c r="HT458" s="261" t="str">
        <f t="shared" ref="HT458:HT495" si="207">IF(AND($C458=4, $P458="Rehabilitation",$B458="Unrestricted",NOT($B458="N/A-CS"),NOT($N458="Common Space")),$E458,"")</f>
        <v/>
      </c>
      <c r="HU458" s="261" t="str">
        <f t="shared" ref="HU458:HU495" si="208">IF(AND($C458="Efficiency", $P458="Rehabilitation",$B458="N/A-CS",$N458="Common Space"),$E458,"")</f>
        <v/>
      </c>
      <c r="HV458" s="261" t="str">
        <f t="shared" ref="HV458:HV495" si="209">IF(AND($C458=1, $P458="Rehabilitation",$B458="N/A-CS",$N458="Common Space"),$E458,"")</f>
        <v/>
      </c>
      <c r="HW458" s="261" t="str">
        <f t="shared" ref="HW458:HW495" si="210">IF(AND($C458=2, $P458="Rehabilitation",$B458="N/A-CS",$N458="Common Space"),$E458,"")</f>
        <v/>
      </c>
      <c r="HX458" s="261" t="str">
        <f t="shared" ref="HX458:HX495" si="211">IF(AND($C458=3, $P458="Rehabilitation",$B458="N/A-CS",$N458="Common Space"),$E458,"")</f>
        <v/>
      </c>
      <c r="HY458" s="261" t="str">
        <f t="shared" ref="HY458:HY495" si="212">IF(AND($C458=4, $P458="Rehabilitation",$B458="N/A-CS",$N458="Common Space"),$E458,"")</f>
        <v/>
      </c>
      <c r="HZ458" s="1575" t="str">
        <f t="shared" ref="HZ458:HZ495" si="213">IF(AND($C458="Efficiency", NOT(OR($O458="SF Detached",$O458="Mfd Home",$O458="Semi-Detached",$O458="Row House/TH"))),$E458,"")</f>
        <v/>
      </c>
      <c r="IA458" s="1575" t="str">
        <f t="shared" ref="IA458:IA495" si="214">IF(AND($C458=1, NOT(OR($O458="SF Detached",$O458="Mfd Home",$O458="Semi-Detached",$O458="Row House/TH"))),$E458,"")</f>
        <v/>
      </c>
      <c r="IB458" s="1575" t="str">
        <f t="shared" ref="IB458:IB495" si="215">IF(AND($C458=2, NOT(OR($O458="SF Detached",$O458="Mfd Home",$O458="Semi-Detached",$O458="Row House/TH"))),$E458,"")</f>
        <v/>
      </c>
      <c r="IC458" s="1575" t="str">
        <f t="shared" ref="IC458:IC495" si="216">IF(AND($C458=3, NOT(OR($O458="SF Detached",$O458="Mfd Home",$O458="Semi-Detached",$O458="Row House/TH"))),$E458,"")</f>
        <v/>
      </c>
      <c r="ID458" s="1575" t="str">
        <f t="shared" ref="ID458:ID495" si="217">IF(AND($C458=4, NOT(OR($O458="SF Detached",$O458="Mfd Home",$O458="Semi-Detached",$O458="Row House/TH"))),$E458,"")</f>
        <v/>
      </c>
      <c r="IE458" s="1575" t="str">
        <f t="shared" ref="IE458:IE495" si="218">IF(AND($C458="Efficiency", $O458="SF Detached",NOT($Q458="Yes")),$E458,"")</f>
        <v/>
      </c>
      <c r="IF458" s="1575" t="str">
        <f t="shared" ref="IF458:IF495" si="219">IF(AND($C458=1, $O458="SF Detached",NOT($Q458="Yes")),$E458,"")</f>
        <v/>
      </c>
      <c r="IG458" s="1575" t="str">
        <f t="shared" ref="IG458:IG495" si="220">IF(AND($C458=2, $O458="SF Detached",NOT($Q458="Yes")),$E458,"")</f>
        <v/>
      </c>
      <c r="IH458" s="1575" t="str">
        <f t="shared" ref="IH458:IH495" si="221">IF(AND($C458=3, $O458="SF Detached",NOT($Q458="Yes")),$E458,"")</f>
        <v/>
      </c>
      <c r="II458" s="1575" t="str">
        <f t="shared" ref="II458:II495" si="222">IF(AND($C458=4, $O458="SF Detached",NOT($Q458="Yes")),$E458,"")</f>
        <v/>
      </c>
      <c r="IJ458" s="1575" t="str">
        <f t="shared" ref="IJ458:IJ495" si="223">IF(AND($C458="Efficiency", $O458="SF Detached",$Q458="Yes"),$E458,"")</f>
        <v/>
      </c>
      <c r="IK458" s="1575" t="str">
        <f t="shared" ref="IK458:IK495" si="224">IF(AND($C458=1, $O458="SF Detached",$Q458="Yes"),$E458,"")</f>
        <v/>
      </c>
      <c r="IL458" s="1575" t="str">
        <f t="shared" ref="IL458:IL495" si="225">IF(AND($C458=2, $O458="SF Detached",$Q458="Yes"),$E458,"")</f>
        <v/>
      </c>
      <c r="IM458" s="1575" t="str">
        <f t="shared" ref="IM458:IM495" si="226">IF(AND($C458=3, $O458="SF Detached",$Q458="Yes"),$E458,"")</f>
        <v/>
      </c>
      <c r="IN458" s="1575" t="str">
        <f t="shared" ref="IN458:IN495" si="227">IF(AND($C458=4, $O458="SF Detached",$Q458="Yes"),$E458,"")</f>
        <v/>
      </c>
      <c r="IO458" s="1575" t="str">
        <f t="shared" ref="IO458:IO495" si="228">IF(AND($C458="Efficiency", $O458="Mfd Home",NOT($Q458="Yes")),$E458,"")</f>
        <v/>
      </c>
      <c r="IP458" s="1575" t="str">
        <f t="shared" ref="IP458:IP495" si="229">IF(AND($C458=1, $O458="Mfd Home",NOT($Q458="Yes")),$E458,"")</f>
        <v/>
      </c>
      <c r="IQ458" s="1575" t="str">
        <f t="shared" ref="IQ458:IQ495" si="230">IF(AND($C458=2, $O458="Mfd Home",NOT($Q458="Yes")),$E458,"")</f>
        <v/>
      </c>
      <c r="IR458" s="1575" t="str">
        <f t="shared" ref="IR458:IR495" si="231">IF(AND($C458=3, $O458="Mfd Home",NOT($Q458="Yes")),$E458,"")</f>
        <v/>
      </c>
      <c r="IS458" s="1575" t="str">
        <f t="shared" ref="IS458:IS495" si="232">IF(AND($C458=4, $O458="Mfd Home",NOT($Q458="Yes")),$E458,"")</f>
        <v/>
      </c>
      <c r="IT458" s="1575" t="str">
        <f t="shared" ref="IT458:IT495" si="233">IF(AND($C458="Efficiency", $O458="Mfd Home",$Q458="Yes"),$E458,"")</f>
        <v/>
      </c>
      <c r="IU458" s="1575" t="str">
        <f t="shared" ref="IU458:IU495" si="234">IF(AND($C458=1, $O458="Mfd Home",$Q458="Yes"),$E458,"")</f>
        <v/>
      </c>
      <c r="IV458" s="1575" t="str">
        <f t="shared" ref="IV458:IV495" si="235">IF(AND($C458=2, $O458="Mfd Home",$Q458="Yes"),$E458,"")</f>
        <v/>
      </c>
      <c r="IW458" s="1575" t="str">
        <f t="shared" ref="IW458:IW495" si="236">IF(AND($C458=3, $O458="Mfd Home",$Q458="Yes"),$E458,"")</f>
        <v/>
      </c>
      <c r="IX458" s="1575" t="str">
        <f t="shared" ref="IX458:IX495" si="237">IF(AND($C458=4, $O458="Mfd Home",$Q458="Yes"),$E458,"")</f>
        <v/>
      </c>
      <c r="IY458" s="1575" t="str">
        <f t="shared" ref="IY458:IY495" si="238">IF(AND($C458="Efficiency", $O458="Semi-Detached",NOT($Q458="Yes")),$E458,"")</f>
        <v/>
      </c>
      <c r="IZ458" s="1575" t="str">
        <f t="shared" ref="IZ458:IZ495" si="239">IF(AND($C458=1, $O458="Semi-Detached",NOT($Q458="Yes")),$E458,"")</f>
        <v/>
      </c>
      <c r="JA458" s="1575" t="str">
        <f t="shared" ref="JA458:JA495" si="240">IF(AND($C458=2, $O458="Semi-Detached",NOT($Q458="Yes")),$E458,"")</f>
        <v/>
      </c>
      <c r="JB458" s="1575" t="str">
        <f t="shared" ref="JB458:JB495" si="241">IF(AND($C458=3, $O458="Semi-Detached",NOT($Q458="Yes")),$E458,"")</f>
        <v/>
      </c>
      <c r="JC458" s="1575" t="str">
        <f t="shared" ref="JC458:JC495" si="242">IF(AND($C458=4, $O458="Semi-Detached",NOT($Q458="Yes")),$E458,"")</f>
        <v/>
      </c>
      <c r="JD458" s="1575" t="str">
        <f t="shared" ref="JD458:JD495" si="243">IF(AND($C458="Efficiency", $O458="Semi-Detached",$Q458="Yes"),$E458,"")</f>
        <v/>
      </c>
      <c r="JE458" s="1575" t="str">
        <f t="shared" ref="JE458:JE495" si="244">IF(AND($C458=1, $O458="Semi-Detached",$Q458="Yes"),$E458,"")</f>
        <v/>
      </c>
      <c r="JF458" s="1575" t="str">
        <f t="shared" ref="JF458:JF495" si="245">IF(AND($C458=2, $O458="Semi-Detached",$Q458="Yes"),$E458,"")</f>
        <v/>
      </c>
      <c r="JG458" s="1575" t="str">
        <f t="shared" ref="JG458:JG495" si="246">IF(AND($C458=3, $O458="Semi-Detached",$Q458="Yes"),$E458,"")</f>
        <v/>
      </c>
      <c r="JH458" s="1575" t="str">
        <f t="shared" ref="JH458:JH495" si="247">IF(AND($C458=4, $O458="Semi-Detached",$Q458="Yes"),$E458,"")</f>
        <v/>
      </c>
      <c r="JI458" s="1575" t="str">
        <f t="shared" ref="JI458:JI495" si="248">IF(AND($C458="Efficiency", $O458="Row House/TH",NOT($Q458="Yes")),$E458,"")</f>
        <v/>
      </c>
      <c r="JJ458" s="1575" t="str">
        <f t="shared" ref="JJ458:JJ495" si="249">IF(AND($C458=1, $O458="Row House/TH",NOT($Q458="Yes")),$E458,"")</f>
        <v/>
      </c>
      <c r="JK458" s="1575">
        <f t="shared" ref="JK458:JK495" si="250">IF(AND($C458=2, $O458="Row House/TH",NOT($Q458="Yes")),$E458,"")</f>
        <v>3</v>
      </c>
      <c r="JL458" s="1575" t="str">
        <f t="shared" ref="JL458:JL495" si="251">IF(AND($C458=3, $O458="Row House/TH",NOT($Q458="Yes")),$E458,"")</f>
        <v/>
      </c>
      <c r="JM458" s="1575" t="str">
        <f t="shared" ref="JM458:JM495" si="252">IF(AND($C458=4, $O458="Row House/TH",NOT($Q458="Yes")),$E458,"")</f>
        <v/>
      </c>
      <c r="JN458" s="1575" t="str">
        <f t="shared" ref="JN458:JN495" si="253">IF(AND($C458="Efficiency", $O458="Row House/TH",$Q458="Yes"),$E458,"")</f>
        <v/>
      </c>
      <c r="JO458" s="1575" t="str">
        <f t="shared" ref="JO458:JO495" si="254">IF(AND($C458=1, $O458="Row House/TH",$Q458="Yes"),$E458,"")</f>
        <v/>
      </c>
      <c r="JP458" s="1575" t="str">
        <f t="shared" ref="JP458:JP495" si="255">IF(AND($C458=2, $O458="Row House/TH",$Q458="Yes"),$E458,"")</f>
        <v/>
      </c>
      <c r="JQ458" s="1575" t="str">
        <f t="shared" ref="JQ458:JQ495" si="256">IF(AND($C458=3, $O458="Row House/TH",$Q458="Yes"),$E458,"")</f>
        <v/>
      </c>
      <c r="JR458" s="1575" t="str">
        <f t="shared" ref="JR458:JR495" si="257">IF(AND($C458=4, $O458="Row House/TH",$Q458="Yes"),$E458,"")</f>
        <v/>
      </c>
      <c r="JS458" s="1575" t="str">
        <f t="shared" ref="JS458:JS495" si="258">IF(AND($C458="Efficiency", $O458="Low-Rise Apt",NOT($Q458="Yes")),$E458,"")</f>
        <v/>
      </c>
      <c r="JT458" s="1575" t="str">
        <f t="shared" ref="JT458:JT495" si="259">IF(AND($C458=1, $O458="Low-Rise Apt",NOT($Q458="Yes")),$E458,"")</f>
        <v/>
      </c>
      <c r="JU458" s="1575" t="str">
        <f t="shared" ref="JU458:JU495" si="260">IF(AND($C458=2, $O458="Low-Rise Apt",NOT($Q458="Yes")),$E458,"")</f>
        <v/>
      </c>
      <c r="JV458" s="1575" t="str">
        <f t="shared" ref="JV458:JV495" si="261">IF(AND($C458=3, $O458="Low-Rise Apt",NOT($Q458="Yes")),$E458,"")</f>
        <v/>
      </c>
      <c r="JW458" s="1575" t="str">
        <f t="shared" ref="JW458:JW495" si="262">IF(AND($C458=4, $O458="Low-Rise Apt",NOT($Q458="Yes")),$E458,"")</f>
        <v/>
      </c>
      <c r="JX458" s="1575" t="str">
        <f t="shared" ref="JX458:JX495" si="263">IF(AND($C458="Efficiency", $O458="Low-Rise Elevator",NOT($Q458="Yes")),$E458,"")</f>
        <v/>
      </c>
      <c r="JY458" s="1575" t="str">
        <f t="shared" ref="JY458:JY495" si="264">IF(AND($C458=1, $O458="Low-Rise Elevator",NOT($Q458="Yes")),$E458,"")</f>
        <v/>
      </c>
      <c r="JZ458" s="1575" t="str">
        <f t="shared" ref="JZ458:JZ495" si="265">IF(AND($C458=2, $O458="Low-Rise Elevator",NOT($Q458="Yes")),$E458,"")</f>
        <v/>
      </c>
      <c r="KA458" s="1575" t="str">
        <f t="shared" ref="KA458:KA495" si="266">IF(AND($C458=3, $O458="Low-Rise Elevator",NOT($Q458="Yes")),$E458,"")</f>
        <v/>
      </c>
      <c r="KB458" s="1575" t="str">
        <f t="shared" ref="KB458:KB495" si="267">IF(AND($C458=4, $O458="Low-Rise Elevator",NOT($Q458="Yes")),$E458,"")</f>
        <v/>
      </c>
      <c r="KC458" s="1575" t="str">
        <f t="shared" ref="KC458:KC495" si="268">IF(AND($C458="Efficiency", $O458="Low-Rise Apt",$Q458="Yes"),$E458,"")</f>
        <v/>
      </c>
      <c r="KD458" s="1575" t="str">
        <f t="shared" ref="KD458:KD495" si="269">IF(AND($C458=1, $O458="Low-Rise Apt",$Q458="Yes"),$E458,"")</f>
        <v/>
      </c>
      <c r="KE458" s="1575" t="str">
        <f t="shared" ref="KE458:KE495" si="270">IF(AND($C458=2, $O458="Low-Rise Apt",$Q458="Yes"),$E458,"")</f>
        <v/>
      </c>
      <c r="KF458" s="1575" t="str">
        <f t="shared" ref="KF458:KF495" si="271">IF(AND($C458=3, $O458="Low-Rise Apt",$Q458="Yes"),$E458,"")</f>
        <v/>
      </c>
      <c r="KG458" s="1575" t="str">
        <f t="shared" ref="KG458:KG495" si="272">IF(AND($C458=4, $O458="Low-Rise Apt",$Q458="Yes"),$E458,"")</f>
        <v/>
      </c>
      <c r="KH458" s="1575" t="str">
        <f t="shared" ref="KH458:KH495" si="273">IF(AND($C458="Efficiency", $O458="Low-Rise Elevator",$Q458="Yes"),$E458,"")</f>
        <v/>
      </c>
      <c r="KI458" s="1575" t="str">
        <f t="shared" ref="KI458:KI495" si="274">IF(AND($C458=1, $O458="Low-Rise Elevator",$Q458="Yes"),$E458,"")</f>
        <v/>
      </c>
      <c r="KJ458" s="1575" t="str">
        <f t="shared" ref="KJ458:KJ495" si="275">IF(AND($C458=2, $O458="Low-Rise Elevator",$Q458="Yes"),$E458,"")</f>
        <v/>
      </c>
      <c r="KK458" s="1575" t="str">
        <f t="shared" ref="KK458:KK495" si="276">IF(AND($C458=3, $O458="Low-Rise Elevator",$Q458="Yes"),$E458,"")</f>
        <v/>
      </c>
      <c r="KL458" s="1575" t="str">
        <f t="shared" ref="KL458:KL495" si="277">IF(AND($C458=4, $O458="Low-Rise Elevator",$Q458="Yes"),$E458,"")</f>
        <v/>
      </c>
      <c r="KM458" s="1575" t="str">
        <f t="shared" ref="KM458:KM495" si="278">IF(AND($C458="Efficiency", $O458="High-Rise Apt",NOT($Q458="Yes")),$E458,"")</f>
        <v/>
      </c>
      <c r="KN458" s="1575" t="str">
        <f t="shared" ref="KN458:KN495" si="279">IF(AND($C458=1, $O458="High-Rise Apt",NOT($Q458="Yes")),$E458,"")</f>
        <v/>
      </c>
      <c r="KO458" s="1575" t="str">
        <f t="shared" ref="KO458:KO495" si="280">IF(AND($C458=2, $O458="High-Rise Apt",NOT($Q458="Yes")),$E458,"")</f>
        <v/>
      </c>
      <c r="KP458" s="1575" t="str">
        <f t="shared" ref="KP458:KP495" si="281">IF(AND($C458=3, $O458="High-Rise Apt",NOT($Q458="Yes")),$E458,"")</f>
        <v/>
      </c>
      <c r="KQ458" s="1575" t="str">
        <f t="shared" ref="KQ458:KQ495" si="282">IF(AND($C458=4, $O458="High-Rise Apt",NOT($Q458="Yes")),$E458,"")</f>
        <v/>
      </c>
      <c r="KR458" s="1575" t="str">
        <f t="shared" ref="KR458:KR495" si="283">IF(AND($C458="Efficiency", $O458="High-Rise Elevator",NOT($Q458="Yes")),$E458,"")</f>
        <v/>
      </c>
      <c r="KS458" s="1575" t="str">
        <f t="shared" ref="KS458:KS495" si="284">IF(AND($C458=1, $O458="High-Rise Elevator",NOT($Q458="Yes")),$E458,"")</f>
        <v/>
      </c>
      <c r="KT458" s="1575" t="str">
        <f t="shared" ref="KT458:KT495" si="285">IF(AND($C458=2, $O458="High-Rise Elevator",NOT($Q458="Yes")),$E458,"")</f>
        <v/>
      </c>
      <c r="KU458" s="1575" t="str">
        <f t="shared" ref="KU458:KU495" si="286">IF(AND($C458=3, $O458="High-Rise Elevator",NOT($Q458="Yes")),$E458,"")</f>
        <v/>
      </c>
      <c r="KV458" s="1575" t="str">
        <f t="shared" ref="KV458:KV495" si="287">IF(AND($C458=4, $O458="High-Rise Elevator",NOT($Q458="Yes")),$E458,"")</f>
        <v/>
      </c>
      <c r="KW458" s="1575" t="str">
        <f t="shared" ref="KW458:KW495" si="288">IF(AND($C458="Efficiency", $O458="High-Rise Apt",$Q458="Yes"),$E458,"")</f>
        <v/>
      </c>
      <c r="KX458" s="1575" t="str">
        <f t="shared" ref="KX458:KX495" si="289">IF(AND($C458=1, $O458="High-Rise Apt",$Q458="Yes"),$E458,"")</f>
        <v/>
      </c>
      <c r="KY458" s="1575" t="str">
        <f t="shared" ref="KY458:KY495" si="290">IF(AND($C458=2, $O458="High-Rise Apt",$Q458="Yes"),$E458,"")</f>
        <v/>
      </c>
      <c r="KZ458" s="1575" t="str">
        <f t="shared" ref="KZ458:KZ495" si="291">IF(AND($C458=3, $O458="High-Rise Apt",$Q458="Yes"),$E458,"")</f>
        <v/>
      </c>
      <c r="LA458" s="1575" t="str">
        <f t="shared" ref="LA458:LA495" si="292">IF(AND($C458=4, $O458="High-Rise Apt",$Q458="Yes"),$E458,"")</f>
        <v/>
      </c>
      <c r="LB458" s="1575" t="str">
        <f t="shared" ref="LB458:LB495" si="293">IF(AND($C458="Efficiency", $O458="High-Rise Elevator",$Q458="Yes"),$E458,"")</f>
        <v/>
      </c>
      <c r="LC458" s="1575" t="str">
        <f t="shared" ref="LC458:LC495" si="294">IF(AND($C458=1, $O458="High-Rise Elevator",$Q458="Yes"),$E458,"")</f>
        <v/>
      </c>
      <c r="LD458" s="1575" t="str">
        <f t="shared" ref="LD458:LD495" si="295">IF(AND($C458=2, $O458="High-Rise Elevator",$Q458="Yes"),$E458,"")</f>
        <v/>
      </c>
      <c r="LE458" s="1575" t="str">
        <f t="shared" ref="LE458:LE495" si="296">IF(AND($C458=3, $O458="High-Rise Elevator",$Q458="Yes"),$E458,"")</f>
        <v/>
      </c>
      <c r="LF458" s="1575" t="str">
        <f t="shared" ref="LF458:LF495" si="297">IF(AND($C458=4, $O458="High-Rise Elevator",$Q458="Yes"),$E458,"")</f>
        <v/>
      </c>
      <c r="LG458" s="1564" t="str">
        <f t="shared" ref="LG458:LG495" si="298">IF(AND($B458="NSP 120% AMI",$C458="Efficiency", NOT($N458="Common Space")),$E458,"")</f>
        <v/>
      </c>
      <c r="LH458" s="1564" t="str">
        <f t="shared" ref="LH458:LH495" si="299">IF(AND($B458="NSP 120% AMI",$C458=1,NOT($N458="Common Space")),$E458,"")</f>
        <v/>
      </c>
      <c r="LI458" s="1564" t="str">
        <f t="shared" ref="LI458:LI495" si="300">IF(AND($B458="NSP 120% AMI",$C458=2,NOT($N458="Common Space")),$E458,"")</f>
        <v/>
      </c>
      <c r="LJ458" s="1564" t="str">
        <f t="shared" ref="LJ458:LJ495" si="301">IF(AND($B458="NSP 120% AMI",$C458=3,NOT($N458="Common Space")),$E458,"")</f>
        <v/>
      </c>
      <c r="LK458" s="1564" t="str">
        <f t="shared" ref="LK458:LK495" si="302">IF(AND($B458="NSP 120% AMI",$C458=4,NOT($N458="Common Space")),$E458,"")</f>
        <v/>
      </c>
      <c r="LL458" s="261" t="str">
        <f t="shared" ref="LL458:LL495" si="303">IF(AND(C458="Efficiency",B458="NSP 120% AMI",NOT(N458="Common Space")),E458*F458,"")</f>
        <v/>
      </c>
      <c r="LM458" s="261" t="str">
        <f t="shared" ref="LM458:LM495" si="304">IF(AND(C458=1,B458="NSP 120% AMI",NOT(N458="Common Space")),E458*F458,"")</f>
        <v/>
      </c>
      <c r="LN458" s="261" t="str">
        <f t="shared" ref="LN458:LN495" si="305">IF(AND(C458=2,B458="NSP 120% AMI",NOT(N458="Common Space")),E458*F458,"")</f>
        <v/>
      </c>
      <c r="LO458" s="261" t="str">
        <f t="shared" ref="LO458:LO495" si="306">IF(AND(C458=3,B458="NSP 120% AMI",NOT(N458="Common Space")),E458*F458,"")</f>
        <v/>
      </c>
      <c r="LP458" s="261" t="str">
        <f t="shared" ref="LP458:LP495" si="307">IF(AND(C458=4,B458="NSP 120% AMI",NOT(N458="Common Space")),E458*F458,"")</f>
        <v/>
      </c>
      <c r="LQ458" s="261" t="str">
        <f t="shared" ref="LQ458:LQ495" si="308">IF(AND($C458="Efficiency", $P458="New Construction",$B458="NSP 120% AMI",NOT($N458="Common Space")),$E458,"")</f>
        <v/>
      </c>
      <c r="LR458" s="261" t="str">
        <f t="shared" ref="LR458:LR495" si="309">IF(AND($C458=1, $P458="New Construction",$B458="NSP 120% AMI",NOT($N458="Common Space")),$E458,"")</f>
        <v/>
      </c>
      <c r="LS458" s="261" t="str">
        <f t="shared" ref="LS458:LS495" si="310">IF(AND($C458=2, $P458="New Construction",$B458="NSP 120% AMI",NOT($N458="Common Space")),$E458,"")</f>
        <v/>
      </c>
      <c r="LT458" s="261" t="str">
        <f t="shared" ref="LT458:LT495" si="311">IF(AND($C458=3, $P458="New Construction",$B458="NSP 120% AMI",NOT($N458="Common Space")),$E458,"")</f>
        <v/>
      </c>
      <c r="LU458" s="261" t="str">
        <f t="shared" ref="LU458:LU495" si="312">IF(AND($C458=4, $P458="New Construction",$B458="NSP 120% AMI",NOT($N458="Common Space")),$E458,"")</f>
        <v/>
      </c>
      <c r="LV458" s="261" t="str">
        <f t="shared" ref="LV458:LV495" si="313">IF(AND($C458="Efficiency", $P458="Acquisition/Rehab",$B458="NSP 120% AMI",NOT($N458="Common Space")),$E458,"")</f>
        <v/>
      </c>
      <c r="LW458" s="261" t="str">
        <f t="shared" ref="LW458:LW495" si="314">IF(AND($C458=1, $P458="Acquisition/Rehab",$B458="NSP 120% AMI",NOT($N458="Common Space")),$E458,"")</f>
        <v/>
      </c>
      <c r="LX458" s="261" t="str">
        <f t="shared" ref="LX458:LX495" si="315">IF(AND($C458=2, $P458="Acquisition/Rehab",$B458="NSP 120% AMI",NOT($N458="Common Space")),$E458,"")</f>
        <v/>
      </c>
      <c r="LY458" s="261" t="str">
        <f t="shared" ref="LY458:LY495" si="316">IF(AND($C458=3, $P458="Acquisition/Rehab",$B458="NSP 120% AMI",NOT($N458="Common Space")),$E458,"")</f>
        <v/>
      </c>
      <c r="LZ458" s="261" t="str">
        <f t="shared" ref="LZ458:LZ495" si="317">IF(AND($C458=4, $P458="Acquisition/Rehab",$B458="NSP 120% AMI",NOT($N458="Common Space")),$E458,"")</f>
        <v/>
      </c>
      <c r="MA458" s="261" t="str">
        <f t="shared" ref="MA458:MA495" si="318">IF(AND($C458="Efficiency", $P458="Rehabilitation",$B458="NSP 120% AMI",NOT($N458="Common Space")),$E458,"")</f>
        <v/>
      </c>
      <c r="MB458" s="261" t="str">
        <f t="shared" ref="MB458:MB495" si="319">IF(AND($C458=1, $P458="Rehabilitation",$B458="NSP 120% AMI",NOT($N458="Common Space")),$E458,"")</f>
        <v/>
      </c>
      <c r="MC458" s="261" t="str">
        <f t="shared" ref="MC458:MC495" si="320">IF(AND($C458=2, $P458="Rehabilitation",$B458="NSP 120% AMI",NOT($N458="Common Space")),$E458,"")</f>
        <v/>
      </c>
      <c r="MD458" s="261" t="str">
        <f t="shared" ref="MD458:MD495" si="321">IF(AND($C458=3, $P458="Rehabilitation",$B458="NSP 120% AMI",NOT($N458="Common Space")),$E458,"")</f>
        <v/>
      </c>
      <c r="ME458" s="261" t="str">
        <f t="shared" ref="ME458:ME495" si="322">IF(AND($C458=4, $P458="Rehabilitation",$B458="NSP 120% AMI",NOT($N458="Common Space")),$E458,"")</f>
        <v/>
      </c>
      <c r="MF458" s="1441">
        <f t="shared" ref="MF458:MF495" si="323">IF(AND($C458="Efficiency",$E458&gt;0,OR($O458="Low-Rise Apt",$O458="Low-Rise Elevator",$O458="High-Rise Apt",$O458="High-Rise Elevator",$O458="Row House/TH"),OR($P458="Acquisition/Rehab",$P458="Rehabilitation"),NOT($Q458="Yes")),$E458,0)</f>
        <v>0</v>
      </c>
      <c r="MG458" s="1441">
        <f t="shared" ref="MG458:MG495" si="324">IF(AND($C458=1,$E458&gt;0,OR($O458="Low-Rise Apt",$O458="Low-Rise Elevator",$O458="High-Rise Apt",$O458="High-Rise Elevator",$O458="Row House/TH"),OR($P458="Acquisition/Rehab",$P458="Rehabilitation"),NOT($Q458="Yes")),$E458,0)</f>
        <v>0</v>
      </c>
      <c r="MH458" s="1441">
        <f t="shared" ref="MH458:MH495" si="325">IF(AND($C458=2,$E458&gt;0,OR($O458="Low-Rise Apt",$O458="Low-Rise Elevator",$O458="High-Rise Apt",$O458="High-Rise Elevator",$O458="Row House/TH"),OR($P458="Acquisition/Rehab",$P458="Rehabilitation"),NOT($Q458="Yes")),$E458,0)</f>
        <v>3</v>
      </c>
      <c r="MI458" s="1441">
        <f t="shared" ref="MI458:MI495" si="326">IF(AND($C458=3,$E458&gt;0,OR($O458="Low-Rise Apt",$O458="Low-Rise Elevator",$O458="High-Rise Apt",$O458="High-Rise Elevator",$O458="Row House/TH"),OR($P458="Acquisition/Rehab",$P458="Rehabilitation"),NOT($Q458="Yes")),$E458,0)</f>
        <v>0</v>
      </c>
      <c r="MJ458" s="1441">
        <f t="shared" ref="MJ458:MJ495" si="327">IF(AND($C458=4,$E458&gt;0,OR($O458="Low-Rise Apt",$O458="Low-Rise Elevator",$O458="High-Rise Apt",$O458="High-Rise Elevator",$O458="Row House/TH"),OR($P458="Acquisition/Rehab",$P458="Rehabilitation"),NOT($Q458="Yes")),$E458,0)</f>
        <v>0</v>
      </c>
      <c r="MK458" s="1441">
        <f>IF(AND($C458="Efficiency",$E458&gt;0,OR($O458="Low-Rise Apt",$O458="Low-Rise Elevator",$O458="High-Rise Apt",$O458="High-Rise Elevator",$O458="Row House/TH"),$P458="New Construction"),$E458,0)</f>
        <v>0</v>
      </c>
      <c r="ML458" s="1441">
        <f>IF(AND($C458=1,$E458&gt;0,OR($O458="Low-Rise Apt",$O458="Low-Rise Elevator",$O458="High-Rise Apt",$O458="High-Rise Elevator",$O458="Row House/TH"),$P458="New Construction"),$E458,0)</f>
        <v>0</v>
      </c>
      <c r="MM458" s="1441">
        <f>IF(AND($C458=2,$E458&gt;0,OR($O458="Low-Rise Apt",$O458="Low-Rise Elevator",$O458="High-Rise Apt",$O458="High-Rise Elevator",$O458="Row House/TH"),$P458="New Construction"),$E458,0)</f>
        <v>0</v>
      </c>
      <c r="MN458" s="1441">
        <f>IF(AND($C458=3,$E458&gt;0,OR($O458="Low-Rise Apt",$O458="Low-Rise Elevator",$O458="High-Rise Apt",$O458="High-Rise Elevator",$O458="Row House/TH"),$P458="New Construction"),$E458,0)</f>
        <v>0</v>
      </c>
      <c r="MO458" s="1441">
        <f>IF(AND($C458=4,$E458&gt;0,OR($O458="Low-Rise Apt",$O458="Low-Rise Elevator",$O458="High-Rise Apt",$O458="High-Rise Elevator",$O458="Row House/TH"),$P458="New Construction"),$E458,0)</f>
        <v>0</v>
      </c>
      <c r="MP458" s="1441">
        <f t="shared" ref="MP458:MP495" si="328">IF(AND($C458="Efficiency",$E458&gt;0,OR($O458="SF Detached",$O458="Semi-Detached",$O458="Mfd Home"),NOT($Q458="Yes")),$E458,0)</f>
        <v>0</v>
      </c>
      <c r="MQ458" s="1441">
        <f t="shared" ref="MQ458:MQ495" si="329">IF(AND($C458=1,$E458&gt;0,OR($O458="SF Detached",$O458="Semi-Detached",$O458="Mfd Home"),NOT($Q458="Yes")),$E458,0)</f>
        <v>0</v>
      </c>
      <c r="MR458" s="1441">
        <f t="shared" ref="MR458:MR495" si="330">IF(AND($C458=2,$E458&gt;0,OR($O458="SF Detached",$O458="Semi-Detached",$O458="Mfd Home"),NOT($Q458="Yes")),$E458,0)</f>
        <v>0</v>
      </c>
      <c r="MS458" s="1441">
        <f t="shared" ref="MS458:MS495" si="331">IF(AND($C458=3,$E458&gt;0,OR($O458="SF Detached",$O458="Semi-Detached",$O458="Mfd Home"),NOT($Q458="Yes")),$E458,0)</f>
        <v>0</v>
      </c>
      <c r="MT458" s="1441">
        <f t="shared" ref="MT458:MT495" si="332">IF(AND($C458=4,$E458&gt;0,OR($O458="SF Detached",$O458="Semi-Detached",$O458="Mfd Home"),NOT($Q458="Yes")),$E458,0)</f>
        <v>0</v>
      </c>
      <c r="NP458" s="261" t="s">
        <v>1111</v>
      </c>
    </row>
    <row r="459" spans="1:380" ht="13.9" customHeight="1">
      <c r="A459" s="2330" t="str">
        <f t="shared" si="0"/>
        <v/>
      </c>
      <c r="B459" s="2149" t="str">
        <f>'Part V-Revenues &amp; Expenses'!B12</f>
        <v>Unrestricted</v>
      </c>
      <c r="C459" s="2150">
        <f>'Part V-Revenues &amp; Expenses'!C12</f>
        <v>1</v>
      </c>
      <c r="D459" s="2151">
        <f>'Part V-Revenues &amp; Expenses'!D12</f>
        <v>1</v>
      </c>
      <c r="E459" s="2152">
        <f>'Part V-Revenues &amp; Expenses'!E12</f>
        <v>24</v>
      </c>
      <c r="F459" s="2152">
        <f>'Part V-Revenues &amp; Expenses'!F12</f>
        <v>802</v>
      </c>
      <c r="G459" s="2152" t="str">
        <f>'Part V-Revenues &amp; Expenses'!G12</f>
        <v>NA</v>
      </c>
      <c r="H459" s="2152">
        <f>'Part V-Revenues &amp; Expenses'!H12</f>
        <v>1528</v>
      </c>
      <c r="I459" s="2152">
        <f>'Part V-Revenues &amp; Expenses'!I12</f>
        <v>0</v>
      </c>
      <c r="J459" s="2152">
        <f>'Part V-Revenues &amp; Expenses'!J12</f>
        <v>0</v>
      </c>
      <c r="K459" s="2153">
        <f>'Part V-Revenues &amp; Expenses'!K12</f>
        <v>0</v>
      </c>
      <c r="L459" s="2154">
        <f t="shared" si="1"/>
        <v>1528</v>
      </c>
      <c r="M459" s="2154">
        <f t="shared" si="2"/>
        <v>36672</v>
      </c>
      <c r="N459" s="2225" t="str">
        <f>'Part V-Revenues &amp; Expenses'!N12</f>
        <v>No</v>
      </c>
      <c r="O459" s="1065" t="str">
        <f>'Part V-Revenues &amp; Expenses'!O12</f>
        <v>Low-Rise Apt</v>
      </c>
      <c r="P459" s="2225" t="str">
        <f>'Part V-Revenues &amp; Expenses'!P12</f>
        <v>Acquisition/Rehab</v>
      </c>
      <c r="Q459" s="1574" t="str">
        <f>'Part V-Revenues &amp; Expenses'!Q12</f>
        <v>No</v>
      </c>
      <c r="R459" s="2356"/>
      <c r="S459" s="2357"/>
      <c r="T459" s="2358"/>
      <c r="U459" s="2358"/>
      <c r="V459" s="2358"/>
      <c r="W459" s="2358"/>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f t="shared" si="39"/>
        <v>24</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f t="shared" si="154"/>
        <v>19248</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t="str">
        <f t="shared" si="169"/>
        <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f t="shared" si="189"/>
        <v>24</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575" t="str">
        <f t="shared" si="213"/>
        <v/>
      </c>
      <c r="IA459" s="1575">
        <f t="shared" si="214"/>
        <v>24</v>
      </c>
      <c r="IB459" s="1575" t="str">
        <f t="shared" si="215"/>
        <v/>
      </c>
      <c r="IC459" s="1575" t="str">
        <f t="shared" si="216"/>
        <v/>
      </c>
      <c r="ID459" s="1575" t="str">
        <f t="shared" si="217"/>
        <v/>
      </c>
      <c r="IE459" s="1575" t="str">
        <f t="shared" si="218"/>
        <v/>
      </c>
      <c r="IF459" s="1575" t="str">
        <f t="shared" si="219"/>
        <v/>
      </c>
      <c r="IG459" s="1575" t="str">
        <f t="shared" si="220"/>
        <v/>
      </c>
      <c r="IH459" s="1575" t="str">
        <f t="shared" si="221"/>
        <v/>
      </c>
      <c r="II459" s="1575" t="str">
        <f t="shared" si="222"/>
        <v/>
      </c>
      <c r="IJ459" s="1575" t="str">
        <f t="shared" si="223"/>
        <v/>
      </c>
      <c r="IK459" s="1575" t="str">
        <f t="shared" si="224"/>
        <v/>
      </c>
      <c r="IL459" s="1575" t="str">
        <f t="shared" si="225"/>
        <v/>
      </c>
      <c r="IM459" s="1575" t="str">
        <f t="shared" si="226"/>
        <v/>
      </c>
      <c r="IN459" s="1575" t="str">
        <f t="shared" si="227"/>
        <v/>
      </c>
      <c r="IO459" s="1575" t="str">
        <f t="shared" si="228"/>
        <v/>
      </c>
      <c r="IP459" s="1575" t="str">
        <f t="shared" si="229"/>
        <v/>
      </c>
      <c r="IQ459" s="1575" t="str">
        <f t="shared" si="230"/>
        <v/>
      </c>
      <c r="IR459" s="1575" t="str">
        <f t="shared" si="231"/>
        <v/>
      </c>
      <c r="IS459" s="1575" t="str">
        <f t="shared" si="232"/>
        <v/>
      </c>
      <c r="IT459" s="1575" t="str">
        <f t="shared" si="233"/>
        <v/>
      </c>
      <c r="IU459" s="1575" t="str">
        <f t="shared" si="234"/>
        <v/>
      </c>
      <c r="IV459" s="1575" t="str">
        <f t="shared" si="235"/>
        <v/>
      </c>
      <c r="IW459" s="1575" t="str">
        <f t="shared" si="236"/>
        <v/>
      </c>
      <c r="IX459" s="1575" t="str">
        <f t="shared" si="237"/>
        <v/>
      </c>
      <c r="IY459" s="1575" t="str">
        <f t="shared" si="238"/>
        <v/>
      </c>
      <c r="IZ459" s="1575" t="str">
        <f t="shared" si="239"/>
        <v/>
      </c>
      <c r="JA459" s="1575" t="str">
        <f t="shared" si="240"/>
        <v/>
      </c>
      <c r="JB459" s="1575" t="str">
        <f t="shared" si="241"/>
        <v/>
      </c>
      <c r="JC459" s="1575" t="str">
        <f t="shared" si="242"/>
        <v/>
      </c>
      <c r="JD459" s="1575" t="str">
        <f t="shared" si="243"/>
        <v/>
      </c>
      <c r="JE459" s="1575" t="str">
        <f t="shared" si="244"/>
        <v/>
      </c>
      <c r="JF459" s="1575" t="str">
        <f t="shared" si="245"/>
        <v/>
      </c>
      <c r="JG459" s="1575" t="str">
        <f t="shared" si="246"/>
        <v/>
      </c>
      <c r="JH459" s="1575" t="str">
        <f t="shared" si="247"/>
        <v/>
      </c>
      <c r="JI459" s="1575" t="str">
        <f t="shared" si="248"/>
        <v/>
      </c>
      <c r="JJ459" s="1575" t="str">
        <f t="shared" si="249"/>
        <v/>
      </c>
      <c r="JK459" s="1575" t="str">
        <f t="shared" si="250"/>
        <v/>
      </c>
      <c r="JL459" s="1575" t="str">
        <f t="shared" si="251"/>
        <v/>
      </c>
      <c r="JM459" s="1575" t="str">
        <f t="shared" si="252"/>
        <v/>
      </c>
      <c r="JN459" s="1575" t="str">
        <f t="shared" si="253"/>
        <v/>
      </c>
      <c r="JO459" s="1575" t="str">
        <f t="shared" si="254"/>
        <v/>
      </c>
      <c r="JP459" s="1575" t="str">
        <f t="shared" si="255"/>
        <v/>
      </c>
      <c r="JQ459" s="1575" t="str">
        <f t="shared" si="256"/>
        <v/>
      </c>
      <c r="JR459" s="1575" t="str">
        <f t="shared" si="257"/>
        <v/>
      </c>
      <c r="JS459" s="1575" t="str">
        <f t="shared" si="258"/>
        <v/>
      </c>
      <c r="JT459" s="1575">
        <f t="shared" si="259"/>
        <v>24</v>
      </c>
      <c r="JU459" s="1575" t="str">
        <f t="shared" si="260"/>
        <v/>
      </c>
      <c r="JV459" s="1575" t="str">
        <f t="shared" si="261"/>
        <v/>
      </c>
      <c r="JW459" s="1575" t="str">
        <f t="shared" si="262"/>
        <v/>
      </c>
      <c r="JX459" s="1575" t="str">
        <f t="shared" si="263"/>
        <v/>
      </c>
      <c r="JY459" s="1575" t="str">
        <f t="shared" si="264"/>
        <v/>
      </c>
      <c r="JZ459" s="1575" t="str">
        <f t="shared" si="265"/>
        <v/>
      </c>
      <c r="KA459" s="1575" t="str">
        <f t="shared" si="266"/>
        <v/>
      </c>
      <c r="KB459" s="1575" t="str">
        <f t="shared" si="267"/>
        <v/>
      </c>
      <c r="KC459" s="1575" t="str">
        <f t="shared" si="268"/>
        <v/>
      </c>
      <c r="KD459" s="1575" t="str">
        <f t="shared" si="269"/>
        <v/>
      </c>
      <c r="KE459" s="1575" t="str">
        <f t="shared" si="270"/>
        <v/>
      </c>
      <c r="KF459" s="1575" t="str">
        <f t="shared" si="271"/>
        <v/>
      </c>
      <c r="KG459" s="1575" t="str">
        <f t="shared" si="272"/>
        <v/>
      </c>
      <c r="KH459" s="1575" t="str">
        <f t="shared" si="273"/>
        <v/>
      </c>
      <c r="KI459" s="1575" t="str">
        <f t="shared" si="274"/>
        <v/>
      </c>
      <c r="KJ459" s="1575" t="str">
        <f t="shared" si="275"/>
        <v/>
      </c>
      <c r="KK459" s="1575" t="str">
        <f t="shared" si="276"/>
        <v/>
      </c>
      <c r="KL459" s="1575" t="str">
        <f t="shared" si="277"/>
        <v/>
      </c>
      <c r="KM459" s="1575" t="str">
        <f t="shared" si="278"/>
        <v/>
      </c>
      <c r="KN459" s="1575" t="str">
        <f t="shared" si="279"/>
        <v/>
      </c>
      <c r="KO459" s="1575" t="str">
        <f t="shared" si="280"/>
        <v/>
      </c>
      <c r="KP459" s="1575" t="str">
        <f t="shared" si="281"/>
        <v/>
      </c>
      <c r="KQ459" s="1575" t="str">
        <f t="shared" si="282"/>
        <v/>
      </c>
      <c r="KR459" s="1575" t="str">
        <f t="shared" si="283"/>
        <v/>
      </c>
      <c r="KS459" s="1575" t="str">
        <f t="shared" si="284"/>
        <v/>
      </c>
      <c r="KT459" s="1575" t="str">
        <f t="shared" si="285"/>
        <v/>
      </c>
      <c r="KU459" s="1575" t="str">
        <f t="shared" si="286"/>
        <v/>
      </c>
      <c r="KV459" s="1575" t="str">
        <f t="shared" si="287"/>
        <v/>
      </c>
      <c r="KW459" s="1575" t="str">
        <f t="shared" si="288"/>
        <v/>
      </c>
      <c r="KX459" s="1575" t="str">
        <f t="shared" si="289"/>
        <v/>
      </c>
      <c r="KY459" s="1575" t="str">
        <f t="shared" si="290"/>
        <v/>
      </c>
      <c r="KZ459" s="1575" t="str">
        <f t="shared" si="291"/>
        <v/>
      </c>
      <c r="LA459" s="1575" t="str">
        <f t="shared" si="292"/>
        <v/>
      </c>
      <c r="LB459" s="1575" t="str">
        <f t="shared" si="293"/>
        <v/>
      </c>
      <c r="LC459" s="1575" t="str">
        <f t="shared" si="294"/>
        <v/>
      </c>
      <c r="LD459" s="1575" t="str">
        <f t="shared" si="295"/>
        <v/>
      </c>
      <c r="LE459" s="1575" t="str">
        <f t="shared" si="296"/>
        <v/>
      </c>
      <c r="LF459" s="1575" t="str">
        <f t="shared" si="297"/>
        <v/>
      </c>
      <c r="LG459" s="1564" t="str">
        <f t="shared" si="298"/>
        <v/>
      </c>
      <c r="LH459" s="1564" t="str">
        <f t="shared" si="299"/>
        <v/>
      </c>
      <c r="LI459" s="1564" t="str">
        <f t="shared" si="300"/>
        <v/>
      </c>
      <c r="LJ459" s="1564" t="str">
        <f t="shared" si="301"/>
        <v/>
      </c>
      <c r="LK459" s="1564"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441">
        <f t="shared" si="323"/>
        <v>0</v>
      </c>
      <c r="MG459" s="1441">
        <f t="shared" si="324"/>
        <v>24</v>
      </c>
      <c r="MH459" s="1441">
        <f t="shared" si="325"/>
        <v>0</v>
      </c>
      <c r="MI459" s="1441">
        <f t="shared" si="326"/>
        <v>0</v>
      </c>
      <c r="MJ459" s="1441">
        <f t="shared" si="327"/>
        <v>0</v>
      </c>
      <c r="MK459" s="1441">
        <f t="shared" ref="MK459:MK495" si="333">IF(AND($C459="Efficiency",$E459&gt;0,OR($O459="Low-Rise Apt",$O459="Low-Rise Elevator",$O459="High-Rise Apt",$O459="High-Rise Elevator",$O459="Row House/TH"),$P459="New Construction"),$E459,0)</f>
        <v>0</v>
      </c>
      <c r="ML459" s="1441">
        <f t="shared" ref="ML459:ML495" si="334">IF(AND($C459=1,$E459&gt;0,OR($O459="Low-Rise Apt",$O459="Low-Rise Elevator",$O459="High-Rise Apt",$O459="High-Rise Elevator",$O459="Row House/TH"),$P459="New Construction"),$E459,0)</f>
        <v>0</v>
      </c>
      <c r="MM459" s="1441">
        <f t="shared" ref="MM459:MM495" si="335">IF(AND($C459=2,$E459&gt;0,OR($O459="Low-Rise Apt",$O459="Low-Rise Elevator",$O459="High-Rise Apt",$O459="High-Rise Elevator",$O459="Row House/TH"),$P459="New Construction"),$E459,0)</f>
        <v>0</v>
      </c>
      <c r="MN459" s="1441">
        <f t="shared" ref="MN459:MN495" si="336">IF(AND($C459=3,$E459&gt;0,OR($O459="Low-Rise Apt",$O459="Low-Rise Elevator",$O459="High-Rise Apt",$O459="High-Rise Elevator",$O459="Row House/TH"),$P459="New Construction"),$E459,0)</f>
        <v>0</v>
      </c>
      <c r="MO459" s="1441">
        <f t="shared" ref="MO459:MO495" si="337">IF(AND($C459=4,$E459&gt;0,OR($O459="Low-Rise Apt",$O459="Low-Rise Elevator",$O459="High-Rise Apt",$O459="High-Rise Elevator",$O459="Row House/TH"),$P459="New Construction"),$E459,0)</f>
        <v>0</v>
      </c>
      <c r="MP459" s="1441">
        <f t="shared" si="328"/>
        <v>0</v>
      </c>
      <c r="MQ459" s="1441">
        <f t="shared" si="329"/>
        <v>0</v>
      </c>
      <c r="MR459" s="1441">
        <f t="shared" si="330"/>
        <v>0</v>
      </c>
      <c r="MS459" s="1441">
        <f t="shared" si="331"/>
        <v>0</v>
      </c>
      <c r="MT459" s="1441">
        <f t="shared" si="332"/>
        <v>0</v>
      </c>
      <c r="NP459" s="261" t="s">
        <v>1112</v>
      </c>
    </row>
    <row r="460" spans="1:380" ht="13.9" customHeight="1">
      <c r="A460" s="2330" t="str">
        <f t="shared" si="0"/>
        <v/>
      </c>
      <c r="B460" s="2149" t="str">
        <f>'Part V-Revenues &amp; Expenses'!B13</f>
        <v>Unrestricted</v>
      </c>
      <c r="C460" s="2150">
        <f>'Part V-Revenues &amp; Expenses'!C13</f>
        <v>2</v>
      </c>
      <c r="D460" s="2151">
        <f>'Part V-Revenues &amp; Expenses'!D13</f>
        <v>1</v>
      </c>
      <c r="E460" s="2152">
        <f>'Part V-Revenues &amp; Expenses'!E13</f>
        <v>16</v>
      </c>
      <c r="F460" s="2152">
        <f>'Part V-Revenues &amp; Expenses'!F13</f>
        <v>905</v>
      </c>
      <c r="G460" s="2152" t="str">
        <f>'Part V-Revenues &amp; Expenses'!G13</f>
        <v>NA</v>
      </c>
      <c r="H460" s="2152">
        <f>'Part V-Revenues &amp; Expenses'!H13</f>
        <v>1498</v>
      </c>
      <c r="I460" s="2152">
        <f>'Part V-Revenues &amp; Expenses'!I13</f>
        <v>0</v>
      </c>
      <c r="J460" s="2152">
        <f>'Part V-Revenues &amp; Expenses'!J13</f>
        <v>0</v>
      </c>
      <c r="K460" s="2153">
        <f>'Part V-Revenues &amp; Expenses'!K13</f>
        <v>0</v>
      </c>
      <c r="L460" s="2154">
        <f t="shared" si="1"/>
        <v>1498</v>
      </c>
      <c r="M460" s="2154">
        <f t="shared" si="2"/>
        <v>23968</v>
      </c>
      <c r="N460" s="2225" t="str">
        <f>'Part V-Revenues &amp; Expenses'!N13</f>
        <v>No</v>
      </c>
      <c r="O460" s="1065" t="str">
        <f>'Part V-Revenues &amp; Expenses'!O13</f>
        <v>Row House/TH</v>
      </c>
      <c r="P460" s="2225" t="str">
        <f>'Part V-Revenues &amp; Expenses'!P13</f>
        <v>Acquisition/Rehab</v>
      </c>
      <c r="Q460" s="1574" t="str">
        <f>'Part V-Revenues &amp; Expenses'!Q13</f>
        <v>No</v>
      </c>
      <c r="R460" s="2356"/>
      <c r="S460" s="2357"/>
      <c r="T460" s="2358"/>
      <c r="U460" s="2358"/>
      <c r="V460" s="2358"/>
      <c r="W460" s="2358"/>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t="str">
        <f t="shared" si="20"/>
        <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t="str">
        <f t="shared" si="39"/>
        <v/>
      </c>
      <c r="BI460" s="261">
        <f t="shared" si="40"/>
        <v>16</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t="str">
        <f t="shared" si="135"/>
        <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t="str">
        <f t="shared" si="154"/>
        <v/>
      </c>
      <c r="FT460" s="261">
        <f t="shared" si="155"/>
        <v>14480</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t="str">
        <f t="shared" si="170"/>
        <v/>
      </c>
      <c r="GJ460" s="261" t="str">
        <f t="shared" si="171"/>
        <v/>
      </c>
      <c r="GK460" s="261" t="str">
        <f t="shared" si="172"/>
        <v/>
      </c>
      <c r="GL460" s="261" t="str">
        <f t="shared" si="173"/>
        <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f t="shared" si="190"/>
        <v>16</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575" t="str">
        <f t="shared" si="213"/>
        <v/>
      </c>
      <c r="IA460" s="1575" t="str">
        <f t="shared" si="214"/>
        <v/>
      </c>
      <c r="IB460" s="1575" t="str">
        <f t="shared" si="215"/>
        <v/>
      </c>
      <c r="IC460" s="1575" t="str">
        <f t="shared" si="216"/>
        <v/>
      </c>
      <c r="ID460" s="1575" t="str">
        <f t="shared" si="217"/>
        <v/>
      </c>
      <c r="IE460" s="1575" t="str">
        <f t="shared" si="218"/>
        <v/>
      </c>
      <c r="IF460" s="1575" t="str">
        <f t="shared" si="219"/>
        <v/>
      </c>
      <c r="IG460" s="1575" t="str">
        <f t="shared" si="220"/>
        <v/>
      </c>
      <c r="IH460" s="1575" t="str">
        <f t="shared" si="221"/>
        <v/>
      </c>
      <c r="II460" s="1575" t="str">
        <f t="shared" si="222"/>
        <v/>
      </c>
      <c r="IJ460" s="1575" t="str">
        <f t="shared" si="223"/>
        <v/>
      </c>
      <c r="IK460" s="1575" t="str">
        <f t="shared" si="224"/>
        <v/>
      </c>
      <c r="IL460" s="1575" t="str">
        <f t="shared" si="225"/>
        <v/>
      </c>
      <c r="IM460" s="1575" t="str">
        <f t="shared" si="226"/>
        <v/>
      </c>
      <c r="IN460" s="1575" t="str">
        <f t="shared" si="227"/>
        <v/>
      </c>
      <c r="IO460" s="1575" t="str">
        <f t="shared" si="228"/>
        <v/>
      </c>
      <c r="IP460" s="1575" t="str">
        <f t="shared" si="229"/>
        <v/>
      </c>
      <c r="IQ460" s="1575" t="str">
        <f t="shared" si="230"/>
        <v/>
      </c>
      <c r="IR460" s="1575" t="str">
        <f t="shared" si="231"/>
        <v/>
      </c>
      <c r="IS460" s="1575" t="str">
        <f t="shared" si="232"/>
        <v/>
      </c>
      <c r="IT460" s="1575" t="str">
        <f t="shared" si="233"/>
        <v/>
      </c>
      <c r="IU460" s="1575" t="str">
        <f t="shared" si="234"/>
        <v/>
      </c>
      <c r="IV460" s="1575" t="str">
        <f t="shared" si="235"/>
        <v/>
      </c>
      <c r="IW460" s="1575" t="str">
        <f t="shared" si="236"/>
        <v/>
      </c>
      <c r="IX460" s="1575" t="str">
        <f t="shared" si="237"/>
        <v/>
      </c>
      <c r="IY460" s="1575" t="str">
        <f t="shared" si="238"/>
        <v/>
      </c>
      <c r="IZ460" s="1575" t="str">
        <f t="shared" si="239"/>
        <v/>
      </c>
      <c r="JA460" s="1575" t="str">
        <f t="shared" si="240"/>
        <v/>
      </c>
      <c r="JB460" s="1575" t="str">
        <f t="shared" si="241"/>
        <v/>
      </c>
      <c r="JC460" s="1575" t="str">
        <f t="shared" si="242"/>
        <v/>
      </c>
      <c r="JD460" s="1575" t="str">
        <f t="shared" si="243"/>
        <v/>
      </c>
      <c r="JE460" s="1575" t="str">
        <f t="shared" si="244"/>
        <v/>
      </c>
      <c r="JF460" s="1575" t="str">
        <f t="shared" si="245"/>
        <v/>
      </c>
      <c r="JG460" s="1575" t="str">
        <f t="shared" si="246"/>
        <v/>
      </c>
      <c r="JH460" s="1575" t="str">
        <f t="shared" si="247"/>
        <v/>
      </c>
      <c r="JI460" s="1575" t="str">
        <f t="shared" si="248"/>
        <v/>
      </c>
      <c r="JJ460" s="1575" t="str">
        <f t="shared" si="249"/>
        <v/>
      </c>
      <c r="JK460" s="1575">
        <f t="shared" si="250"/>
        <v>16</v>
      </c>
      <c r="JL460" s="1575" t="str">
        <f t="shared" si="251"/>
        <v/>
      </c>
      <c r="JM460" s="1575" t="str">
        <f t="shared" si="252"/>
        <v/>
      </c>
      <c r="JN460" s="1575" t="str">
        <f t="shared" si="253"/>
        <v/>
      </c>
      <c r="JO460" s="1575" t="str">
        <f t="shared" si="254"/>
        <v/>
      </c>
      <c r="JP460" s="1575" t="str">
        <f t="shared" si="255"/>
        <v/>
      </c>
      <c r="JQ460" s="1575" t="str">
        <f t="shared" si="256"/>
        <v/>
      </c>
      <c r="JR460" s="1575" t="str">
        <f t="shared" si="257"/>
        <v/>
      </c>
      <c r="JS460" s="1575" t="str">
        <f t="shared" si="258"/>
        <v/>
      </c>
      <c r="JT460" s="1575" t="str">
        <f t="shared" si="259"/>
        <v/>
      </c>
      <c r="JU460" s="1575" t="str">
        <f t="shared" si="260"/>
        <v/>
      </c>
      <c r="JV460" s="1575" t="str">
        <f t="shared" si="261"/>
        <v/>
      </c>
      <c r="JW460" s="1575" t="str">
        <f t="shared" si="262"/>
        <v/>
      </c>
      <c r="JX460" s="1575" t="str">
        <f t="shared" si="263"/>
        <v/>
      </c>
      <c r="JY460" s="1575" t="str">
        <f t="shared" si="264"/>
        <v/>
      </c>
      <c r="JZ460" s="1575" t="str">
        <f t="shared" si="265"/>
        <v/>
      </c>
      <c r="KA460" s="1575" t="str">
        <f t="shared" si="266"/>
        <v/>
      </c>
      <c r="KB460" s="1575" t="str">
        <f t="shared" si="267"/>
        <v/>
      </c>
      <c r="KC460" s="1575" t="str">
        <f t="shared" si="268"/>
        <v/>
      </c>
      <c r="KD460" s="1575" t="str">
        <f t="shared" si="269"/>
        <v/>
      </c>
      <c r="KE460" s="1575" t="str">
        <f t="shared" si="270"/>
        <v/>
      </c>
      <c r="KF460" s="1575" t="str">
        <f t="shared" si="271"/>
        <v/>
      </c>
      <c r="KG460" s="1575" t="str">
        <f t="shared" si="272"/>
        <v/>
      </c>
      <c r="KH460" s="1575" t="str">
        <f t="shared" si="273"/>
        <v/>
      </c>
      <c r="KI460" s="1575" t="str">
        <f t="shared" si="274"/>
        <v/>
      </c>
      <c r="KJ460" s="1575" t="str">
        <f t="shared" si="275"/>
        <v/>
      </c>
      <c r="KK460" s="1575" t="str">
        <f t="shared" si="276"/>
        <v/>
      </c>
      <c r="KL460" s="1575" t="str">
        <f t="shared" si="277"/>
        <v/>
      </c>
      <c r="KM460" s="1575" t="str">
        <f t="shared" si="278"/>
        <v/>
      </c>
      <c r="KN460" s="1575" t="str">
        <f t="shared" si="279"/>
        <v/>
      </c>
      <c r="KO460" s="1575" t="str">
        <f t="shared" si="280"/>
        <v/>
      </c>
      <c r="KP460" s="1575" t="str">
        <f t="shared" si="281"/>
        <v/>
      </c>
      <c r="KQ460" s="1575" t="str">
        <f t="shared" si="282"/>
        <v/>
      </c>
      <c r="KR460" s="1575" t="str">
        <f t="shared" si="283"/>
        <v/>
      </c>
      <c r="KS460" s="1575" t="str">
        <f t="shared" si="284"/>
        <v/>
      </c>
      <c r="KT460" s="1575" t="str">
        <f t="shared" si="285"/>
        <v/>
      </c>
      <c r="KU460" s="1575" t="str">
        <f t="shared" si="286"/>
        <v/>
      </c>
      <c r="KV460" s="1575" t="str">
        <f t="shared" si="287"/>
        <v/>
      </c>
      <c r="KW460" s="1575" t="str">
        <f t="shared" si="288"/>
        <v/>
      </c>
      <c r="KX460" s="1575" t="str">
        <f t="shared" si="289"/>
        <v/>
      </c>
      <c r="KY460" s="1575" t="str">
        <f t="shared" si="290"/>
        <v/>
      </c>
      <c r="KZ460" s="1575" t="str">
        <f t="shared" si="291"/>
        <v/>
      </c>
      <c r="LA460" s="1575" t="str">
        <f t="shared" si="292"/>
        <v/>
      </c>
      <c r="LB460" s="1575" t="str">
        <f t="shared" si="293"/>
        <v/>
      </c>
      <c r="LC460" s="1575" t="str">
        <f t="shared" si="294"/>
        <v/>
      </c>
      <c r="LD460" s="1575" t="str">
        <f t="shared" si="295"/>
        <v/>
      </c>
      <c r="LE460" s="1575" t="str">
        <f t="shared" si="296"/>
        <v/>
      </c>
      <c r="LF460" s="1575" t="str">
        <f t="shared" si="297"/>
        <v/>
      </c>
      <c r="LG460" s="1564" t="str">
        <f t="shared" si="298"/>
        <v/>
      </c>
      <c r="LH460" s="1564" t="str">
        <f t="shared" si="299"/>
        <v/>
      </c>
      <c r="LI460" s="1564" t="str">
        <f t="shared" si="300"/>
        <v/>
      </c>
      <c r="LJ460" s="1564" t="str">
        <f t="shared" si="301"/>
        <v/>
      </c>
      <c r="LK460" s="1564"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441">
        <f t="shared" si="323"/>
        <v>0</v>
      </c>
      <c r="MG460" s="1441">
        <f t="shared" si="324"/>
        <v>0</v>
      </c>
      <c r="MH460" s="1441">
        <f t="shared" si="325"/>
        <v>16</v>
      </c>
      <c r="MI460" s="1441">
        <f t="shared" si="326"/>
        <v>0</v>
      </c>
      <c r="MJ460" s="1441">
        <f t="shared" si="327"/>
        <v>0</v>
      </c>
      <c r="MK460" s="1441">
        <f t="shared" si="333"/>
        <v>0</v>
      </c>
      <c r="ML460" s="1441">
        <f t="shared" si="334"/>
        <v>0</v>
      </c>
      <c r="MM460" s="1441">
        <f t="shared" si="335"/>
        <v>0</v>
      </c>
      <c r="MN460" s="1441">
        <f t="shared" si="336"/>
        <v>0</v>
      </c>
      <c r="MO460" s="1441">
        <f t="shared" si="337"/>
        <v>0</v>
      </c>
      <c r="MP460" s="1441">
        <f t="shared" si="328"/>
        <v>0</v>
      </c>
      <c r="MQ460" s="1441">
        <f t="shared" si="329"/>
        <v>0</v>
      </c>
      <c r="MR460" s="1441">
        <f t="shared" si="330"/>
        <v>0</v>
      </c>
      <c r="MS460" s="1441">
        <f t="shared" si="331"/>
        <v>0</v>
      </c>
      <c r="MT460" s="1441">
        <f t="shared" si="332"/>
        <v>0</v>
      </c>
      <c r="NP460" s="261" t="s">
        <v>1114</v>
      </c>
    </row>
    <row r="461" spans="1:380" ht="13.9" customHeight="1">
      <c r="A461" s="2330" t="str">
        <f t="shared" si="0"/>
        <v/>
      </c>
      <c r="B461" s="2149" t="str">
        <f>'Part V-Revenues &amp; Expenses'!B14</f>
        <v>Unrestricted</v>
      </c>
      <c r="C461" s="2150">
        <f>'Part V-Revenues &amp; Expenses'!C14</f>
        <v>2</v>
      </c>
      <c r="D461" s="2151">
        <f>'Part V-Revenues &amp; Expenses'!D14</f>
        <v>1.5</v>
      </c>
      <c r="E461" s="2152">
        <f>'Part V-Revenues &amp; Expenses'!E14</f>
        <v>11</v>
      </c>
      <c r="F461" s="2152">
        <f>'Part V-Revenues &amp; Expenses'!F14</f>
        <v>1107</v>
      </c>
      <c r="G461" s="2152" t="str">
        <f>'Part V-Revenues &amp; Expenses'!G14</f>
        <v>NA</v>
      </c>
      <c r="H461" s="2152">
        <f>'Part V-Revenues &amp; Expenses'!H14</f>
        <v>1525</v>
      </c>
      <c r="I461" s="2152">
        <f>'Part V-Revenues &amp; Expenses'!I14</f>
        <v>0</v>
      </c>
      <c r="J461" s="2152">
        <f>'Part V-Revenues &amp; Expenses'!J14</f>
        <v>0</v>
      </c>
      <c r="K461" s="2153">
        <f>'Part V-Revenues &amp; Expenses'!K14</f>
        <v>0</v>
      </c>
      <c r="L461" s="2154">
        <f t="shared" si="1"/>
        <v>1525</v>
      </c>
      <c r="M461" s="2154">
        <f t="shared" si="2"/>
        <v>16775</v>
      </c>
      <c r="N461" s="2225" t="str">
        <f>'Part V-Revenues &amp; Expenses'!N14</f>
        <v>No</v>
      </c>
      <c r="O461" s="1065" t="str">
        <f>'Part V-Revenues &amp; Expenses'!O14</f>
        <v>Row House/TH</v>
      </c>
      <c r="P461" s="2225" t="str">
        <f>'Part V-Revenues &amp; Expenses'!P14</f>
        <v>Acquisition/Rehab</v>
      </c>
      <c r="Q461" s="1574" t="str">
        <f>'Part V-Revenues &amp; Expenses'!Q14</f>
        <v>No</v>
      </c>
      <c r="R461" s="2356"/>
      <c r="S461" s="2357"/>
      <c r="T461" s="2358"/>
      <c r="U461" s="2358"/>
      <c r="V461" s="2358"/>
      <c r="W461" s="2358"/>
      <c r="X461" s="261" t="str">
        <f t="shared" si="3"/>
        <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f t="shared" si="40"/>
        <v>11</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f t="shared" si="155"/>
        <v>12177</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t="str">
        <f t="shared" si="170"/>
        <v/>
      </c>
      <c r="GJ461" s="261" t="str">
        <f t="shared" si="171"/>
        <v/>
      </c>
      <c r="GK461" s="261" t="str">
        <f t="shared" si="172"/>
        <v/>
      </c>
      <c r="GL461" s="261" t="str">
        <f t="shared" si="173"/>
        <v/>
      </c>
      <c r="GM461" s="261" t="str">
        <f t="shared" si="174"/>
        <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f t="shared" si="190"/>
        <v>11</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575" t="str">
        <f t="shared" si="213"/>
        <v/>
      </c>
      <c r="IA461" s="1575" t="str">
        <f t="shared" si="214"/>
        <v/>
      </c>
      <c r="IB461" s="1575" t="str">
        <f t="shared" si="215"/>
        <v/>
      </c>
      <c r="IC461" s="1575" t="str">
        <f t="shared" si="216"/>
        <v/>
      </c>
      <c r="ID461" s="1575" t="str">
        <f t="shared" si="217"/>
        <v/>
      </c>
      <c r="IE461" s="1575" t="str">
        <f t="shared" si="218"/>
        <v/>
      </c>
      <c r="IF461" s="1575" t="str">
        <f t="shared" si="219"/>
        <v/>
      </c>
      <c r="IG461" s="1575" t="str">
        <f t="shared" si="220"/>
        <v/>
      </c>
      <c r="IH461" s="1575" t="str">
        <f t="shared" si="221"/>
        <v/>
      </c>
      <c r="II461" s="1575" t="str">
        <f t="shared" si="222"/>
        <v/>
      </c>
      <c r="IJ461" s="1575" t="str">
        <f t="shared" si="223"/>
        <v/>
      </c>
      <c r="IK461" s="1575" t="str">
        <f t="shared" si="224"/>
        <v/>
      </c>
      <c r="IL461" s="1575" t="str">
        <f t="shared" si="225"/>
        <v/>
      </c>
      <c r="IM461" s="1575" t="str">
        <f t="shared" si="226"/>
        <v/>
      </c>
      <c r="IN461" s="1575" t="str">
        <f t="shared" si="227"/>
        <v/>
      </c>
      <c r="IO461" s="1575" t="str">
        <f t="shared" si="228"/>
        <v/>
      </c>
      <c r="IP461" s="1575" t="str">
        <f t="shared" si="229"/>
        <v/>
      </c>
      <c r="IQ461" s="1575" t="str">
        <f t="shared" si="230"/>
        <v/>
      </c>
      <c r="IR461" s="1575" t="str">
        <f t="shared" si="231"/>
        <v/>
      </c>
      <c r="IS461" s="1575" t="str">
        <f t="shared" si="232"/>
        <v/>
      </c>
      <c r="IT461" s="1575" t="str">
        <f t="shared" si="233"/>
        <v/>
      </c>
      <c r="IU461" s="1575" t="str">
        <f t="shared" si="234"/>
        <v/>
      </c>
      <c r="IV461" s="1575" t="str">
        <f t="shared" si="235"/>
        <v/>
      </c>
      <c r="IW461" s="1575" t="str">
        <f t="shared" si="236"/>
        <v/>
      </c>
      <c r="IX461" s="1575" t="str">
        <f t="shared" si="237"/>
        <v/>
      </c>
      <c r="IY461" s="1575" t="str">
        <f t="shared" si="238"/>
        <v/>
      </c>
      <c r="IZ461" s="1575" t="str">
        <f t="shared" si="239"/>
        <v/>
      </c>
      <c r="JA461" s="1575" t="str">
        <f t="shared" si="240"/>
        <v/>
      </c>
      <c r="JB461" s="1575" t="str">
        <f t="shared" si="241"/>
        <v/>
      </c>
      <c r="JC461" s="1575" t="str">
        <f t="shared" si="242"/>
        <v/>
      </c>
      <c r="JD461" s="1575" t="str">
        <f t="shared" si="243"/>
        <v/>
      </c>
      <c r="JE461" s="1575" t="str">
        <f t="shared" si="244"/>
        <v/>
      </c>
      <c r="JF461" s="1575" t="str">
        <f t="shared" si="245"/>
        <v/>
      </c>
      <c r="JG461" s="1575" t="str">
        <f t="shared" si="246"/>
        <v/>
      </c>
      <c r="JH461" s="1575" t="str">
        <f t="shared" si="247"/>
        <v/>
      </c>
      <c r="JI461" s="1575" t="str">
        <f t="shared" si="248"/>
        <v/>
      </c>
      <c r="JJ461" s="1575" t="str">
        <f t="shared" si="249"/>
        <v/>
      </c>
      <c r="JK461" s="1575">
        <f t="shared" si="250"/>
        <v>11</v>
      </c>
      <c r="JL461" s="1575" t="str">
        <f t="shared" si="251"/>
        <v/>
      </c>
      <c r="JM461" s="1575" t="str">
        <f t="shared" si="252"/>
        <v/>
      </c>
      <c r="JN461" s="1575" t="str">
        <f t="shared" si="253"/>
        <v/>
      </c>
      <c r="JO461" s="1575" t="str">
        <f t="shared" si="254"/>
        <v/>
      </c>
      <c r="JP461" s="1575" t="str">
        <f t="shared" si="255"/>
        <v/>
      </c>
      <c r="JQ461" s="1575" t="str">
        <f t="shared" si="256"/>
        <v/>
      </c>
      <c r="JR461" s="1575" t="str">
        <f t="shared" si="257"/>
        <v/>
      </c>
      <c r="JS461" s="1575" t="str">
        <f t="shared" si="258"/>
        <v/>
      </c>
      <c r="JT461" s="1575" t="str">
        <f t="shared" si="259"/>
        <v/>
      </c>
      <c r="JU461" s="1575" t="str">
        <f t="shared" si="260"/>
        <v/>
      </c>
      <c r="JV461" s="1575" t="str">
        <f t="shared" si="261"/>
        <v/>
      </c>
      <c r="JW461" s="1575" t="str">
        <f t="shared" si="262"/>
        <v/>
      </c>
      <c r="JX461" s="1575" t="str">
        <f t="shared" si="263"/>
        <v/>
      </c>
      <c r="JY461" s="1575" t="str">
        <f t="shared" si="264"/>
        <v/>
      </c>
      <c r="JZ461" s="1575" t="str">
        <f t="shared" si="265"/>
        <v/>
      </c>
      <c r="KA461" s="1575" t="str">
        <f t="shared" si="266"/>
        <v/>
      </c>
      <c r="KB461" s="1575" t="str">
        <f t="shared" si="267"/>
        <v/>
      </c>
      <c r="KC461" s="1575" t="str">
        <f t="shared" si="268"/>
        <v/>
      </c>
      <c r="KD461" s="1575" t="str">
        <f t="shared" si="269"/>
        <v/>
      </c>
      <c r="KE461" s="1575" t="str">
        <f t="shared" si="270"/>
        <v/>
      </c>
      <c r="KF461" s="1575" t="str">
        <f t="shared" si="271"/>
        <v/>
      </c>
      <c r="KG461" s="1575" t="str">
        <f t="shared" si="272"/>
        <v/>
      </c>
      <c r="KH461" s="1575" t="str">
        <f t="shared" si="273"/>
        <v/>
      </c>
      <c r="KI461" s="1575" t="str">
        <f t="shared" si="274"/>
        <v/>
      </c>
      <c r="KJ461" s="1575" t="str">
        <f t="shared" si="275"/>
        <v/>
      </c>
      <c r="KK461" s="1575" t="str">
        <f t="shared" si="276"/>
        <v/>
      </c>
      <c r="KL461" s="1575" t="str">
        <f t="shared" si="277"/>
        <v/>
      </c>
      <c r="KM461" s="1575" t="str">
        <f t="shared" si="278"/>
        <v/>
      </c>
      <c r="KN461" s="1575" t="str">
        <f t="shared" si="279"/>
        <v/>
      </c>
      <c r="KO461" s="1575" t="str">
        <f t="shared" si="280"/>
        <v/>
      </c>
      <c r="KP461" s="1575" t="str">
        <f t="shared" si="281"/>
        <v/>
      </c>
      <c r="KQ461" s="1575" t="str">
        <f t="shared" si="282"/>
        <v/>
      </c>
      <c r="KR461" s="1575" t="str">
        <f t="shared" si="283"/>
        <v/>
      </c>
      <c r="KS461" s="1575" t="str">
        <f t="shared" si="284"/>
        <v/>
      </c>
      <c r="KT461" s="1575" t="str">
        <f t="shared" si="285"/>
        <v/>
      </c>
      <c r="KU461" s="1575" t="str">
        <f t="shared" si="286"/>
        <v/>
      </c>
      <c r="KV461" s="1575" t="str">
        <f t="shared" si="287"/>
        <v/>
      </c>
      <c r="KW461" s="1575" t="str">
        <f t="shared" si="288"/>
        <v/>
      </c>
      <c r="KX461" s="1575" t="str">
        <f t="shared" si="289"/>
        <v/>
      </c>
      <c r="KY461" s="1575" t="str">
        <f t="shared" si="290"/>
        <v/>
      </c>
      <c r="KZ461" s="1575" t="str">
        <f t="shared" si="291"/>
        <v/>
      </c>
      <c r="LA461" s="1575" t="str">
        <f t="shared" si="292"/>
        <v/>
      </c>
      <c r="LB461" s="1575" t="str">
        <f t="shared" si="293"/>
        <v/>
      </c>
      <c r="LC461" s="1575" t="str">
        <f t="shared" si="294"/>
        <v/>
      </c>
      <c r="LD461" s="1575" t="str">
        <f t="shared" si="295"/>
        <v/>
      </c>
      <c r="LE461" s="1575" t="str">
        <f t="shared" si="296"/>
        <v/>
      </c>
      <c r="LF461" s="1575" t="str">
        <f t="shared" si="297"/>
        <v/>
      </c>
      <c r="LG461" s="1564" t="str">
        <f t="shared" si="298"/>
        <v/>
      </c>
      <c r="LH461" s="1564" t="str">
        <f t="shared" si="299"/>
        <v/>
      </c>
      <c r="LI461" s="1564" t="str">
        <f t="shared" si="300"/>
        <v/>
      </c>
      <c r="LJ461" s="1564" t="str">
        <f t="shared" si="301"/>
        <v/>
      </c>
      <c r="LK461" s="1564"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441">
        <f t="shared" si="323"/>
        <v>0</v>
      </c>
      <c r="MG461" s="1441">
        <f t="shared" si="324"/>
        <v>0</v>
      </c>
      <c r="MH461" s="1441">
        <f t="shared" si="325"/>
        <v>11</v>
      </c>
      <c r="MI461" s="1441">
        <f t="shared" si="326"/>
        <v>0</v>
      </c>
      <c r="MJ461" s="1441">
        <f t="shared" si="327"/>
        <v>0</v>
      </c>
      <c r="MK461" s="1441">
        <f t="shared" si="333"/>
        <v>0</v>
      </c>
      <c r="ML461" s="1441">
        <f t="shared" si="334"/>
        <v>0</v>
      </c>
      <c r="MM461" s="1441">
        <f t="shared" si="335"/>
        <v>0</v>
      </c>
      <c r="MN461" s="1441">
        <f t="shared" si="336"/>
        <v>0</v>
      </c>
      <c r="MO461" s="1441">
        <f t="shared" si="337"/>
        <v>0</v>
      </c>
      <c r="MP461" s="1441">
        <f t="shared" si="328"/>
        <v>0</v>
      </c>
      <c r="MQ461" s="1441">
        <f t="shared" si="329"/>
        <v>0</v>
      </c>
      <c r="MR461" s="1441">
        <f t="shared" si="330"/>
        <v>0</v>
      </c>
      <c r="MS461" s="1441">
        <f t="shared" si="331"/>
        <v>0</v>
      </c>
      <c r="MT461" s="1441">
        <f t="shared" si="332"/>
        <v>0</v>
      </c>
      <c r="NP461" s="261" t="s">
        <v>1115</v>
      </c>
    </row>
    <row r="462" spans="1:380" ht="13.9" customHeight="1">
      <c r="A462" s="2330" t="str">
        <f t="shared" si="0"/>
        <v/>
      </c>
      <c r="B462" s="2149" t="str">
        <f>'Part V-Revenues &amp; Expenses'!B15</f>
        <v>Unrestricted</v>
      </c>
      <c r="C462" s="2150">
        <f>'Part V-Revenues &amp; Expenses'!C15</f>
        <v>2</v>
      </c>
      <c r="D462" s="2151">
        <f>'Part V-Revenues &amp; Expenses'!D15</f>
        <v>2</v>
      </c>
      <c r="E462" s="2152">
        <f>'Part V-Revenues &amp; Expenses'!E15</f>
        <v>12</v>
      </c>
      <c r="F462" s="2152">
        <f>'Part V-Revenues &amp; Expenses'!F15</f>
        <v>1188</v>
      </c>
      <c r="G462" s="2152" t="str">
        <f>'Part V-Revenues &amp; Expenses'!G15</f>
        <v>NA</v>
      </c>
      <c r="H462" s="2152">
        <f>'Part V-Revenues &amp; Expenses'!H15</f>
        <v>1702</v>
      </c>
      <c r="I462" s="2152">
        <f>'Part V-Revenues &amp; Expenses'!I15</f>
        <v>0</v>
      </c>
      <c r="J462" s="2152">
        <f>'Part V-Revenues &amp; Expenses'!J15</f>
        <v>0</v>
      </c>
      <c r="K462" s="2153">
        <f>'Part V-Revenues &amp; Expenses'!K15</f>
        <v>0</v>
      </c>
      <c r="L462" s="2154">
        <f t="shared" si="1"/>
        <v>1702</v>
      </c>
      <c r="M462" s="2154">
        <f t="shared" si="2"/>
        <v>20424</v>
      </c>
      <c r="N462" s="2225" t="str">
        <f>'Part V-Revenues &amp; Expenses'!N15</f>
        <v>No</v>
      </c>
      <c r="O462" s="1065" t="str">
        <f>'Part V-Revenues &amp; Expenses'!O15</f>
        <v>Low-Rise Apt</v>
      </c>
      <c r="P462" s="2225" t="str">
        <f>'Part V-Revenues &amp; Expenses'!P15</f>
        <v>Acquisition/Rehab</v>
      </c>
      <c r="Q462" s="1574" t="str">
        <f>'Part V-Revenues &amp; Expenses'!Q15</f>
        <v>No</v>
      </c>
      <c r="R462" s="2356"/>
      <c r="S462" s="2357"/>
      <c r="T462" s="2358"/>
      <c r="U462" s="2358"/>
      <c r="V462" s="2358"/>
      <c r="W462" s="2358"/>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f t="shared" si="40"/>
        <v>12</v>
      </c>
      <c r="BJ462" s="261" t="str">
        <f t="shared" si="41"/>
        <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f t="shared" si="155"/>
        <v>14256</v>
      </c>
      <c r="FU462" s="261" t="str">
        <f t="shared" si="156"/>
        <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t="str">
        <f t="shared" si="170"/>
        <v/>
      </c>
      <c r="GJ462" s="261" t="str">
        <f t="shared" si="171"/>
        <v/>
      </c>
      <c r="GK462" s="261" t="str">
        <f t="shared" si="172"/>
        <v/>
      </c>
      <c r="GL462" s="261" t="str">
        <f t="shared" si="173"/>
        <v/>
      </c>
      <c r="GM462" s="261" t="str">
        <f t="shared" si="174"/>
        <v/>
      </c>
      <c r="GN462" s="261" t="str">
        <f t="shared" si="175"/>
        <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f t="shared" si="190"/>
        <v>12</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575" t="str">
        <f t="shared" si="213"/>
        <v/>
      </c>
      <c r="IA462" s="1575" t="str">
        <f t="shared" si="214"/>
        <v/>
      </c>
      <c r="IB462" s="1575">
        <f t="shared" si="215"/>
        <v>12</v>
      </c>
      <c r="IC462" s="1575" t="str">
        <f t="shared" si="216"/>
        <v/>
      </c>
      <c r="ID462" s="1575" t="str">
        <f t="shared" si="217"/>
        <v/>
      </c>
      <c r="IE462" s="1575" t="str">
        <f t="shared" si="218"/>
        <v/>
      </c>
      <c r="IF462" s="1575" t="str">
        <f t="shared" si="219"/>
        <v/>
      </c>
      <c r="IG462" s="1575" t="str">
        <f t="shared" si="220"/>
        <v/>
      </c>
      <c r="IH462" s="1575" t="str">
        <f t="shared" si="221"/>
        <v/>
      </c>
      <c r="II462" s="1575" t="str">
        <f t="shared" si="222"/>
        <v/>
      </c>
      <c r="IJ462" s="1575" t="str">
        <f t="shared" si="223"/>
        <v/>
      </c>
      <c r="IK462" s="1575" t="str">
        <f t="shared" si="224"/>
        <v/>
      </c>
      <c r="IL462" s="1575" t="str">
        <f t="shared" si="225"/>
        <v/>
      </c>
      <c r="IM462" s="1575" t="str">
        <f t="shared" si="226"/>
        <v/>
      </c>
      <c r="IN462" s="1575" t="str">
        <f t="shared" si="227"/>
        <v/>
      </c>
      <c r="IO462" s="1575" t="str">
        <f t="shared" si="228"/>
        <v/>
      </c>
      <c r="IP462" s="1575" t="str">
        <f t="shared" si="229"/>
        <v/>
      </c>
      <c r="IQ462" s="1575" t="str">
        <f t="shared" si="230"/>
        <v/>
      </c>
      <c r="IR462" s="1575" t="str">
        <f t="shared" si="231"/>
        <v/>
      </c>
      <c r="IS462" s="1575" t="str">
        <f t="shared" si="232"/>
        <v/>
      </c>
      <c r="IT462" s="1575" t="str">
        <f t="shared" si="233"/>
        <v/>
      </c>
      <c r="IU462" s="1575" t="str">
        <f t="shared" si="234"/>
        <v/>
      </c>
      <c r="IV462" s="1575" t="str">
        <f t="shared" si="235"/>
        <v/>
      </c>
      <c r="IW462" s="1575" t="str">
        <f t="shared" si="236"/>
        <v/>
      </c>
      <c r="IX462" s="1575" t="str">
        <f t="shared" si="237"/>
        <v/>
      </c>
      <c r="IY462" s="1575" t="str">
        <f t="shared" si="238"/>
        <v/>
      </c>
      <c r="IZ462" s="1575" t="str">
        <f t="shared" si="239"/>
        <v/>
      </c>
      <c r="JA462" s="1575" t="str">
        <f t="shared" si="240"/>
        <v/>
      </c>
      <c r="JB462" s="1575" t="str">
        <f t="shared" si="241"/>
        <v/>
      </c>
      <c r="JC462" s="1575" t="str">
        <f t="shared" si="242"/>
        <v/>
      </c>
      <c r="JD462" s="1575" t="str">
        <f t="shared" si="243"/>
        <v/>
      </c>
      <c r="JE462" s="1575" t="str">
        <f t="shared" si="244"/>
        <v/>
      </c>
      <c r="JF462" s="1575" t="str">
        <f t="shared" si="245"/>
        <v/>
      </c>
      <c r="JG462" s="1575" t="str">
        <f t="shared" si="246"/>
        <v/>
      </c>
      <c r="JH462" s="1575" t="str">
        <f t="shared" si="247"/>
        <v/>
      </c>
      <c r="JI462" s="1575" t="str">
        <f t="shared" si="248"/>
        <v/>
      </c>
      <c r="JJ462" s="1575" t="str">
        <f t="shared" si="249"/>
        <v/>
      </c>
      <c r="JK462" s="1575" t="str">
        <f t="shared" si="250"/>
        <v/>
      </c>
      <c r="JL462" s="1575" t="str">
        <f t="shared" si="251"/>
        <v/>
      </c>
      <c r="JM462" s="1575" t="str">
        <f t="shared" si="252"/>
        <v/>
      </c>
      <c r="JN462" s="1575" t="str">
        <f t="shared" si="253"/>
        <v/>
      </c>
      <c r="JO462" s="1575" t="str">
        <f t="shared" si="254"/>
        <v/>
      </c>
      <c r="JP462" s="1575" t="str">
        <f t="shared" si="255"/>
        <v/>
      </c>
      <c r="JQ462" s="1575" t="str">
        <f t="shared" si="256"/>
        <v/>
      </c>
      <c r="JR462" s="1575" t="str">
        <f t="shared" si="257"/>
        <v/>
      </c>
      <c r="JS462" s="1575" t="str">
        <f t="shared" si="258"/>
        <v/>
      </c>
      <c r="JT462" s="1575" t="str">
        <f t="shared" si="259"/>
        <v/>
      </c>
      <c r="JU462" s="1575">
        <f t="shared" si="260"/>
        <v>12</v>
      </c>
      <c r="JV462" s="1575" t="str">
        <f t="shared" si="261"/>
        <v/>
      </c>
      <c r="JW462" s="1575" t="str">
        <f t="shared" si="262"/>
        <v/>
      </c>
      <c r="JX462" s="1575" t="str">
        <f t="shared" si="263"/>
        <v/>
      </c>
      <c r="JY462" s="1575" t="str">
        <f t="shared" si="264"/>
        <v/>
      </c>
      <c r="JZ462" s="1575" t="str">
        <f t="shared" si="265"/>
        <v/>
      </c>
      <c r="KA462" s="1575" t="str">
        <f t="shared" si="266"/>
        <v/>
      </c>
      <c r="KB462" s="1575" t="str">
        <f t="shared" si="267"/>
        <v/>
      </c>
      <c r="KC462" s="1575" t="str">
        <f t="shared" si="268"/>
        <v/>
      </c>
      <c r="KD462" s="1575" t="str">
        <f t="shared" si="269"/>
        <v/>
      </c>
      <c r="KE462" s="1575" t="str">
        <f t="shared" si="270"/>
        <v/>
      </c>
      <c r="KF462" s="1575" t="str">
        <f t="shared" si="271"/>
        <v/>
      </c>
      <c r="KG462" s="1575" t="str">
        <f t="shared" si="272"/>
        <v/>
      </c>
      <c r="KH462" s="1575" t="str">
        <f t="shared" si="273"/>
        <v/>
      </c>
      <c r="KI462" s="1575" t="str">
        <f t="shared" si="274"/>
        <v/>
      </c>
      <c r="KJ462" s="1575" t="str">
        <f t="shared" si="275"/>
        <v/>
      </c>
      <c r="KK462" s="1575" t="str">
        <f t="shared" si="276"/>
        <v/>
      </c>
      <c r="KL462" s="1575" t="str">
        <f t="shared" si="277"/>
        <v/>
      </c>
      <c r="KM462" s="1575" t="str">
        <f t="shared" si="278"/>
        <v/>
      </c>
      <c r="KN462" s="1575" t="str">
        <f t="shared" si="279"/>
        <v/>
      </c>
      <c r="KO462" s="1575" t="str">
        <f t="shared" si="280"/>
        <v/>
      </c>
      <c r="KP462" s="1575" t="str">
        <f t="shared" si="281"/>
        <v/>
      </c>
      <c r="KQ462" s="1575" t="str">
        <f t="shared" si="282"/>
        <v/>
      </c>
      <c r="KR462" s="1575" t="str">
        <f t="shared" si="283"/>
        <v/>
      </c>
      <c r="KS462" s="1575" t="str">
        <f t="shared" si="284"/>
        <v/>
      </c>
      <c r="KT462" s="1575" t="str">
        <f t="shared" si="285"/>
        <v/>
      </c>
      <c r="KU462" s="1575" t="str">
        <f t="shared" si="286"/>
        <v/>
      </c>
      <c r="KV462" s="1575" t="str">
        <f t="shared" si="287"/>
        <v/>
      </c>
      <c r="KW462" s="1575" t="str">
        <f t="shared" si="288"/>
        <v/>
      </c>
      <c r="KX462" s="1575" t="str">
        <f t="shared" si="289"/>
        <v/>
      </c>
      <c r="KY462" s="1575" t="str">
        <f t="shared" si="290"/>
        <v/>
      </c>
      <c r="KZ462" s="1575" t="str">
        <f t="shared" si="291"/>
        <v/>
      </c>
      <c r="LA462" s="1575" t="str">
        <f t="shared" si="292"/>
        <v/>
      </c>
      <c r="LB462" s="1575" t="str">
        <f t="shared" si="293"/>
        <v/>
      </c>
      <c r="LC462" s="1575" t="str">
        <f t="shared" si="294"/>
        <v/>
      </c>
      <c r="LD462" s="1575" t="str">
        <f t="shared" si="295"/>
        <v/>
      </c>
      <c r="LE462" s="1575" t="str">
        <f t="shared" si="296"/>
        <v/>
      </c>
      <c r="LF462" s="1575" t="str">
        <f t="shared" si="297"/>
        <v/>
      </c>
      <c r="LG462" s="1564" t="str">
        <f t="shared" si="298"/>
        <v/>
      </c>
      <c r="LH462" s="1564" t="str">
        <f t="shared" si="299"/>
        <v/>
      </c>
      <c r="LI462" s="1564" t="str">
        <f t="shared" si="300"/>
        <v/>
      </c>
      <c r="LJ462" s="1564" t="str">
        <f t="shared" si="301"/>
        <v/>
      </c>
      <c r="LK462" s="1564"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441">
        <f t="shared" si="323"/>
        <v>0</v>
      </c>
      <c r="MG462" s="1441">
        <f t="shared" si="324"/>
        <v>0</v>
      </c>
      <c r="MH462" s="1441">
        <f t="shared" si="325"/>
        <v>12</v>
      </c>
      <c r="MI462" s="1441">
        <f t="shared" si="326"/>
        <v>0</v>
      </c>
      <c r="MJ462" s="1441">
        <f t="shared" si="327"/>
        <v>0</v>
      </c>
      <c r="MK462" s="1441">
        <f t="shared" si="333"/>
        <v>0</v>
      </c>
      <c r="ML462" s="1441">
        <f t="shared" si="334"/>
        <v>0</v>
      </c>
      <c r="MM462" s="1441">
        <f t="shared" si="335"/>
        <v>0</v>
      </c>
      <c r="MN462" s="1441">
        <f t="shared" si="336"/>
        <v>0</v>
      </c>
      <c r="MO462" s="1441">
        <f t="shared" si="337"/>
        <v>0</v>
      </c>
      <c r="MP462" s="1441">
        <f t="shared" si="328"/>
        <v>0</v>
      </c>
      <c r="MQ462" s="1441">
        <f t="shared" si="329"/>
        <v>0</v>
      </c>
      <c r="MR462" s="1441">
        <f t="shared" si="330"/>
        <v>0</v>
      </c>
      <c r="MS462" s="1441">
        <f t="shared" si="331"/>
        <v>0</v>
      </c>
      <c r="MT462" s="1441">
        <f t="shared" si="332"/>
        <v>0</v>
      </c>
      <c r="NP462" s="261" t="s">
        <v>1116</v>
      </c>
    </row>
    <row r="463" spans="1:380" ht="13.9" customHeight="1">
      <c r="A463" s="2330" t="str">
        <f t="shared" si="0"/>
        <v/>
      </c>
      <c r="B463" s="2149" t="str">
        <f>'Part V-Revenues &amp; Expenses'!B16</f>
        <v>Unrestricted</v>
      </c>
      <c r="C463" s="2150">
        <f>'Part V-Revenues &amp; Expenses'!C16</f>
        <v>3</v>
      </c>
      <c r="D463" s="2151">
        <f>'Part V-Revenues &amp; Expenses'!D16</f>
        <v>2</v>
      </c>
      <c r="E463" s="2152">
        <f>'Part V-Revenues &amp; Expenses'!E16</f>
        <v>4</v>
      </c>
      <c r="F463" s="2152">
        <f>'Part V-Revenues &amp; Expenses'!F16</f>
        <v>1359</v>
      </c>
      <c r="G463" s="2152" t="str">
        <f>'Part V-Revenues &amp; Expenses'!G16</f>
        <v>NA</v>
      </c>
      <c r="H463" s="2152">
        <f>'Part V-Revenues &amp; Expenses'!H16</f>
        <v>1927</v>
      </c>
      <c r="I463" s="2152">
        <f>'Part V-Revenues &amp; Expenses'!I16</f>
        <v>0</v>
      </c>
      <c r="J463" s="2152">
        <f>'Part V-Revenues &amp; Expenses'!J16</f>
        <v>0</v>
      </c>
      <c r="K463" s="2153">
        <f>'Part V-Revenues &amp; Expenses'!K16</f>
        <v>0</v>
      </c>
      <c r="L463" s="2154">
        <f t="shared" si="1"/>
        <v>1927</v>
      </c>
      <c r="M463" s="2154">
        <f t="shared" si="2"/>
        <v>7708</v>
      </c>
      <c r="N463" s="2225" t="str">
        <f>'Part V-Revenues &amp; Expenses'!N16</f>
        <v>No</v>
      </c>
      <c r="O463" s="1065" t="str">
        <f>'Part V-Revenues &amp; Expenses'!O16</f>
        <v>Low-Rise Apt</v>
      </c>
      <c r="P463" s="2225" t="str">
        <f>'Part V-Revenues &amp; Expenses'!P16</f>
        <v>Acquisition/Rehab</v>
      </c>
      <c r="Q463" s="1574" t="str">
        <f>'Part V-Revenues &amp; Expenses'!Q16</f>
        <v>No</v>
      </c>
      <c r="R463" s="2356"/>
      <c r="S463" s="2357"/>
      <c r="T463" s="2358"/>
      <c r="U463" s="2358"/>
      <c r="V463" s="2358"/>
      <c r="W463" s="2358"/>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t="str">
        <f t="shared" si="15"/>
        <v/>
      </c>
      <c r="AK463" s="261" t="str">
        <f t="shared" si="16"/>
        <v/>
      </c>
      <c r="AL463" s="261" t="str">
        <f t="shared" si="17"/>
        <v/>
      </c>
      <c r="AM463" s="261" t="str">
        <f t="shared" si="18"/>
        <v/>
      </c>
      <c r="AN463" s="261" t="str">
        <f t="shared" si="19"/>
        <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f t="shared" si="41"/>
        <v>4</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t="str">
        <f t="shared" si="130"/>
        <v/>
      </c>
      <c r="EV463" s="261" t="str">
        <f t="shared" si="131"/>
        <v/>
      </c>
      <c r="EW463" s="261" t="str">
        <f t="shared" si="132"/>
        <v/>
      </c>
      <c r="EX463" s="261" t="str">
        <f t="shared" si="133"/>
        <v/>
      </c>
      <c r="EY463" s="261" t="str">
        <f t="shared" si="134"/>
        <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f t="shared" si="156"/>
        <v>5436</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t="str">
        <f t="shared" si="170"/>
        <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f t="shared" si="191"/>
        <v>4</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575" t="str">
        <f t="shared" si="213"/>
        <v/>
      </c>
      <c r="IA463" s="1575" t="str">
        <f t="shared" si="214"/>
        <v/>
      </c>
      <c r="IB463" s="1575" t="str">
        <f t="shared" si="215"/>
        <v/>
      </c>
      <c r="IC463" s="1575">
        <f t="shared" si="216"/>
        <v>4</v>
      </c>
      <c r="ID463" s="1575" t="str">
        <f t="shared" si="217"/>
        <v/>
      </c>
      <c r="IE463" s="1575" t="str">
        <f t="shared" si="218"/>
        <v/>
      </c>
      <c r="IF463" s="1575" t="str">
        <f t="shared" si="219"/>
        <v/>
      </c>
      <c r="IG463" s="1575" t="str">
        <f t="shared" si="220"/>
        <v/>
      </c>
      <c r="IH463" s="1575" t="str">
        <f t="shared" si="221"/>
        <v/>
      </c>
      <c r="II463" s="1575" t="str">
        <f t="shared" si="222"/>
        <v/>
      </c>
      <c r="IJ463" s="1575" t="str">
        <f t="shared" si="223"/>
        <v/>
      </c>
      <c r="IK463" s="1575" t="str">
        <f t="shared" si="224"/>
        <v/>
      </c>
      <c r="IL463" s="1575" t="str">
        <f t="shared" si="225"/>
        <v/>
      </c>
      <c r="IM463" s="1575" t="str">
        <f t="shared" si="226"/>
        <v/>
      </c>
      <c r="IN463" s="1575" t="str">
        <f t="shared" si="227"/>
        <v/>
      </c>
      <c r="IO463" s="1575" t="str">
        <f t="shared" si="228"/>
        <v/>
      </c>
      <c r="IP463" s="1575" t="str">
        <f t="shared" si="229"/>
        <v/>
      </c>
      <c r="IQ463" s="1575" t="str">
        <f t="shared" si="230"/>
        <v/>
      </c>
      <c r="IR463" s="1575" t="str">
        <f t="shared" si="231"/>
        <v/>
      </c>
      <c r="IS463" s="1575" t="str">
        <f t="shared" si="232"/>
        <v/>
      </c>
      <c r="IT463" s="1575" t="str">
        <f t="shared" si="233"/>
        <v/>
      </c>
      <c r="IU463" s="1575" t="str">
        <f t="shared" si="234"/>
        <v/>
      </c>
      <c r="IV463" s="1575" t="str">
        <f t="shared" si="235"/>
        <v/>
      </c>
      <c r="IW463" s="1575" t="str">
        <f t="shared" si="236"/>
        <v/>
      </c>
      <c r="IX463" s="1575" t="str">
        <f t="shared" si="237"/>
        <v/>
      </c>
      <c r="IY463" s="1575" t="str">
        <f t="shared" si="238"/>
        <v/>
      </c>
      <c r="IZ463" s="1575" t="str">
        <f t="shared" si="239"/>
        <v/>
      </c>
      <c r="JA463" s="1575" t="str">
        <f t="shared" si="240"/>
        <v/>
      </c>
      <c r="JB463" s="1575" t="str">
        <f t="shared" si="241"/>
        <v/>
      </c>
      <c r="JC463" s="1575" t="str">
        <f t="shared" si="242"/>
        <v/>
      </c>
      <c r="JD463" s="1575" t="str">
        <f t="shared" si="243"/>
        <v/>
      </c>
      <c r="JE463" s="1575" t="str">
        <f t="shared" si="244"/>
        <v/>
      </c>
      <c r="JF463" s="1575" t="str">
        <f t="shared" si="245"/>
        <v/>
      </c>
      <c r="JG463" s="1575" t="str">
        <f t="shared" si="246"/>
        <v/>
      </c>
      <c r="JH463" s="1575" t="str">
        <f t="shared" si="247"/>
        <v/>
      </c>
      <c r="JI463" s="1575" t="str">
        <f t="shared" si="248"/>
        <v/>
      </c>
      <c r="JJ463" s="1575" t="str">
        <f t="shared" si="249"/>
        <v/>
      </c>
      <c r="JK463" s="1575" t="str">
        <f t="shared" si="250"/>
        <v/>
      </c>
      <c r="JL463" s="1575" t="str">
        <f t="shared" si="251"/>
        <v/>
      </c>
      <c r="JM463" s="1575" t="str">
        <f t="shared" si="252"/>
        <v/>
      </c>
      <c r="JN463" s="1575" t="str">
        <f t="shared" si="253"/>
        <v/>
      </c>
      <c r="JO463" s="1575" t="str">
        <f t="shared" si="254"/>
        <v/>
      </c>
      <c r="JP463" s="1575" t="str">
        <f t="shared" si="255"/>
        <v/>
      </c>
      <c r="JQ463" s="1575" t="str">
        <f t="shared" si="256"/>
        <v/>
      </c>
      <c r="JR463" s="1575" t="str">
        <f t="shared" si="257"/>
        <v/>
      </c>
      <c r="JS463" s="1575" t="str">
        <f t="shared" si="258"/>
        <v/>
      </c>
      <c r="JT463" s="1575" t="str">
        <f t="shared" si="259"/>
        <v/>
      </c>
      <c r="JU463" s="1575" t="str">
        <f t="shared" si="260"/>
        <v/>
      </c>
      <c r="JV463" s="1575">
        <f t="shared" si="261"/>
        <v>4</v>
      </c>
      <c r="JW463" s="1575" t="str">
        <f t="shared" si="262"/>
        <v/>
      </c>
      <c r="JX463" s="1575" t="str">
        <f t="shared" si="263"/>
        <v/>
      </c>
      <c r="JY463" s="1575" t="str">
        <f t="shared" si="264"/>
        <v/>
      </c>
      <c r="JZ463" s="1575" t="str">
        <f t="shared" si="265"/>
        <v/>
      </c>
      <c r="KA463" s="1575" t="str">
        <f t="shared" si="266"/>
        <v/>
      </c>
      <c r="KB463" s="1575" t="str">
        <f t="shared" si="267"/>
        <v/>
      </c>
      <c r="KC463" s="1575" t="str">
        <f t="shared" si="268"/>
        <v/>
      </c>
      <c r="KD463" s="1575" t="str">
        <f t="shared" si="269"/>
        <v/>
      </c>
      <c r="KE463" s="1575" t="str">
        <f t="shared" si="270"/>
        <v/>
      </c>
      <c r="KF463" s="1575" t="str">
        <f t="shared" si="271"/>
        <v/>
      </c>
      <c r="KG463" s="1575" t="str">
        <f t="shared" si="272"/>
        <v/>
      </c>
      <c r="KH463" s="1575" t="str">
        <f t="shared" si="273"/>
        <v/>
      </c>
      <c r="KI463" s="1575" t="str">
        <f t="shared" si="274"/>
        <v/>
      </c>
      <c r="KJ463" s="1575" t="str">
        <f t="shared" si="275"/>
        <v/>
      </c>
      <c r="KK463" s="1575" t="str">
        <f t="shared" si="276"/>
        <v/>
      </c>
      <c r="KL463" s="1575" t="str">
        <f t="shared" si="277"/>
        <v/>
      </c>
      <c r="KM463" s="1575" t="str">
        <f t="shared" si="278"/>
        <v/>
      </c>
      <c r="KN463" s="1575" t="str">
        <f t="shared" si="279"/>
        <v/>
      </c>
      <c r="KO463" s="1575" t="str">
        <f t="shared" si="280"/>
        <v/>
      </c>
      <c r="KP463" s="1575" t="str">
        <f t="shared" si="281"/>
        <v/>
      </c>
      <c r="KQ463" s="1575" t="str">
        <f t="shared" si="282"/>
        <v/>
      </c>
      <c r="KR463" s="1575" t="str">
        <f t="shared" si="283"/>
        <v/>
      </c>
      <c r="KS463" s="1575" t="str">
        <f t="shared" si="284"/>
        <v/>
      </c>
      <c r="KT463" s="1575" t="str">
        <f t="shared" si="285"/>
        <v/>
      </c>
      <c r="KU463" s="1575" t="str">
        <f t="shared" si="286"/>
        <v/>
      </c>
      <c r="KV463" s="1575" t="str">
        <f t="shared" si="287"/>
        <v/>
      </c>
      <c r="KW463" s="1575" t="str">
        <f t="shared" si="288"/>
        <v/>
      </c>
      <c r="KX463" s="1575" t="str">
        <f t="shared" si="289"/>
        <v/>
      </c>
      <c r="KY463" s="1575" t="str">
        <f t="shared" si="290"/>
        <v/>
      </c>
      <c r="KZ463" s="1575" t="str">
        <f t="shared" si="291"/>
        <v/>
      </c>
      <c r="LA463" s="1575" t="str">
        <f t="shared" si="292"/>
        <v/>
      </c>
      <c r="LB463" s="1575" t="str">
        <f t="shared" si="293"/>
        <v/>
      </c>
      <c r="LC463" s="1575" t="str">
        <f t="shared" si="294"/>
        <v/>
      </c>
      <c r="LD463" s="1575" t="str">
        <f t="shared" si="295"/>
        <v/>
      </c>
      <c r="LE463" s="1575" t="str">
        <f t="shared" si="296"/>
        <v/>
      </c>
      <c r="LF463" s="1575" t="str">
        <f t="shared" si="297"/>
        <v/>
      </c>
      <c r="LG463" s="1564" t="str">
        <f t="shared" si="298"/>
        <v/>
      </c>
      <c r="LH463" s="1564" t="str">
        <f t="shared" si="299"/>
        <v/>
      </c>
      <c r="LI463" s="1564" t="str">
        <f t="shared" si="300"/>
        <v/>
      </c>
      <c r="LJ463" s="1564" t="str">
        <f t="shared" si="301"/>
        <v/>
      </c>
      <c r="LK463" s="1564"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441">
        <f t="shared" si="323"/>
        <v>0</v>
      </c>
      <c r="MG463" s="1441">
        <f t="shared" si="324"/>
        <v>0</v>
      </c>
      <c r="MH463" s="1441">
        <f t="shared" si="325"/>
        <v>0</v>
      </c>
      <c r="MI463" s="1441">
        <f t="shared" si="326"/>
        <v>4</v>
      </c>
      <c r="MJ463" s="1441">
        <f t="shared" si="327"/>
        <v>0</v>
      </c>
      <c r="MK463" s="1441">
        <f t="shared" si="333"/>
        <v>0</v>
      </c>
      <c r="ML463" s="1441">
        <f t="shared" si="334"/>
        <v>0</v>
      </c>
      <c r="MM463" s="1441">
        <f t="shared" si="335"/>
        <v>0</v>
      </c>
      <c r="MN463" s="1441">
        <f t="shared" si="336"/>
        <v>0</v>
      </c>
      <c r="MO463" s="1441">
        <f t="shared" si="337"/>
        <v>0</v>
      </c>
      <c r="MP463" s="1441">
        <f t="shared" si="328"/>
        <v>0</v>
      </c>
      <c r="MQ463" s="1441">
        <f t="shared" si="329"/>
        <v>0</v>
      </c>
      <c r="MR463" s="1441">
        <f t="shared" si="330"/>
        <v>0</v>
      </c>
      <c r="MS463" s="1441">
        <f t="shared" si="331"/>
        <v>0</v>
      </c>
      <c r="MT463" s="1441">
        <f t="shared" si="332"/>
        <v>0</v>
      </c>
      <c r="NP463" s="261" t="s">
        <v>1117</v>
      </c>
    </row>
    <row r="464" spans="1:380" ht="13.9" customHeight="1">
      <c r="A464" s="2330" t="str">
        <f t="shared" si="0"/>
        <v/>
      </c>
      <c r="B464" s="2149" t="str">
        <f>'Part V-Revenues &amp; Expenses'!B17</f>
        <v>Unrestricted</v>
      </c>
      <c r="C464" s="2150">
        <f>'Part V-Revenues &amp; Expenses'!C17</f>
        <v>3</v>
      </c>
      <c r="D464" s="2151">
        <f>'Part V-Revenues &amp; Expenses'!D17</f>
        <v>2.5</v>
      </c>
      <c r="E464" s="2152">
        <f>'Part V-Revenues &amp; Expenses'!E17</f>
        <v>11</v>
      </c>
      <c r="F464" s="2152">
        <f>'Part V-Revenues &amp; Expenses'!F17</f>
        <v>1363</v>
      </c>
      <c r="G464" s="2152" t="str">
        <f>'Part V-Revenues &amp; Expenses'!G17</f>
        <v>NA</v>
      </c>
      <c r="H464" s="2152">
        <f>'Part V-Revenues &amp; Expenses'!H17</f>
        <v>2033</v>
      </c>
      <c r="I464" s="2152">
        <f>'Part V-Revenues &amp; Expenses'!I17</f>
        <v>0</v>
      </c>
      <c r="J464" s="2152">
        <f>'Part V-Revenues &amp; Expenses'!J17</f>
        <v>0</v>
      </c>
      <c r="K464" s="2153">
        <f>'Part V-Revenues &amp; Expenses'!K17</f>
        <v>0</v>
      </c>
      <c r="L464" s="2154">
        <f t="shared" si="1"/>
        <v>2033</v>
      </c>
      <c r="M464" s="2154">
        <f t="shared" si="2"/>
        <v>22363</v>
      </c>
      <c r="N464" s="2225" t="str">
        <f>'Part V-Revenues &amp; Expenses'!N17</f>
        <v>No</v>
      </c>
      <c r="O464" s="1065" t="str">
        <f>'Part V-Revenues &amp; Expenses'!O17</f>
        <v>Low-Rise Apt</v>
      </c>
      <c r="P464" s="2225" t="str">
        <f>'Part V-Revenues &amp; Expenses'!P17</f>
        <v>Acquisition/Rehab</v>
      </c>
      <c r="Q464" s="1574" t="str">
        <f>'Part V-Revenues &amp; Expenses'!Q17</f>
        <v>No</v>
      </c>
      <c r="R464" s="2356"/>
      <c r="S464" s="2357"/>
      <c r="T464" s="2358"/>
      <c r="U464" s="2358"/>
      <c r="V464" s="2358"/>
      <c r="W464" s="2358"/>
      <c r="X464" s="261" t="str">
        <f t="shared" si="3"/>
        <v/>
      </c>
      <c r="Y464" s="261" t="str">
        <f t="shared" si="4"/>
        <v/>
      </c>
      <c r="Z464" s="261" t="str">
        <f t="shared" si="5"/>
        <v/>
      </c>
      <c r="AA464" s="261" t="str">
        <f t="shared" si="6"/>
        <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f t="shared" si="41"/>
        <v>11</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t="str">
        <f t="shared" si="74"/>
        <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t="str">
        <f t="shared" si="121"/>
        <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f t="shared" si="156"/>
        <v>14993</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t="str">
        <f t="shared" si="170"/>
        <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f t="shared" si="191"/>
        <v>11</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575" t="str">
        <f t="shared" si="213"/>
        <v/>
      </c>
      <c r="IA464" s="1575" t="str">
        <f t="shared" si="214"/>
        <v/>
      </c>
      <c r="IB464" s="1575" t="str">
        <f t="shared" si="215"/>
        <v/>
      </c>
      <c r="IC464" s="1575">
        <f t="shared" si="216"/>
        <v>11</v>
      </c>
      <c r="ID464" s="1575" t="str">
        <f t="shared" si="217"/>
        <v/>
      </c>
      <c r="IE464" s="1575" t="str">
        <f t="shared" si="218"/>
        <v/>
      </c>
      <c r="IF464" s="1575" t="str">
        <f t="shared" si="219"/>
        <v/>
      </c>
      <c r="IG464" s="1575" t="str">
        <f t="shared" si="220"/>
        <v/>
      </c>
      <c r="IH464" s="1575" t="str">
        <f t="shared" si="221"/>
        <v/>
      </c>
      <c r="II464" s="1575" t="str">
        <f t="shared" si="222"/>
        <v/>
      </c>
      <c r="IJ464" s="1575" t="str">
        <f t="shared" si="223"/>
        <v/>
      </c>
      <c r="IK464" s="1575" t="str">
        <f t="shared" si="224"/>
        <v/>
      </c>
      <c r="IL464" s="1575" t="str">
        <f t="shared" si="225"/>
        <v/>
      </c>
      <c r="IM464" s="1575" t="str">
        <f t="shared" si="226"/>
        <v/>
      </c>
      <c r="IN464" s="1575" t="str">
        <f t="shared" si="227"/>
        <v/>
      </c>
      <c r="IO464" s="1575" t="str">
        <f t="shared" si="228"/>
        <v/>
      </c>
      <c r="IP464" s="1575" t="str">
        <f t="shared" si="229"/>
        <v/>
      </c>
      <c r="IQ464" s="1575" t="str">
        <f t="shared" si="230"/>
        <v/>
      </c>
      <c r="IR464" s="1575" t="str">
        <f t="shared" si="231"/>
        <v/>
      </c>
      <c r="IS464" s="1575" t="str">
        <f t="shared" si="232"/>
        <v/>
      </c>
      <c r="IT464" s="1575" t="str">
        <f t="shared" si="233"/>
        <v/>
      </c>
      <c r="IU464" s="1575" t="str">
        <f t="shared" si="234"/>
        <v/>
      </c>
      <c r="IV464" s="1575" t="str">
        <f t="shared" si="235"/>
        <v/>
      </c>
      <c r="IW464" s="1575" t="str">
        <f t="shared" si="236"/>
        <v/>
      </c>
      <c r="IX464" s="1575" t="str">
        <f t="shared" si="237"/>
        <v/>
      </c>
      <c r="IY464" s="1575" t="str">
        <f t="shared" si="238"/>
        <v/>
      </c>
      <c r="IZ464" s="1575" t="str">
        <f t="shared" si="239"/>
        <v/>
      </c>
      <c r="JA464" s="1575" t="str">
        <f t="shared" si="240"/>
        <v/>
      </c>
      <c r="JB464" s="1575" t="str">
        <f t="shared" si="241"/>
        <v/>
      </c>
      <c r="JC464" s="1575" t="str">
        <f t="shared" si="242"/>
        <v/>
      </c>
      <c r="JD464" s="1575" t="str">
        <f t="shared" si="243"/>
        <v/>
      </c>
      <c r="JE464" s="1575" t="str">
        <f t="shared" si="244"/>
        <v/>
      </c>
      <c r="JF464" s="1575" t="str">
        <f t="shared" si="245"/>
        <v/>
      </c>
      <c r="JG464" s="1575" t="str">
        <f t="shared" si="246"/>
        <v/>
      </c>
      <c r="JH464" s="1575" t="str">
        <f t="shared" si="247"/>
        <v/>
      </c>
      <c r="JI464" s="1575" t="str">
        <f t="shared" si="248"/>
        <v/>
      </c>
      <c r="JJ464" s="1575" t="str">
        <f t="shared" si="249"/>
        <v/>
      </c>
      <c r="JK464" s="1575" t="str">
        <f t="shared" si="250"/>
        <v/>
      </c>
      <c r="JL464" s="1575" t="str">
        <f t="shared" si="251"/>
        <v/>
      </c>
      <c r="JM464" s="1575" t="str">
        <f t="shared" si="252"/>
        <v/>
      </c>
      <c r="JN464" s="1575" t="str">
        <f t="shared" si="253"/>
        <v/>
      </c>
      <c r="JO464" s="1575" t="str">
        <f t="shared" si="254"/>
        <v/>
      </c>
      <c r="JP464" s="1575" t="str">
        <f t="shared" si="255"/>
        <v/>
      </c>
      <c r="JQ464" s="1575" t="str">
        <f t="shared" si="256"/>
        <v/>
      </c>
      <c r="JR464" s="1575" t="str">
        <f t="shared" si="257"/>
        <v/>
      </c>
      <c r="JS464" s="1575" t="str">
        <f t="shared" si="258"/>
        <v/>
      </c>
      <c r="JT464" s="1575" t="str">
        <f t="shared" si="259"/>
        <v/>
      </c>
      <c r="JU464" s="1575" t="str">
        <f t="shared" si="260"/>
        <v/>
      </c>
      <c r="JV464" s="1575">
        <f t="shared" si="261"/>
        <v>11</v>
      </c>
      <c r="JW464" s="1575" t="str">
        <f t="shared" si="262"/>
        <v/>
      </c>
      <c r="JX464" s="1575" t="str">
        <f t="shared" si="263"/>
        <v/>
      </c>
      <c r="JY464" s="1575" t="str">
        <f t="shared" si="264"/>
        <v/>
      </c>
      <c r="JZ464" s="1575" t="str">
        <f t="shared" si="265"/>
        <v/>
      </c>
      <c r="KA464" s="1575" t="str">
        <f t="shared" si="266"/>
        <v/>
      </c>
      <c r="KB464" s="1575" t="str">
        <f t="shared" si="267"/>
        <v/>
      </c>
      <c r="KC464" s="1575" t="str">
        <f t="shared" si="268"/>
        <v/>
      </c>
      <c r="KD464" s="1575" t="str">
        <f t="shared" si="269"/>
        <v/>
      </c>
      <c r="KE464" s="1575" t="str">
        <f t="shared" si="270"/>
        <v/>
      </c>
      <c r="KF464" s="1575" t="str">
        <f t="shared" si="271"/>
        <v/>
      </c>
      <c r="KG464" s="1575" t="str">
        <f t="shared" si="272"/>
        <v/>
      </c>
      <c r="KH464" s="1575" t="str">
        <f t="shared" si="273"/>
        <v/>
      </c>
      <c r="KI464" s="1575" t="str">
        <f t="shared" si="274"/>
        <v/>
      </c>
      <c r="KJ464" s="1575" t="str">
        <f t="shared" si="275"/>
        <v/>
      </c>
      <c r="KK464" s="1575" t="str">
        <f t="shared" si="276"/>
        <v/>
      </c>
      <c r="KL464" s="1575" t="str">
        <f t="shared" si="277"/>
        <v/>
      </c>
      <c r="KM464" s="1575" t="str">
        <f t="shared" si="278"/>
        <v/>
      </c>
      <c r="KN464" s="1575" t="str">
        <f t="shared" si="279"/>
        <v/>
      </c>
      <c r="KO464" s="1575" t="str">
        <f t="shared" si="280"/>
        <v/>
      </c>
      <c r="KP464" s="1575" t="str">
        <f t="shared" si="281"/>
        <v/>
      </c>
      <c r="KQ464" s="1575" t="str">
        <f t="shared" si="282"/>
        <v/>
      </c>
      <c r="KR464" s="1575" t="str">
        <f t="shared" si="283"/>
        <v/>
      </c>
      <c r="KS464" s="1575" t="str">
        <f t="shared" si="284"/>
        <v/>
      </c>
      <c r="KT464" s="1575" t="str">
        <f t="shared" si="285"/>
        <v/>
      </c>
      <c r="KU464" s="1575" t="str">
        <f t="shared" si="286"/>
        <v/>
      </c>
      <c r="KV464" s="1575" t="str">
        <f t="shared" si="287"/>
        <v/>
      </c>
      <c r="KW464" s="1575" t="str">
        <f t="shared" si="288"/>
        <v/>
      </c>
      <c r="KX464" s="1575" t="str">
        <f t="shared" si="289"/>
        <v/>
      </c>
      <c r="KY464" s="1575" t="str">
        <f t="shared" si="290"/>
        <v/>
      </c>
      <c r="KZ464" s="1575" t="str">
        <f t="shared" si="291"/>
        <v/>
      </c>
      <c r="LA464" s="1575" t="str">
        <f t="shared" si="292"/>
        <v/>
      </c>
      <c r="LB464" s="1575" t="str">
        <f t="shared" si="293"/>
        <v/>
      </c>
      <c r="LC464" s="1575" t="str">
        <f t="shared" si="294"/>
        <v/>
      </c>
      <c r="LD464" s="1575" t="str">
        <f t="shared" si="295"/>
        <v/>
      </c>
      <c r="LE464" s="1575" t="str">
        <f t="shared" si="296"/>
        <v/>
      </c>
      <c r="LF464" s="1575" t="str">
        <f t="shared" si="297"/>
        <v/>
      </c>
      <c r="LG464" s="1564" t="str">
        <f t="shared" si="298"/>
        <v/>
      </c>
      <c r="LH464" s="1564" t="str">
        <f t="shared" si="299"/>
        <v/>
      </c>
      <c r="LI464" s="1564" t="str">
        <f t="shared" si="300"/>
        <v/>
      </c>
      <c r="LJ464" s="1564" t="str">
        <f t="shared" si="301"/>
        <v/>
      </c>
      <c r="LK464" s="1564"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441">
        <f t="shared" si="323"/>
        <v>0</v>
      </c>
      <c r="MG464" s="1441">
        <f t="shared" si="324"/>
        <v>0</v>
      </c>
      <c r="MH464" s="1441">
        <f t="shared" si="325"/>
        <v>0</v>
      </c>
      <c r="MI464" s="1441">
        <f t="shared" si="326"/>
        <v>11</v>
      </c>
      <c r="MJ464" s="1441">
        <f t="shared" si="327"/>
        <v>0</v>
      </c>
      <c r="MK464" s="1441">
        <f t="shared" si="333"/>
        <v>0</v>
      </c>
      <c r="ML464" s="1441">
        <f t="shared" si="334"/>
        <v>0</v>
      </c>
      <c r="MM464" s="1441">
        <f t="shared" si="335"/>
        <v>0</v>
      </c>
      <c r="MN464" s="1441">
        <f t="shared" si="336"/>
        <v>0</v>
      </c>
      <c r="MO464" s="1441">
        <f t="shared" si="337"/>
        <v>0</v>
      </c>
      <c r="MP464" s="1441">
        <f t="shared" si="328"/>
        <v>0</v>
      </c>
      <c r="MQ464" s="1441">
        <f t="shared" si="329"/>
        <v>0</v>
      </c>
      <c r="MR464" s="1441">
        <f t="shared" si="330"/>
        <v>0</v>
      </c>
      <c r="MS464" s="1441">
        <f t="shared" si="331"/>
        <v>0</v>
      </c>
      <c r="MT464" s="1441">
        <f t="shared" si="332"/>
        <v>0</v>
      </c>
      <c r="NP464" s="261" t="s">
        <v>1118</v>
      </c>
    </row>
    <row r="465" spans="1:380" ht="13.9" customHeight="1">
      <c r="A465" s="2330" t="str">
        <f t="shared" si="0"/>
        <v/>
      </c>
      <c r="B465" s="2149">
        <f>'Part V-Revenues &amp; Expenses'!B18</f>
        <v>60</v>
      </c>
      <c r="C465" s="2150">
        <f>'Part V-Revenues &amp; Expenses'!C18</f>
        <v>1</v>
      </c>
      <c r="D465" s="2151">
        <f>'Part V-Revenues &amp; Expenses'!D18</f>
        <v>1</v>
      </c>
      <c r="E465" s="2152">
        <f>'Part V-Revenues &amp; Expenses'!E18</f>
        <v>15</v>
      </c>
      <c r="F465" s="2152">
        <f>'Part V-Revenues &amp; Expenses'!F18</f>
        <v>802</v>
      </c>
      <c r="G465" s="2152">
        <f>'Part V-Revenues &amp; Expenses'!G18</f>
        <v>1149</v>
      </c>
      <c r="H465" s="2152">
        <f>'Part V-Revenues &amp; Expenses'!H18</f>
        <v>802</v>
      </c>
      <c r="I465" s="2152">
        <f>'Part V-Revenues &amp; Expenses'!I18</f>
        <v>0</v>
      </c>
      <c r="J465" s="2152">
        <f>'Part V-Revenues &amp; Expenses'!J18</f>
        <v>138</v>
      </c>
      <c r="K465" s="2153" t="str">
        <f>'Part V-Revenues &amp; Expenses'!K18</f>
        <v>RAD</v>
      </c>
      <c r="L465" s="2154">
        <f t="shared" si="1"/>
        <v>664</v>
      </c>
      <c r="M465" s="2154">
        <f t="shared" si="2"/>
        <v>9960</v>
      </c>
      <c r="N465" s="2225" t="str">
        <f>'Part V-Revenues &amp; Expenses'!N18</f>
        <v>No</v>
      </c>
      <c r="O465" s="1065" t="str">
        <f>'Part V-Revenues &amp; Expenses'!O18</f>
        <v>Low-Rise Apt</v>
      </c>
      <c r="P465" s="2225" t="str">
        <f>'Part V-Revenues &amp; Expenses'!P18</f>
        <v>Acquisition/Rehab</v>
      </c>
      <c r="Q465" s="1574" t="str">
        <f>'Part V-Revenues &amp; Expenses'!Q18</f>
        <v>No</v>
      </c>
      <c r="R465" s="2356"/>
      <c r="S465" s="2357"/>
      <c r="T465" s="2358"/>
      <c r="U465" s="2358"/>
      <c r="V465" s="2358"/>
      <c r="W465" s="2358"/>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f t="shared" si="14"/>
        <v>15</v>
      </c>
      <c r="AJ465" s="261" t="str">
        <f t="shared" si="15"/>
        <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f t="shared" si="64"/>
        <v>15</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f t="shared" si="129"/>
        <v>12030</v>
      </c>
      <c r="EU465" s="261" t="str">
        <f t="shared" si="130"/>
        <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f t="shared" si="159"/>
        <v>12030</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f t="shared" si="184"/>
        <v>15</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575" t="str">
        <f t="shared" si="213"/>
        <v/>
      </c>
      <c r="IA465" s="1575">
        <f t="shared" si="214"/>
        <v>15</v>
      </c>
      <c r="IB465" s="1575" t="str">
        <f t="shared" si="215"/>
        <v/>
      </c>
      <c r="IC465" s="1575" t="str">
        <f t="shared" si="216"/>
        <v/>
      </c>
      <c r="ID465" s="1575" t="str">
        <f t="shared" si="217"/>
        <v/>
      </c>
      <c r="IE465" s="1575" t="str">
        <f t="shared" si="218"/>
        <v/>
      </c>
      <c r="IF465" s="1575" t="str">
        <f t="shared" si="219"/>
        <v/>
      </c>
      <c r="IG465" s="1575" t="str">
        <f t="shared" si="220"/>
        <v/>
      </c>
      <c r="IH465" s="1575" t="str">
        <f t="shared" si="221"/>
        <v/>
      </c>
      <c r="II465" s="1575" t="str">
        <f t="shared" si="222"/>
        <v/>
      </c>
      <c r="IJ465" s="1575" t="str">
        <f t="shared" si="223"/>
        <v/>
      </c>
      <c r="IK465" s="1575" t="str">
        <f t="shared" si="224"/>
        <v/>
      </c>
      <c r="IL465" s="1575" t="str">
        <f t="shared" si="225"/>
        <v/>
      </c>
      <c r="IM465" s="1575" t="str">
        <f t="shared" si="226"/>
        <v/>
      </c>
      <c r="IN465" s="1575" t="str">
        <f t="shared" si="227"/>
        <v/>
      </c>
      <c r="IO465" s="1575" t="str">
        <f t="shared" si="228"/>
        <v/>
      </c>
      <c r="IP465" s="1575" t="str">
        <f t="shared" si="229"/>
        <v/>
      </c>
      <c r="IQ465" s="1575" t="str">
        <f t="shared" si="230"/>
        <v/>
      </c>
      <c r="IR465" s="1575" t="str">
        <f t="shared" si="231"/>
        <v/>
      </c>
      <c r="IS465" s="1575" t="str">
        <f t="shared" si="232"/>
        <v/>
      </c>
      <c r="IT465" s="1575" t="str">
        <f t="shared" si="233"/>
        <v/>
      </c>
      <c r="IU465" s="1575" t="str">
        <f t="shared" si="234"/>
        <v/>
      </c>
      <c r="IV465" s="1575" t="str">
        <f t="shared" si="235"/>
        <v/>
      </c>
      <c r="IW465" s="1575" t="str">
        <f t="shared" si="236"/>
        <v/>
      </c>
      <c r="IX465" s="1575" t="str">
        <f t="shared" si="237"/>
        <v/>
      </c>
      <c r="IY465" s="1575" t="str">
        <f t="shared" si="238"/>
        <v/>
      </c>
      <c r="IZ465" s="1575" t="str">
        <f t="shared" si="239"/>
        <v/>
      </c>
      <c r="JA465" s="1575" t="str">
        <f t="shared" si="240"/>
        <v/>
      </c>
      <c r="JB465" s="1575" t="str">
        <f t="shared" si="241"/>
        <v/>
      </c>
      <c r="JC465" s="1575" t="str">
        <f t="shared" si="242"/>
        <v/>
      </c>
      <c r="JD465" s="1575" t="str">
        <f t="shared" si="243"/>
        <v/>
      </c>
      <c r="JE465" s="1575" t="str">
        <f t="shared" si="244"/>
        <v/>
      </c>
      <c r="JF465" s="1575" t="str">
        <f t="shared" si="245"/>
        <v/>
      </c>
      <c r="JG465" s="1575" t="str">
        <f t="shared" si="246"/>
        <v/>
      </c>
      <c r="JH465" s="1575" t="str">
        <f t="shared" si="247"/>
        <v/>
      </c>
      <c r="JI465" s="1575" t="str">
        <f t="shared" si="248"/>
        <v/>
      </c>
      <c r="JJ465" s="1575" t="str">
        <f t="shared" si="249"/>
        <v/>
      </c>
      <c r="JK465" s="1575" t="str">
        <f t="shared" si="250"/>
        <v/>
      </c>
      <c r="JL465" s="1575" t="str">
        <f t="shared" si="251"/>
        <v/>
      </c>
      <c r="JM465" s="1575" t="str">
        <f t="shared" si="252"/>
        <v/>
      </c>
      <c r="JN465" s="1575" t="str">
        <f t="shared" si="253"/>
        <v/>
      </c>
      <c r="JO465" s="1575" t="str">
        <f t="shared" si="254"/>
        <v/>
      </c>
      <c r="JP465" s="1575" t="str">
        <f t="shared" si="255"/>
        <v/>
      </c>
      <c r="JQ465" s="1575" t="str">
        <f t="shared" si="256"/>
        <v/>
      </c>
      <c r="JR465" s="1575" t="str">
        <f t="shared" si="257"/>
        <v/>
      </c>
      <c r="JS465" s="1575" t="str">
        <f t="shared" si="258"/>
        <v/>
      </c>
      <c r="JT465" s="1575">
        <f t="shared" si="259"/>
        <v>15</v>
      </c>
      <c r="JU465" s="1575" t="str">
        <f t="shared" si="260"/>
        <v/>
      </c>
      <c r="JV465" s="1575" t="str">
        <f t="shared" si="261"/>
        <v/>
      </c>
      <c r="JW465" s="1575" t="str">
        <f t="shared" si="262"/>
        <v/>
      </c>
      <c r="JX465" s="1575" t="str">
        <f t="shared" si="263"/>
        <v/>
      </c>
      <c r="JY465" s="1575" t="str">
        <f t="shared" si="264"/>
        <v/>
      </c>
      <c r="JZ465" s="1575" t="str">
        <f t="shared" si="265"/>
        <v/>
      </c>
      <c r="KA465" s="1575" t="str">
        <f t="shared" si="266"/>
        <v/>
      </c>
      <c r="KB465" s="1575" t="str">
        <f t="shared" si="267"/>
        <v/>
      </c>
      <c r="KC465" s="1575" t="str">
        <f t="shared" si="268"/>
        <v/>
      </c>
      <c r="KD465" s="1575" t="str">
        <f t="shared" si="269"/>
        <v/>
      </c>
      <c r="KE465" s="1575" t="str">
        <f t="shared" si="270"/>
        <v/>
      </c>
      <c r="KF465" s="1575" t="str">
        <f t="shared" si="271"/>
        <v/>
      </c>
      <c r="KG465" s="1575" t="str">
        <f t="shared" si="272"/>
        <v/>
      </c>
      <c r="KH465" s="1575" t="str">
        <f t="shared" si="273"/>
        <v/>
      </c>
      <c r="KI465" s="1575" t="str">
        <f t="shared" si="274"/>
        <v/>
      </c>
      <c r="KJ465" s="1575" t="str">
        <f t="shared" si="275"/>
        <v/>
      </c>
      <c r="KK465" s="1575" t="str">
        <f t="shared" si="276"/>
        <v/>
      </c>
      <c r="KL465" s="1575" t="str">
        <f t="shared" si="277"/>
        <v/>
      </c>
      <c r="KM465" s="1575" t="str">
        <f t="shared" si="278"/>
        <v/>
      </c>
      <c r="KN465" s="1575" t="str">
        <f t="shared" si="279"/>
        <v/>
      </c>
      <c r="KO465" s="1575" t="str">
        <f t="shared" si="280"/>
        <v/>
      </c>
      <c r="KP465" s="1575" t="str">
        <f t="shared" si="281"/>
        <v/>
      </c>
      <c r="KQ465" s="1575" t="str">
        <f t="shared" si="282"/>
        <v/>
      </c>
      <c r="KR465" s="1575" t="str">
        <f t="shared" si="283"/>
        <v/>
      </c>
      <c r="KS465" s="1575" t="str">
        <f t="shared" si="284"/>
        <v/>
      </c>
      <c r="KT465" s="1575" t="str">
        <f t="shared" si="285"/>
        <v/>
      </c>
      <c r="KU465" s="1575" t="str">
        <f t="shared" si="286"/>
        <v/>
      </c>
      <c r="KV465" s="1575" t="str">
        <f t="shared" si="287"/>
        <v/>
      </c>
      <c r="KW465" s="1575" t="str">
        <f t="shared" si="288"/>
        <v/>
      </c>
      <c r="KX465" s="1575" t="str">
        <f t="shared" si="289"/>
        <v/>
      </c>
      <c r="KY465" s="1575" t="str">
        <f t="shared" si="290"/>
        <v/>
      </c>
      <c r="KZ465" s="1575" t="str">
        <f t="shared" si="291"/>
        <v/>
      </c>
      <c r="LA465" s="1575" t="str">
        <f t="shared" si="292"/>
        <v/>
      </c>
      <c r="LB465" s="1575" t="str">
        <f t="shared" si="293"/>
        <v/>
      </c>
      <c r="LC465" s="1575" t="str">
        <f t="shared" si="294"/>
        <v/>
      </c>
      <c r="LD465" s="1575" t="str">
        <f t="shared" si="295"/>
        <v/>
      </c>
      <c r="LE465" s="1575" t="str">
        <f t="shared" si="296"/>
        <v/>
      </c>
      <c r="LF465" s="1575" t="str">
        <f t="shared" si="297"/>
        <v/>
      </c>
      <c r="LG465" s="1564" t="str">
        <f t="shared" si="298"/>
        <v/>
      </c>
      <c r="LH465" s="1564" t="str">
        <f t="shared" si="299"/>
        <v/>
      </c>
      <c r="LI465" s="1564" t="str">
        <f t="shared" si="300"/>
        <v/>
      </c>
      <c r="LJ465" s="1564" t="str">
        <f t="shared" si="301"/>
        <v/>
      </c>
      <c r="LK465" s="1564"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441">
        <f t="shared" si="323"/>
        <v>0</v>
      </c>
      <c r="MG465" s="1441">
        <f t="shared" si="324"/>
        <v>15</v>
      </c>
      <c r="MH465" s="1441">
        <f t="shared" si="325"/>
        <v>0</v>
      </c>
      <c r="MI465" s="1441">
        <f t="shared" si="326"/>
        <v>0</v>
      </c>
      <c r="MJ465" s="1441">
        <f t="shared" si="327"/>
        <v>0</v>
      </c>
      <c r="MK465" s="1441">
        <f t="shared" si="333"/>
        <v>0</v>
      </c>
      <c r="ML465" s="1441">
        <f t="shared" si="334"/>
        <v>0</v>
      </c>
      <c r="MM465" s="1441">
        <f t="shared" si="335"/>
        <v>0</v>
      </c>
      <c r="MN465" s="1441">
        <f t="shared" si="336"/>
        <v>0</v>
      </c>
      <c r="MO465" s="1441">
        <f t="shared" si="337"/>
        <v>0</v>
      </c>
      <c r="MP465" s="1441">
        <f t="shared" si="328"/>
        <v>0</v>
      </c>
      <c r="MQ465" s="1441">
        <f t="shared" si="329"/>
        <v>0</v>
      </c>
      <c r="MR465" s="1441">
        <f t="shared" si="330"/>
        <v>0</v>
      </c>
      <c r="MS465" s="1441">
        <f t="shared" si="331"/>
        <v>0</v>
      </c>
      <c r="MT465" s="1441">
        <f t="shared" si="332"/>
        <v>0</v>
      </c>
      <c r="NP465" s="261" t="s">
        <v>1119</v>
      </c>
    </row>
    <row r="466" spans="1:380" ht="13.9" customHeight="1">
      <c r="A466" s="2330" t="str">
        <f t="shared" si="0"/>
        <v/>
      </c>
      <c r="B466" s="2149">
        <f>'Part V-Revenues &amp; Expenses'!B19</f>
        <v>60</v>
      </c>
      <c r="C466" s="2150">
        <f>'Part V-Revenues &amp; Expenses'!C19</f>
        <v>1</v>
      </c>
      <c r="D466" s="2151">
        <f>'Part V-Revenues &amp; Expenses'!D19</f>
        <v>1</v>
      </c>
      <c r="E466" s="2152">
        <f>'Part V-Revenues &amp; Expenses'!E19</f>
        <v>1</v>
      </c>
      <c r="F466" s="2152">
        <f>'Part V-Revenues &amp; Expenses'!F19</f>
        <v>989</v>
      </c>
      <c r="G466" s="2152">
        <f>'Part V-Revenues &amp; Expenses'!G19</f>
        <v>1149</v>
      </c>
      <c r="H466" s="2152">
        <f>'Part V-Revenues &amp; Expenses'!H19</f>
        <v>802</v>
      </c>
      <c r="I466" s="2152">
        <f>'Part V-Revenues &amp; Expenses'!I19</f>
        <v>0</v>
      </c>
      <c r="J466" s="2152">
        <f>'Part V-Revenues &amp; Expenses'!J19</f>
        <v>138</v>
      </c>
      <c r="K466" s="2153" t="str">
        <f>'Part V-Revenues &amp; Expenses'!K19</f>
        <v>RAD</v>
      </c>
      <c r="L466" s="2154">
        <f t="shared" si="1"/>
        <v>664</v>
      </c>
      <c r="M466" s="2154">
        <f t="shared" si="2"/>
        <v>664</v>
      </c>
      <c r="N466" s="2225" t="str">
        <f>'Part V-Revenues &amp; Expenses'!N19</f>
        <v>No</v>
      </c>
      <c r="O466" s="1065" t="str">
        <f>'Part V-Revenues &amp; Expenses'!O19</f>
        <v>Low-Rise Apt</v>
      </c>
      <c r="P466" s="2225" t="str">
        <f>'Part V-Revenues &amp; Expenses'!P19</f>
        <v>Acquisition/Rehab</v>
      </c>
      <c r="Q466" s="1574" t="str">
        <f>'Part V-Revenues &amp; Expenses'!Q19</f>
        <v>No</v>
      </c>
      <c r="R466" s="2356"/>
      <c r="S466" s="2357"/>
      <c r="T466" s="2358"/>
      <c r="U466" s="2358"/>
      <c r="V466" s="2358"/>
      <c r="W466" s="2358"/>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f t="shared" si="14"/>
        <v>1</v>
      </c>
      <c r="AJ466" s="261" t="str">
        <f t="shared" si="15"/>
        <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f t="shared" si="64"/>
        <v>1</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f t="shared" si="129"/>
        <v>989</v>
      </c>
      <c r="EU466" s="261" t="str">
        <f t="shared" si="130"/>
        <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f t="shared" si="159"/>
        <v>989</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f t="shared" si="184"/>
        <v>1</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575" t="str">
        <f t="shared" si="213"/>
        <v/>
      </c>
      <c r="IA466" s="1575">
        <f t="shared" si="214"/>
        <v>1</v>
      </c>
      <c r="IB466" s="1575" t="str">
        <f t="shared" si="215"/>
        <v/>
      </c>
      <c r="IC466" s="1575" t="str">
        <f t="shared" si="216"/>
        <v/>
      </c>
      <c r="ID466" s="1575" t="str">
        <f t="shared" si="217"/>
        <v/>
      </c>
      <c r="IE466" s="1575" t="str">
        <f t="shared" si="218"/>
        <v/>
      </c>
      <c r="IF466" s="1575" t="str">
        <f t="shared" si="219"/>
        <v/>
      </c>
      <c r="IG466" s="1575" t="str">
        <f t="shared" si="220"/>
        <v/>
      </c>
      <c r="IH466" s="1575" t="str">
        <f t="shared" si="221"/>
        <v/>
      </c>
      <c r="II466" s="1575" t="str">
        <f t="shared" si="222"/>
        <v/>
      </c>
      <c r="IJ466" s="1575" t="str">
        <f t="shared" si="223"/>
        <v/>
      </c>
      <c r="IK466" s="1575" t="str">
        <f t="shared" si="224"/>
        <v/>
      </c>
      <c r="IL466" s="1575" t="str">
        <f t="shared" si="225"/>
        <v/>
      </c>
      <c r="IM466" s="1575" t="str">
        <f t="shared" si="226"/>
        <v/>
      </c>
      <c r="IN466" s="1575" t="str">
        <f t="shared" si="227"/>
        <v/>
      </c>
      <c r="IO466" s="1575" t="str">
        <f t="shared" si="228"/>
        <v/>
      </c>
      <c r="IP466" s="1575" t="str">
        <f t="shared" si="229"/>
        <v/>
      </c>
      <c r="IQ466" s="1575" t="str">
        <f t="shared" si="230"/>
        <v/>
      </c>
      <c r="IR466" s="1575" t="str">
        <f t="shared" si="231"/>
        <v/>
      </c>
      <c r="IS466" s="1575" t="str">
        <f t="shared" si="232"/>
        <v/>
      </c>
      <c r="IT466" s="1575" t="str">
        <f t="shared" si="233"/>
        <v/>
      </c>
      <c r="IU466" s="1575" t="str">
        <f t="shared" si="234"/>
        <v/>
      </c>
      <c r="IV466" s="1575" t="str">
        <f t="shared" si="235"/>
        <v/>
      </c>
      <c r="IW466" s="1575" t="str">
        <f t="shared" si="236"/>
        <v/>
      </c>
      <c r="IX466" s="1575" t="str">
        <f t="shared" si="237"/>
        <v/>
      </c>
      <c r="IY466" s="1575" t="str">
        <f t="shared" si="238"/>
        <v/>
      </c>
      <c r="IZ466" s="1575" t="str">
        <f t="shared" si="239"/>
        <v/>
      </c>
      <c r="JA466" s="1575" t="str">
        <f t="shared" si="240"/>
        <v/>
      </c>
      <c r="JB466" s="1575" t="str">
        <f t="shared" si="241"/>
        <v/>
      </c>
      <c r="JC466" s="1575" t="str">
        <f t="shared" si="242"/>
        <v/>
      </c>
      <c r="JD466" s="1575" t="str">
        <f t="shared" si="243"/>
        <v/>
      </c>
      <c r="JE466" s="1575" t="str">
        <f t="shared" si="244"/>
        <v/>
      </c>
      <c r="JF466" s="1575" t="str">
        <f t="shared" si="245"/>
        <v/>
      </c>
      <c r="JG466" s="1575" t="str">
        <f t="shared" si="246"/>
        <v/>
      </c>
      <c r="JH466" s="1575" t="str">
        <f t="shared" si="247"/>
        <v/>
      </c>
      <c r="JI466" s="1575" t="str">
        <f t="shared" si="248"/>
        <v/>
      </c>
      <c r="JJ466" s="1575" t="str">
        <f t="shared" si="249"/>
        <v/>
      </c>
      <c r="JK466" s="1575" t="str">
        <f t="shared" si="250"/>
        <v/>
      </c>
      <c r="JL466" s="1575" t="str">
        <f t="shared" si="251"/>
        <v/>
      </c>
      <c r="JM466" s="1575" t="str">
        <f t="shared" si="252"/>
        <v/>
      </c>
      <c r="JN466" s="1575" t="str">
        <f t="shared" si="253"/>
        <v/>
      </c>
      <c r="JO466" s="1575" t="str">
        <f t="shared" si="254"/>
        <v/>
      </c>
      <c r="JP466" s="1575" t="str">
        <f t="shared" si="255"/>
        <v/>
      </c>
      <c r="JQ466" s="1575" t="str">
        <f t="shared" si="256"/>
        <v/>
      </c>
      <c r="JR466" s="1575" t="str">
        <f t="shared" si="257"/>
        <v/>
      </c>
      <c r="JS466" s="1575" t="str">
        <f t="shared" si="258"/>
        <v/>
      </c>
      <c r="JT466" s="1575">
        <f t="shared" si="259"/>
        <v>1</v>
      </c>
      <c r="JU466" s="1575" t="str">
        <f t="shared" si="260"/>
        <v/>
      </c>
      <c r="JV466" s="1575" t="str">
        <f t="shared" si="261"/>
        <v/>
      </c>
      <c r="JW466" s="1575" t="str">
        <f t="shared" si="262"/>
        <v/>
      </c>
      <c r="JX466" s="1575" t="str">
        <f t="shared" si="263"/>
        <v/>
      </c>
      <c r="JY466" s="1575" t="str">
        <f t="shared" si="264"/>
        <v/>
      </c>
      <c r="JZ466" s="1575" t="str">
        <f t="shared" si="265"/>
        <v/>
      </c>
      <c r="KA466" s="1575" t="str">
        <f t="shared" si="266"/>
        <v/>
      </c>
      <c r="KB466" s="1575" t="str">
        <f t="shared" si="267"/>
        <v/>
      </c>
      <c r="KC466" s="1575" t="str">
        <f t="shared" si="268"/>
        <v/>
      </c>
      <c r="KD466" s="1575" t="str">
        <f t="shared" si="269"/>
        <v/>
      </c>
      <c r="KE466" s="1575" t="str">
        <f t="shared" si="270"/>
        <v/>
      </c>
      <c r="KF466" s="1575" t="str">
        <f t="shared" si="271"/>
        <v/>
      </c>
      <c r="KG466" s="1575" t="str">
        <f t="shared" si="272"/>
        <v/>
      </c>
      <c r="KH466" s="1575" t="str">
        <f t="shared" si="273"/>
        <v/>
      </c>
      <c r="KI466" s="1575" t="str">
        <f t="shared" si="274"/>
        <v/>
      </c>
      <c r="KJ466" s="1575" t="str">
        <f t="shared" si="275"/>
        <v/>
      </c>
      <c r="KK466" s="1575" t="str">
        <f t="shared" si="276"/>
        <v/>
      </c>
      <c r="KL466" s="1575" t="str">
        <f t="shared" si="277"/>
        <v/>
      </c>
      <c r="KM466" s="1575" t="str">
        <f t="shared" si="278"/>
        <v/>
      </c>
      <c r="KN466" s="1575" t="str">
        <f t="shared" si="279"/>
        <v/>
      </c>
      <c r="KO466" s="1575" t="str">
        <f t="shared" si="280"/>
        <v/>
      </c>
      <c r="KP466" s="1575" t="str">
        <f t="shared" si="281"/>
        <v/>
      </c>
      <c r="KQ466" s="1575" t="str">
        <f t="shared" si="282"/>
        <v/>
      </c>
      <c r="KR466" s="1575" t="str">
        <f t="shared" si="283"/>
        <v/>
      </c>
      <c r="KS466" s="1575" t="str">
        <f t="shared" si="284"/>
        <v/>
      </c>
      <c r="KT466" s="1575" t="str">
        <f t="shared" si="285"/>
        <v/>
      </c>
      <c r="KU466" s="1575" t="str">
        <f t="shared" si="286"/>
        <v/>
      </c>
      <c r="KV466" s="1575" t="str">
        <f t="shared" si="287"/>
        <v/>
      </c>
      <c r="KW466" s="1575" t="str">
        <f t="shared" si="288"/>
        <v/>
      </c>
      <c r="KX466" s="1575" t="str">
        <f t="shared" si="289"/>
        <v/>
      </c>
      <c r="KY466" s="1575" t="str">
        <f t="shared" si="290"/>
        <v/>
      </c>
      <c r="KZ466" s="1575" t="str">
        <f t="shared" si="291"/>
        <v/>
      </c>
      <c r="LA466" s="1575" t="str">
        <f t="shared" si="292"/>
        <v/>
      </c>
      <c r="LB466" s="1575" t="str">
        <f t="shared" si="293"/>
        <v/>
      </c>
      <c r="LC466" s="1575" t="str">
        <f t="shared" si="294"/>
        <v/>
      </c>
      <c r="LD466" s="1575" t="str">
        <f t="shared" si="295"/>
        <v/>
      </c>
      <c r="LE466" s="1575" t="str">
        <f t="shared" si="296"/>
        <v/>
      </c>
      <c r="LF466" s="1575" t="str">
        <f t="shared" si="297"/>
        <v/>
      </c>
      <c r="LG466" s="1564" t="str">
        <f t="shared" si="298"/>
        <v/>
      </c>
      <c r="LH466" s="1564" t="str">
        <f t="shared" si="299"/>
        <v/>
      </c>
      <c r="LI466" s="1564" t="str">
        <f t="shared" si="300"/>
        <v/>
      </c>
      <c r="LJ466" s="1564" t="str">
        <f t="shared" si="301"/>
        <v/>
      </c>
      <c r="LK466" s="1564"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441">
        <f t="shared" si="323"/>
        <v>0</v>
      </c>
      <c r="MG466" s="1441">
        <f t="shared" si="324"/>
        <v>1</v>
      </c>
      <c r="MH466" s="1441">
        <f t="shared" si="325"/>
        <v>0</v>
      </c>
      <c r="MI466" s="1441">
        <f t="shared" si="326"/>
        <v>0</v>
      </c>
      <c r="MJ466" s="1441">
        <f t="shared" si="327"/>
        <v>0</v>
      </c>
      <c r="MK466" s="1441">
        <f t="shared" si="333"/>
        <v>0</v>
      </c>
      <c r="ML466" s="1441">
        <f t="shared" si="334"/>
        <v>0</v>
      </c>
      <c r="MM466" s="1441">
        <f t="shared" si="335"/>
        <v>0</v>
      </c>
      <c r="MN466" s="1441">
        <f t="shared" si="336"/>
        <v>0</v>
      </c>
      <c r="MO466" s="1441">
        <f t="shared" si="337"/>
        <v>0</v>
      </c>
      <c r="MP466" s="1441">
        <f t="shared" si="328"/>
        <v>0</v>
      </c>
      <c r="MQ466" s="1441">
        <f t="shared" si="329"/>
        <v>0</v>
      </c>
      <c r="MR466" s="1441">
        <f t="shared" si="330"/>
        <v>0</v>
      </c>
      <c r="MS466" s="1441">
        <f t="shared" si="331"/>
        <v>0</v>
      </c>
      <c r="MT466" s="1441">
        <f t="shared" si="332"/>
        <v>0</v>
      </c>
      <c r="NP466" s="261" t="s">
        <v>1120</v>
      </c>
    </row>
    <row r="467" spans="1:380" ht="13.9" customHeight="1">
      <c r="A467" s="2330" t="str">
        <f t="shared" si="0"/>
        <v/>
      </c>
      <c r="B467" s="2149">
        <f>'Part V-Revenues &amp; Expenses'!B20</f>
        <v>60</v>
      </c>
      <c r="C467" s="2150">
        <f>'Part V-Revenues &amp; Expenses'!C20</f>
        <v>2</v>
      </c>
      <c r="D467" s="2151">
        <f>'Part V-Revenues &amp; Expenses'!D20</f>
        <v>1</v>
      </c>
      <c r="E467" s="2152">
        <f>'Part V-Revenues &amp; Expenses'!E20</f>
        <v>21</v>
      </c>
      <c r="F467" s="2152">
        <f>'Part V-Revenues &amp; Expenses'!F20</f>
        <v>989</v>
      </c>
      <c r="G467" s="2152">
        <f>'Part V-Revenues &amp; Expenses'!G20</f>
        <v>1378</v>
      </c>
      <c r="H467" s="2152">
        <f>'Part V-Revenues &amp; Expenses'!H20</f>
        <v>930</v>
      </c>
      <c r="I467" s="2152">
        <f>'Part V-Revenues &amp; Expenses'!I20</f>
        <v>0</v>
      </c>
      <c r="J467" s="2152">
        <f>'Part V-Revenues &amp; Expenses'!J20</f>
        <v>173</v>
      </c>
      <c r="K467" s="2153" t="str">
        <f>'Part V-Revenues &amp; Expenses'!K20</f>
        <v>RAD</v>
      </c>
      <c r="L467" s="2154">
        <f t="shared" si="1"/>
        <v>757</v>
      </c>
      <c r="M467" s="2154">
        <f t="shared" si="2"/>
        <v>15897</v>
      </c>
      <c r="N467" s="2225" t="str">
        <f>'Part V-Revenues &amp; Expenses'!N20</f>
        <v>No</v>
      </c>
      <c r="O467" s="1065" t="str">
        <f>'Part V-Revenues &amp; Expenses'!O20</f>
        <v>Low-Rise Apt</v>
      </c>
      <c r="P467" s="2225" t="str">
        <f>'Part V-Revenues &amp; Expenses'!P20</f>
        <v>Acquisition/Rehab</v>
      </c>
      <c r="Q467" s="1574" t="str">
        <f>'Part V-Revenues &amp; Expenses'!Q20</f>
        <v>No</v>
      </c>
      <c r="R467" s="2356"/>
      <c r="S467" s="2357"/>
      <c r="T467" s="2358"/>
      <c r="U467" s="2358"/>
      <c r="V467" s="2358"/>
      <c r="W467" s="2358"/>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f t="shared" si="15"/>
        <v>21</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f t="shared" si="65"/>
        <v>21</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f t="shared" si="130"/>
        <v>20769</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f t="shared" si="160"/>
        <v>20769</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f t="shared" si="185"/>
        <v>21</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575" t="str">
        <f t="shared" si="213"/>
        <v/>
      </c>
      <c r="IA467" s="1575" t="str">
        <f t="shared" si="214"/>
        <v/>
      </c>
      <c r="IB467" s="1575">
        <f t="shared" si="215"/>
        <v>21</v>
      </c>
      <c r="IC467" s="1575" t="str">
        <f t="shared" si="216"/>
        <v/>
      </c>
      <c r="ID467" s="1575" t="str">
        <f t="shared" si="217"/>
        <v/>
      </c>
      <c r="IE467" s="1575" t="str">
        <f t="shared" si="218"/>
        <v/>
      </c>
      <c r="IF467" s="1575" t="str">
        <f t="shared" si="219"/>
        <v/>
      </c>
      <c r="IG467" s="1575" t="str">
        <f t="shared" si="220"/>
        <v/>
      </c>
      <c r="IH467" s="1575" t="str">
        <f t="shared" si="221"/>
        <v/>
      </c>
      <c r="II467" s="1575" t="str">
        <f t="shared" si="222"/>
        <v/>
      </c>
      <c r="IJ467" s="1575" t="str">
        <f t="shared" si="223"/>
        <v/>
      </c>
      <c r="IK467" s="1575" t="str">
        <f t="shared" si="224"/>
        <v/>
      </c>
      <c r="IL467" s="1575" t="str">
        <f t="shared" si="225"/>
        <v/>
      </c>
      <c r="IM467" s="1575" t="str">
        <f t="shared" si="226"/>
        <v/>
      </c>
      <c r="IN467" s="1575" t="str">
        <f t="shared" si="227"/>
        <v/>
      </c>
      <c r="IO467" s="1575" t="str">
        <f t="shared" si="228"/>
        <v/>
      </c>
      <c r="IP467" s="1575" t="str">
        <f t="shared" si="229"/>
        <v/>
      </c>
      <c r="IQ467" s="1575" t="str">
        <f t="shared" si="230"/>
        <v/>
      </c>
      <c r="IR467" s="1575" t="str">
        <f t="shared" si="231"/>
        <v/>
      </c>
      <c r="IS467" s="1575" t="str">
        <f t="shared" si="232"/>
        <v/>
      </c>
      <c r="IT467" s="1575" t="str">
        <f t="shared" si="233"/>
        <v/>
      </c>
      <c r="IU467" s="1575" t="str">
        <f t="shared" si="234"/>
        <v/>
      </c>
      <c r="IV467" s="1575" t="str">
        <f t="shared" si="235"/>
        <v/>
      </c>
      <c r="IW467" s="1575" t="str">
        <f t="shared" si="236"/>
        <v/>
      </c>
      <c r="IX467" s="1575" t="str">
        <f t="shared" si="237"/>
        <v/>
      </c>
      <c r="IY467" s="1575" t="str">
        <f t="shared" si="238"/>
        <v/>
      </c>
      <c r="IZ467" s="1575" t="str">
        <f t="shared" si="239"/>
        <v/>
      </c>
      <c r="JA467" s="1575" t="str">
        <f t="shared" si="240"/>
        <v/>
      </c>
      <c r="JB467" s="1575" t="str">
        <f t="shared" si="241"/>
        <v/>
      </c>
      <c r="JC467" s="1575" t="str">
        <f t="shared" si="242"/>
        <v/>
      </c>
      <c r="JD467" s="1575" t="str">
        <f t="shared" si="243"/>
        <v/>
      </c>
      <c r="JE467" s="1575" t="str">
        <f t="shared" si="244"/>
        <v/>
      </c>
      <c r="JF467" s="1575" t="str">
        <f t="shared" si="245"/>
        <v/>
      </c>
      <c r="JG467" s="1575" t="str">
        <f t="shared" si="246"/>
        <v/>
      </c>
      <c r="JH467" s="1575" t="str">
        <f t="shared" si="247"/>
        <v/>
      </c>
      <c r="JI467" s="1575" t="str">
        <f t="shared" si="248"/>
        <v/>
      </c>
      <c r="JJ467" s="1575" t="str">
        <f t="shared" si="249"/>
        <v/>
      </c>
      <c r="JK467" s="1575" t="str">
        <f t="shared" si="250"/>
        <v/>
      </c>
      <c r="JL467" s="1575" t="str">
        <f t="shared" si="251"/>
        <v/>
      </c>
      <c r="JM467" s="1575" t="str">
        <f t="shared" si="252"/>
        <v/>
      </c>
      <c r="JN467" s="1575" t="str">
        <f t="shared" si="253"/>
        <v/>
      </c>
      <c r="JO467" s="1575" t="str">
        <f t="shared" si="254"/>
        <v/>
      </c>
      <c r="JP467" s="1575" t="str">
        <f t="shared" si="255"/>
        <v/>
      </c>
      <c r="JQ467" s="1575" t="str">
        <f t="shared" si="256"/>
        <v/>
      </c>
      <c r="JR467" s="1575" t="str">
        <f t="shared" si="257"/>
        <v/>
      </c>
      <c r="JS467" s="1575" t="str">
        <f t="shared" si="258"/>
        <v/>
      </c>
      <c r="JT467" s="1575" t="str">
        <f t="shared" si="259"/>
        <v/>
      </c>
      <c r="JU467" s="1575">
        <f t="shared" si="260"/>
        <v>21</v>
      </c>
      <c r="JV467" s="1575" t="str">
        <f t="shared" si="261"/>
        <v/>
      </c>
      <c r="JW467" s="1575" t="str">
        <f t="shared" si="262"/>
        <v/>
      </c>
      <c r="JX467" s="1575" t="str">
        <f t="shared" si="263"/>
        <v/>
      </c>
      <c r="JY467" s="1575" t="str">
        <f t="shared" si="264"/>
        <v/>
      </c>
      <c r="JZ467" s="1575" t="str">
        <f t="shared" si="265"/>
        <v/>
      </c>
      <c r="KA467" s="1575" t="str">
        <f t="shared" si="266"/>
        <v/>
      </c>
      <c r="KB467" s="1575" t="str">
        <f t="shared" si="267"/>
        <v/>
      </c>
      <c r="KC467" s="1575" t="str">
        <f t="shared" si="268"/>
        <v/>
      </c>
      <c r="KD467" s="1575" t="str">
        <f t="shared" si="269"/>
        <v/>
      </c>
      <c r="KE467" s="1575" t="str">
        <f t="shared" si="270"/>
        <v/>
      </c>
      <c r="KF467" s="1575" t="str">
        <f t="shared" si="271"/>
        <v/>
      </c>
      <c r="KG467" s="1575" t="str">
        <f t="shared" si="272"/>
        <v/>
      </c>
      <c r="KH467" s="1575" t="str">
        <f t="shared" si="273"/>
        <v/>
      </c>
      <c r="KI467" s="1575" t="str">
        <f t="shared" si="274"/>
        <v/>
      </c>
      <c r="KJ467" s="1575" t="str">
        <f t="shared" si="275"/>
        <v/>
      </c>
      <c r="KK467" s="1575" t="str">
        <f t="shared" si="276"/>
        <v/>
      </c>
      <c r="KL467" s="1575" t="str">
        <f t="shared" si="277"/>
        <v/>
      </c>
      <c r="KM467" s="1575" t="str">
        <f t="shared" si="278"/>
        <v/>
      </c>
      <c r="KN467" s="1575" t="str">
        <f t="shared" si="279"/>
        <v/>
      </c>
      <c r="KO467" s="1575" t="str">
        <f t="shared" si="280"/>
        <v/>
      </c>
      <c r="KP467" s="1575" t="str">
        <f t="shared" si="281"/>
        <v/>
      </c>
      <c r="KQ467" s="1575" t="str">
        <f t="shared" si="282"/>
        <v/>
      </c>
      <c r="KR467" s="1575" t="str">
        <f t="shared" si="283"/>
        <v/>
      </c>
      <c r="KS467" s="1575" t="str">
        <f t="shared" si="284"/>
        <v/>
      </c>
      <c r="KT467" s="1575" t="str">
        <f t="shared" si="285"/>
        <v/>
      </c>
      <c r="KU467" s="1575" t="str">
        <f t="shared" si="286"/>
        <v/>
      </c>
      <c r="KV467" s="1575" t="str">
        <f t="shared" si="287"/>
        <v/>
      </c>
      <c r="KW467" s="1575" t="str">
        <f t="shared" si="288"/>
        <v/>
      </c>
      <c r="KX467" s="1575" t="str">
        <f t="shared" si="289"/>
        <v/>
      </c>
      <c r="KY467" s="1575" t="str">
        <f t="shared" si="290"/>
        <v/>
      </c>
      <c r="KZ467" s="1575" t="str">
        <f t="shared" si="291"/>
        <v/>
      </c>
      <c r="LA467" s="1575" t="str">
        <f t="shared" si="292"/>
        <v/>
      </c>
      <c r="LB467" s="1575" t="str">
        <f t="shared" si="293"/>
        <v/>
      </c>
      <c r="LC467" s="1575" t="str">
        <f t="shared" si="294"/>
        <v/>
      </c>
      <c r="LD467" s="1575" t="str">
        <f t="shared" si="295"/>
        <v/>
      </c>
      <c r="LE467" s="1575" t="str">
        <f t="shared" si="296"/>
        <v/>
      </c>
      <c r="LF467" s="1575" t="str">
        <f t="shared" si="297"/>
        <v/>
      </c>
      <c r="LG467" s="1564" t="str">
        <f t="shared" si="298"/>
        <v/>
      </c>
      <c r="LH467" s="1564" t="str">
        <f t="shared" si="299"/>
        <v/>
      </c>
      <c r="LI467" s="1564" t="str">
        <f t="shared" si="300"/>
        <v/>
      </c>
      <c r="LJ467" s="1564" t="str">
        <f t="shared" si="301"/>
        <v/>
      </c>
      <c r="LK467" s="1564"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441">
        <f t="shared" si="323"/>
        <v>0</v>
      </c>
      <c r="MG467" s="1441">
        <f t="shared" si="324"/>
        <v>0</v>
      </c>
      <c r="MH467" s="1441">
        <f t="shared" si="325"/>
        <v>21</v>
      </c>
      <c r="MI467" s="1441">
        <f t="shared" si="326"/>
        <v>0</v>
      </c>
      <c r="MJ467" s="1441">
        <f t="shared" si="327"/>
        <v>0</v>
      </c>
      <c r="MK467" s="1441">
        <f t="shared" si="333"/>
        <v>0</v>
      </c>
      <c r="ML467" s="1441">
        <f t="shared" si="334"/>
        <v>0</v>
      </c>
      <c r="MM467" s="1441">
        <f t="shared" si="335"/>
        <v>0</v>
      </c>
      <c r="MN467" s="1441">
        <f t="shared" si="336"/>
        <v>0</v>
      </c>
      <c r="MO467" s="1441">
        <f t="shared" si="337"/>
        <v>0</v>
      </c>
      <c r="MP467" s="1441">
        <f t="shared" si="328"/>
        <v>0</v>
      </c>
      <c r="MQ467" s="1441">
        <f t="shared" si="329"/>
        <v>0</v>
      </c>
      <c r="MR467" s="1441">
        <f t="shared" si="330"/>
        <v>0</v>
      </c>
      <c r="MS467" s="1441">
        <f t="shared" si="331"/>
        <v>0</v>
      </c>
      <c r="MT467" s="1441">
        <f t="shared" si="332"/>
        <v>0</v>
      </c>
      <c r="NP467" s="261" t="s">
        <v>1121</v>
      </c>
    </row>
    <row r="468" spans="1:380" ht="13.9" customHeight="1">
      <c r="A468" s="2330" t="str">
        <f t="shared" si="0"/>
        <v/>
      </c>
      <c r="B468" s="2149">
        <f>'Part V-Revenues &amp; Expenses'!B21</f>
        <v>60</v>
      </c>
      <c r="C468" s="2150">
        <f>'Part V-Revenues &amp; Expenses'!C21</f>
        <v>2</v>
      </c>
      <c r="D468" s="2151">
        <f>'Part V-Revenues &amp; Expenses'!D21</f>
        <v>1.5</v>
      </c>
      <c r="E468" s="2152">
        <f>'Part V-Revenues &amp; Expenses'!E21</f>
        <v>6</v>
      </c>
      <c r="F468" s="2152">
        <f>'Part V-Revenues &amp; Expenses'!F21</f>
        <v>1107</v>
      </c>
      <c r="G468" s="2152">
        <f>'Part V-Revenues &amp; Expenses'!G21</f>
        <v>1378</v>
      </c>
      <c r="H468" s="2152">
        <f>'Part V-Revenues &amp; Expenses'!H21</f>
        <v>930</v>
      </c>
      <c r="I468" s="2152">
        <f>'Part V-Revenues &amp; Expenses'!I21</f>
        <v>0</v>
      </c>
      <c r="J468" s="2152">
        <f>'Part V-Revenues &amp; Expenses'!J21</f>
        <v>173</v>
      </c>
      <c r="K468" s="2153" t="str">
        <f>'Part V-Revenues &amp; Expenses'!K21</f>
        <v>RAD</v>
      </c>
      <c r="L468" s="2154">
        <f t="shared" si="1"/>
        <v>757</v>
      </c>
      <c r="M468" s="2154">
        <f t="shared" si="2"/>
        <v>4542</v>
      </c>
      <c r="N468" s="2225" t="str">
        <f>'Part V-Revenues &amp; Expenses'!N21</f>
        <v>No</v>
      </c>
      <c r="O468" s="1065" t="str">
        <f>'Part V-Revenues &amp; Expenses'!O21</f>
        <v>Row House/TH</v>
      </c>
      <c r="P468" s="2225" t="str">
        <f>'Part V-Revenues &amp; Expenses'!P21</f>
        <v>Acquisition/Rehab</v>
      </c>
      <c r="Q468" s="1574" t="str">
        <f>'Part V-Revenues &amp; Expenses'!Q21</f>
        <v>No</v>
      </c>
      <c r="R468" s="2356"/>
      <c r="S468" s="2357"/>
      <c r="T468" s="2358"/>
      <c r="U468" s="2358"/>
      <c r="V468" s="2358"/>
      <c r="W468" s="2358"/>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f t="shared" si="15"/>
        <v>6</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f t="shared" si="65"/>
        <v>6</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f t="shared" si="130"/>
        <v>6642</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f t="shared" si="160"/>
        <v>6642</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f t="shared" si="185"/>
        <v>6</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575" t="str">
        <f t="shared" si="213"/>
        <v/>
      </c>
      <c r="IA468" s="1575" t="str">
        <f t="shared" si="214"/>
        <v/>
      </c>
      <c r="IB468" s="1575" t="str">
        <f t="shared" si="215"/>
        <v/>
      </c>
      <c r="IC468" s="1575" t="str">
        <f t="shared" si="216"/>
        <v/>
      </c>
      <c r="ID468" s="1575" t="str">
        <f t="shared" si="217"/>
        <v/>
      </c>
      <c r="IE468" s="1575" t="str">
        <f t="shared" si="218"/>
        <v/>
      </c>
      <c r="IF468" s="1575" t="str">
        <f t="shared" si="219"/>
        <v/>
      </c>
      <c r="IG468" s="1575" t="str">
        <f t="shared" si="220"/>
        <v/>
      </c>
      <c r="IH468" s="1575" t="str">
        <f t="shared" si="221"/>
        <v/>
      </c>
      <c r="II468" s="1575" t="str">
        <f t="shared" si="222"/>
        <v/>
      </c>
      <c r="IJ468" s="1575" t="str">
        <f t="shared" si="223"/>
        <v/>
      </c>
      <c r="IK468" s="1575" t="str">
        <f t="shared" si="224"/>
        <v/>
      </c>
      <c r="IL468" s="1575" t="str">
        <f t="shared" si="225"/>
        <v/>
      </c>
      <c r="IM468" s="1575" t="str">
        <f t="shared" si="226"/>
        <v/>
      </c>
      <c r="IN468" s="1575" t="str">
        <f t="shared" si="227"/>
        <v/>
      </c>
      <c r="IO468" s="1575" t="str">
        <f t="shared" si="228"/>
        <v/>
      </c>
      <c r="IP468" s="1575" t="str">
        <f t="shared" si="229"/>
        <v/>
      </c>
      <c r="IQ468" s="1575" t="str">
        <f t="shared" si="230"/>
        <v/>
      </c>
      <c r="IR468" s="1575" t="str">
        <f t="shared" si="231"/>
        <v/>
      </c>
      <c r="IS468" s="1575" t="str">
        <f t="shared" si="232"/>
        <v/>
      </c>
      <c r="IT468" s="1575" t="str">
        <f t="shared" si="233"/>
        <v/>
      </c>
      <c r="IU468" s="1575" t="str">
        <f t="shared" si="234"/>
        <v/>
      </c>
      <c r="IV468" s="1575" t="str">
        <f t="shared" si="235"/>
        <v/>
      </c>
      <c r="IW468" s="1575" t="str">
        <f t="shared" si="236"/>
        <v/>
      </c>
      <c r="IX468" s="1575" t="str">
        <f t="shared" si="237"/>
        <v/>
      </c>
      <c r="IY468" s="1575" t="str">
        <f t="shared" si="238"/>
        <v/>
      </c>
      <c r="IZ468" s="1575" t="str">
        <f t="shared" si="239"/>
        <v/>
      </c>
      <c r="JA468" s="1575" t="str">
        <f t="shared" si="240"/>
        <v/>
      </c>
      <c r="JB468" s="1575" t="str">
        <f t="shared" si="241"/>
        <v/>
      </c>
      <c r="JC468" s="1575" t="str">
        <f t="shared" si="242"/>
        <v/>
      </c>
      <c r="JD468" s="1575" t="str">
        <f t="shared" si="243"/>
        <v/>
      </c>
      <c r="JE468" s="1575" t="str">
        <f t="shared" si="244"/>
        <v/>
      </c>
      <c r="JF468" s="1575" t="str">
        <f t="shared" si="245"/>
        <v/>
      </c>
      <c r="JG468" s="1575" t="str">
        <f t="shared" si="246"/>
        <v/>
      </c>
      <c r="JH468" s="1575" t="str">
        <f t="shared" si="247"/>
        <v/>
      </c>
      <c r="JI468" s="1575" t="str">
        <f t="shared" si="248"/>
        <v/>
      </c>
      <c r="JJ468" s="1575" t="str">
        <f t="shared" si="249"/>
        <v/>
      </c>
      <c r="JK468" s="1575">
        <f t="shared" si="250"/>
        <v>6</v>
      </c>
      <c r="JL468" s="1575" t="str">
        <f t="shared" si="251"/>
        <v/>
      </c>
      <c r="JM468" s="1575" t="str">
        <f t="shared" si="252"/>
        <v/>
      </c>
      <c r="JN468" s="1575" t="str">
        <f t="shared" si="253"/>
        <v/>
      </c>
      <c r="JO468" s="1575" t="str">
        <f t="shared" si="254"/>
        <v/>
      </c>
      <c r="JP468" s="1575" t="str">
        <f t="shared" si="255"/>
        <v/>
      </c>
      <c r="JQ468" s="1575" t="str">
        <f t="shared" si="256"/>
        <v/>
      </c>
      <c r="JR468" s="1575" t="str">
        <f t="shared" si="257"/>
        <v/>
      </c>
      <c r="JS468" s="1575" t="str">
        <f t="shared" si="258"/>
        <v/>
      </c>
      <c r="JT468" s="1575" t="str">
        <f t="shared" si="259"/>
        <v/>
      </c>
      <c r="JU468" s="1575" t="str">
        <f t="shared" si="260"/>
        <v/>
      </c>
      <c r="JV468" s="1575" t="str">
        <f t="shared" si="261"/>
        <v/>
      </c>
      <c r="JW468" s="1575" t="str">
        <f t="shared" si="262"/>
        <v/>
      </c>
      <c r="JX468" s="1575" t="str">
        <f t="shared" si="263"/>
        <v/>
      </c>
      <c r="JY468" s="1575" t="str">
        <f t="shared" si="264"/>
        <v/>
      </c>
      <c r="JZ468" s="1575" t="str">
        <f t="shared" si="265"/>
        <v/>
      </c>
      <c r="KA468" s="1575" t="str">
        <f t="shared" si="266"/>
        <v/>
      </c>
      <c r="KB468" s="1575" t="str">
        <f t="shared" si="267"/>
        <v/>
      </c>
      <c r="KC468" s="1575" t="str">
        <f t="shared" si="268"/>
        <v/>
      </c>
      <c r="KD468" s="1575" t="str">
        <f t="shared" si="269"/>
        <v/>
      </c>
      <c r="KE468" s="1575" t="str">
        <f t="shared" si="270"/>
        <v/>
      </c>
      <c r="KF468" s="1575" t="str">
        <f t="shared" si="271"/>
        <v/>
      </c>
      <c r="KG468" s="1575" t="str">
        <f t="shared" si="272"/>
        <v/>
      </c>
      <c r="KH468" s="1575" t="str">
        <f t="shared" si="273"/>
        <v/>
      </c>
      <c r="KI468" s="1575" t="str">
        <f t="shared" si="274"/>
        <v/>
      </c>
      <c r="KJ468" s="1575" t="str">
        <f t="shared" si="275"/>
        <v/>
      </c>
      <c r="KK468" s="1575" t="str">
        <f t="shared" si="276"/>
        <v/>
      </c>
      <c r="KL468" s="1575" t="str">
        <f t="shared" si="277"/>
        <v/>
      </c>
      <c r="KM468" s="1575" t="str">
        <f t="shared" si="278"/>
        <v/>
      </c>
      <c r="KN468" s="1575" t="str">
        <f t="shared" si="279"/>
        <v/>
      </c>
      <c r="KO468" s="1575" t="str">
        <f t="shared" si="280"/>
        <v/>
      </c>
      <c r="KP468" s="1575" t="str">
        <f t="shared" si="281"/>
        <v/>
      </c>
      <c r="KQ468" s="1575" t="str">
        <f t="shared" si="282"/>
        <v/>
      </c>
      <c r="KR468" s="1575" t="str">
        <f t="shared" si="283"/>
        <v/>
      </c>
      <c r="KS468" s="1575" t="str">
        <f t="shared" si="284"/>
        <v/>
      </c>
      <c r="KT468" s="1575" t="str">
        <f t="shared" si="285"/>
        <v/>
      </c>
      <c r="KU468" s="1575" t="str">
        <f t="shared" si="286"/>
        <v/>
      </c>
      <c r="KV468" s="1575" t="str">
        <f t="shared" si="287"/>
        <v/>
      </c>
      <c r="KW468" s="1575" t="str">
        <f t="shared" si="288"/>
        <v/>
      </c>
      <c r="KX468" s="1575" t="str">
        <f t="shared" si="289"/>
        <v/>
      </c>
      <c r="KY468" s="1575" t="str">
        <f t="shared" si="290"/>
        <v/>
      </c>
      <c r="KZ468" s="1575" t="str">
        <f t="shared" si="291"/>
        <v/>
      </c>
      <c r="LA468" s="1575" t="str">
        <f t="shared" si="292"/>
        <v/>
      </c>
      <c r="LB468" s="1575" t="str">
        <f t="shared" si="293"/>
        <v/>
      </c>
      <c r="LC468" s="1575" t="str">
        <f t="shared" si="294"/>
        <v/>
      </c>
      <c r="LD468" s="1575" t="str">
        <f t="shared" si="295"/>
        <v/>
      </c>
      <c r="LE468" s="1575" t="str">
        <f t="shared" si="296"/>
        <v/>
      </c>
      <c r="LF468" s="1575" t="str">
        <f t="shared" si="297"/>
        <v/>
      </c>
      <c r="LG468" s="1564" t="str">
        <f t="shared" si="298"/>
        <v/>
      </c>
      <c r="LH468" s="1564" t="str">
        <f t="shared" si="299"/>
        <v/>
      </c>
      <c r="LI468" s="1564" t="str">
        <f t="shared" si="300"/>
        <v/>
      </c>
      <c r="LJ468" s="1564" t="str">
        <f t="shared" si="301"/>
        <v/>
      </c>
      <c r="LK468" s="1564"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441">
        <f t="shared" si="323"/>
        <v>0</v>
      </c>
      <c r="MG468" s="1441">
        <f t="shared" si="324"/>
        <v>0</v>
      </c>
      <c r="MH468" s="1441">
        <f t="shared" si="325"/>
        <v>6</v>
      </c>
      <c r="MI468" s="1441">
        <f t="shared" si="326"/>
        <v>0</v>
      </c>
      <c r="MJ468" s="1441">
        <f t="shared" si="327"/>
        <v>0</v>
      </c>
      <c r="MK468" s="1441">
        <f t="shared" si="333"/>
        <v>0</v>
      </c>
      <c r="ML468" s="1441">
        <f t="shared" si="334"/>
        <v>0</v>
      </c>
      <c r="MM468" s="1441">
        <f t="shared" si="335"/>
        <v>0</v>
      </c>
      <c r="MN468" s="1441">
        <f t="shared" si="336"/>
        <v>0</v>
      </c>
      <c r="MO468" s="1441">
        <f t="shared" si="337"/>
        <v>0</v>
      </c>
      <c r="MP468" s="1441">
        <f t="shared" si="328"/>
        <v>0</v>
      </c>
      <c r="MQ468" s="1441">
        <f t="shared" si="329"/>
        <v>0</v>
      </c>
      <c r="MR468" s="1441">
        <f t="shared" si="330"/>
        <v>0</v>
      </c>
      <c r="MS468" s="1441">
        <f t="shared" si="331"/>
        <v>0</v>
      </c>
      <c r="MT468" s="1441">
        <f t="shared" si="332"/>
        <v>0</v>
      </c>
      <c r="NP468" s="261" t="s">
        <v>1122</v>
      </c>
    </row>
    <row r="469" spans="1:380" ht="13.9" customHeight="1">
      <c r="A469" s="2330" t="str">
        <f t="shared" si="0"/>
        <v/>
      </c>
      <c r="B469" s="2149">
        <f>'Part V-Revenues &amp; Expenses'!B22</f>
        <v>60</v>
      </c>
      <c r="C469" s="2150">
        <f>'Part V-Revenues &amp; Expenses'!C22</f>
        <v>2</v>
      </c>
      <c r="D469" s="2151">
        <f>'Part V-Revenues &amp; Expenses'!D22</f>
        <v>1.5</v>
      </c>
      <c r="E469" s="2152">
        <f>'Part V-Revenues &amp; Expenses'!E22</f>
        <v>1</v>
      </c>
      <c r="F469" s="2152">
        <f>'Part V-Revenues &amp; Expenses'!F22</f>
        <v>1146</v>
      </c>
      <c r="G469" s="2152">
        <f>'Part V-Revenues &amp; Expenses'!G22</f>
        <v>1378</v>
      </c>
      <c r="H469" s="2152">
        <f>'Part V-Revenues &amp; Expenses'!H22</f>
        <v>930</v>
      </c>
      <c r="I469" s="2152">
        <f>'Part V-Revenues &amp; Expenses'!I22</f>
        <v>0</v>
      </c>
      <c r="J469" s="2152">
        <f>'Part V-Revenues &amp; Expenses'!J22</f>
        <v>173</v>
      </c>
      <c r="K469" s="2153" t="str">
        <f>'Part V-Revenues &amp; Expenses'!K22</f>
        <v>RAD</v>
      </c>
      <c r="L469" s="2154">
        <f t="shared" si="1"/>
        <v>757</v>
      </c>
      <c r="M469" s="2154">
        <f t="shared" si="2"/>
        <v>757</v>
      </c>
      <c r="N469" s="2225" t="str">
        <f>'Part V-Revenues &amp; Expenses'!N22</f>
        <v>No</v>
      </c>
      <c r="O469" s="1065" t="str">
        <f>'Part V-Revenues &amp; Expenses'!O22</f>
        <v>Low-Rise Apt</v>
      </c>
      <c r="P469" s="2225" t="str">
        <f>'Part V-Revenues &amp; Expenses'!P22</f>
        <v>Acquisition/Rehab</v>
      </c>
      <c r="Q469" s="1574" t="str">
        <f>'Part V-Revenues &amp; Expenses'!Q22</f>
        <v>No</v>
      </c>
      <c r="R469" s="2356"/>
      <c r="S469" s="2357"/>
      <c r="T469" s="2358"/>
      <c r="U469" s="2358"/>
      <c r="V469" s="2358"/>
      <c r="W469" s="2358"/>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f t="shared" si="15"/>
        <v>1</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f t="shared" si="65"/>
        <v>1</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f t="shared" si="130"/>
        <v>1146</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f t="shared" si="160"/>
        <v>1146</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f t="shared" si="185"/>
        <v>1</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575" t="str">
        <f t="shared" si="213"/>
        <v/>
      </c>
      <c r="IA469" s="1575" t="str">
        <f t="shared" si="214"/>
        <v/>
      </c>
      <c r="IB469" s="1575">
        <f t="shared" si="215"/>
        <v>1</v>
      </c>
      <c r="IC469" s="1575" t="str">
        <f t="shared" si="216"/>
        <v/>
      </c>
      <c r="ID469" s="1575" t="str">
        <f t="shared" si="217"/>
        <v/>
      </c>
      <c r="IE469" s="1575" t="str">
        <f t="shared" si="218"/>
        <v/>
      </c>
      <c r="IF469" s="1575" t="str">
        <f t="shared" si="219"/>
        <v/>
      </c>
      <c r="IG469" s="1575" t="str">
        <f t="shared" si="220"/>
        <v/>
      </c>
      <c r="IH469" s="1575" t="str">
        <f t="shared" si="221"/>
        <v/>
      </c>
      <c r="II469" s="1575" t="str">
        <f t="shared" si="222"/>
        <v/>
      </c>
      <c r="IJ469" s="1575" t="str">
        <f t="shared" si="223"/>
        <v/>
      </c>
      <c r="IK469" s="1575" t="str">
        <f t="shared" si="224"/>
        <v/>
      </c>
      <c r="IL469" s="1575" t="str">
        <f t="shared" si="225"/>
        <v/>
      </c>
      <c r="IM469" s="1575" t="str">
        <f t="shared" si="226"/>
        <v/>
      </c>
      <c r="IN469" s="1575" t="str">
        <f t="shared" si="227"/>
        <v/>
      </c>
      <c r="IO469" s="1575" t="str">
        <f t="shared" si="228"/>
        <v/>
      </c>
      <c r="IP469" s="1575" t="str">
        <f t="shared" si="229"/>
        <v/>
      </c>
      <c r="IQ469" s="1575" t="str">
        <f t="shared" si="230"/>
        <v/>
      </c>
      <c r="IR469" s="1575" t="str">
        <f t="shared" si="231"/>
        <v/>
      </c>
      <c r="IS469" s="1575" t="str">
        <f t="shared" si="232"/>
        <v/>
      </c>
      <c r="IT469" s="1575" t="str">
        <f t="shared" si="233"/>
        <v/>
      </c>
      <c r="IU469" s="1575" t="str">
        <f t="shared" si="234"/>
        <v/>
      </c>
      <c r="IV469" s="1575" t="str">
        <f t="shared" si="235"/>
        <v/>
      </c>
      <c r="IW469" s="1575" t="str">
        <f t="shared" si="236"/>
        <v/>
      </c>
      <c r="IX469" s="1575" t="str">
        <f t="shared" si="237"/>
        <v/>
      </c>
      <c r="IY469" s="1575" t="str">
        <f t="shared" si="238"/>
        <v/>
      </c>
      <c r="IZ469" s="1575" t="str">
        <f t="shared" si="239"/>
        <v/>
      </c>
      <c r="JA469" s="1575" t="str">
        <f t="shared" si="240"/>
        <v/>
      </c>
      <c r="JB469" s="1575" t="str">
        <f t="shared" si="241"/>
        <v/>
      </c>
      <c r="JC469" s="1575" t="str">
        <f t="shared" si="242"/>
        <v/>
      </c>
      <c r="JD469" s="1575" t="str">
        <f t="shared" si="243"/>
        <v/>
      </c>
      <c r="JE469" s="1575" t="str">
        <f t="shared" si="244"/>
        <v/>
      </c>
      <c r="JF469" s="1575" t="str">
        <f t="shared" si="245"/>
        <v/>
      </c>
      <c r="JG469" s="1575" t="str">
        <f t="shared" si="246"/>
        <v/>
      </c>
      <c r="JH469" s="1575" t="str">
        <f t="shared" si="247"/>
        <v/>
      </c>
      <c r="JI469" s="1575" t="str">
        <f t="shared" si="248"/>
        <v/>
      </c>
      <c r="JJ469" s="1575" t="str">
        <f t="shared" si="249"/>
        <v/>
      </c>
      <c r="JK469" s="1575" t="str">
        <f t="shared" si="250"/>
        <v/>
      </c>
      <c r="JL469" s="1575" t="str">
        <f t="shared" si="251"/>
        <v/>
      </c>
      <c r="JM469" s="1575" t="str">
        <f t="shared" si="252"/>
        <v/>
      </c>
      <c r="JN469" s="1575" t="str">
        <f t="shared" si="253"/>
        <v/>
      </c>
      <c r="JO469" s="1575" t="str">
        <f t="shared" si="254"/>
        <v/>
      </c>
      <c r="JP469" s="1575" t="str">
        <f t="shared" si="255"/>
        <v/>
      </c>
      <c r="JQ469" s="1575" t="str">
        <f t="shared" si="256"/>
        <v/>
      </c>
      <c r="JR469" s="1575" t="str">
        <f t="shared" si="257"/>
        <v/>
      </c>
      <c r="JS469" s="1575" t="str">
        <f t="shared" si="258"/>
        <v/>
      </c>
      <c r="JT469" s="1575" t="str">
        <f t="shared" si="259"/>
        <v/>
      </c>
      <c r="JU469" s="1575">
        <f t="shared" si="260"/>
        <v>1</v>
      </c>
      <c r="JV469" s="1575" t="str">
        <f t="shared" si="261"/>
        <v/>
      </c>
      <c r="JW469" s="1575" t="str">
        <f t="shared" si="262"/>
        <v/>
      </c>
      <c r="JX469" s="1575" t="str">
        <f t="shared" si="263"/>
        <v/>
      </c>
      <c r="JY469" s="1575" t="str">
        <f t="shared" si="264"/>
        <v/>
      </c>
      <c r="JZ469" s="1575" t="str">
        <f t="shared" si="265"/>
        <v/>
      </c>
      <c r="KA469" s="1575" t="str">
        <f t="shared" si="266"/>
        <v/>
      </c>
      <c r="KB469" s="1575" t="str">
        <f t="shared" si="267"/>
        <v/>
      </c>
      <c r="KC469" s="1575" t="str">
        <f t="shared" si="268"/>
        <v/>
      </c>
      <c r="KD469" s="1575" t="str">
        <f t="shared" si="269"/>
        <v/>
      </c>
      <c r="KE469" s="1575" t="str">
        <f t="shared" si="270"/>
        <v/>
      </c>
      <c r="KF469" s="1575" t="str">
        <f t="shared" si="271"/>
        <v/>
      </c>
      <c r="KG469" s="1575" t="str">
        <f t="shared" si="272"/>
        <v/>
      </c>
      <c r="KH469" s="1575" t="str">
        <f t="shared" si="273"/>
        <v/>
      </c>
      <c r="KI469" s="1575" t="str">
        <f t="shared" si="274"/>
        <v/>
      </c>
      <c r="KJ469" s="1575" t="str">
        <f t="shared" si="275"/>
        <v/>
      </c>
      <c r="KK469" s="1575" t="str">
        <f t="shared" si="276"/>
        <v/>
      </c>
      <c r="KL469" s="1575" t="str">
        <f t="shared" si="277"/>
        <v/>
      </c>
      <c r="KM469" s="1575" t="str">
        <f t="shared" si="278"/>
        <v/>
      </c>
      <c r="KN469" s="1575" t="str">
        <f t="shared" si="279"/>
        <v/>
      </c>
      <c r="KO469" s="1575" t="str">
        <f t="shared" si="280"/>
        <v/>
      </c>
      <c r="KP469" s="1575" t="str">
        <f t="shared" si="281"/>
        <v/>
      </c>
      <c r="KQ469" s="1575" t="str">
        <f t="shared" si="282"/>
        <v/>
      </c>
      <c r="KR469" s="1575" t="str">
        <f t="shared" si="283"/>
        <v/>
      </c>
      <c r="KS469" s="1575" t="str">
        <f t="shared" si="284"/>
        <v/>
      </c>
      <c r="KT469" s="1575" t="str">
        <f t="shared" si="285"/>
        <v/>
      </c>
      <c r="KU469" s="1575" t="str">
        <f t="shared" si="286"/>
        <v/>
      </c>
      <c r="KV469" s="1575" t="str">
        <f t="shared" si="287"/>
        <v/>
      </c>
      <c r="KW469" s="1575" t="str">
        <f t="shared" si="288"/>
        <v/>
      </c>
      <c r="KX469" s="1575" t="str">
        <f t="shared" si="289"/>
        <v/>
      </c>
      <c r="KY469" s="1575" t="str">
        <f t="shared" si="290"/>
        <v/>
      </c>
      <c r="KZ469" s="1575" t="str">
        <f t="shared" si="291"/>
        <v/>
      </c>
      <c r="LA469" s="1575" t="str">
        <f t="shared" si="292"/>
        <v/>
      </c>
      <c r="LB469" s="1575" t="str">
        <f t="shared" si="293"/>
        <v/>
      </c>
      <c r="LC469" s="1575" t="str">
        <f t="shared" si="294"/>
        <v/>
      </c>
      <c r="LD469" s="1575" t="str">
        <f t="shared" si="295"/>
        <v/>
      </c>
      <c r="LE469" s="1575" t="str">
        <f t="shared" si="296"/>
        <v/>
      </c>
      <c r="LF469" s="1575" t="str">
        <f t="shared" si="297"/>
        <v/>
      </c>
      <c r="LG469" s="1564" t="str">
        <f t="shared" si="298"/>
        <v/>
      </c>
      <c r="LH469" s="1564" t="str">
        <f t="shared" si="299"/>
        <v/>
      </c>
      <c r="LI469" s="1564" t="str">
        <f t="shared" si="300"/>
        <v/>
      </c>
      <c r="LJ469" s="1564" t="str">
        <f t="shared" si="301"/>
        <v/>
      </c>
      <c r="LK469" s="1564"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441">
        <f t="shared" si="323"/>
        <v>0</v>
      </c>
      <c r="MG469" s="1441">
        <f t="shared" si="324"/>
        <v>0</v>
      </c>
      <c r="MH469" s="1441">
        <f t="shared" si="325"/>
        <v>1</v>
      </c>
      <c r="MI469" s="1441">
        <f t="shared" si="326"/>
        <v>0</v>
      </c>
      <c r="MJ469" s="1441">
        <f t="shared" si="327"/>
        <v>0</v>
      </c>
      <c r="MK469" s="1441">
        <f t="shared" si="333"/>
        <v>0</v>
      </c>
      <c r="ML469" s="1441">
        <f t="shared" si="334"/>
        <v>0</v>
      </c>
      <c r="MM469" s="1441">
        <f t="shared" si="335"/>
        <v>0</v>
      </c>
      <c r="MN469" s="1441">
        <f t="shared" si="336"/>
        <v>0</v>
      </c>
      <c r="MO469" s="1441">
        <f t="shared" si="337"/>
        <v>0</v>
      </c>
      <c r="MP469" s="1441">
        <f t="shared" si="328"/>
        <v>0</v>
      </c>
      <c r="MQ469" s="1441">
        <f t="shared" si="329"/>
        <v>0</v>
      </c>
      <c r="MR469" s="1441">
        <f t="shared" si="330"/>
        <v>0</v>
      </c>
      <c r="MS469" s="1441">
        <f t="shared" si="331"/>
        <v>0</v>
      </c>
      <c r="MT469" s="1441">
        <f t="shared" si="332"/>
        <v>0</v>
      </c>
      <c r="NP469" s="261" t="s">
        <v>1123</v>
      </c>
    </row>
    <row r="470" spans="1:380" ht="13.9" customHeight="1">
      <c r="A470" s="2330" t="str">
        <f t="shared" si="0"/>
        <v/>
      </c>
      <c r="B470" s="2149">
        <f>'Part V-Revenues &amp; Expenses'!B23</f>
        <v>60</v>
      </c>
      <c r="C470" s="2150">
        <f>'Part V-Revenues &amp; Expenses'!C23</f>
        <v>2</v>
      </c>
      <c r="D470" s="2151">
        <f>'Part V-Revenues &amp; Expenses'!D23</f>
        <v>2</v>
      </c>
      <c r="E470" s="2152">
        <f>'Part V-Revenues &amp; Expenses'!E23</f>
        <v>1</v>
      </c>
      <c r="F470" s="2152">
        <f>'Part V-Revenues &amp; Expenses'!F23</f>
        <v>1188</v>
      </c>
      <c r="G470" s="2152">
        <f>'Part V-Revenues &amp; Expenses'!G23</f>
        <v>1378</v>
      </c>
      <c r="H470" s="2152">
        <f>'Part V-Revenues &amp; Expenses'!H23</f>
        <v>930</v>
      </c>
      <c r="I470" s="2152">
        <f>'Part V-Revenues &amp; Expenses'!I23</f>
        <v>0</v>
      </c>
      <c r="J470" s="2152">
        <f>'Part V-Revenues &amp; Expenses'!J23</f>
        <v>173</v>
      </c>
      <c r="K470" s="2153" t="str">
        <f>'Part V-Revenues &amp; Expenses'!K23</f>
        <v>RAD</v>
      </c>
      <c r="L470" s="2154">
        <f t="shared" si="1"/>
        <v>757</v>
      </c>
      <c r="M470" s="2154">
        <f t="shared" si="2"/>
        <v>757</v>
      </c>
      <c r="N470" s="2225" t="str">
        <f>'Part V-Revenues &amp; Expenses'!N23</f>
        <v>No</v>
      </c>
      <c r="O470" s="1065" t="str">
        <f>'Part V-Revenues &amp; Expenses'!O23</f>
        <v>Low-Rise Apt</v>
      </c>
      <c r="P470" s="2225" t="str">
        <f>'Part V-Revenues &amp; Expenses'!P23</f>
        <v>Acquisition/Rehab</v>
      </c>
      <c r="Q470" s="1574" t="str">
        <f>'Part V-Revenues &amp; Expenses'!Q23</f>
        <v>No</v>
      </c>
      <c r="R470" s="2356"/>
      <c r="S470" s="2357"/>
      <c r="T470" s="2358"/>
      <c r="U470" s="2358"/>
      <c r="V470" s="2358"/>
      <c r="W470" s="2358"/>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f t="shared" si="15"/>
        <v>1</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f t="shared" si="65"/>
        <v>1</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f t="shared" si="130"/>
        <v>1188</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f t="shared" si="160"/>
        <v>1188</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f t="shared" si="185"/>
        <v>1</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575" t="str">
        <f t="shared" si="213"/>
        <v/>
      </c>
      <c r="IA470" s="1575" t="str">
        <f t="shared" si="214"/>
        <v/>
      </c>
      <c r="IB470" s="1575">
        <f t="shared" si="215"/>
        <v>1</v>
      </c>
      <c r="IC470" s="1575" t="str">
        <f t="shared" si="216"/>
        <v/>
      </c>
      <c r="ID470" s="1575" t="str">
        <f t="shared" si="217"/>
        <v/>
      </c>
      <c r="IE470" s="1575" t="str">
        <f t="shared" si="218"/>
        <v/>
      </c>
      <c r="IF470" s="1575" t="str">
        <f t="shared" si="219"/>
        <v/>
      </c>
      <c r="IG470" s="1575" t="str">
        <f t="shared" si="220"/>
        <v/>
      </c>
      <c r="IH470" s="1575" t="str">
        <f t="shared" si="221"/>
        <v/>
      </c>
      <c r="II470" s="1575" t="str">
        <f t="shared" si="222"/>
        <v/>
      </c>
      <c r="IJ470" s="1575" t="str">
        <f t="shared" si="223"/>
        <v/>
      </c>
      <c r="IK470" s="1575" t="str">
        <f t="shared" si="224"/>
        <v/>
      </c>
      <c r="IL470" s="1575" t="str">
        <f t="shared" si="225"/>
        <v/>
      </c>
      <c r="IM470" s="1575" t="str">
        <f t="shared" si="226"/>
        <v/>
      </c>
      <c r="IN470" s="1575" t="str">
        <f t="shared" si="227"/>
        <v/>
      </c>
      <c r="IO470" s="1575" t="str">
        <f t="shared" si="228"/>
        <v/>
      </c>
      <c r="IP470" s="1575" t="str">
        <f t="shared" si="229"/>
        <v/>
      </c>
      <c r="IQ470" s="1575" t="str">
        <f t="shared" si="230"/>
        <v/>
      </c>
      <c r="IR470" s="1575" t="str">
        <f t="shared" si="231"/>
        <v/>
      </c>
      <c r="IS470" s="1575" t="str">
        <f t="shared" si="232"/>
        <v/>
      </c>
      <c r="IT470" s="1575" t="str">
        <f t="shared" si="233"/>
        <v/>
      </c>
      <c r="IU470" s="1575" t="str">
        <f t="shared" si="234"/>
        <v/>
      </c>
      <c r="IV470" s="1575" t="str">
        <f t="shared" si="235"/>
        <v/>
      </c>
      <c r="IW470" s="1575" t="str">
        <f t="shared" si="236"/>
        <v/>
      </c>
      <c r="IX470" s="1575" t="str">
        <f t="shared" si="237"/>
        <v/>
      </c>
      <c r="IY470" s="1575" t="str">
        <f t="shared" si="238"/>
        <v/>
      </c>
      <c r="IZ470" s="1575" t="str">
        <f t="shared" si="239"/>
        <v/>
      </c>
      <c r="JA470" s="1575" t="str">
        <f t="shared" si="240"/>
        <v/>
      </c>
      <c r="JB470" s="1575" t="str">
        <f t="shared" si="241"/>
        <v/>
      </c>
      <c r="JC470" s="1575" t="str">
        <f t="shared" si="242"/>
        <v/>
      </c>
      <c r="JD470" s="1575" t="str">
        <f t="shared" si="243"/>
        <v/>
      </c>
      <c r="JE470" s="1575" t="str">
        <f t="shared" si="244"/>
        <v/>
      </c>
      <c r="JF470" s="1575" t="str">
        <f t="shared" si="245"/>
        <v/>
      </c>
      <c r="JG470" s="1575" t="str">
        <f t="shared" si="246"/>
        <v/>
      </c>
      <c r="JH470" s="1575" t="str">
        <f t="shared" si="247"/>
        <v/>
      </c>
      <c r="JI470" s="1575" t="str">
        <f t="shared" si="248"/>
        <v/>
      </c>
      <c r="JJ470" s="1575" t="str">
        <f t="shared" si="249"/>
        <v/>
      </c>
      <c r="JK470" s="1575" t="str">
        <f t="shared" si="250"/>
        <v/>
      </c>
      <c r="JL470" s="1575" t="str">
        <f t="shared" si="251"/>
        <v/>
      </c>
      <c r="JM470" s="1575" t="str">
        <f t="shared" si="252"/>
        <v/>
      </c>
      <c r="JN470" s="1575" t="str">
        <f t="shared" si="253"/>
        <v/>
      </c>
      <c r="JO470" s="1575" t="str">
        <f t="shared" si="254"/>
        <v/>
      </c>
      <c r="JP470" s="1575" t="str">
        <f t="shared" si="255"/>
        <v/>
      </c>
      <c r="JQ470" s="1575" t="str">
        <f t="shared" si="256"/>
        <v/>
      </c>
      <c r="JR470" s="1575" t="str">
        <f t="shared" si="257"/>
        <v/>
      </c>
      <c r="JS470" s="1575" t="str">
        <f t="shared" si="258"/>
        <v/>
      </c>
      <c r="JT470" s="1575" t="str">
        <f t="shared" si="259"/>
        <v/>
      </c>
      <c r="JU470" s="1575">
        <f t="shared" si="260"/>
        <v>1</v>
      </c>
      <c r="JV470" s="1575" t="str">
        <f t="shared" si="261"/>
        <v/>
      </c>
      <c r="JW470" s="1575" t="str">
        <f t="shared" si="262"/>
        <v/>
      </c>
      <c r="JX470" s="1575" t="str">
        <f t="shared" si="263"/>
        <v/>
      </c>
      <c r="JY470" s="1575" t="str">
        <f t="shared" si="264"/>
        <v/>
      </c>
      <c r="JZ470" s="1575" t="str">
        <f t="shared" si="265"/>
        <v/>
      </c>
      <c r="KA470" s="1575" t="str">
        <f t="shared" si="266"/>
        <v/>
      </c>
      <c r="KB470" s="1575" t="str">
        <f t="shared" si="267"/>
        <v/>
      </c>
      <c r="KC470" s="1575" t="str">
        <f t="shared" si="268"/>
        <v/>
      </c>
      <c r="KD470" s="1575" t="str">
        <f t="shared" si="269"/>
        <v/>
      </c>
      <c r="KE470" s="1575" t="str">
        <f t="shared" si="270"/>
        <v/>
      </c>
      <c r="KF470" s="1575" t="str">
        <f t="shared" si="271"/>
        <v/>
      </c>
      <c r="KG470" s="1575" t="str">
        <f t="shared" si="272"/>
        <v/>
      </c>
      <c r="KH470" s="1575" t="str">
        <f t="shared" si="273"/>
        <v/>
      </c>
      <c r="KI470" s="1575" t="str">
        <f t="shared" si="274"/>
        <v/>
      </c>
      <c r="KJ470" s="1575" t="str">
        <f t="shared" si="275"/>
        <v/>
      </c>
      <c r="KK470" s="1575" t="str">
        <f t="shared" si="276"/>
        <v/>
      </c>
      <c r="KL470" s="1575" t="str">
        <f t="shared" si="277"/>
        <v/>
      </c>
      <c r="KM470" s="1575" t="str">
        <f t="shared" si="278"/>
        <v/>
      </c>
      <c r="KN470" s="1575" t="str">
        <f t="shared" si="279"/>
        <v/>
      </c>
      <c r="KO470" s="1575" t="str">
        <f t="shared" si="280"/>
        <v/>
      </c>
      <c r="KP470" s="1575" t="str">
        <f t="shared" si="281"/>
        <v/>
      </c>
      <c r="KQ470" s="1575" t="str">
        <f t="shared" si="282"/>
        <v/>
      </c>
      <c r="KR470" s="1575" t="str">
        <f t="shared" si="283"/>
        <v/>
      </c>
      <c r="KS470" s="1575" t="str">
        <f t="shared" si="284"/>
        <v/>
      </c>
      <c r="KT470" s="1575" t="str">
        <f t="shared" si="285"/>
        <v/>
      </c>
      <c r="KU470" s="1575" t="str">
        <f t="shared" si="286"/>
        <v/>
      </c>
      <c r="KV470" s="1575" t="str">
        <f t="shared" si="287"/>
        <v/>
      </c>
      <c r="KW470" s="1575" t="str">
        <f t="shared" si="288"/>
        <v/>
      </c>
      <c r="KX470" s="1575" t="str">
        <f t="shared" si="289"/>
        <v/>
      </c>
      <c r="KY470" s="1575" t="str">
        <f t="shared" si="290"/>
        <v/>
      </c>
      <c r="KZ470" s="1575" t="str">
        <f t="shared" si="291"/>
        <v/>
      </c>
      <c r="LA470" s="1575" t="str">
        <f t="shared" si="292"/>
        <v/>
      </c>
      <c r="LB470" s="1575" t="str">
        <f t="shared" si="293"/>
        <v/>
      </c>
      <c r="LC470" s="1575" t="str">
        <f t="shared" si="294"/>
        <v/>
      </c>
      <c r="LD470" s="1575" t="str">
        <f t="shared" si="295"/>
        <v/>
      </c>
      <c r="LE470" s="1575" t="str">
        <f t="shared" si="296"/>
        <v/>
      </c>
      <c r="LF470" s="1575" t="str">
        <f t="shared" si="297"/>
        <v/>
      </c>
      <c r="LG470" s="1564" t="str">
        <f t="shared" si="298"/>
        <v/>
      </c>
      <c r="LH470" s="1564" t="str">
        <f t="shared" si="299"/>
        <v/>
      </c>
      <c r="LI470" s="1564" t="str">
        <f t="shared" si="300"/>
        <v/>
      </c>
      <c r="LJ470" s="1564" t="str">
        <f t="shared" si="301"/>
        <v/>
      </c>
      <c r="LK470" s="1564"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441">
        <f t="shared" si="323"/>
        <v>0</v>
      </c>
      <c r="MG470" s="1441">
        <f t="shared" si="324"/>
        <v>0</v>
      </c>
      <c r="MH470" s="1441">
        <f t="shared" si="325"/>
        <v>1</v>
      </c>
      <c r="MI470" s="1441">
        <f t="shared" si="326"/>
        <v>0</v>
      </c>
      <c r="MJ470" s="1441">
        <f t="shared" si="327"/>
        <v>0</v>
      </c>
      <c r="MK470" s="1441">
        <f t="shared" si="333"/>
        <v>0</v>
      </c>
      <c r="ML470" s="1441">
        <f t="shared" si="334"/>
        <v>0</v>
      </c>
      <c r="MM470" s="1441">
        <f t="shared" si="335"/>
        <v>0</v>
      </c>
      <c r="MN470" s="1441">
        <f t="shared" si="336"/>
        <v>0</v>
      </c>
      <c r="MO470" s="1441">
        <f t="shared" si="337"/>
        <v>0</v>
      </c>
      <c r="MP470" s="1441">
        <f t="shared" si="328"/>
        <v>0</v>
      </c>
      <c r="MQ470" s="1441">
        <f t="shared" si="329"/>
        <v>0</v>
      </c>
      <c r="MR470" s="1441">
        <f t="shared" si="330"/>
        <v>0</v>
      </c>
      <c r="MS470" s="1441">
        <f t="shared" si="331"/>
        <v>0</v>
      </c>
      <c r="MT470" s="1441">
        <f t="shared" si="332"/>
        <v>0</v>
      </c>
      <c r="NP470" s="261" t="s">
        <v>1124</v>
      </c>
    </row>
    <row r="471" spans="1:380" ht="13.9" customHeight="1">
      <c r="A471" s="2330" t="str">
        <f t="shared" si="0"/>
        <v/>
      </c>
      <c r="B471" s="2149">
        <f>'Part V-Revenues &amp; Expenses'!B24</f>
        <v>60</v>
      </c>
      <c r="C471" s="2150">
        <f>'Part V-Revenues &amp; Expenses'!C24</f>
        <v>2</v>
      </c>
      <c r="D471" s="2151">
        <f>'Part V-Revenues &amp; Expenses'!D24</f>
        <v>2</v>
      </c>
      <c r="E471" s="2152">
        <f>'Part V-Revenues &amp; Expenses'!E24</f>
        <v>2</v>
      </c>
      <c r="F471" s="2152">
        <f>'Part V-Revenues &amp; Expenses'!F24</f>
        <v>1223</v>
      </c>
      <c r="G471" s="2152">
        <f>'Part V-Revenues &amp; Expenses'!G24</f>
        <v>1378</v>
      </c>
      <c r="H471" s="2152">
        <f>'Part V-Revenues &amp; Expenses'!H24</f>
        <v>930</v>
      </c>
      <c r="I471" s="2152">
        <f>'Part V-Revenues &amp; Expenses'!I24</f>
        <v>0</v>
      </c>
      <c r="J471" s="2152">
        <f>'Part V-Revenues &amp; Expenses'!J24</f>
        <v>173</v>
      </c>
      <c r="K471" s="2153" t="str">
        <f>'Part V-Revenues &amp; Expenses'!K24</f>
        <v>RAD</v>
      </c>
      <c r="L471" s="2154">
        <f t="shared" si="1"/>
        <v>757</v>
      </c>
      <c r="M471" s="2154">
        <f t="shared" si="2"/>
        <v>1514</v>
      </c>
      <c r="N471" s="2225" t="str">
        <f>'Part V-Revenues &amp; Expenses'!N24</f>
        <v>No</v>
      </c>
      <c r="O471" s="1065" t="str">
        <f>'Part V-Revenues &amp; Expenses'!O24</f>
        <v>Low-Rise Apt</v>
      </c>
      <c r="P471" s="2225" t="str">
        <f>'Part V-Revenues &amp; Expenses'!P24</f>
        <v>Acquisition/Rehab</v>
      </c>
      <c r="Q471" s="1574" t="str">
        <f>'Part V-Revenues &amp; Expenses'!Q24</f>
        <v>No</v>
      </c>
      <c r="R471" s="2356"/>
      <c r="S471" s="2357"/>
      <c r="T471" s="2358"/>
      <c r="U471" s="2358"/>
      <c r="V471" s="2358"/>
      <c r="W471" s="2358"/>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f t="shared" si="15"/>
        <v>2</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f t="shared" si="65"/>
        <v>2</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f t="shared" si="130"/>
        <v>2446</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f t="shared" si="160"/>
        <v>2446</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f t="shared" si="185"/>
        <v>2</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575" t="str">
        <f t="shared" si="213"/>
        <v/>
      </c>
      <c r="IA471" s="1575" t="str">
        <f t="shared" si="214"/>
        <v/>
      </c>
      <c r="IB471" s="1575">
        <f t="shared" si="215"/>
        <v>2</v>
      </c>
      <c r="IC471" s="1575" t="str">
        <f t="shared" si="216"/>
        <v/>
      </c>
      <c r="ID471" s="1575" t="str">
        <f t="shared" si="217"/>
        <v/>
      </c>
      <c r="IE471" s="1575" t="str">
        <f t="shared" si="218"/>
        <v/>
      </c>
      <c r="IF471" s="1575" t="str">
        <f t="shared" si="219"/>
        <v/>
      </c>
      <c r="IG471" s="1575" t="str">
        <f t="shared" si="220"/>
        <v/>
      </c>
      <c r="IH471" s="1575" t="str">
        <f t="shared" si="221"/>
        <v/>
      </c>
      <c r="II471" s="1575" t="str">
        <f t="shared" si="222"/>
        <v/>
      </c>
      <c r="IJ471" s="1575" t="str">
        <f t="shared" si="223"/>
        <v/>
      </c>
      <c r="IK471" s="1575" t="str">
        <f t="shared" si="224"/>
        <v/>
      </c>
      <c r="IL471" s="1575" t="str">
        <f t="shared" si="225"/>
        <v/>
      </c>
      <c r="IM471" s="1575" t="str">
        <f t="shared" si="226"/>
        <v/>
      </c>
      <c r="IN471" s="1575" t="str">
        <f t="shared" si="227"/>
        <v/>
      </c>
      <c r="IO471" s="1575" t="str">
        <f t="shared" si="228"/>
        <v/>
      </c>
      <c r="IP471" s="1575" t="str">
        <f t="shared" si="229"/>
        <v/>
      </c>
      <c r="IQ471" s="1575" t="str">
        <f t="shared" si="230"/>
        <v/>
      </c>
      <c r="IR471" s="1575" t="str">
        <f t="shared" si="231"/>
        <v/>
      </c>
      <c r="IS471" s="1575" t="str">
        <f t="shared" si="232"/>
        <v/>
      </c>
      <c r="IT471" s="1575" t="str">
        <f t="shared" si="233"/>
        <v/>
      </c>
      <c r="IU471" s="1575" t="str">
        <f t="shared" si="234"/>
        <v/>
      </c>
      <c r="IV471" s="1575" t="str">
        <f t="shared" si="235"/>
        <v/>
      </c>
      <c r="IW471" s="1575" t="str">
        <f t="shared" si="236"/>
        <v/>
      </c>
      <c r="IX471" s="1575" t="str">
        <f t="shared" si="237"/>
        <v/>
      </c>
      <c r="IY471" s="1575" t="str">
        <f t="shared" si="238"/>
        <v/>
      </c>
      <c r="IZ471" s="1575" t="str">
        <f t="shared" si="239"/>
        <v/>
      </c>
      <c r="JA471" s="1575" t="str">
        <f t="shared" si="240"/>
        <v/>
      </c>
      <c r="JB471" s="1575" t="str">
        <f t="shared" si="241"/>
        <v/>
      </c>
      <c r="JC471" s="1575" t="str">
        <f t="shared" si="242"/>
        <v/>
      </c>
      <c r="JD471" s="1575" t="str">
        <f t="shared" si="243"/>
        <v/>
      </c>
      <c r="JE471" s="1575" t="str">
        <f t="shared" si="244"/>
        <v/>
      </c>
      <c r="JF471" s="1575" t="str">
        <f t="shared" si="245"/>
        <v/>
      </c>
      <c r="JG471" s="1575" t="str">
        <f t="shared" si="246"/>
        <v/>
      </c>
      <c r="JH471" s="1575" t="str">
        <f t="shared" si="247"/>
        <v/>
      </c>
      <c r="JI471" s="1575" t="str">
        <f t="shared" si="248"/>
        <v/>
      </c>
      <c r="JJ471" s="1575" t="str">
        <f t="shared" si="249"/>
        <v/>
      </c>
      <c r="JK471" s="1575" t="str">
        <f t="shared" si="250"/>
        <v/>
      </c>
      <c r="JL471" s="1575" t="str">
        <f t="shared" si="251"/>
        <v/>
      </c>
      <c r="JM471" s="1575" t="str">
        <f t="shared" si="252"/>
        <v/>
      </c>
      <c r="JN471" s="1575" t="str">
        <f t="shared" si="253"/>
        <v/>
      </c>
      <c r="JO471" s="1575" t="str">
        <f t="shared" si="254"/>
        <v/>
      </c>
      <c r="JP471" s="1575" t="str">
        <f t="shared" si="255"/>
        <v/>
      </c>
      <c r="JQ471" s="1575" t="str">
        <f t="shared" si="256"/>
        <v/>
      </c>
      <c r="JR471" s="1575" t="str">
        <f t="shared" si="257"/>
        <v/>
      </c>
      <c r="JS471" s="1575" t="str">
        <f t="shared" si="258"/>
        <v/>
      </c>
      <c r="JT471" s="1575" t="str">
        <f t="shared" si="259"/>
        <v/>
      </c>
      <c r="JU471" s="1575">
        <f t="shared" si="260"/>
        <v>2</v>
      </c>
      <c r="JV471" s="1575" t="str">
        <f t="shared" si="261"/>
        <v/>
      </c>
      <c r="JW471" s="1575" t="str">
        <f t="shared" si="262"/>
        <v/>
      </c>
      <c r="JX471" s="1575" t="str">
        <f t="shared" si="263"/>
        <v/>
      </c>
      <c r="JY471" s="1575" t="str">
        <f t="shared" si="264"/>
        <v/>
      </c>
      <c r="JZ471" s="1575" t="str">
        <f t="shared" si="265"/>
        <v/>
      </c>
      <c r="KA471" s="1575" t="str">
        <f t="shared" si="266"/>
        <v/>
      </c>
      <c r="KB471" s="1575" t="str">
        <f t="shared" si="267"/>
        <v/>
      </c>
      <c r="KC471" s="1575" t="str">
        <f t="shared" si="268"/>
        <v/>
      </c>
      <c r="KD471" s="1575" t="str">
        <f t="shared" si="269"/>
        <v/>
      </c>
      <c r="KE471" s="1575" t="str">
        <f t="shared" si="270"/>
        <v/>
      </c>
      <c r="KF471" s="1575" t="str">
        <f t="shared" si="271"/>
        <v/>
      </c>
      <c r="KG471" s="1575" t="str">
        <f t="shared" si="272"/>
        <v/>
      </c>
      <c r="KH471" s="1575" t="str">
        <f t="shared" si="273"/>
        <v/>
      </c>
      <c r="KI471" s="1575" t="str">
        <f t="shared" si="274"/>
        <v/>
      </c>
      <c r="KJ471" s="1575" t="str">
        <f t="shared" si="275"/>
        <v/>
      </c>
      <c r="KK471" s="1575" t="str">
        <f t="shared" si="276"/>
        <v/>
      </c>
      <c r="KL471" s="1575" t="str">
        <f t="shared" si="277"/>
        <v/>
      </c>
      <c r="KM471" s="1575" t="str">
        <f t="shared" si="278"/>
        <v/>
      </c>
      <c r="KN471" s="1575" t="str">
        <f t="shared" si="279"/>
        <v/>
      </c>
      <c r="KO471" s="1575" t="str">
        <f t="shared" si="280"/>
        <v/>
      </c>
      <c r="KP471" s="1575" t="str">
        <f t="shared" si="281"/>
        <v/>
      </c>
      <c r="KQ471" s="1575" t="str">
        <f t="shared" si="282"/>
        <v/>
      </c>
      <c r="KR471" s="1575" t="str">
        <f t="shared" si="283"/>
        <v/>
      </c>
      <c r="KS471" s="1575" t="str">
        <f t="shared" si="284"/>
        <v/>
      </c>
      <c r="KT471" s="1575" t="str">
        <f t="shared" si="285"/>
        <v/>
      </c>
      <c r="KU471" s="1575" t="str">
        <f t="shared" si="286"/>
        <v/>
      </c>
      <c r="KV471" s="1575" t="str">
        <f t="shared" si="287"/>
        <v/>
      </c>
      <c r="KW471" s="1575" t="str">
        <f t="shared" si="288"/>
        <v/>
      </c>
      <c r="KX471" s="1575" t="str">
        <f t="shared" si="289"/>
        <v/>
      </c>
      <c r="KY471" s="1575" t="str">
        <f t="shared" si="290"/>
        <v/>
      </c>
      <c r="KZ471" s="1575" t="str">
        <f t="shared" si="291"/>
        <v/>
      </c>
      <c r="LA471" s="1575" t="str">
        <f t="shared" si="292"/>
        <v/>
      </c>
      <c r="LB471" s="1575" t="str">
        <f t="shared" si="293"/>
        <v/>
      </c>
      <c r="LC471" s="1575" t="str">
        <f t="shared" si="294"/>
        <v/>
      </c>
      <c r="LD471" s="1575" t="str">
        <f t="shared" si="295"/>
        <v/>
      </c>
      <c r="LE471" s="1575" t="str">
        <f t="shared" si="296"/>
        <v/>
      </c>
      <c r="LF471" s="1575" t="str">
        <f t="shared" si="297"/>
        <v/>
      </c>
      <c r="LG471" s="1564" t="str">
        <f t="shared" si="298"/>
        <v/>
      </c>
      <c r="LH471" s="1564" t="str">
        <f t="shared" si="299"/>
        <v/>
      </c>
      <c r="LI471" s="1564" t="str">
        <f t="shared" si="300"/>
        <v/>
      </c>
      <c r="LJ471" s="1564" t="str">
        <f t="shared" si="301"/>
        <v/>
      </c>
      <c r="LK471" s="1564"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441">
        <f t="shared" si="323"/>
        <v>0</v>
      </c>
      <c r="MG471" s="1441">
        <f t="shared" si="324"/>
        <v>0</v>
      </c>
      <c r="MH471" s="1441">
        <f t="shared" si="325"/>
        <v>2</v>
      </c>
      <c r="MI471" s="1441">
        <f t="shared" si="326"/>
        <v>0</v>
      </c>
      <c r="MJ471" s="1441">
        <f t="shared" si="327"/>
        <v>0</v>
      </c>
      <c r="MK471" s="1441">
        <f t="shared" si="333"/>
        <v>0</v>
      </c>
      <c r="ML471" s="1441">
        <f t="shared" si="334"/>
        <v>0</v>
      </c>
      <c r="MM471" s="1441">
        <f t="shared" si="335"/>
        <v>0</v>
      </c>
      <c r="MN471" s="1441">
        <f t="shared" si="336"/>
        <v>0</v>
      </c>
      <c r="MO471" s="1441">
        <f t="shared" si="337"/>
        <v>0</v>
      </c>
      <c r="MP471" s="1441">
        <f t="shared" si="328"/>
        <v>0</v>
      </c>
      <c r="MQ471" s="1441">
        <f t="shared" si="329"/>
        <v>0</v>
      </c>
      <c r="MR471" s="1441">
        <f t="shared" si="330"/>
        <v>0</v>
      </c>
      <c r="MS471" s="1441">
        <f t="shared" si="331"/>
        <v>0</v>
      </c>
      <c r="MT471" s="1441">
        <f t="shared" si="332"/>
        <v>0</v>
      </c>
      <c r="NP471" s="261" t="s">
        <v>1125</v>
      </c>
    </row>
    <row r="472" spans="1:380" ht="13.9" customHeight="1">
      <c r="A472" s="2330" t="str">
        <f t="shared" si="0"/>
        <v/>
      </c>
      <c r="B472" s="2149">
        <f>'Part V-Revenues &amp; Expenses'!B25</f>
        <v>0</v>
      </c>
      <c r="C472" s="2150">
        <f>'Part V-Revenues &amp; Expenses'!C25</f>
        <v>0</v>
      </c>
      <c r="D472" s="2151">
        <f>'Part V-Revenues &amp; Expenses'!D25</f>
        <v>0</v>
      </c>
      <c r="E472" s="2152">
        <f>'Part V-Revenues &amp; Expenses'!E25</f>
        <v>0</v>
      </c>
      <c r="F472" s="2152">
        <f>'Part V-Revenues &amp; Expenses'!F25</f>
        <v>0</v>
      </c>
      <c r="G472" s="2152">
        <f>'Part V-Revenues &amp; Expenses'!G25</f>
        <v>0</v>
      </c>
      <c r="H472" s="2152">
        <f>'Part V-Revenues &amp; Expenses'!H25</f>
        <v>0</v>
      </c>
      <c r="I472" s="2152">
        <f>'Part V-Revenues &amp; Expenses'!I25</f>
        <v>0</v>
      </c>
      <c r="J472" s="2152">
        <f>'Part V-Revenues &amp; Expenses'!J25</f>
        <v>0</v>
      </c>
      <c r="K472" s="2153">
        <f>'Part V-Revenues &amp; Expenses'!K25</f>
        <v>0</v>
      </c>
      <c r="L472" s="2154">
        <f t="shared" si="1"/>
        <v>0</v>
      </c>
      <c r="M472" s="2154">
        <f t="shared" si="2"/>
        <v>0</v>
      </c>
      <c r="N472" s="2225">
        <f>'Part V-Revenues &amp; Expenses'!N25</f>
        <v>0</v>
      </c>
      <c r="O472" s="1065">
        <f>'Part V-Revenues &amp; Expenses'!O25</f>
        <v>0</v>
      </c>
      <c r="P472" s="2225">
        <f>'Part V-Revenues &amp; Expenses'!P25</f>
        <v>0</v>
      </c>
      <c r="Q472" s="1574">
        <f>'Part V-Revenues &amp; Expenses'!Q25</f>
        <v>0</v>
      </c>
      <c r="R472" s="2356"/>
      <c r="S472" s="2357"/>
      <c r="T472" s="2358"/>
      <c r="U472" s="2358"/>
      <c r="V472" s="2358"/>
      <c r="W472" s="2358"/>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575" t="str">
        <f t="shared" si="213"/>
        <v/>
      </c>
      <c r="IA472" s="1575" t="str">
        <f t="shared" si="214"/>
        <v/>
      </c>
      <c r="IB472" s="1575" t="str">
        <f t="shared" si="215"/>
        <v/>
      </c>
      <c r="IC472" s="1575" t="str">
        <f t="shared" si="216"/>
        <v/>
      </c>
      <c r="ID472" s="1575" t="str">
        <f t="shared" si="217"/>
        <v/>
      </c>
      <c r="IE472" s="1575" t="str">
        <f t="shared" si="218"/>
        <v/>
      </c>
      <c r="IF472" s="1575" t="str">
        <f t="shared" si="219"/>
        <v/>
      </c>
      <c r="IG472" s="1575" t="str">
        <f t="shared" si="220"/>
        <v/>
      </c>
      <c r="IH472" s="1575" t="str">
        <f t="shared" si="221"/>
        <v/>
      </c>
      <c r="II472" s="1575" t="str">
        <f t="shared" si="222"/>
        <v/>
      </c>
      <c r="IJ472" s="1575" t="str">
        <f t="shared" si="223"/>
        <v/>
      </c>
      <c r="IK472" s="1575" t="str">
        <f t="shared" si="224"/>
        <v/>
      </c>
      <c r="IL472" s="1575" t="str">
        <f t="shared" si="225"/>
        <v/>
      </c>
      <c r="IM472" s="1575" t="str">
        <f t="shared" si="226"/>
        <v/>
      </c>
      <c r="IN472" s="1575" t="str">
        <f t="shared" si="227"/>
        <v/>
      </c>
      <c r="IO472" s="1575" t="str">
        <f t="shared" si="228"/>
        <v/>
      </c>
      <c r="IP472" s="1575" t="str">
        <f t="shared" si="229"/>
        <v/>
      </c>
      <c r="IQ472" s="1575" t="str">
        <f t="shared" si="230"/>
        <v/>
      </c>
      <c r="IR472" s="1575" t="str">
        <f t="shared" si="231"/>
        <v/>
      </c>
      <c r="IS472" s="1575" t="str">
        <f t="shared" si="232"/>
        <v/>
      </c>
      <c r="IT472" s="1575" t="str">
        <f t="shared" si="233"/>
        <v/>
      </c>
      <c r="IU472" s="1575" t="str">
        <f t="shared" si="234"/>
        <v/>
      </c>
      <c r="IV472" s="1575" t="str">
        <f t="shared" si="235"/>
        <v/>
      </c>
      <c r="IW472" s="1575" t="str">
        <f t="shared" si="236"/>
        <v/>
      </c>
      <c r="IX472" s="1575" t="str">
        <f t="shared" si="237"/>
        <v/>
      </c>
      <c r="IY472" s="1575" t="str">
        <f t="shared" si="238"/>
        <v/>
      </c>
      <c r="IZ472" s="1575" t="str">
        <f t="shared" si="239"/>
        <v/>
      </c>
      <c r="JA472" s="1575" t="str">
        <f t="shared" si="240"/>
        <v/>
      </c>
      <c r="JB472" s="1575" t="str">
        <f t="shared" si="241"/>
        <v/>
      </c>
      <c r="JC472" s="1575" t="str">
        <f t="shared" si="242"/>
        <v/>
      </c>
      <c r="JD472" s="1575" t="str">
        <f t="shared" si="243"/>
        <v/>
      </c>
      <c r="JE472" s="1575" t="str">
        <f t="shared" si="244"/>
        <v/>
      </c>
      <c r="JF472" s="1575" t="str">
        <f t="shared" si="245"/>
        <v/>
      </c>
      <c r="JG472" s="1575" t="str">
        <f t="shared" si="246"/>
        <v/>
      </c>
      <c r="JH472" s="1575" t="str">
        <f t="shared" si="247"/>
        <v/>
      </c>
      <c r="JI472" s="1575" t="str">
        <f t="shared" si="248"/>
        <v/>
      </c>
      <c r="JJ472" s="1575" t="str">
        <f t="shared" si="249"/>
        <v/>
      </c>
      <c r="JK472" s="1575" t="str">
        <f t="shared" si="250"/>
        <v/>
      </c>
      <c r="JL472" s="1575" t="str">
        <f t="shared" si="251"/>
        <v/>
      </c>
      <c r="JM472" s="1575" t="str">
        <f t="shared" si="252"/>
        <v/>
      </c>
      <c r="JN472" s="1575" t="str">
        <f t="shared" si="253"/>
        <v/>
      </c>
      <c r="JO472" s="1575" t="str">
        <f t="shared" si="254"/>
        <v/>
      </c>
      <c r="JP472" s="1575" t="str">
        <f t="shared" si="255"/>
        <v/>
      </c>
      <c r="JQ472" s="1575" t="str">
        <f t="shared" si="256"/>
        <v/>
      </c>
      <c r="JR472" s="1575" t="str">
        <f t="shared" si="257"/>
        <v/>
      </c>
      <c r="JS472" s="1575" t="str">
        <f t="shared" si="258"/>
        <v/>
      </c>
      <c r="JT472" s="1575" t="str">
        <f t="shared" si="259"/>
        <v/>
      </c>
      <c r="JU472" s="1575" t="str">
        <f t="shared" si="260"/>
        <v/>
      </c>
      <c r="JV472" s="1575" t="str">
        <f t="shared" si="261"/>
        <v/>
      </c>
      <c r="JW472" s="1575" t="str">
        <f t="shared" si="262"/>
        <v/>
      </c>
      <c r="JX472" s="1575" t="str">
        <f t="shared" si="263"/>
        <v/>
      </c>
      <c r="JY472" s="1575" t="str">
        <f t="shared" si="264"/>
        <v/>
      </c>
      <c r="JZ472" s="1575" t="str">
        <f t="shared" si="265"/>
        <v/>
      </c>
      <c r="KA472" s="1575" t="str">
        <f t="shared" si="266"/>
        <v/>
      </c>
      <c r="KB472" s="1575" t="str">
        <f t="shared" si="267"/>
        <v/>
      </c>
      <c r="KC472" s="1575" t="str">
        <f t="shared" si="268"/>
        <v/>
      </c>
      <c r="KD472" s="1575" t="str">
        <f t="shared" si="269"/>
        <v/>
      </c>
      <c r="KE472" s="1575" t="str">
        <f t="shared" si="270"/>
        <v/>
      </c>
      <c r="KF472" s="1575" t="str">
        <f t="shared" si="271"/>
        <v/>
      </c>
      <c r="KG472" s="1575" t="str">
        <f t="shared" si="272"/>
        <v/>
      </c>
      <c r="KH472" s="1575" t="str">
        <f t="shared" si="273"/>
        <v/>
      </c>
      <c r="KI472" s="1575" t="str">
        <f t="shared" si="274"/>
        <v/>
      </c>
      <c r="KJ472" s="1575" t="str">
        <f t="shared" si="275"/>
        <v/>
      </c>
      <c r="KK472" s="1575" t="str">
        <f t="shared" si="276"/>
        <v/>
      </c>
      <c r="KL472" s="1575" t="str">
        <f t="shared" si="277"/>
        <v/>
      </c>
      <c r="KM472" s="1575" t="str">
        <f t="shared" si="278"/>
        <v/>
      </c>
      <c r="KN472" s="1575" t="str">
        <f t="shared" si="279"/>
        <v/>
      </c>
      <c r="KO472" s="1575" t="str">
        <f t="shared" si="280"/>
        <v/>
      </c>
      <c r="KP472" s="1575" t="str">
        <f t="shared" si="281"/>
        <v/>
      </c>
      <c r="KQ472" s="1575" t="str">
        <f t="shared" si="282"/>
        <v/>
      </c>
      <c r="KR472" s="1575" t="str">
        <f t="shared" si="283"/>
        <v/>
      </c>
      <c r="KS472" s="1575" t="str">
        <f t="shared" si="284"/>
        <v/>
      </c>
      <c r="KT472" s="1575" t="str">
        <f t="shared" si="285"/>
        <v/>
      </c>
      <c r="KU472" s="1575" t="str">
        <f t="shared" si="286"/>
        <v/>
      </c>
      <c r="KV472" s="1575" t="str">
        <f t="shared" si="287"/>
        <v/>
      </c>
      <c r="KW472" s="1575" t="str">
        <f t="shared" si="288"/>
        <v/>
      </c>
      <c r="KX472" s="1575" t="str">
        <f t="shared" si="289"/>
        <v/>
      </c>
      <c r="KY472" s="1575" t="str">
        <f t="shared" si="290"/>
        <v/>
      </c>
      <c r="KZ472" s="1575" t="str">
        <f t="shared" si="291"/>
        <v/>
      </c>
      <c r="LA472" s="1575" t="str">
        <f t="shared" si="292"/>
        <v/>
      </c>
      <c r="LB472" s="1575" t="str">
        <f t="shared" si="293"/>
        <v/>
      </c>
      <c r="LC472" s="1575" t="str">
        <f t="shared" si="294"/>
        <v/>
      </c>
      <c r="LD472" s="1575" t="str">
        <f t="shared" si="295"/>
        <v/>
      </c>
      <c r="LE472" s="1575" t="str">
        <f t="shared" si="296"/>
        <v/>
      </c>
      <c r="LF472" s="1575" t="str">
        <f t="shared" si="297"/>
        <v/>
      </c>
      <c r="LG472" s="1564" t="str">
        <f t="shared" si="298"/>
        <v/>
      </c>
      <c r="LH472" s="1564" t="str">
        <f t="shared" si="299"/>
        <v/>
      </c>
      <c r="LI472" s="1564" t="str">
        <f t="shared" si="300"/>
        <v/>
      </c>
      <c r="LJ472" s="1564" t="str">
        <f t="shared" si="301"/>
        <v/>
      </c>
      <c r="LK472" s="1564"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441">
        <f t="shared" si="323"/>
        <v>0</v>
      </c>
      <c r="MG472" s="1441">
        <f t="shared" si="324"/>
        <v>0</v>
      </c>
      <c r="MH472" s="1441">
        <f t="shared" si="325"/>
        <v>0</v>
      </c>
      <c r="MI472" s="1441">
        <f t="shared" si="326"/>
        <v>0</v>
      </c>
      <c r="MJ472" s="1441">
        <f t="shared" si="327"/>
        <v>0</v>
      </c>
      <c r="MK472" s="1441">
        <f t="shared" si="333"/>
        <v>0</v>
      </c>
      <c r="ML472" s="1441">
        <f t="shared" si="334"/>
        <v>0</v>
      </c>
      <c r="MM472" s="1441">
        <f t="shared" si="335"/>
        <v>0</v>
      </c>
      <c r="MN472" s="1441">
        <f t="shared" si="336"/>
        <v>0</v>
      </c>
      <c r="MO472" s="1441">
        <f t="shared" si="337"/>
        <v>0</v>
      </c>
      <c r="MP472" s="1441">
        <f t="shared" si="328"/>
        <v>0</v>
      </c>
      <c r="MQ472" s="1441">
        <f t="shared" si="329"/>
        <v>0</v>
      </c>
      <c r="MR472" s="1441">
        <f t="shared" si="330"/>
        <v>0</v>
      </c>
      <c r="MS472" s="1441">
        <f t="shared" si="331"/>
        <v>0</v>
      </c>
      <c r="MT472" s="1441">
        <f t="shared" si="332"/>
        <v>0</v>
      </c>
      <c r="NP472" s="261" t="s">
        <v>1126</v>
      </c>
    </row>
    <row r="473" spans="1:380" ht="13.9" customHeight="1">
      <c r="A473" s="2330" t="str">
        <f t="shared" si="0"/>
        <v/>
      </c>
      <c r="B473" s="2149">
        <f>'Part V-Revenues &amp; Expenses'!B26</f>
        <v>60</v>
      </c>
      <c r="C473" s="2150">
        <f>'Part V-Revenues &amp; Expenses'!C26</f>
        <v>2</v>
      </c>
      <c r="D473" s="2151">
        <f>'Part V-Revenues &amp; Expenses'!D26</f>
        <v>2</v>
      </c>
      <c r="E473" s="2152">
        <f>'Part V-Revenues &amp; Expenses'!E26</f>
        <v>2</v>
      </c>
      <c r="F473" s="2152">
        <f>'Part V-Revenues &amp; Expenses'!F26</f>
        <v>1089</v>
      </c>
      <c r="G473" s="2152">
        <f>'Part V-Revenues &amp; Expenses'!G26</f>
        <v>1378</v>
      </c>
      <c r="H473" s="2152">
        <f>'Part V-Revenues &amp; Expenses'!H26</f>
        <v>1485.0000000000002</v>
      </c>
      <c r="I473" s="2152">
        <f>'Part V-Revenues &amp; Expenses'!I26</f>
        <v>0</v>
      </c>
      <c r="J473" s="2152">
        <f>'Part V-Revenues &amp; Expenses'!J26</f>
        <v>173</v>
      </c>
      <c r="K473" s="2153" t="str">
        <f>'Part V-Revenues &amp; Expenses'!K26</f>
        <v>PHA PBRA</v>
      </c>
      <c r="L473" s="2154">
        <f t="shared" si="1"/>
        <v>1312.0000000000002</v>
      </c>
      <c r="M473" s="2154">
        <f t="shared" si="2"/>
        <v>2624.0000000000005</v>
      </c>
      <c r="N473" s="2225" t="str">
        <f>'Part V-Revenues &amp; Expenses'!N26</f>
        <v>No</v>
      </c>
      <c r="O473" s="1065" t="str">
        <f>'Part V-Revenues &amp; Expenses'!O26</f>
        <v>Low-Rise Apt</v>
      </c>
      <c r="P473" s="2225" t="str">
        <f>'Part V-Revenues &amp; Expenses'!P26</f>
        <v>Acquisition/Rehab</v>
      </c>
      <c r="Q473" s="1574" t="str">
        <f>'Part V-Revenues &amp; Expenses'!Q26</f>
        <v>No</v>
      </c>
      <c r="R473" s="2356"/>
      <c r="S473" s="2357"/>
      <c r="T473" s="2358"/>
      <c r="U473" s="2358"/>
      <c r="V473" s="2358"/>
      <c r="W473" s="2358"/>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f t="shared" si="15"/>
        <v>2</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f t="shared" si="65"/>
        <v>2</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f t="shared" si="130"/>
        <v>2178</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f t="shared" si="160"/>
        <v>2178</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f t="shared" si="185"/>
        <v>2</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575" t="str">
        <f t="shared" si="213"/>
        <v/>
      </c>
      <c r="IA473" s="1575" t="str">
        <f t="shared" si="214"/>
        <v/>
      </c>
      <c r="IB473" s="1575">
        <f t="shared" si="215"/>
        <v>2</v>
      </c>
      <c r="IC473" s="1575" t="str">
        <f t="shared" si="216"/>
        <v/>
      </c>
      <c r="ID473" s="1575" t="str">
        <f t="shared" si="217"/>
        <v/>
      </c>
      <c r="IE473" s="1575" t="str">
        <f t="shared" si="218"/>
        <v/>
      </c>
      <c r="IF473" s="1575" t="str">
        <f t="shared" si="219"/>
        <v/>
      </c>
      <c r="IG473" s="1575" t="str">
        <f t="shared" si="220"/>
        <v/>
      </c>
      <c r="IH473" s="1575" t="str">
        <f t="shared" si="221"/>
        <v/>
      </c>
      <c r="II473" s="1575" t="str">
        <f t="shared" si="222"/>
        <v/>
      </c>
      <c r="IJ473" s="1575" t="str">
        <f t="shared" si="223"/>
        <v/>
      </c>
      <c r="IK473" s="1575" t="str">
        <f t="shared" si="224"/>
        <v/>
      </c>
      <c r="IL473" s="1575" t="str">
        <f t="shared" si="225"/>
        <v/>
      </c>
      <c r="IM473" s="1575" t="str">
        <f t="shared" si="226"/>
        <v/>
      </c>
      <c r="IN473" s="1575" t="str">
        <f t="shared" si="227"/>
        <v/>
      </c>
      <c r="IO473" s="1575" t="str">
        <f t="shared" si="228"/>
        <v/>
      </c>
      <c r="IP473" s="1575" t="str">
        <f t="shared" si="229"/>
        <v/>
      </c>
      <c r="IQ473" s="1575" t="str">
        <f t="shared" si="230"/>
        <v/>
      </c>
      <c r="IR473" s="1575" t="str">
        <f t="shared" si="231"/>
        <v/>
      </c>
      <c r="IS473" s="1575" t="str">
        <f t="shared" si="232"/>
        <v/>
      </c>
      <c r="IT473" s="1575" t="str">
        <f t="shared" si="233"/>
        <v/>
      </c>
      <c r="IU473" s="1575" t="str">
        <f t="shared" si="234"/>
        <v/>
      </c>
      <c r="IV473" s="1575" t="str">
        <f t="shared" si="235"/>
        <v/>
      </c>
      <c r="IW473" s="1575" t="str">
        <f t="shared" si="236"/>
        <v/>
      </c>
      <c r="IX473" s="1575" t="str">
        <f t="shared" si="237"/>
        <v/>
      </c>
      <c r="IY473" s="1575" t="str">
        <f t="shared" si="238"/>
        <v/>
      </c>
      <c r="IZ473" s="1575" t="str">
        <f t="shared" si="239"/>
        <v/>
      </c>
      <c r="JA473" s="1575" t="str">
        <f t="shared" si="240"/>
        <v/>
      </c>
      <c r="JB473" s="1575" t="str">
        <f t="shared" si="241"/>
        <v/>
      </c>
      <c r="JC473" s="1575" t="str">
        <f t="shared" si="242"/>
        <v/>
      </c>
      <c r="JD473" s="1575" t="str">
        <f t="shared" si="243"/>
        <v/>
      </c>
      <c r="JE473" s="1575" t="str">
        <f t="shared" si="244"/>
        <v/>
      </c>
      <c r="JF473" s="1575" t="str">
        <f t="shared" si="245"/>
        <v/>
      </c>
      <c r="JG473" s="1575" t="str">
        <f t="shared" si="246"/>
        <v/>
      </c>
      <c r="JH473" s="1575" t="str">
        <f t="shared" si="247"/>
        <v/>
      </c>
      <c r="JI473" s="1575" t="str">
        <f t="shared" si="248"/>
        <v/>
      </c>
      <c r="JJ473" s="1575" t="str">
        <f t="shared" si="249"/>
        <v/>
      </c>
      <c r="JK473" s="1575" t="str">
        <f t="shared" si="250"/>
        <v/>
      </c>
      <c r="JL473" s="1575" t="str">
        <f t="shared" si="251"/>
        <v/>
      </c>
      <c r="JM473" s="1575" t="str">
        <f t="shared" si="252"/>
        <v/>
      </c>
      <c r="JN473" s="1575" t="str">
        <f t="shared" si="253"/>
        <v/>
      </c>
      <c r="JO473" s="1575" t="str">
        <f t="shared" si="254"/>
        <v/>
      </c>
      <c r="JP473" s="1575" t="str">
        <f t="shared" si="255"/>
        <v/>
      </c>
      <c r="JQ473" s="1575" t="str">
        <f t="shared" si="256"/>
        <v/>
      </c>
      <c r="JR473" s="1575" t="str">
        <f t="shared" si="257"/>
        <v/>
      </c>
      <c r="JS473" s="1575" t="str">
        <f t="shared" si="258"/>
        <v/>
      </c>
      <c r="JT473" s="1575" t="str">
        <f t="shared" si="259"/>
        <v/>
      </c>
      <c r="JU473" s="1575">
        <f t="shared" si="260"/>
        <v>2</v>
      </c>
      <c r="JV473" s="1575" t="str">
        <f t="shared" si="261"/>
        <v/>
      </c>
      <c r="JW473" s="1575" t="str">
        <f t="shared" si="262"/>
        <v/>
      </c>
      <c r="JX473" s="1575" t="str">
        <f t="shared" si="263"/>
        <v/>
      </c>
      <c r="JY473" s="1575" t="str">
        <f t="shared" si="264"/>
        <v/>
      </c>
      <c r="JZ473" s="1575" t="str">
        <f t="shared" si="265"/>
        <v/>
      </c>
      <c r="KA473" s="1575" t="str">
        <f t="shared" si="266"/>
        <v/>
      </c>
      <c r="KB473" s="1575" t="str">
        <f t="shared" si="267"/>
        <v/>
      </c>
      <c r="KC473" s="1575" t="str">
        <f t="shared" si="268"/>
        <v/>
      </c>
      <c r="KD473" s="1575" t="str">
        <f t="shared" si="269"/>
        <v/>
      </c>
      <c r="KE473" s="1575" t="str">
        <f t="shared" si="270"/>
        <v/>
      </c>
      <c r="KF473" s="1575" t="str">
        <f t="shared" si="271"/>
        <v/>
      </c>
      <c r="KG473" s="1575" t="str">
        <f t="shared" si="272"/>
        <v/>
      </c>
      <c r="KH473" s="1575" t="str">
        <f t="shared" si="273"/>
        <v/>
      </c>
      <c r="KI473" s="1575" t="str">
        <f t="shared" si="274"/>
        <v/>
      </c>
      <c r="KJ473" s="1575" t="str">
        <f t="shared" si="275"/>
        <v/>
      </c>
      <c r="KK473" s="1575" t="str">
        <f t="shared" si="276"/>
        <v/>
      </c>
      <c r="KL473" s="1575" t="str">
        <f t="shared" si="277"/>
        <v/>
      </c>
      <c r="KM473" s="1575" t="str">
        <f t="shared" si="278"/>
        <v/>
      </c>
      <c r="KN473" s="1575" t="str">
        <f t="shared" si="279"/>
        <v/>
      </c>
      <c r="KO473" s="1575" t="str">
        <f t="shared" si="280"/>
        <v/>
      </c>
      <c r="KP473" s="1575" t="str">
        <f t="shared" si="281"/>
        <v/>
      </c>
      <c r="KQ473" s="1575" t="str">
        <f t="shared" si="282"/>
        <v/>
      </c>
      <c r="KR473" s="1575" t="str">
        <f t="shared" si="283"/>
        <v/>
      </c>
      <c r="KS473" s="1575" t="str">
        <f t="shared" si="284"/>
        <v/>
      </c>
      <c r="KT473" s="1575" t="str">
        <f t="shared" si="285"/>
        <v/>
      </c>
      <c r="KU473" s="1575" t="str">
        <f t="shared" si="286"/>
        <v/>
      </c>
      <c r="KV473" s="1575" t="str">
        <f t="shared" si="287"/>
        <v/>
      </c>
      <c r="KW473" s="1575" t="str">
        <f t="shared" si="288"/>
        <v/>
      </c>
      <c r="KX473" s="1575" t="str">
        <f t="shared" si="289"/>
        <v/>
      </c>
      <c r="KY473" s="1575" t="str">
        <f t="shared" si="290"/>
        <v/>
      </c>
      <c r="KZ473" s="1575" t="str">
        <f t="shared" si="291"/>
        <v/>
      </c>
      <c r="LA473" s="1575" t="str">
        <f t="shared" si="292"/>
        <v/>
      </c>
      <c r="LB473" s="1575" t="str">
        <f t="shared" si="293"/>
        <v/>
      </c>
      <c r="LC473" s="1575" t="str">
        <f t="shared" si="294"/>
        <v/>
      </c>
      <c r="LD473" s="1575" t="str">
        <f t="shared" si="295"/>
        <v/>
      </c>
      <c r="LE473" s="1575" t="str">
        <f t="shared" si="296"/>
        <v/>
      </c>
      <c r="LF473" s="1575" t="str">
        <f t="shared" si="297"/>
        <v/>
      </c>
      <c r="LG473" s="1564" t="str">
        <f t="shared" si="298"/>
        <v/>
      </c>
      <c r="LH473" s="1564" t="str">
        <f t="shared" si="299"/>
        <v/>
      </c>
      <c r="LI473" s="1564" t="str">
        <f t="shared" si="300"/>
        <v/>
      </c>
      <c r="LJ473" s="1564" t="str">
        <f t="shared" si="301"/>
        <v/>
      </c>
      <c r="LK473" s="1564"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441">
        <f t="shared" si="323"/>
        <v>0</v>
      </c>
      <c r="MG473" s="1441">
        <f t="shared" si="324"/>
        <v>0</v>
      </c>
      <c r="MH473" s="1441">
        <f t="shared" si="325"/>
        <v>2</v>
      </c>
      <c r="MI473" s="1441">
        <f t="shared" si="326"/>
        <v>0</v>
      </c>
      <c r="MJ473" s="1441">
        <f t="shared" si="327"/>
        <v>0</v>
      </c>
      <c r="MK473" s="1441">
        <f t="shared" si="333"/>
        <v>0</v>
      </c>
      <c r="ML473" s="1441">
        <f t="shared" si="334"/>
        <v>0</v>
      </c>
      <c r="MM473" s="1441">
        <f t="shared" si="335"/>
        <v>0</v>
      </c>
      <c r="MN473" s="1441">
        <f t="shared" si="336"/>
        <v>0</v>
      </c>
      <c r="MO473" s="1441">
        <f t="shared" si="337"/>
        <v>0</v>
      </c>
      <c r="MP473" s="1441">
        <f t="shared" si="328"/>
        <v>0</v>
      </c>
      <c r="MQ473" s="1441">
        <f t="shared" si="329"/>
        <v>0</v>
      </c>
      <c r="MR473" s="1441">
        <f t="shared" si="330"/>
        <v>0</v>
      </c>
      <c r="MS473" s="1441">
        <f t="shared" si="331"/>
        <v>0</v>
      </c>
      <c r="MT473" s="1441">
        <f t="shared" si="332"/>
        <v>0</v>
      </c>
      <c r="NP473" s="261" t="s">
        <v>1127</v>
      </c>
    </row>
    <row r="474" spans="1:380" ht="13.9" customHeight="1">
      <c r="A474" s="2330" t="str">
        <f t="shared" si="0"/>
        <v/>
      </c>
      <c r="B474" s="2149">
        <f>'Part V-Revenues &amp; Expenses'!B27</f>
        <v>60</v>
      </c>
      <c r="C474" s="2150">
        <f>'Part V-Revenues &amp; Expenses'!C27</f>
        <v>2</v>
      </c>
      <c r="D474" s="2151">
        <f>'Part V-Revenues &amp; Expenses'!D27</f>
        <v>2</v>
      </c>
      <c r="E474" s="2152">
        <f>'Part V-Revenues &amp; Expenses'!E27</f>
        <v>1</v>
      </c>
      <c r="F474" s="2152">
        <f>'Part V-Revenues &amp; Expenses'!F27</f>
        <v>1176</v>
      </c>
      <c r="G474" s="2152">
        <f>'Part V-Revenues &amp; Expenses'!G27</f>
        <v>1378</v>
      </c>
      <c r="H474" s="2152">
        <f>'Part V-Revenues &amp; Expenses'!H27</f>
        <v>1485.0000000000002</v>
      </c>
      <c r="I474" s="2152">
        <f>'Part V-Revenues &amp; Expenses'!I27</f>
        <v>0</v>
      </c>
      <c r="J474" s="2152">
        <f>'Part V-Revenues &amp; Expenses'!J27</f>
        <v>173</v>
      </c>
      <c r="K474" s="2153" t="str">
        <f>'Part V-Revenues &amp; Expenses'!K27</f>
        <v>PHA PBRA</v>
      </c>
      <c r="L474" s="2154">
        <f t="shared" si="1"/>
        <v>1312.0000000000002</v>
      </c>
      <c r="M474" s="2154">
        <f t="shared" si="2"/>
        <v>1312.0000000000002</v>
      </c>
      <c r="N474" s="2225" t="str">
        <f>'Part V-Revenues &amp; Expenses'!N27</f>
        <v>No</v>
      </c>
      <c r="O474" s="1065" t="str">
        <f>'Part V-Revenues &amp; Expenses'!O27</f>
        <v>Low-Rise Apt</v>
      </c>
      <c r="P474" s="2225" t="str">
        <f>'Part V-Revenues &amp; Expenses'!P27</f>
        <v>Acquisition/Rehab</v>
      </c>
      <c r="Q474" s="1574" t="str">
        <f>'Part V-Revenues &amp; Expenses'!Q27</f>
        <v>No</v>
      </c>
      <c r="R474" s="2356"/>
      <c r="S474" s="2357"/>
      <c r="T474" s="2358"/>
      <c r="U474" s="2358"/>
      <c r="V474" s="2358"/>
      <c r="W474" s="2358"/>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f t="shared" si="15"/>
        <v>1</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f t="shared" si="65"/>
        <v>1</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f t="shared" si="130"/>
        <v>1176</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f t="shared" si="160"/>
        <v>1176</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f t="shared" si="185"/>
        <v>1</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575" t="str">
        <f t="shared" si="213"/>
        <v/>
      </c>
      <c r="IA474" s="1575" t="str">
        <f t="shared" si="214"/>
        <v/>
      </c>
      <c r="IB474" s="1575">
        <f t="shared" si="215"/>
        <v>1</v>
      </c>
      <c r="IC474" s="1575" t="str">
        <f t="shared" si="216"/>
        <v/>
      </c>
      <c r="ID474" s="1575" t="str">
        <f t="shared" si="217"/>
        <v/>
      </c>
      <c r="IE474" s="1575" t="str">
        <f t="shared" si="218"/>
        <v/>
      </c>
      <c r="IF474" s="1575" t="str">
        <f t="shared" si="219"/>
        <v/>
      </c>
      <c r="IG474" s="1575" t="str">
        <f t="shared" si="220"/>
        <v/>
      </c>
      <c r="IH474" s="1575" t="str">
        <f t="shared" si="221"/>
        <v/>
      </c>
      <c r="II474" s="1575" t="str">
        <f t="shared" si="222"/>
        <v/>
      </c>
      <c r="IJ474" s="1575" t="str">
        <f t="shared" si="223"/>
        <v/>
      </c>
      <c r="IK474" s="1575" t="str">
        <f t="shared" si="224"/>
        <v/>
      </c>
      <c r="IL474" s="1575" t="str">
        <f t="shared" si="225"/>
        <v/>
      </c>
      <c r="IM474" s="1575" t="str">
        <f t="shared" si="226"/>
        <v/>
      </c>
      <c r="IN474" s="1575" t="str">
        <f t="shared" si="227"/>
        <v/>
      </c>
      <c r="IO474" s="1575" t="str">
        <f t="shared" si="228"/>
        <v/>
      </c>
      <c r="IP474" s="1575" t="str">
        <f t="shared" si="229"/>
        <v/>
      </c>
      <c r="IQ474" s="1575" t="str">
        <f t="shared" si="230"/>
        <v/>
      </c>
      <c r="IR474" s="1575" t="str">
        <f t="shared" si="231"/>
        <v/>
      </c>
      <c r="IS474" s="1575" t="str">
        <f t="shared" si="232"/>
        <v/>
      </c>
      <c r="IT474" s="1575" t="str">
        <f t="shared" si="233"/>
        <v/>
      </c>
      <c r="IU474" s="1575" t="str">
        <f t="shared" si="234"/>
        <v/>
      </c>
      <c r="IV474" s="1575" t="str">
        <f t="shared" si="235"/>
        <v/>
      </c>
      <c r="IW474" s="1575" t="str">
        <f t="shared" si="236"/>
        <v/>
      </c>
      <c r="IX474" s="1575" t="str">
        <f t="shared" si="237"/>
        <v/>
      </c>
      <c r="IY474" s="1575" t="str">
        <f t="shared" si="238"/>
        <v/>
      </c>
      <c r="IZ474" s="1575" t="str">
        <f t="shared" si="239"/>
        <v/>
      </c>
      <c r="JA474" s="1575" t="str">
        <f t="shared" si="240"/>
        <v/>
      </c>
      <c r="JB474" s="1575" t="str">
        <f t="shared" si="241"/>
        <v/>
      </c>
      <c r="JC474" s="1575" t="str">
        <f t="shared" si="242"/>
        <v/>
      </c>
      <c r="JD474" s="1575" t="str">
        <f t="shared" si="243"/>
        <v/>
      </c>
      <c r="JE474" s="1575" t="str">
        <f t="shared" si="244"/>
        <v/>
      </c>
      <c r="JF474" s="1575" t="str">
        <f t="shared" si="245"/>
        <v/>
      </c>
      <c r="JG474" s="1575" t="str">
        <f t="shared" si="246"/>
        <v/>
      </c>
      <c r="JH474" s="1575" t="str">
        <f t="shared" si="247"/>
        <v/>
      </c>
      <c r="JI474" s="1575" t="str">
        <f t="shared" si="248"/>
        <v/>
      </c>
      <c r="JJ474" s="1575" t="str">
        <f t="shared" si="249"/>
        <v/>
      </c>
      <c r="JK474" s="1575" t="str">
        <f t="shared" si="250"/>
        <v/>
      </c>
      <c r="JL474" s="1575" t="str">
        <f t="shared" si="251"/>
        <v/>
      </c>
      <c r="JM474" s="1575" t="str">
        <f t="shared" si="252"/>
        <v/>
      </c>
      <c r="JN474" s="1575" t="str">
        <f t="shared" si="253"/>
        <v/>
      </c>
      <c r="JO474" s="1575" t="str">
        <f t="shared" si="254"/>
        <v/>
      </c>
      <c r="JP474" s="1575" t="str">
        <f t="shared" si="255"/>
        <v/>
      </c>
      <c r="JQ474" s="1575" t="str">
        <f t="shared" si="256"/>
        <v/>
      </c>
      <c r="JR474" s="1575" t="str">
        <f t="shared" si="257"/>
        <v/>
      </c>
      <c r="JS474" s="1575" t="str">
        <f t="shared" si="258"/>
        <v/>
      </c>
      <c r="JT474" s="1575" t="str">
        <f t="shared" si="259"/>
        <v/>
      </c>
      <c r="JU474" s="1575">
        <f t="shared" si="260"/>
        <v>1</v>
      </c>
      <c r="JV474" s="1575" t="str">
        <f t="shared" si="261"/>
        <v/>
      </c>
      <c r="JW474" s="1575" t="str">
        <f t="shared" si="262"/>
        <v/>
      </c>
      <c r="JX474" s="1575" t="str">
        <f t="shared" si="263"/>
        <v/>
      </c>
      <c r="JY474" s="1575" t="str">
        <f t="shared" si="264"/>
        <v/>
      </c>
      <c r="JZ474" s="1575" t="str">
        <f t="shared" si="265"/>
        <v/>
      </c>
      <c r="KA474" s="1575" t="str">
        <f t="shared" si="266"/>
        <v/>
      </c>
      <c r="KB474" s="1575" t="str">
        <f t="shared" si="267"/>
        <v/>
      </c>
      <c r="KC474" s="1575" t="str">
        <f t="shared" si="268"/>
        <v/>
      </c>
      <c r="KD474" s="1575" t="str">
        <f t="shared" si="269"/>
        <v/>
      </c>
      <c r="KE474" s="1575" t="str">
        <f t="shared" si="270"/>
        <v/>
      </c>
      <c r="KF474" s="1575" t="str">
        <f t="shared" si="271"/>
        <v/>
      </c>
      <c r="KG474" s="1575" t="str">
        <f t="shared" si="272"/>
        <v/>
      </c>
      <c r="KH474" s="1575" t="str">
        <f t="shared" si="273"/>
        <v/>
      </c>
      <c r="KI474" s="1575" t="str">
        <f t="shared" si="274"/>
        <v/>
      </c>
      <c r="KJ474" s="1575" t="str">
        <f t="shared" si="275"/>
        <v/>
      </c>
      <c r="KK474" s="1575" t="str">
        <f t="shared" si="276"/>
        <v/>
      </c>
      <c r="KL474" s="1575" t="str">
        <f t="shared" si="277"/>
        <v/>
      </c>
      <c r="KM474" s="1575" t="str">
        <f t="shared" si="278"/>
        <v/>
      </c>
      <c r="KN474" s="1575" t="str">
        <f t="shared" si="279"/>
        <v/>
      </c>
      <c r="KO474" s="1575" t="str">
        <f t="shared" si="280"/>
        <v/>
      </c>
      <c r="KP474" s="1575" t="str">
        <f t="shared" si="281"/>
        <v/>
      </c>
      <c r="KQ474" s="1575" t="str">
        <f t="shared" si="282"/>
        <v/>
      </c>
      <c r="KR474" s="1575" t="str">
        <f t="shared" si="283"/>
        <v/>
      </c>
      <c r="KS474" s="1575" t="str">
        <f t="shared" si="284"/>
        <v/>
      </c>
      <c r="KT474" s="1575" t="str">
        <f t="shared" si="285"/>
        <v/>
      </c>
      <c r="KU474" s="1575" t="str">
        <f t="shared" si="286"/>
        <v/>
      </c>
      <c r="KV474" s="1575" t="str">
        <f t="shared" si="287"/>
        <v/>
      </c>
      <c r="KW474" s="1575" t="str">
        <f t="shared" si="288"/>
        <v/>
      </c>
      <c r="KX474" s="1575" t="str">
        <f t="shared" si="289"/>
        <v/>
      </c>
      <c r="KY474" s="1575" t="str">
        <f t="shared" si="290"/>
        <v/>
      </c>
      <c r="KZ474" s="1575" t="str">
        <f t="shared" si="291"/>
        <v/>
      </c>
      <c r="LA474" s="1575" t="str">
        <f t="shared" si="292"/>
        <v/>
      </c>
      <c r="LB474" s="1575" t="str">
        <f t="shared" si="293"/>
        <v/>
      </c>
      <c r="LC474" s="1575" t="str">
        <f t="shared" si="294"/>
        <v/>
      </c>
      <c r="LD474" s="1575" t="str">
        <f t="shared" si="295"/>
        <v/>
      </c>
      <c r="LE474" s="1575" t="str">
        <f t="shared" si="296"/>
        <v/>
      </c>
      <c r="LF474" s="1575" t="str">
        <f t="shared" si="297"/>
        <v/>
      </c>
      <c r="LG474" s="1564" t="str">
        <f t="shared" si="298"/>
        <v/>
      </c>
      <c r="LH474" s="1564" t="str">
        <f t="shared" si="299"/>
        <v/>
      </c>
      <c r="LI474" s="1564" t="str">
        <f t="shared" si="300"/>
        <v/>
      </c>
      <c r="LJ474" s="1564" t="str">
        <f t="shared" si="301"/>
        <v/>
      </c>
      <c r="LK474" s="1564"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441">
        <f t="shared" si="323"/>
        <v>0</v>
      </c>
      <c r="MG474" s="1441">
        <f t="shared" si="324"/>
        <v>0</v>
      </c>
      <c r="MH474" s="1441">
        <f t="shared" si="325"/>
        <v>1</v>
      </c>
      <c r="MI474" s="1441">
        <f t="shared" si="326"/>
        <v>0</v>
      </c>
      <c r="MJ474" s="1441">
        <f t="shared" si="327"/>
        <v>0</v>
      </c>
      <c r="MK474" s="1441">
        <f t="shared" si="333"/>
        <v>0</v>
      </c>
      <c r="ML474" s="1441">
        <f t="shared" si="334"/>
        <v>0</v>
      </c>
      <c r="MM474" s="1441">
        <f t="shared" si="335"/>
        <v>0</v>
      </c>
      <c r="MN474" s="1441">
        <f t="shared" si="336"/>
        <v>0</v>
      </c>
      <c r="MO474" s="1441">
        <f t="shared" si="337"/>
        <v>0</v>
      </c>
      <c r="MP474" s="1441">
        <f t="shared" si="328"/>
        <v>0</v>
      </c>
      <c r="MQ474" s="1441">
        <f t="shared" si="329"/>
        <v>0</v>
      </c>
      <c r="MR474" s="1441">
        <f t="shared" si="330"/>
        <v>0</v>
      </c>
      <c r="MS474" s="1441">
        <f t="shared" si="331"/>
        <v>0</v>
      </c>
      <c r="MT474" s="1441">
        <f t="shared" si="332"/>
        <v>0</v>
      </c>
      <c r="NP474" s="261" t="s">
        <v>1128</v>
      </c>
    </row>
    <row r="475" spans="1:380" ht="13.9" customHeight="1">
      <c r="A475" s="2330" t="str">
        <f t="shared" si="0"/>
        <v/>
      </c>
      <c r="B475" s="2149">
        <f>'Part V-Revenues &amp; Expenses'!B28</f>
        <v>60</v>
      </c>
      <c r="C475" s="2150">
        <f>'Part V-Revenues &amp; Expenses'!C28</f>
        <v>2</v>
      </c>
      <c r="D475" s="2151">
        <f>'Part V-Revenues &amp; Expenses'!D28</f>
        <v>2</v>
      </c>
      <c r="E475" s="2152">
        <f>'Part V-Revenues &amp; Expenses'!E28</f>
        <v>6</v>
      </c>
      <c r="F475" s="2152">
        <f>'Part V-Revenues &amp; Expenses'!F28</f>
        <v>1188</v>
      </c>
      <c r="G475" s="2152">
        <f>'Part V-Revenues &amp; Expenses'!G28</f>
        <v>1378</v>
      </c>
      <c r="H475" s="2152">
        <f>'Part V-Revenues &amp; Expenses'!H28</f>
        <v>1485.0000000000002</v>
      </c>
      <c r="I475" s="2152">
        <f>'Part V-Revenues &amp; Expenses'!I28</f>
        <v>0</v>
      </c>
      <c r="J475" s="2152">
        <f>'Part V-Revenues &amp; Expenses'!J28</f>
        <v>173</v>
      </c>
      <c r="K475" s="2153" t="str">
        <f>'Part V-Revenues &amp; Expenses'!K28</f>
        <v>PHA PBRA</v>
      </c>
      <c r="L475" s="2154">
        <f t="shared" si="1"/>
        <v>1312.0000000000002</v>
      </c>
      <c r="M475" s="2154">
        <f t="shared" si="2"/>
        <v>7872.0000000000018</v>
      </c>
      <c r="N475" s="2225" t="str">
        <f>'Part V-Revenues &amp; Expenses'!N28</f>
        <v>No</v>
      </c>
      <c r="O475" s="1065" t="str">
        <f>'Part V-Revenues &amp; Expenses'!O28</f>
        <v>Low-Rise Apt</v>
      </c>
      <c r="P475" s="2225" t="str">
        <f>'Part V-Revenues &amp; Expenses'!P28</f>
        <v>Acquisition/Rehab</v>
      </c>
      <c r="Q475" s="1574" t="str">
        <f>'Part V-Revenues &amp; Expenses'!Q28</f>
        <v>No</v>
      </c>
      <c r="R475" s="2356"/>
      <c r="S475" s="2357"/>
      <c r="T475" s="2358"/>
      <c r="U475" s="2358"/>
      <c r="V475" s="2358"/>
      <c r="W475" s="2358"/>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f t="shared" si="15"/>
        <v>6</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f t="shared" si="65"/>
        <v>6</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f t="shared" si="130"/>
        <v>7128</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f t="shared" si="160"/>
        <v>7128</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f t="shared" si="185"/>
        <v>6</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575" t="str">
        <f t="shared" si="213"/>
        <v/>
      </c>
      <c r="IA475" s="1575" t="str">
        <f t="shared" si="214"/>
        <v/>
      </c>
      <c r="IB475" s="1575">
        <f t="shared" si="215"/>
        <v>6</v>
      </c>
      <c r="IC475" s="1575" t="str">
        <f t="shared" si="216"/>
        <v/>
      </c>
      <c r="ID475" s="1575" t="str">
        <f t="shared" si="217"/>
        <v/>
      </c>
      <c r="IE475" s="1575" t="str">
        <f t="shared" si="218"/>
        <v/>
      </c>
      <c r="IF475" s="1575" t="str">
        <f t="shared" si="219"/>
        <v/>
      </c>
      <c r="IG475" s="1575" t="str">
        <f t="shared" si="220"/>
        <v/>
      </c>
      <c r="IH475" s="1575" t="str">
        <f t="shared" si="221"/>
        <v/>
      </c>
      <c r="II475" s="1575" t="str">
        <f t="shared" si="222"/>
        <v/>
      </c>
      <c r="IJ475" s="1575" t="str">
        <f t="shared" si="223"/>
        <v/>
      </c>
      <c r="IK475" s="1575" t="str">
        <f t="shared" si="224"/>
        <v/>
      </c>
      <c r="IL475" s="1575" t="str">
        <f t="shared" si="225"/>
        <v/>
      </c>
      <c r="IM475" s="1575" t="str">
        <f t="shared" si="226"/>
        <v/>
      </c>
      <c r="IN475" s="1575" t="str">
        <f t="shared" si="227"/>
        <v/>
      </c>
      <c r="IO475" s="1575" t="str">
        <f t="shared" si="228"/>
        <v/>
      </c>
      <c r="IP475" s="1575" t="str">
        <f t="shared" si="229"/>
        <v/>
      </c>
      <c r="IQ475" s="1575" t="str">
        <f t="shared" si="230"/>
        <v/>
      </c>
      <c r="IR475" s="1575" t="str">
        <f t="shared" si="231"/>
        <v/>
      </c>
      <c r="IS475" s="1575" t="str">
        <f t="shared" si="232"/>
        <v/>
      </c>
      <c r="IT475" s="1575" t="str">
        <f t="shared" si="233"/>
        <v/>
      </c>
      <c r="IU475" s="1575" t="str">
        <f t="shared" si="234"/>
        <v/>
      </c>
      <c r="IV475" s="1575" t="str">
        <f t="shared" si="235"/>
        <v/>
      </c>
      <c r="IW475" s="1575" t="str">
        <f t="shared" si="236"/>
        <v/>
      </c>
      <c r="IX475" s="1575" t="str">
        <f t="shared" si="237"/>
        <v/>
      </c>
      <c r="IY475" s="1575" t="str">
        <f t="shared" si="238"/>
        <v/>
      </c>
      <c r="IZ475" s="1575" t="str">
        <f t="shared" si="239"/>
        <v/>
      </c>
      <c r="JA475" s="1575" t="str">
        <f t="shared" si="240"/>
        <v/>
      </c>
      <c r="JB475" s="1575" t="str">
        <f t="shared" si="241"/>
        <v/>
      </c>
      <c r="JC475" s="1575" t="str">
        <f t="shared" si="242"/>
        <v/>
      </c>
      <c r="JD475" s="1575" t="str">
        <f t="shared" si="243"/>
        <v/>
      </c>
      <c r="JE475" s="1575" t="str">
        <f t="shared" si="244"/>
        <v/>
      </c>
      <c r="JF475" s="1575" t="str">
        <f t="shared" si="245"/>
        <v/>
      </c>
      <c r="JG475" s="1575" t="str">
        <f t="shared" si="246"/>
        <v/>
      </c>
      <c r="JH475" s="1575" t="str">
        <f t="shared" si="247"/>
        <v/>
      </c>
      <c r="JI475" s="1575" t="str">
        <f t="shared" si="248"/>
        <v/>
      </c>
      <c r="JJ475" s="1575" t="str">
        <f t="shared" si="249"/>
        <v/>
      </c>
      <c r="JK475" s="1575" t="str">
        <f t="shared" si="250"/>
        <v/>
      </c>
      <c r="JL475" s="1575" t="str">
        <f t="shared" si="251"/>
        <v/>
      </c>
      <c r="JM475" s="1575" t="str">
        <f t="shared" si="252"/>
        <v/>
      </c>
      <c r="JN475" s="1575" t="str">
        <f t="shared" si="253"/>
        <v/>
      </c>
      <c r="JO475" s="1575" t="str">
        <f t="shared" si="254"/>
        <v/>
      </c>
      <c r="JP475" s="1575" t="str">
        <f t="shared" si="255"/>
        <v/>
      </c>
      <c r="JQ475" s="1575" t="str">
        <f t="shared" si="256"/>
        <v/>
      </c>
      <c r="JR475" s="1575" t="str">
        <f t="shared" si="257"/>
        <v/>
      </c>
      <c r="JS475" s="1575" t="str">
        <f t="shared" si="258"/>
        <v/>
      </c>
      <c r="JT475" s="1575" t="str">
        <f t="shared" si="259"/>
        <v/>
      </c>
      <c r="JU475" s="1575">
        <f t="shared" si="260"/>
        <v>6</v>
      </c>
      <c r="JV475" s="1575" t="str">
        <f t="shared" si="261"/>
        <v/>
      </c>
      <c r="JW475" s="1575" t="str">
        <f t="shared" si="262"/>
        <v/>
      </c>
      <c r="JX475" s="1575" t="str">
        <f t="shared" si="263"/>
        <v/>
      </c>
      <c r="JY475" s="1575" t="str">
        <f t="shared" si="264"/>
        <v/>
      </c>
      <c r="JZ475" s="1575" t="str">
        <f t="shared" si="265"/>
        <v/>
      </c>
      <c r="KA475" s="1575" t="str">
        <f t="shared" si="266"/>
        <v/>
      </c>
      <c r="KB475" s="1575" t="str">
        <f t="shared" si="267"/>
        <v/>
      </c>
      <c r="KC475" s="1575" t="str">
        <f t="shared" si="268"/>
        <v/>
      </c>
      <c r="KD475" s="1575" t="str">
        <f t="shared" si="269"/>
        <v/>
      </c>
      <c r="KE475" s="1575" t="str">
        <f t="shared" si="270"/>
        <v/>
      </c>
      <c r="KF475" s="1575" t="str">
        <f t="shared" si="271"/>
        <v/>
      </c>
      <c r="KG475" s="1575" t="str">
        <f t="shared" si="272"/>
        <v/>
      </c>
      <c r="KH475" s="1575" t="str">
        <f t="shared" si="273"/>
        <v/>
      </c>
      <c r="KI475" s="1575" t="str">
        <f t="shared" si="274"/>
        <v/>
      </c>
      <c r="KJ475" s="1575" t="str">
        <f t="shared" si="275"/>
        <v/>
      </c>
      <c r="KK475" s="1575" t="str">
        <f t="shared" si="276"/>
        <v/>
      </c>
      <c r="KL475" s="1575" t="str">
        <f t="shared" si="277"/>
        <v/>
      </c>
      <c r="KM475" s="1575" t="str">
        <f t="shared" si="278"/>
        <v/>
      </c>
      <c r="KN475" s="1575" t="str">
        <f t="shared" si="279"/>
        <v/>
      </c>
      <c r="KO475" s="1575" t="str">
        <f t="shared" si="280"/>
        <v/>
      </c>
      <c r="KP475" s="1575" t="str">
        <f t="shared" si="281"/>
        <v/>
      </c>
      <c r="KQ475" s="1575" t="str">
        <f t="shared" si="282"/>
        <v/>
      </c>
      <c r="KR475" s="1575" t="str">
        <f t="shared" si="283"/>
        <v/>
      </c>
      <c r="KS475" s="1575" t="str">
        <f t="shared" si="284"/>
        <v/>
      </c>
      <c r="KT475" s="1575" t="str">
        <f t="shared" si="285"/>
        <v/>
      </c>
      <c r="KU475" s="1575" t="str">
        <f t="shared" si="286"/>
        <v/>
      </c>
      <c r="KV475" s="1575" t="str">
        <f t="shared" si="287"/>
        <v/>
      </c>
      <c r="KW475" s="1575" t="str">
        <f t="shared" si="288"/>
        <v/>
      </c>
      <c r="KX475" s="1575" t="str">
        <f t="shared" si="289"/>
        <v/>
      </c>
      <c r="KY475" s="1575" t="str">
        <f t="shared" si="290"/>
        <v/>
      </c>
      <c r="KZ475" s="1575" t="str">
        <f t="shared" si="291"/>
        <v/>
      </c>
      <c r="LA475" s="1575" t="str">
        <f t="shared" si="292"/>
        <v/>
      </c>
      <c r="LB475" s="1575" t="str">
        <f t="shared" si="293"/>
        <v/>
      </c>
      <c r="LC475" s="1575" t="str">
        <f t="shared" si="294"/>
        <v/>
      </c>
      <c r="LD475" s="1575" t="str">
        <f t="shared" si="295"/>
        <v/>
      </c>
      <c r="LE475" s="1575" t="str">
        <f t="shared" si="296"/>
        <v/>
      </c>
      <c r="LF475" s="1575" t="str">
        <f t="shared" si="297"/>
        <v/>
      </c>
      <c r="LG475" s="1564" t="str">
        <f t="shared" si="298"/>
        <v/>
      </c>
      <c r="LH475" s="1564" t="str">
        <f t="shared" si="299"/>
        <v/>
      </c>
      <c r="LI475" s="1564" t="str">
        <f t="shared" si="300"/>
        <v/>
      </c>
      <c r="LJ475" s="1564" t="str">
        <f t="shared" si="301"/>
        <v/>
      </c>
      <c r="LK475" s="1564"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441">
        <f t="shared" si="323"/>
        <v>0</v>
      </c>
      <c r="MG475" s="1441">
        <f t="shared" si="324"/>
        <v>0</v>
      </c>
      <c r="MH475" s="1441">
        <f t="shared" si="325"/>
        <v>6</v>
      </c>
      <c r="MI475" s="1441">
        <f t="shared" si="326"/>
        <v>0</v>
      </c>
      <c r="MJ475" s="1441">
        <f t="shared" si="327"/>
        <v>0</v>
      </c>
      <c r="MK475" s="1441">
        <f t="shared" si="333"/>
        <v>0</v>
      </c>
      <c r="ML475" s="1441">
        <f t="shared" si="334"/>
        <v>0</v>
      </c>
      <c r="MM475" s="1441">
        <f t="shared" si="335"/>
        <v>0</v>
      </c>
      <c r="MN475" s="1441">
        <f t="shared" si="336"/>
        <v>0</v>
      </c>
      <c r="MO475" s="1441">
        <f t="shared" si="337"/>
        <v>0</v>
      </c>
      <c r="MP475" s="1441">
        <f t="shared" si="328"/>
        <v>0</v>
      </c>
      <c r="MQ475" s="1441">
        <f t="shared" si="329"/>
        <v>0</v>
      </c>
      <c r="MR475" s="1441">
        <f t="shared" si="330"/>
        <v>0</v>
      </c>
      <c r="MS475" s="1441">
        <f t="shared" si="331"/>
        <v>0</v>
      </c>
      <c r="MT475" s="1441">
        <f t="shared" si="332"/>
        <v>0</v>
      </c>
      <c r="NP475" s="261" t="s">
        <v>1129</v>
      </c>
    </row>
    <row r="476" spans="1:380" ht="13.9" customHeight="1">
      <c r="A476" s="2330" t="str">
        <f t="shared" si="0"/>
        <v/>
      </c>
      <c r="B476" s="2149">
        <f>'Part V-Revenues &amp; Expenses'!B29</f>
        <v>60</v>
      </c>
      <c r="C476" s="2150">
        <f>'Part V-Revenues &amp; Expenses'!C29</f>
        <v>2</v>
      </c>
      <c r="D476" s="2151">
        <f>'Part V-Revenues &amp; Expenses'!D29</f>
        <v>2</v>
      </c>
      <c r="E476" s="2152">
        <f>'Part V-Revenues &amp; Expenses'!E29</f>
        <v>6</v>
      </c>
      <c r="F476" s="2152">
        <f>'Part V-Revenues &amp; Expenses'!F29</f>
        <v>1223</v>
      </c>
      <c r="G476" s="2152">
        <f>'Part V-Revenues &amp; Expenses'!G29</f>
        <v>1378</v>
      </c>
      <c r="H476" s="2152">
        <f>'Part V-Revenues &amp; Expenses'!H29</f>
        <v>1485.0000000000002</v>
      </c>
      <c r="I476" s="2152">
        <f>'Part V-Revenues &amp; Expenses'!I29</f>
        <v>0</v>
      </c>
      <c r="J476" s="2152">
        <f>'Part V-Revenues &amp; Expenses'!J29</f>
        <v>173</v>
      </c>
      <c r="K476" s="2153" t="str">
        <f>'Part V-Revenues &amp; Expenses'!K29</f>
        <v>PHA PBRA</v>
      </c>
      <c r="L476" s="2154">
        <f t="shared" si="1"/>
        <v>1312.0000000000002</v>
      </c>
      <c r="M476" s="2154">
        <f t="shared" si="2"/>
        <v>7872.0000000000018</v>
      </c>
      <c r="N476" s="2225" t="str">
        <f>'Part V-Revenues &amp; Expenses'!N29</f>
        <v>No</v>
      </c>
      <c r="O476" s="1065" t="str">
        <f>'Part V-Revenues &amp; Expenses'!O29</f>
        <v>Low-Rise Apt</v>
      </c>
      <c r="P476" s="2225" t="str">
        <f>'Part V-Revenues &amp; Expenses'!P29</f>
        <v>Acquisition/Rehab</v>
      </c>
      <c r="Q476" s="1574" t="str">
        <f>'Part V-Revenues &amp; Expenses'!Q29</f>
        <v>No</v>
      </c>
      <c r="R476" s="2356"/>
      <c r="S476" s="2357"/>
      <c r="T476" s="2358"/>
      <c r="U476" s="2358"/>
      <c r="V476" s="2358"/>
      <c r="W476" s="2358"/>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f t="shared" si="15"/>
        <v>6</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f t="shared" si="65"/>
        <v>6</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f t="shared" si="130"/>
        <v>7338</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f t="shared" si="160"/>
        <v>7338</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f t="shared" si="185"/>
        <v>6</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575" t="str">
        <f t="shared" si="213"/>
        <v/>
      </c>
      <c r="IA476" s="1575" t="str">
        <f t="shared" si="214"/>
        <v/>
      </c>
      <c r="IB476" s="1575">
        <f t="shared" si="215"/>
        <v>6</v>
      </c>
      <c r="IC476" s="1575" t="str">
        <f t="shared" si="216"/>
        <v/>
      </c>
      <c r="ID476" s="1575" t="str">
        <f t="shared" si="217"/>
        <v/>
      </c>
      <c r="IE476" s="1575" t="str">
        <f t="shared" si="218"/>
        <v/>
      </c>
      <c r="IF476" s="1575" t="str">
        <f t="shared" si="219"/>
        <v/>
      </c>
      <c r="IG476" s="1575" t="str">
        <f t="shared" si="220"/>
        <v/>
      </c>
      <c r="IH476" s="1575" t="str">
        <f t="shared" si="221"/>
        <v/>
      </c>
      <c r="II476" s="1575" t="str">
        <f t="shared" si="222"/>
        <v/>
      </c>
      <c r="IJ476" s="1575" t="str">
        <f t="shared" si="223"/>
        <v/>
      </c>
      <c r="IK476" s="1575" t="str">
        <f t="shared" si="224"/>
        <v/>
      </c>
      <c r="IL476" s="1575" t="str">
        <f t="shared" si="225"/>
        <v/>
      </c>
      <c r="IM476" s="1575" t="str">
        <f t="shared" si="226"/>
        <v/>
      </c>
      <c r="IN476" s="1575" t="str">
        <f t="shared" si="227"/>
        <v/>
      </c>
      <c r="IO476" s="1575" t="str">
        <f t="shared" si="228"/>
        <v/>
      </c>
      <c r="IP476" s="1575" t="str">
        <f t="shared" si="229"/>
        <v/>
      </c>
      <c r="IQ476" s="1575" t="str">
        <f t="shared" si="230"/>
        <v/>
      </c>
      <c r="IR476" s="1575" t="str">
        <f t="shared" si="231"/>
        <v/>
      </c>
      <c r="IS476" s="1575" t="str">
        <f t="shared" si="232"/>
        <v/>
      </c>
      <c r="IT476" s="1575" t="str">
        <f t="shared" si="233"/>
        <v/>
      </c>
      <c r="IU476" s="1575" t="str">
        <f t="shared" si="234"/>
        <v/>
      </c>
      <c r="IV476" s="1575" t="str">
        <f t="shared" si="235"/>
        <v/>
      </c>
      <c r="IW476" s="1575" t="str">
        <f t="shared" si="236"/>
        <v/>
      </c>
      <c r="IX476" s="1575" t="str">
        <f t="shared" si="237"/>
        <v/>
      </c>
      <c r="IY476" s="1575" t="str">
        <f t="shared" si="238"/>
        <v/>
      </c>
      <c r="IZ476" s="1575" t="str">
        <f t="shared" si="239"/>
        <v/>
      </c>
      <c r="JA476" s="1575" t="str">
        <f t="shared" si="240"/>
        <v/>
      </c>
      <c r="JB476" s="1575" t="str">
        <f t="shared" si="241"/>
        <v/>
      </c>
      <c r="JC476" s="1575" t="str">
        <f t="shared" si="242"/>
        <v/>
      </c>
      <c r="JD476" s="1575" t="str">
        <f t="shared" si="243"/>
        <v/>
      </c>
      <c r="JE476" s="1575" t="str">
        <f t="shared" si="244"/>
        <v/>
      </c>
      <c r="JF476" s="1575" t="str">
        <f t="shared" si="245"/>
        <v/>
      </c>
      <c r="JG476" s="1575" t="str">
        <f t="shared" si="246"/>
        <v/>
      </c>
      <c r="JH476" s="1575" t="str">
        <f t="shared" si="247"/>
        <v/>
      </c>
      <c r="JI476" s="1575" t="str">
        <f t="shared" si="248"/>
        <v/>
      </c>
      <c r="JJ476" s="1575" t="str">
        <f t="shared" si="249"/>
        <v/>
      </c>
      <c r="JK476" s="1575" t="str">
        <f t="shared" si="250"/>
        <v/>
      </c>
      <c r="JL476" s="1575" t="str">
        <f t="shared" si="251"/>
        <v/>
      </c>
      <c r="JM476" s="1575" t="str">
        <f t="shared" si="252"/>
        <v/>
      </c>
      <c r="JN476" s="1575" t="str">
        <f t="shared" si="253"/>
        <v/>
      </c>
      <c r="JO476" s="1575" t="str">
        <f t="shared" si="254"/>
        <v/>
      </c>
      <c r="JP476" s="1575" t="str">
        <f t="shared" si="255"/>
        <v/>
      </c>
      <c r="JQ476" s="1575" t="str">
        <f t="shared" si="256"/>
        <v/>
      </c>
      <c r="JR476" s="1575" t="str">
        <f t="shared" si="257"/>
        <v/>
      </c>
      <c r="JS476" s="1575" t="str">
        <f t="shared" si="258"/>
        <v/>
      </c>
      <c r="JT476" s="1575" t="str">
        <f t="shared" si="259"/>
        <v/>
      </c>
      <c r="JU476" s="1575">
        <f t="shared" si="260"/>
        <v>6</v>
      </c>
      <c r="JV476" s="1575" t="str">
        <f t="shared" si="261"/>
        <v/>
      </c>
      <c r="JW476" s="1575" t="str">
        <f t="shared" si="262"/>
        <v/>
      </c>
      <c r="JX476" s="1575" t="str">
        <f t="shared" si="263"/>
        <v/>
      </c>
      <c r="JY476" s="1575" t="str">
        <f t="shared" si="264"/>
        <v/>
      </c>
      <c r="JZ476" s="1575" t="str">
        <f t="shared" si="265"/>
        <v/>
      </c>
      <c r="KA476" s="1575" t="str">
        <f t="shared" si="266"/>
        <v/>
      </c>
      <c r="KB476" s="1575" t="str">
        <f t="shared" si="267"/>
        <v/>
      </c>
      <c r="KC476" s="1575" t="str">
        <f t="shared" si="268"/>
        <v/>
      </c>
      <c r="KD476" s="1575" t="str">
        <f t="shared" si="269"/>
        <v/>
      </c>
      <c r="KE476" s="1575" t="str">
        <f t="shared" si="270"/>
        <v/>
      </c>
      <c r="KF476" s="1575" t="str">
        <f t="shared" si="271"/>
        <v/>
      </c>
      <c r="KG476" s="1575" t="str">
        <f t="shared" si="272"/>
        <v/>
      </c>
      <c r="KH476" s="1575" t="str">
        <f t="shared" si="273"/>
        <v/>
      </c>
      <c r="KI476" s="1575" t="str">
        <f t="shared" si="274"/>
        <v/>
      </c>
      <c r="KJ476" s="1575" t="str">
        <f t="shared" si="275"/>
        <v/>
      </c>
      <c r="KK476" s="1575" t="str">
        <f t="shared" si="276"/>
        <v/>
      </c>
      <c r="KL476" s="1575" t="str">
        <f t="shared" si="277"/>
        <v/>
      </c>
      <c r="KM476" s="1575" t="str">
        <f t="shared" si="278"/>
        <v/>
      </c>
      <c r="KN476" s="1575" t="str">
        <f t="shared" si="279"/>
        <v/>
      </c>
      <c r="KO476" s="1575" t="str">
        <f t="shared" si="280"/>
        <v/>
      </c>
      <c r="KP476" s="1575" t="str">
        <f t="shared" si="281"/>
        <v/>
      </c>
      <c r="KQ476" s="1575" t="str">
        <f t="shared" si="282"/>
        <v/>
      </c>
      <c r="KR476" s="1575" t="str">
        <f t="shared" si="283"/>
        <v/>
      </c>
      <c r="KS476" s="1575" t="str">
        <f t="shared" si="284"/>
        <v/>
      </c>
      <c r="KT476" s="1575" t="str">
        <f t="shared" si="285"/>
        <v/>
      </c>
      <c r="KU476" s="1575" t="str">
        <f t="shared" si="286"/>
        <v/>
      </c>
      <c r="KV476" s="1575" t="str">
        <f t="shared" si="287"/>
        <v/>
      </c>
      <c r="KW476" s="1575" t="str">
        <f t="shared" si="288"/>
        <v/>
      </c>
      <c r="KX476" s="1575" t="str">
        <f t="shared" si="289"/>
        <v/>
      </c>
      <c r="KY476" s="1575" t="str">
        <f t="shared" si="290"/>
        <v/>
      </c>
      <c r="KZ476" s="1575" t="str">
        <f t="shared" si="291"/>
        <v/>
      </c>
      <c r="LA476" s="1575" t="str">
        <f t="shared" si="292"/>
        <v/>
      </c>
      <c r="LB476" s="1575" t="str">
        <f t="shared" si="293"/>
        <v/>
      </c>
      <c r="LC476" s="1575" t="str">
        <f t="shared" si="294"/>
        <v/>
      </c>
      <c r="LD476" s="1575" t="str">
        <f t="shared" si="295"/>
        <v/>
      </c>
      <c r="LE476" s="1575" t="str">
        <f t="shared" si="296"/>
        <v/>
      </c>
      <c r="LF476" s="1575" t="str">
        <f t="shared" si="297"/>
        <v/>
      </c>
      <c r="LG476" s="1564" t="str">
        <f t="shared" si="298"/>
        <v/>
      </c>
      <c r="LH476" s="1564" t="str">
        <f t="shared" si="299"/>
        <v/>
      </c>
      <c r="LI476" s="1564" t="str">
        <f t="shared" si="300"/>
        <v/>
      </c>
      <c r="LJ476" s="1564" t="str">
        <f t="shared" si="301"/>
        <v/>
      </c>
      <c r="LK476" s="1564"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441">
        <f t="shared" si="323"/>
        <v>0</v>
      </c>
      <c r="MG476" s="1441">
        <f t="shared" si="324"/>
        <v>0</v>
      </c>
      <c r="MH476" s="1441">
        <f t="shared" si="325"/>
        <v>6</v>
      </c>
      <c r="MI476" s="1441">
        <f t="shared" si="326"/>
        <v>0</v>
      </c>
      <c r="MJ476" s="1441">
        <f t="shared" si="327"/>
        <v>0</v>
      </c>
      <c r="MK476" s="1441">
        <f t="shared" si="333"/>
        <v>0</v>
      </c>
      <c r="ML476" s="1441">
        <f t="shared" si="334"/>
        <v>0</v>
      </c>
      <c r="MM476" s="1441">
        <f t="shared" si="335"/>
        <v>0</v>
      </c>
      <c r="MN476" s="1441">
        <f t="shared" si="336"/>
        <v>0</v>
      </c>
      <c r="MO476" s="1441">
        <f t="shared" si="337"/>
        <v>0</v>
      </c>
      <c r="MP476" s="1441">
        <f t="shared" si="328"/>
        <v>0</v>
      </c>
      <c r="MQ476" s="1441">
        <f t="shared" si="329"/>
        <v>0</v>
      </c>
      <c r="MR476" s="1441">
        <f t="shared" si="330"/>
        <v>0</v>
      </c>
      <c r="MS476" s="1441">
        <f t="shared" si="331"/>
        <v>0</v>
      </c>
      <c r="MT476" s="1441">
        <f t="shared" si="332"/>
        <v>0</v>
      </c>
      <c r="NP476" s="261" t="s">
        <v>1130</v>
      </c>
    </row>
    <row r="477" spans="1:380" ht="13.9" customHeight="1">
      <c r="A477" s="2330" t="str">
        <f t="shared" si="0"/>
        <v/>
      </c>
      <c r="B477" s="2149">
        <f>'Part V-Revenues &amp; Expenses'!B30</f>
        <v>60</v>
      </c>
      <c r="C477" s="2150">
        <f>'Part V-Revenues &amp; Expenses'!C30</f>
        <v>3</v>
      </c>
      <c r="D477" s="2151">
        <f>'Part V-Revenues &amp; Expenses'!D30</f>
        <v>2</v>
      </c>
      <c r="E477" s="2152">
        <f>'Part V-Revenues &amp; Expenses'!E30</f>
        <v>8</v>
      </c>
      <c r="F477" s="2152">
        <f>'Part V-Revenues &amp; Expenses'!F30</f>
        <v>1278</v>
      </c>
      <c r="G477" s="2152">
        <f>'Part V-Revenues &amp; Expenses'!G30</f>
        <v>1593</v>
      </c>
      <c r="H477" s="2152">
        <f>'Part V-Revenues &amp; Expenses'!H30</f>
        <v>1804.0000000000002</v>
      </c>
      <c r="I477" s="2152">
        <f>'Part V-Revenues &amp; Expenses'!I30</f>
        <v>0</v>
      </c>
      <c r="J477" s="2152">
        <f>'Part V-Revenues &amp; Expenses'!J30</f>
        <v>216</v>
      </c>
      <c r="K477" s="2153" t="str">
        <f>'Part V-Revenues &amp; Expenses'!K30</f>
        <v>PHA PBRA</v>
      </c>
      <c r="L477" s="2154">
        <f t="shared" si="1"/>
        <v>1588.0000000000002</v>
      </c>
      <c r="M477" s="2154">
        <f t="shared" si="2"/>
        <v>12704.000000000002</v>
      </c>
      <c r="N477" s="2225" t="str">
        <f>'Part V-Revenues &amp; Expenses'!N30</f>
        <v>No</v>
      </c>
      <c r="O477" s="1065" t="str">
        <f>'Part V-Revenues &amp; Expenses'!O30</f>
        <v>Low-Rise Apt</v>
      </c>
      <c r="P477" s="2225" t="str">
        <f>'Part V-Revenues &amp; Expenses'!P30</f>
        <v>Acquisition/Rehab</v>
      </c>
      <c r="Q477" s="1574" t="str">
        <f>'Part V-Revenues &amp; Expenses'!Q30</f>
        <v>No</v>
      </c>
      <c r="R477" s="2356"/>
      <c r="S477" s="2357"/>
      <c r="T477" s="2358"/>
      <c r="U477" s="2358"/>
      <c r="V477" s="2358"/>
      <c r="W477" s="2358"/>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f t="shared" si="16"/>
        <v>8</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f t="shared" si="66"/>
        <v>8</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f t="shared" si="131"/>
        <v>10224</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f t="shared" si="161"/>
        <v>10224</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f t="shared" si="186"/>
        <v>8</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575" t="str">
        <f t="shared" si="213"/>
        <v/>
      </c>
      <c r="IA477" s="1575" t="str">
        <f t="shared" si="214"/>
        <v/>
      </c>
      <c r="IB477" s="1575" t="str">
        <f t="shared" si="215"/>
        <v/>
      </c>
      <c r="IC477" s="1575">
        <f t="shared" si="216"/>
        <v>8</v>
      </c>
      <c r="ID477" s="1575" t="str">
        <f t="shared" si="217"/>
        <v/>
      </c>
      <c r="IE477" s="1575" t="str">
        <f t="shared" si="218"/>
        <v/>
      </c>
      <c r="IF477" s="1575" t="str">
        <f t="shared" si="219"/>
        <v/>
      </c>
      <c r="IG477" s="1575" t="str">
        <f t="shared" si="220"/>
        <v/>
      </c>
      <c r="IH477" s="1575" t="str">
        <f t="shared" si="221"/>
        <v/>
      </c>
      <c r="II477" s="1575" t="str">
        <f t="shared" si="222"/>
        <v/>
      </c>
      <c r="IJ477" s="1575" t="str">
        <f t="shared" si="223"/>
        <v/>
      </c>
      <c r="IK477" s="1575" t="str">
        <f t="shared" si="224"/>
        <v/>
      </c>
      <c r="IL477" s="1575" t="str">
        <f t="shared" si="225"/>
        <v/>
      </c>
      <c r="IM477" s="1575" t="str">
        <f t="shared" si="226"/>
        <v/>
      </c>
      <c r="IN477" s="1575" t="str">
        <f t="shared" si="227"/>
        <v/>
      </c>
      <c r="IO477" s="1575" t="str">
        <f t="shared" si="228"/>
        <v/>
      </c>
      <c r="IP477" s="1575" t="str">
        <f t="shared" si="229"/>
        <v/>
      </c>
      <c r="IQ477" s="1575" t="str">
        <f t="shared" si="230"/>
        <v/>
      </c>
      <c r="IR477" s="1575" t="str">
        <f t="shared" si="231"/>
        <v/>
      </c>
      <c r="IS477" s="1575" t="str">
        <f t="shared" si="232"/>
        <v/>
      </c>
      <c r="IT477" s="1575" t="str">
        <f t="shared" si="233"/>
        <v/>
      </c>
      <c r="IU477" s="1575" t="str">
        <f t="shared" si="234"/>
        <v/>
      </c>
      <c r="IV477" s="1575" t="str">
        <f t="shared" si="235"/>
        <v/>
      </c>
      <c r="IW477" s="1575" t="str">
        <f t="shared" si="236"/>
        <v/>
      </c>
      <c r="IX477" s="1575" t="str">
        <f t="shared" si="237"/>
        <v/>
      </c>
      <c r="IY477" s="1575" t="str">
        <f t="shared" si="238"/>
        <v/>
      </c>
      <c r="IZ477" s="1575" t="str">
        <f t="shared" si="239"/>
        <v/>
      </c>
      <c r="JA477" s="1575" t="str">
        <f t="shared" si="240"/>
        <v/>
      </c>
      <c r="JB477" s="1575" t="str">
        <f t="shared" si="241"/>
        <v/>
      </c>
      <c r="JC477" s="1575" t="str">
        <f t="shared" si="242"/>
        <v/>
      </c>
      <c r="JD477" s="1575" t="str">
        <f t="shared" si="243"/>
        <v/>
      </c>
      <c r="JE477" s="1575" t="str">
        <f t="shared" si="244"/>
        <v/>
      </c>
      <c r="JF477" s="1575" t="str">
        <f t="shared" si="245"/>
        <v/>
      </c>
      <c r="JG477" s="1575" t="str">
        <f t="shared" si="246"/>
        <v/>
      </c>
      <c r="JH477" s="1575" t="str">
        <f t="shared" si="247"/>
        <v/>
      </c>
      <c r="JI477" s="1575" t="str">
        <f t="shared" si="248"/>
        <v/>
      </c>
      <c r="JJ477" s="1575" t="str">
        <f t="shared" si="249"/>
        <v/>
      </c>
      <c r="JK477" s="1575" t="str">
        <f t="shared" si="250"/>
        <v/>
      </c>
      <c r="JL477" s="1575" t="str">
        <f t="shared" si="251"/>
        <v/>
      </c>
      <c r="JM477" s="1575" t="str">
        <f t="shared" si="252"/>
        <v/>
      </c>
      <c r="JN477" s="1575" t="str">
        <f t="shared" si="253"/>
        <v/>
      </c>
      <c r="JO477" s="1575" t="str">
        <f t="shared" si="254"/>
        <v/>
      </c>
      <c r="JP477" s="1575" t="str">
        <f t="shared" si="255"/>
        <v/>
      </c>
      <c r="JQ477" s="1575" t="str">
        <f t="shared" si="256"/>
        <v/>
      </c>
      <c r="JR477" s="1575" t="str">
        <f t="shared" si="257"/>
        <v/>
      </c>
      <c r="JS477" s="1575" t="str">
        <f t="shared" si="258"/>
        <v/>
      </c>
      <c r="JT477" s="1575" t="str">
        <f t="shared" si="259"/>
        <v/>
      </c>
      <c r="JU477" s="1575" t="str">
        <f t="shared" si="260"/>
        <v/>
      </c>
      <c r="JV477" s="1575">
        <f t="shared" si="261"/>
        <v>8</v>
      </c>
      <c r="JW477" s="1575" t="str">
        <f t="shared" si="262"/>
        <v/>
      </c>
      <c r="JX477" s="1575" t="str">
        <f t="shared" si="263"/>
        <v/>
      </c>
      <c r="JY477" s="1575" t="str">
        <f t="shared" si="264"/>
        <v/>
      </c>
      <c r="JZ477" s="1575" t="str">
        <f t="shared" si="265"/>
        <v/>
      </c>
      <c r="KA477" s="1575" t="str">
        <f t="shared" si="266"/>
        <v/>
      </c>
      <c r="KB477" s="1575" t="str">
        <f t="shared" si="267"/>
        <v/>
      </c>
      <c r="KC477" s="1575" t="str">
        <f t="shared" si="268"/>
        <v/>
      </c>
      <c r="KD477" s="1575" t="str">
        <f t="shared" si="269"/>
        <v/>
      </c>
      <c r="KE477" s="1575" t="str">
        <f t="shared" si="270"/>
        <v/>
      </c>
      <c r="KF477" s="1575" t="str">
        <f t="shared" si="271"/>
        <v/>
      </c>
      <c r="KG477" s="1575" t="str">
        <f t="shared" si="272"/>
        <v/>
      </c>
      <c r="KH477" s="1575" t="str">
        <f t="shared" si="273"/>
        <v/>
      </c>
      <c r="KI477" s="1575" t="str">
        <f t="shared" si="274"/>
        <v/>
      </c>
      <c r="KJ477" s="1575" t="str">
        <f t="shared" si="275"/>
        <v/>
      </c>
      <c r="KK477" s="1575" t="str">
        <f t="shared" si="276"/>
        <v/>
      </c>
      <c r="KL477" s="1575" t="str">
        <f t="shared" si="277"/>
        <v/>
      </c>
      <c r="KM477" s="1575" t="str">
        <f t="shared" si="278"/>
        <v/>
      </c>
      <c r="KN477" s="1575" t="str">
        <f t="shared" si="279"/>
        <v/>
      </c>
      <c r="KO477" s="1575" t="str">
        <f t="shared" si="280"/>
        <v/>
      </c>
      <c r="KP477" s="1575" t="str">
        <f t="shared" si="281"/>
        <v/>
      </c>
      <c r="KQ477" s="1575" t="str">
        <f t="shared" si="282"/>
        <v/>
      </c>
      <c r="KR477" s="1575" t="str">
        <f t="shared" si="283"/>
        <v/>
      </c>
      <c r="KS477" s="1575" t="str">
        <f t="shared" si="284"/>
        <v/>
      </c>
      <c r="KT477" s="1575" t="str">
        <f t="shared" si="285"/>
        <v/>
      </c>
      <c r="KU477" s="1575" t="str">
        <f t="shared" si="286"/>
        <v/>
      </c>
      <c r="KV477" s="1575" t="str">
        <f t="shared" si="287"/>
        <v/>
      </c>
      <c r="KW477" s="1575" t="str">
        <f t="shared" si="288"/>
        <v/>
      </c>
      <c r="KX477" s="1575" t="str">
        <f t="shared" si="289"/>
        <v/>
      </c>
      <c r="KY477" s="1575" t="str">
        <f t="shared" si="290"/>
        <v/>
      </c>
      <c r="KZ477" s="1575" t="str">
        <f t="shared" si="291"/>
        <v/>
      </c>
      <c r="LA477" s="1575" t="str">
        <f t="shared" si="292"/>
        <v/>
      </c>
      <c r="LB477" s="1575" t="str">
        <f t="shared" si="293"/>
        <v/>
      </c>
      <c r="LC477" s="1575" t="str">
        <f t="shared" si="294"/>
        <v/>
      </c>
      <c r="LD477" s="1575" t="str">
        <f t="shared" si="295"/>
        <v/>
      </c>
      <c r="LE477" s="1575" t="str">
        <f t="shared" si="296"/>
        <v/>
      </c>
      <c r="LF477" s="1575" t="str">
        <f t="shared" si="297"/>
        <v/>
      </c>
      <c r="LG477" s="1564" t="str">
        <f t="shared" si="298"/>
        <v/>
      </c>
      <c r="LH477" s="1564" t="str">
        <f t="shared" si="299"/>
        <v/>
      </c>
      <c r="LI477" s="1564" t="str">
        <f t="shared" si="300"/>
        <v/>
      </c>
      <c r="LJ477" s="1564" t="str">
        <f t="shared" si="301"/>
        <v/>
      </c>
      <c r="LK477" s="1564"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441">
        <f t="shared" si="323"/>
        <v>0</v>
      </c>
      <c r="MG477" s="1441">
        <f t="shared" si="324"/>
        <v>0</v>
      </c>
      <c r="MH477" s="1441">
        <f t="shared" si="325"/>
        <v>0</v>
      </c>
      <c r="MI477" s="1441">
        <f t="shared" si="326"/>
        <v>8</v>
      </c>
      <c r="MJ477" s="1441">
        <f t="shared" si="327"/>
        <v>0</v>
      </c>
      <c r="MK477" s="1441">
        <f t="shared" si="333"/>
        <v>0</v>
      </c>
      <c r="ML477" s="1441">
        <f t="shared" si="334"/>
        <v>0</v>
      </c>
      <c r="MM477" s="1441">
        <f t="shared" si="335"/>
        <v>0</v>
      </c>
      <c r="MN477" s="1441">
        <f t="shared" si="336"/>
        <v>0</v>
      </c>
      <c r="MO477" s="1441">
        <f t="shared" si="337"/>
        <v>0</v>
      </c>
      <c r="MP477" s="1441">
        <f t="shared" si="328"/>
        <v>0</v>
      </c>
      <c r="MQ477" s="1441">
        <f t="shared" si="329"/>
        <v>0</v>
      </c>
      <c r="MR477" s="1441">
        <f t="shared" si="330"/>
        <v>0</v>
      </c>
      <c r="MS477" s="1441">
        <f t="shared" si="331"/>
        <v>0</v>
      </c>
      <c r="MT477" s="1441">
        <f t="shared" si="332"/>
        <v>0</v>
      </c>
      <c r="NP477" s="261" t="s">
        <v>1131</v>
      </c>
    </row>
    <row r="478" spans="1:380" ht="13.9" customHeight="1">
      <c r="A478" s="2330" t="str">
        <f t="shared" si="0"/>
        <v/>
      </c>
      <c r="B478" s="2149">
        <f>'Part V-Revenues &amp; Expenses'!B31</f>
        <v>60</v>
      </c>
      <c r="C478" s="2150">
        <f>'Part V-Revenues &amp; Expenses'!C31</f>
        <v>3</v>
      </c>
      <c r="D478" s="2151">
        <f>'Part V-Revenues &amp; Expenses'!D31</f>
        <v>2.5</v>
      </c>
      <c r="E478" s="2152">
        <f>'Part V-Revenues &amp; Expenses'!E31</f>
        <v>2</v>
      </c>
      <c r="F478" s="2152">
        <f>'Part V-Revenues &amp; Expenses'!F31</f>
        <v>1349</v>
      </c>
      <c r="G478" s="2152">
        <f>'Part V-Revenues &amp; Expenses'!G31</f>
        <v>1593</v>
      </c>
      <c r="H478" s="2152">
        <f>'Part V-Revenues &amp; Expenses'!H31</f>
        <v>1804.0000000000002</v>
      </c>
      <c r="I478" s="2152">
        <f>'Part V-Revenues &amp; Expenses'!I31</f>
        <v>0</v>
      </c>
      <c r="J478" s="2152">
        <f>'Part V-Revenues &amp; Expenses'!J31</f>
        <v>216</v>
      </c>
      <c r="K478" s="2153" t="str">
        <f>'Part V-Revenues &amp; Expenses'!K31</f>
        <v>PHA PBRA</v>
      </c>
      <c r="L478" s="2154">
        <f t="shared" si="1"/>
        <v>1588.0000000000002</v>
      </c>
      <c r="M478" s="2154">
        <f t="shared" si="2"/>
        <v>3176.0000000000005</v>
      </c>
      <c r="N478" s="2225" t="str">
        <f>'Part V-Revenues &amp; Expenses'!N31</f>
        <v>No</v>
      </c>
      <c r="O478" s="1065" t="str">
        <f>'Part V-Revenues &amp; Expenses'!O31</f>
        <v>Row House/TH</v>
      </c>
      <c r="P478" s="2225" t="str">
        <f>'Part V-Revenues &amp; Expenses'!P31</f>
        <v>Acquisition/Rehab</v>
      </c>
      <c r="Q478" s="1574" t="str">
        <f>'Part V-Revenues &amp; Expenses'!Q31</f>
        <v>No</v>
      </c>
      <c r="R478" s="2356"/>
      <c r="S478" s="2357"/>
      <c r="T478" s="2358"/>
      <c r="U478" s="2358"/>
      <c r="V478" s="2358"/>
      <c r="W478" s="2358"/>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f t="shared" si="16"/>
        <v>2</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f t="shared" si="66"/>
        <v>2</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f t="shared" si="131"/>
        <v>2698</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f t="shared" si="161"/>
        <v>2698</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f t="shared" si="186"/>
        <v>2</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575" t="str">
        <f t="shared" si="213"/>
        <v/>
      </c>
      <c r="IA478" s="1575" t="str">
        <f t="shared" si="214"/>
        <v/>
      </c>
      <c r="IB478" s="1575" t="str">
        <f t="shared" si="215"/>
        <v/>
      </c>
      <c r="IC478" s="1575" t="str">
        <f t="shared" si="216"/>
        <v/>
      </c>
      <c r="ID478" s="1575" t="str">
        <f t="shared" si="217"/>
        <v/>
      </c>
      <c r="IE478" s="1575" t="str">
        <f t="shared" si="218"/>
        <v/>
      </c>
      <c r="IF478" s="1575" t="str">
        <f t="shared" si="219"/>
        <v/>
      </c>
      <c r="IG478" s="1575" t="str">
        <f t="shared" si="220"/>
        <v/>
      </c>
      <c r="IH478" s="1575" t="str">
        <f t="shared" si="221"/>
        <v/>
      </c>
      <c r="II478" s="1575" t="str">
        <f t="shared" si="222"/>
        <v/>
      </c>
      <c r="IJ478" s="1575" t="str">
        <f t="shared" si="223"/>
        <v/>
      </c>
      <c r="IK478" s="1575" t="str">
        <f t="shared" si="224"/>
        <v/>
      </c>
      <c r="IL478" s="1575" t="str">
        <f t="shared" si="225"/>
        <v/>
      </c>
      <c r="IM478" s="1575" t="str">
        <f t="shared" si="226"/>
        <v/>
      </c>
      <c r="IN478" s="1575" t="str">
        <f t="shared" si="227"/>
        <v/>
      </c>
      <c r="IO478" s="1575" t="str">
        <f t="shared" si="228"/>
        <v/>
      </c>
      <c r="IP478" s="1575" t="str">
        <f t="shared" si="229"/>
        <v/>
      </c>
      <c r="IQ478" s="1575" t="str">
        <f t="shared" si="230"/>
        <v/>
      </c>
      <c r="IR478" s="1575" t="str">
        <f t="shared" si="231"/>
        <v/>
      </c>
      <c r="IS478" s="1575" t="str">
        <f t="shared" si="232"/>
        <v/>
      </c>
      <c r="IT478" s="1575" t="str">
        <f t="shared" si="233"/>
        <v/>
      </c>
      <c r="IU478" s="1575" t="str">
        <f t="shared" si="234"/>
        <v/>
      </c>
      <c r="IV478" s="1575" t="str">
        <f t="shared" si="235"/>
        <v/>
      </c>
      <c r="IW478" s="1575" t="str">
        <f t="shared" si="236"/>
        <v/>
      </c>
      <c r="IX478" s="1575" t="str">
        <f t="shared" si="237"/>
        <v/>
      </c>
      <c r="IY478" s="1575" t="str">
        <f t="shared" si="238"/>
        <v/>
      </c>
      <c r="IZ478" s="1575" t="str">
        <f t="shared" si="239"/>
        <v/>
      </c>
      <c r="JA478" s="1575" t="str">
        <f t="shared" si="240"/>
        <v/>
      </c>
      <c r="JB478" s="1575" t="str">
        <f t="shared" si="241"/>
        <v/>
      </c>
      <c r="JC478" s="1575" t="str">
        <f t="shared" si="242"/>
        <v/>
      </c>
      <c r="JD478" s="1575" t="str">
        <f t="shared" si="243"/>
        <v/>
      </c>
      <c r="JE478" s="1575" t="str">
        <f t="shared" si="244"/>
        <v/>
      </c>
      <c r="JF478" s="1575" t="str">
        <f t="shared" si="245"/>
        <v/>
      </c>
      <c r="JG478" s="1575" t="str">
        <f t="shared" si="246"/>
        <v/>
      </c>
      <c r="JH478" s="1575" t="str">
        <f t="shared" si="247"/>
        <v/>
      </c>
      <c r="JI478" s="1575" t="str">
        <f t="shared" si="248"/>
        <v/>
      </c>
      <c r="JJ478" s="1575" t="str">
        <f t="shared" si="249"/>
        <v/>
      </c>
      <c r="JK478" s="1575" t="str">
        <f t="shared" si="250"/>
        <v/>
      </c>
      <c r="JL478" s="1575">
        <f t="shared" si="251"/>
        <v>2</v>
      </c>
      <c r="JM478" s="1575" t="str">
        <f t="shared" si="252"/>
        <v/>
      </c>
      <c r="JN478" s="1575" t="str">
        <f t="shared" si="253"/>
        <v/>
      </c>
      <c r="JO478" s="1575" t="str">
        <f t="shared" si="254"/>
        <v/>
      </c>
      <c r="JP478" s="1575" t="str">
        <f t="shared" si="255"/>
        <v/>
      </c>
      <c r="JQ478" s="1575" t="str">
        <f t="shared" si="256"/>
        <v/>
      </c>
      <c r="JR478" s="1575" t="str">
        <f t="shared" si="257"/>
        <v/>
      </c>
      <c r="JS478" s="1575" t="str">
        <f t="shared" si="258"/>
        <v/>
      </c>
      <c r="JT478" s="1575" t="str">
        <f t="shared" si="259"/>
        <v/>
      </c>
      <c r="JU478" s="1575" t="str">
        <f t="shared" si="260"/>
        <v/>
      </c>
      <c r="JV478" s="1575" t="str">
        <f t="shared" si="261"/>
        <v/>
      </c>
      <c r="JW478" s="1575" t="str">
        <f t="shared" si="262"/>
        <v/>
      </c>
      <c r="JX478" s="1575" t="str">
        <f t="shared" si="263"/>
        <v/>
      </c>
      <c r="JY478" s="1575" t="str">
        <f t="shared" si="264"/>
        <v/>
      </c>
      <c r="JZ478" s="1575" t="str">
        <f t="shared" si="265"/>
        <v/>
      </c>
      <c r="KA478" s="1575" t="str">
        <f t="shared" si="266"/>
        <v/>
      </c>
      <c r="KB478" s="1575" t="str">
        <f t="shared" si="267"/>
        <v/>
      </c>
      <c r="KC478" s="1575" t="str">
        <f t="shared" si="268"/>
        <v/>
      </c>
      <c r="KD478" s="1575" t="str">
        <f t="shared" si="269"/>
        <v/>
      </c>
      <c r="KE478" s="1575" t="str">
        <f t="shared" si="270"/>
        <v/>
      </c>
      <c r="KF478" s="1575" t="str">
        <f t="shared" si="271"/>
        <v/>
      </c>
      <c r="KG478" s="1575" t="str">
        <f t="shared" si="272"/>
        <v/>
      </c>
      <c r="KH478" s="1575" t="str">
        <f t="shared" si="273"/>
        <v/>
      </c>
      <c r="KI478" s="1575" t="str">
        <f t="shared" si="274"/>
        <v/>
      </c>
      <c r="KJ478" s="1575" t="str">
        <f t="shared" si="275"/>
        <v/>
      </c>
      <c r="KK478" s="1575" t="str">
        <f t="shared" si="276"/>
        <v/>
      </c>
      <c r="KL478" s="1575" t="str">
        <f t="shared" si="277"/>
        <v/>
      </c>
      <c r="KM478" s="1575" t="str">
        <f t="shared" si="278"/>
        <v/>
      </c>
      <c r="KN478" s="1575" t="str">
        <f t="shared" si="279"/>
        <v/>
      </c>
      <c r="KO478" s="1575" t="str">
        <f t="shared" si="280"/>
        <v/>
      </c>
      <c r="KP478" s="1575" t="str">
        <f t="shared" si="281"/>
        <v/>
      </c>
      <c r="KQ478" s="1575" t="str">
        <f t="shared" si="282"/>
        <v/>
      </c>
      <c r="KR478" s="1575" t="str">
        <f t="shared" si="283"/>
        <v/>
      </c>
      <c r="KS478" s="1575" t="str">
        <f t="shared" si="284"/>
        <v/>
      </c>
      <c r="KT478" s="1575" t="str">
        <f t="shared" si="285"/>
        <v/>
      </c>
      <c r="KU478" s="1575" t="str">
        <f t="shared" si="286"/>
        <v/>
      </c>
      <c r="KV478" s="1575" t="str">
        <f t="shared" si="287"/>
        <v/>
      </c>
      <c r="KW478" s="1575" t="str">
        <f t="shared" si="288"/>
        <v/>
      </c>
      <c r="KX478" s="1575" t="str">
        <f t="shared" si="289"/>
        <v/>
      </c>
      <c r="KY478" s="1575" t="str">
        <f t="shared" si="290"/>
        <v/>
      </c>
      <c r="KZ478" s="1575" t="str">
        <f t="shared" si="291"/>
        <v/>
      </c>
      <c r="LA478" s="1575" t="str">
        <f t="shared" si="292"/>
        <v/>
      </c>
      <c r="LB478" s="1575" t="str">
        <f t="shared" si="293"/>
        <v/>
      </c>
      <c r="LC478" s="1575" t="str">
        <f t="shared" si="294"/>
        <v/>
      </c>
      <c r="LD478" s="1575" t="str">
        <f t="shared" si="295"/>
        <v/>
      </c>
      <c r="LE478" s="1575" t="str">
        <f t="shared" si="296"/>
        <v/>
      </c>
      <c r="LF478" s="1575" t="str">
        <f t="shared" si="297"/>
        <v/>
      </c>
      <c r="LG478" s="1564" t="str">
        <f t="shared" si="298"/>
        <v/>
      </c>
      <c r="LH478" s="1564" t="str">
        <f t="shared" si="299"/>
        <v/>
      </c>
      <c r="LI478" s="1564" t="str">
        <f t="shared" si="300"/>
        <v/>
      </c>
      <c r="LJ478" s="1564" t="str">
        <f t="shared" si="301"/>
        <v/>
      </c>
      <c r="LK478" s="1564"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441">
        <f t="shared" si="323"/>
        <v>0</v>
      </c>
      <c r="MG478" s="1441">
        <f t="shared" si="324"/>
        <v>0</v>
      </c>
      <c r="MH478" s="1441">
        <f t="shared" si="325"/>
        <v>0</v>
      </c>
      <c r="MI478" s="1441">
        <f t="shared" si="326"/>
        <v>2</v>
      </c>
      <c r="MJ478" s="1441">
        <f t="shared" si="327"/>
        <v>0</v>
      </c>
      <c r="MK478" s="1441">
        <f t="shared" si="333"/>
        <v>0</v>
      </c>
      <c r="ML478" s="1441">
        <f t="shared" si="334"/>
        <v>0</v>
      </c>
      <c r="MM478" s="1441">
        <f t="shared" si="335"/>
        <v>0</v>
      </c>
      <c r="MN478" s="1441">
        <f t="shared" si="336"/>
        <v>0</v>
      </c>
      <c r="MO478" s="1441">
        <f t="shared" si="337"/>
        <v>0</v>
      </c>
      <c r="MP478" s="1441">
        <f t="shared" si="328"/>
        <v>0</v>
      </c>
      <c r="MQ478" s="1441">
        <f t="shared" si="329"/>
        <v>0</v>
      </c>
      <c r="MR478" s="1441">
        <f t="shared" si="330"/>
        <v>0</v>
      </c>
      <c r="MS478" s="1441">
        <f t="shared" si="331"/>
        <v>0</v>
      </c>
      <c r="MT478" s="1441">
        <f t="shared" si="332"/>
        <v>0</v>
      </c>
      <c r="NP478" s="261" t="s">
        <v>1132</v>
      </c>
    </row>
    <row r="479" spans="1:380" ht="13.9" customHeight="1">
      <c r="A479" s="2330" t="str">
        <f t="shared" si="0"/>
        <v/>
      </c>
      <c r="B479" s="2149">
        <f>'Part V-Revenues &amp; Expenses'!B32</f>
        <v>60</v>
      </c>
      <c r="C479" s="2150">
        <f>'Part V-Revenues &amp; Expenses'!C32</f>
        <v>3</v>
      </c>
      <c r="D479" s="2151">
        <f>'Part V-Revenues &amp; Expenses'!D32</f>
        <v>2.5</v>
      </c>
      <c r="E479" s="2152">
        <f>'Part V-Revenues &amp; Expenses'!E32</f>
        <v>1</v>
      </c>
      <c r="F479" s="2152">
        <f>'Part V-Revenues &amp; Expenses'!F32</f>
        <v>1349</v>
      </c>
      <c r="G479" s="2152">
        <f>'Part V-Revenues &amp; Expenses'!G32</f>
        <v>1593</v>
      </c>
      <c r="H479" s="2152">
        <f>'Part V-Revenues &amp; Expenses'!H32</f>
        <v>1804.0000000000002</v>
      </c>
      <c r="I479" s="2152">
        <f>'Part V-Revenues &amp; Expenses'!I32</f>
        <v>0</v>
      </c>
      <c r="J479" s="2152">
        <f>'Part V-Revenues &amp; Expenses'!J32</f>
        <v>216</v>
      </c>
      <c r="K479" s="2153" t="str">
        <f>'Part V-Revenues &amp; Expenses'!K32</f>
        <v>PHA PBRA</v>
      </c>
      <c r="L479" s="2154">
        <f t="shared" si="1"/>
        <v>1588.0000000000002</v>
      </c>
      <c r="M479" s="2154">
        <f t="shared" si="2"/>
        <v>1588.0000000000002</v>
      </c>
      <c r="N479" s="2225" t="str">
        <f>'Part V-Revenues &amp; Expenses'!N32</f>
        <v>No</v>
      </c>
      <c r="O479" s="1065" t="str">
        <f>'Part V-Revenues &amp; Expenses'!O32</f>
        <v>Low-Rise Apt</v>
      </c>
      <c r="P479" s="2225" t="str">
        <f>'Part V-Revenues &amp; Expenses'!P32</f>
        <v>Acquisition/Rehab</v>
      </c>
      <c r="Q479" s="1574" t="str">
        <f>'Part V-Revenues &amp; Expenses'!Q32</f>
        <v>No</v>
      </c>
      <c r="R479" s="2356"/>
      <c r="S479" s="2357"/>
      <c r="T479" s="2358"/>
      <c r="U479" s="2358"/>
      <c r="V479" s="2358"/>
      <c r="W479" s="2358"/>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f t="shared" si="16"/>
        <v>1</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f t="shared" si="66"/>
        <v>1</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f t="shared" si="131"/>
        <v>1349</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f t="shared" si="161"/>
        <v>1349</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f t="shared" si="186"/>
        <v>1</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575" t="str">
        <f t="shared" si="213"/>
        <v/>
      </c>
      <c r="IA479" s="1575" t="str">
        <f t="shared" si="214"/>
        <v/>
      </c>
      <c r="IB479" s="1575" t="str">
        <f t="shared" si="215"/>
        <v/>
      </c>
      <c r="IC479" s="1575">
        <f t="shared" si="216"/>
        <v>1</v>
      </c>
      <c r="ID479" s="1575" t="str">
        <f t="shared" si="217"/>
        <v/>
      </c>
      <c r="IE479" s="1575" t="str">
        <f t="shared" si="218"/>
        <v/>
      </c>
      <c r="IF479" s="1575" t="str">
        <f t="shared" si="219"/>
        <v/>
      </c>
      <c r="IG479" s="1575" t="str">
        <f t="shared" si="220"/>
        <v/>
      </c>
      <c r="IH479" s="1575" t="str">
        <f t="shared" si="221"/>
        <v/>
      </c>
      <c r="II479" s="1575" t="str">
        <f t="shared" si="222"/>
        <v/>
      </c>
      <c r="IJ479" s="1575" t="str">
        <f t="shared" si="223"/>
        <v/>
      </c>
      <c r="IK479" s="1575" t="str">
        <f t="shared" si="224"/>
        <v/>
      </c>
      <c r="IL479" s="1575" t="str">
        <f t="shared" si="225"/>
        <v/>
      </c>
      <c r="IM479" s="1575" t="str">
        <f t="shared" si="226"/>
        <v/>
      </c>
      <c r="IN479" s="1575" t="str">
        <f t="shared" si="227"/>
        <v/>
      </c>
      <c r="IO479" s="1575" t="str">
        <f t="shared" si="228"/>
        <v/>
      </c>
      <c r="IP479" s="1575" t="str">
        <f t="shared" si="229"/>
        <v/>
      </c>
      <c r="IQ479" s="1575" t="str">
        <f t="shared" si="230"/>
        <v/>
      </c>
      <c r="IR479" s="1575" t="str">
        <f t="shared" si="231"/>
        <v/>
      </c>
      <c r="IS479" s="1575" t="str">
        <f t="shared" si="232"/>
        <v/>
      </c>
      <c r="IT479" s="1575" t="str">
        <f t="shared" si="233"/>
        <v/>
      </c>
      <c r="IU479" s="1575" t="str">
        <f t="shared" si="234"/>
        <v/>
      </c>
      <c r="IV479" s="1575" t="str">
        <f t="shared" si="235"/>
        <v/>
      </c>
      <c r="IW479" s="1575" t="str">
        <f t="shared" si="236"/>
        <v/>
      </c>
      <c r="IX479" s="1575" t="str">
        <f t="shared" si="237"/>
        <v/>
      </c>
      <c r="IY479" s="1575" t="str">
        <f t="shared" si="238"/>
        <v/>
      </c>
      <c r="IZ479" s="1575" t="str">
        <f t="shared" si="239"/>
        <v/>
      </c>
      <c r="JA479" s="1575" t="str">
        <f t="shared" si="240"/>
        <v/>
      </c>
      <c r="JB479" s="1575" t="str">
        <f t="shared" si="241"/>
        <v/>
      </c>
      <c r="JC479" s="1575" t="str">
        <f t="shared" si="242"/>
        <v/>
      </c>
      <c r="JD479" s="1575" t="str">
        <f t="shared" si="243"/>
        <v/>
      </c>
      <c r="JE479" s="1575" t="str">
        <f t="shared" si="244"/>
        <v/>
      </c>
      <c r="JF479" s="1575" t="str">
        <f t="shared" si="245"/>
        <v/>
      </c>
      <c r="JG479" s="1575" t="str">
        <f t="shared" si="246"/>
        <v/>
      </c>
      <c r="JH479" s="1575" t="str">
        <f t="shared" si="247"/>
        <v/>
      </c>
      <c r="JI479" s="1575" t="str">
        <f t="shared" si="248"/>
        <v/>
      </c>
      <c r="JJ479" s="1575" t="str">
        <f t="shared" si="249"/>
        <v/>
      </c>
      <c r="JK479" s="1575" t="str">
        <f t="shared" si="250"/>
        <v/>
      </c>
      <c r="JL479" s="1575" t="str">
        <f t="shared" si="251"/>
        <v/>
      </c>
      <c r="JM479" s="1575" t="str">
        <f t="shared" si="252"/>
        <v/>
      </c>
      <c r="JN479" s="1575" t="str">
        <f t="shared" si="253"/>
        <v/>
      </c>
      <c r="JO479" s="1575" t="str">
        <f t="shared" si="254"/>
        <v/>
      </c>
      <c r="JP479" s="1575" t="str">
        <f t="shared" si="255"/>
        <v/>
      </c>
      <c r="JQ479" s="1575" t="str">
        <f t="shared" si="256"/>
        <v/>
      </c>
      <c r="JR479" s="1575" t="str">
        <f t="shared" si="257"/>
        <v/>
      </c>
      <c r="JS479" s="1575" t="str">
        <f t="shared" si="258"/>
        <v/>
      </c>
      <c r="JT479" s="1575" t="str">
        <f t="shared" si="259"/>
        <v/>
      </c>
      <c r="JU479" s="1575" t="str">
        <f t="shared" si="260"/>
        <v/>
      </c>
      <c r="JV479" s="1575">
        <f t="shared" si="261"/>
        <v>1</v>
      </c>
      <c r="JW479" s="1575" t="str">
        <f t="shared" si="262"/>
        <v/>
      </c>
      <c r="JX479" s="1575" t="str">
        <f t="shared" si="263"/>
        <v/>
      </c>
      <c r="JY479" s="1575" t="str">
        <f t="shared" si="264"/>
        <v/>
      </c>
      <c r="JZ479" s="1575" t="str">
        <f t="shared" si="265"/>
        <v/>
      </c>
      <c r="KA479" s="1575" t="str">
        <f t="shared" si="266"/>
        <v/>
      </c>
      <c r="KB479" s="1575" t="str">
        <f t="shared" si="267"/>
        <v/>
      </c>
      <c r="KC479" s="1575" t="str">
        <f t="shared" si="268"/>
        <v/>
      </c>
      <c r="KD479" s="1575" t="str">
        <f t="shared" si="269"/>
        <v/>
      </c>
      <c r="KE479" s="1575" t="str">
        <f t="shared" si="270"/>
        <v/>
      </c>
      <c r="KF479" s="1575" t="str">
        <f t="shared" si="271"/>
        <v/>
      </c>
      <c r="KG479" s="1575" t="str">
        <f t="shared" si="272"/>
        <v/>
      </c>
      <c r="KH479" s="1575" t="str">
        <f t="shared" si="273"/>
        <v/>
      </c>
      <c r="KI479" s="1575" t="str">
        <f t="shared" si="274"/>
        <v/>
      </c>
      <c r="KJ479" s="1575" t="str">
        <f t="shared" si="275"/>
        <v/>
      </c>
      <c r="KK479" s="1575" t="str">
        <f t="shared" si="276"/>
        <v/>
      </c>
      <c r="KL479" s="1575" t="str">
        <f t="shared" si="277"/>
        <v/>
      </c>
      <c r="KM479" s="1575" t="str">
        <f t="shared" si="278"/>
        <v/>
      </c>
      <c r="KN479" s="1575" t="str">
        <f t="shared" si="279"/>
        <v/>
      </c>
      <c r="KO479" s="1575" t="str">
        <f t="shared" si="280"/>
        <v/>
      </c>
      <c r="KP479" s="1575" t="str">
        <f t="shared" si="281"/>
        <v/>
      </c>
      <c r="KQ479" s="1575" t="str">
        <f t="shared" si="282"/>
        <v/>
      </c>
      <c r="KR479" s="1575" t="str">
        <f t="shared" si="283"/>
        <v/>
      </c>
      <c r="KS479" s="1575" t="str">
        <f t="shared" si="284"/>
        <v/>
      </c>
      <c r="KT479" s="1575" t="str">
        <f t="shared" si="285"/>
        <v/>
      </c>
      <c r="KU479" s="1575" t="str">
        <f t="shared" si="286"/>
        <v/>
      </c>
      <c r="KV479" s="1575" t="str">
        <f t="shared" si="287"/>
        <v/>
      </c>
      <c r="KW479" s="1575" t="str">
        <f t="shared" si="288"/>
        <v/>
      </c>
      <c r="KX479" s="1575" t="str">
        <f t="shared" si="289"/>
        <v/>
      </c>
      <c r="KY479" s="1575" t="str">
        <f t="shared" si="290"/>
        <v/>
      </c>
      <c r="KZ479" s="1575" t="str">
        <f t="shared" si="291"/>
        <v/>
      </c>
      <c r="LA479" s="1575" t="str">
        <f t="shared" si="292"/>
        <v/>
      </c>
      <c r="LB479" s="1575" t="str">
        <f t="shared" si="293"/>
        <v/>
      </c>
      <c r="LC479" s="1575" t="str">
        <f t="shared" si="294"/>
        <v/>
      </c>
      <c r="LD479" s="1575" t="str">
        <f t="shared" si="295"/>
        <v/>
      </c>
      <c r="LE479" s="1575" t="str">
        <f t="shared" si="296"/>
        <v/>
      </c>
      <c r="LF479" s="1575" t="str">
        <f t="shared" si="297"/>
        <v/>
      </c>
      <c r="LG479" s="1564" t="str">
        <f t="shared" si="298"/>
        <v/>
      </c>
      <c r="LH479" s="1564" t="str">
        <f t="shared" si="299"/>
        <v/>
      </c>
      <c r="LI479" s="1564" t="str">
        <f t="shared" si="300"/>
        <v/>
      </c>
      <c r="LJ479" s="1564" t="str">
        <f t="shared" si="301"/>
        <v/>
      </c>
      <c r="LK479" s="1564"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441">
        <f t="shared" si="323"/>
        <v>0</v>
      </c>
      <c r="MG479" s="1441">
        <f t="shared" si="324"/>
        <v>0</v>
      </c>
      <c r="MH479" s="1441">
        <f t="shared" si="325"/>
        <v>0</v>
      </c>
      <c r="MI479" s="1441">
        <f t="shared" si="326"/>
        <v>1</v>
      </c>
      <c r="MJ479" s="1441">
        <f t="shared" si="327"/>
        <v>0</v>
      </c>
      <c r="MK479" s="1441">
        <f t="shared" si="333"/>
        <v>0</v>
      </c>
      <c r="ML479" s="1441">
        <f t="shared" si="334"/>
        <v>0</v>
      </c>
      <c r="MM479" s="1441">
        <f t="shared" si="335"/>
        <v>0</v>
      </c>
      <c r="MN479" s="1441">
        <f t="shared" si="336"/>
        <v>0</v>
      </c>
      <c r="MO479" s="1441">
        <f t="shared" si="337"/>
        <v>0</v>
      </c>
      <c r="MP479" s="1441">
        <f t="shared" si="328"/>
        <v>0</v>
      </c>
      <c r="MQ479" s="1441">
        <f t="shared" si="329"/>
        <v>0</v>
      </c>
      <c r="MR479" s="1441">
        <f t="shared" si="330"/>
        <v>0</v>
      </c>
      <c r="MS479" s="1441">
        <f t="shared" si="331"/>
        <v>0</v>
      </c>
      <c r="MT479" s="1441">
        <f t="shared" si="332"/>
        <v>0</v>
      </c>
      <c r="NP479" s="261" t="s">
        <v>1133</v>
      </c>
    </row>
    <row r="480" spans="1:380" ht="13.9" customHeight="1">
      <c r="A480" s="2330" t="str">
        <f t="shared" si="0"/>
        <v/>
      </c>
      <c r="B480" s="2149">
        <f>'Part V-Revenues &amp; Expenses'!B33</f>
        <v>60</v>
      </c>
      <c r="C480" s="2150">
        <f>'Part V-Revenues &amp; Expenses'!C33</f>
        <v>3</v>
      </c>
      <c r="D480" s="2151">
        <f>'Part V-Revenues &amp; Expenses'!D33</f>
        <v>2.5</v>
      </c>
      <c r="E480" s="2152">
        <f>'Part V-Revenues &amp; Expenses'!E33</f>
        <v>5</v>
      </c>
      <c r="F480" s="2152">
        <f>'Part V-Revenues &amp; Expenses'!F33</f>
        <v>1392</v>
      </c>
      <c r="G480" s="2152">
        <f>'Part V-Revenues &amp; Expenses'!G33</f>
        <v>1593</v>
      </c>
      <c r="H480" s="2152">
        <f>'Part V-Revenues &amp; Expenses'!H33</f>
        <v>1804.0000000000002</v>
      </c>
      <c r="I480" s="2152">
        <f>'Part V-Revenues &amp; Expenses'!I33</f>
        <v>0</v>
      </c>
      <c r="J480" s="2152">
        <f>'Part V-Revenues &amp; Expenses'!J33</f>
        <v>216</v>
      </c>
      <c r="K480" s="2153" t="str">
        <f>'Part V-Revenues &amp; Expenses'!K33</f>
        <v>PHA PBRA</v>
      </c>
      <c r="L480" s="2154">
        <f t="shared" si="1"/>
        <v>1588.0000000000002</v>
      </c>
      <c r="M480" s="2154">
        <f t="shared" si="2"/>
        <v>7940.0000000000009</v>
      </c>
      <c r="N480" s="2225" t="str">
        <f>'Part V-Revenues &amp; Expenses'!N33</f>
        <v>No</v>
      </c>
      <c r="O480" s="1065" t="str">
        <f>'Part V-Revenues &amp; Expenses'!O33</f>
        <v>Low-Rise Apt</v>
      </c>
      <c r="P480" s="2225" t="str">
        <f>'Part V-Revenues &amp; Expenses'!P33</f>
        <v>Acquisition/Rehab</v>
      </c>
      <c r="Q480" s="1574" t="str">
        <f>'Part V-Revenues &amp; Expenses'!Q33</f>
        <v>No</v>
      </c>
      <c r="R480" s="2356"/>
      <c r="S480" s="2357"/>
      <c r="T480" s="2358"/>
      <c r="U480" s="2358"/>
      <c r="V480" s="2358"/>
      <c r="W480" s="2358"/>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f t="shared" si="16"/>
        <v>5</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f t="shared" si="66"/>
        <v>5</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f t="shared" si="131"/>
        <v>6960</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f t="shared" si="161"/>
        <v>6960</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f t="shared" si="186"/>
        <v>5</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575" t="str">
        <f t="shared" si="213"/>
        <v/>
      </c>
      <c r="IA480" s="1575" t="str">
        <f t="shared" si="214"/>
        <v/>
      </c>
      <c r="IB480" s="1575" t="str">
        <f t="shared" si="215"/>
        <v/>
      </c>
      <c r="IC480" s="1575">
        <f t="shared" si="216"/>
        <v>5</v>
      </c>
      <c r="ID480" s="1575" t="str">
        <f t="shared" si="217"/>
        <v/>
      </c>
      <c r="IE480" s="1575" t="str">
        <f t="shared" si="218"/>
        <v/>
      </c>
      <c r="IF480" s="1575" t="str">
        <f t="shared" si="219"/>
        <v/>
      </c>
      <c r="IG480" s="1575" t="str">
        <f t="shared" si="220"/>
        <v/>
      </c>
      <c r="IH480" s="1575" t="str">
        <f t="shared" si="221"/>
        <v/>
      </c>
      <c r="II480" s="1575" t="str">
        <f t="shared" si="222"/>
        <v/>
      </c>
      <c r="IJ480" s="1575" t="str">
        <f t="shared" si="223"/>
        <v/>
      </c>
      <c r="IK480" s="1575" t="str">
        <f t="shared" si="224"/>
        <v/>
      </c>
      <c r="IL480" s="1575" t="str">
        <f t="shared" si="225"/>
        <v/>
      </c>
      <c r="IM480" s="1575" t="str">
        <f t="shared" si="226"/>
        <v/>
      </c>
      <c r="IN480" s="1575" t="str">
        <f t="shared" si="227"/>
        <v/>
      </c>
      <c r="IO480" s="1575" t="str">
        <f t="shared" si="228"/>
        <v/>
      </c>
      <c r="IP480" s="1575" t="str">
        <f t="shared" si="229"/>
        <v/>
      </c>
      <c r="IQ480" s="1575" t="str">
        <f t="shared" si="230"/>
        <v/>
      </c>
      <c r="IR480" s="1575" t="str">
        <f t="shared" si="231"/>
        <v/>
      </c>
      <c r="IS480" s="1575" t="str">
        <f t="shared" si="232"/>
        <v/>
      </c>
      <c r="IT480" s="1575" t="str">
        <f t="shared" si="233"/>
        <v/>
      </c>
      <c r="IU480" s="1575" t="str">
        <f t="shared" si="234"/>
        <v/>
      </c>
      <c r="IV480" s="1575" t="str">
        <f t="shared" si="235"/>
        <v/>
      </c>
      <c r="IW480" s="1575" t="str">
        <f t="shared" si="236"/>
        <v/>
      </c>
      <c r="IX480" s="1575" t="str">
        <f t="shared" si="237"/>
        <v/>
      </c>
      <c r="IY480" s="1575" t="str">
        <f t="shared" si="238"/>
        <v/>
      </c>
      <c r="IZ480" s="1575" t="str">
        <f t="shared" si="239"/>
        <v/>
      </c>
      <c r="JA480" s="1575" t="str">
        <f t="shared" si="240"/>
        <v/>
      </c>
      <c r="JB480" s="1575" t="str">
        <f t="shared" si="241"/>
        <v/>
      </c>
      <c r="JC480" s="1575" t="str">
        <f t="shared" si="242"/>
        <v/>
      </c>
      <c r="JD480" s="1575" t="str">
        <f t="shared" si="243"/>
        <v/>
      </c>
      <c r="JE480" s="1575" t="str">
        <f t="shared" si="244"/>
        <v/>
      </c>
      <c r="JF480" s="1575" t="str">
        <f t="shared" si="245"/>
        <v/>
      </c>
      <c r="JG480" s="1575" t="str">
        <f t="shared" si="246"/>
        <v/>
      </c>
      <c r="JH480" s="1575" t="str">
        <f t="shared" si="247"/>
        <v/>
      </c>
      <c r="JI480" s="1575" t="str">
        <f t="shared" si="248"/>
        <v/>
      </c>
      <c r="JJ480" s="1575" t="str">
        <f t="shared" si="249"/>
        <v/>
      </c>
      <c r="JK480" s="1575" t="str">
        <f t="shared" si="250"/>
        <v/>
      </c>
      <c r="JL480" s="1575" t="str">
        <f t="shared" si="251"/>
        <v/>
      </c>
      <c r="JM480" s="1575" t="str">
        <f t="shared" si="252"/>
        <v/>
      </c>
      <c r="JN480" s="1575" t="str">
        <f t="shared" si="253"/>
        <v/>
      </c>
      <c r="JO480" s="1575" t="str">
        <f t="shared" si="254"/>
        <v/>
      </c>
      <c r="JP480" s="1575" t="str">
        <f t="shared" si="255"/>
        <v/>
      </c>
      <c r="JQ480" s="1575" t="str">
        <f t="shared" si="256"/>
        <v/>
      </c>
      <c r="JR480" s="1575" t="str">
        <f t="shared" si="257"/>
        <v/>
      </c>
      <c r="JS480" s="1575" t="str">
        <f t="shared" si="258"/>
        <v/>
      </c>
      <c r="JT480" s="1575" t="str">
        <f t="shared" si="259"/>
        <v/>
      </c>
      <c r="JU480" s="1575" t="str">
        <f t="shared" si="260"/>
        <v/>
      </c>
      <c r="JV480" s="1575">
        <f t="shared" si="261"/>
        <v>5</v>
      </c>
      <c r="JW480" s="1575" t="str">
        <f t="shared" si="262"/>
        <v/>
      </c>
      <c r="JX480" s="1575" t="str">
        <f t="shared" si="263"/>
        <v/>
      </c>
      <c r="JY480" s="1575" t="str">
        <f t="shared" si="264"/>
        <v/>
      </c>
      <c r="JZ480" s="1575" t="str">
        <f t="shared" si="265"/>
        <v/>
      </c>
      <c r="KA480" s="1575" t="str">
        <f t="shared" si="266"/>
        <v/>
      </c>
      <c r="KB480" s="1575" t="str">
        <f t="shared" si="267"/>
        <v/>
      </c>
      <c r="KC480" s="1575" t="str">
        <f t="shared" si="268"/>
        <v/>
      </c>
      <c r="KD480" s="1575" t="str">
        <f t="shared" si="269"/>
        <v/>
      </c>
      <c r="KE480" s="1575" t="str">
        <f t="shared" si="270"/>
        <v/>
      </c>
      <c r="KF480" s="1575" t="str">
        <f t="shared" si="271"/>
        <v/>
      </c>
      <c r="KG480" s="1575" t="str">
        <f t="shared" si="272"/>
        <v/>
      </c>
      <c r="KH480" s="1575" t="str">
        <f t="shared" si="273"/>
        <v/>
      </c>
      <c r="KI480" s="1575" t="str">
        <f t="shared" si="274"/>
        <v/>
      </c>
      <c r="KJ480" s="1575" t="str">
        <f t="shared" si="275"/>
        <v/>
      </c>
      <c r="KK480" s="1575" t="str">
        <f t="shared" si="276"/>
        <v/>
      </c>
      <c r="KL480" s="1575" t="str">
        <f t="shared" si="277"/>
        <v/>
      </c>
      <c r="KM480" s="1575" t="str">
        <f t="shared" si="278"/>
        <v/>
      </c>
      <c r="KN480" s="1575" t="str">
        <f t="shared" si="279"/>
        <v/>
      </c>
      <c r="KO480" s="1575" t="str">
        <f t="shared" si="280"/>
        <v/>
      </c>
      <c r="KP480" s="1575" t="str">
        <f t="shared" si="281"/>
        <v/>
      </c>
      <c r="KQ480" s="1575" t="str">
        <f t="shared" si="282"/>
        <v/>
      </c>
      <c r="KR480" s="1575" t="str">
        <f t="shared" si="283"/>
        <v/>
      </c>
      <c r="KS480" s="1575" t="str">
        <f t="shared" si="284"/>
        <v/>
      </c>
      <c r="KT480" s="1575" t="str">
        <f t="shared" si="285"/>
        <v/>
      </c>
      <c r="KU480" s="1575" t="str">
        <f t="shared" si="286"/>
        <v/>
      </c>
      <c r="KV480" s="1575" t="str">
        <f t="shared" si="287"/>
        <v/>
      </c>
      <c r="KW480" s="1575" t="str">
        <f t="shared" si="288"/>
        <v/>
      </c>
      <c r="KX480" s="1575" t="str">
        <f t="shared" si="289"/>
        <v/>
      </c>
      <c r="KY480" s="1575" t="str">
        <f t="shared" si="290"/>
        <v/>
      </c>
      <c r="KZ480" s="1575" t="str">
        <f t="shared" si="291"/>
        <v/>
      </c>
      <c r="LA480" s="1575" t="str">
        <f t="shared" si="292"/>
        <v/>
      </c>
      <c r="LB480" s="1575" t="str">
        <f t="shared" si="293"/>
        <v/>
      </c>
      <c r="LC480" s="1575" t="str">
        <f t="shared" si="294"/>
        <v/>
      </c>
      <c r="LD480" s="1575" t="str">
        <f t="shared" si="295"/>
        <v/>
      </c>
      <c r="LE480" s="1575" t="str">
        <f t="shared" si="296"/>
        <v/>
      </c>
      <c r="LF480" s="1575" t="str">
        <f t="shared" si="297"/>
        <v/>
      </c>
      <c r="LG480" s="1564" t="str">
        <f t="shared" si="298"/>
        <v/>
      </c>
      <c r="LH480" s="1564" t="str">
        <f t="shared" si="299"/>
        <v/>
      </c>
      <c r="LI480" s="1564" t="str">
        <f t="shared" si="300"/>
        <v/>
      </c>
      <c r="LJ480" s="1564" t="str">
        <f t="shared" si="301"/>
        <v/>
      </c>
      <c r="LK480" s="1564"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441">
        <f t="shared" si="323"/>
        <v>0</v>
      </c>
      <c r="MG480" s="1441">
        <f t="shared" si="324"/>
        <v>0</v>
      </c>
      <c r="MH480" s="1441">
        <f t="shared" si="325"/>
        <v>0</v>
      </c>
      <c r="MI480" s="1441">
        <f t="shared" si="326"/>
        <v>5</v>
      </c>
      <c r="MJ480" s="1441">
        <f t="shared" si="327"/>
        <v>0</v>
      </c>
      <c r="MK480" s="1441">
        <f t="shared" si="333"/>
        <v>0</v>
      </c>
      <c r="ML480" s="1441">
        <f t="shared" si="334"/>
        <v>0</v>
      </c>
      <c r="MM480" s="1441">
        <f t="shared" si="335"/>
        <v>0</v>
      </c>
      <c r="MN480" s="1441">
        <f t="shared" si="336"/>
        <v>0</v>
      </c>
      <c r="MO480" s="1441">
        <f t="shared" si="337"/>
        <v>0</v>
      </c>
      <c r="MP480" s="1441">
        <f t="shared" si="328"/>
        <v>0</v>
      </c>
      <c r="MQ480" s="1441">
        <f t="shared" si="329"/>
        <v>0</v>
      </c>
      <c r="MR480" s="1441">
        <f t="shared" si="330"/>
        <v>0</v>
      </c>
      <c r="MS480" s="1441">
        <f t="shared" si="331"/>
        <v>0</v>
      </c>
      <c r="MT480" s="1441">
        <f t="shared" si="332"/>
        <v>0</v>
      </c>
      <c r="NP480" s="261" t="s">
        <v>1134</v>
      </c>
    </row>
    <row r="481" spans="1:380" ht="13.9" customHeight="1">
      <c r="A481" s="2330" t="str">
        <f t="shared" si="0"/>
        <v/>
      </c>
      <c r="B481" s="2149">
        <f>'Part V-Revenues &amp; Expenses'!B34</f>
        <v>0</v>
      </c>
      <c r="C481" s="2150">
        <f>'Part V-Revenues &amp; Expenses'!C34</f>
        <v>0</v>
      </c>
      <c r="D481" s="2151">
        <f>'Part V-Revenues &amp; Expenses'!D34</f>
        <v>0</v>
      </c>
      <c r="E481" s="2152">
        <f>'Part V-Revenues &amp; Expenses'!E34</f>
        <v>0</v>
      </c>
      <c r="F481" s="2152">
        <f>'Part V-Revenues &amp; Expenses'!F34</f>
        <v>0</v>
      </c>
      <c r="G481" s="2152">
        <f>'Part V-Revenues &amp; Expenses'!G34</f>
        <v>0</v>
      </c>
      <c r="H481" s="2152">
        <f>'Part V-Revenues &amp; Expenses'!H34</f>
        <v>0</v>
      </c>
      <c r="I481" s="2152">
        <f>'Part V-Revenues &amp; Expenses'!I34</f>
        <v>0</v>
      </c>
      <c r="J481" s="2152">
        <f>'Part V-Revenues &amp; Expenses'!J34</f>
        <v>0</v>
      </c>
      <c r="K481" s="2153">
        <f>'Part V-Revenues &amp; Expenses'!K34</f>
        <v>0</v>
      </c>
      <c r="L481" s="2154">
        <f t="shared" si="1"/>
        <v>0</v>
      </c>
      <c r="M481" s="2154">
        <f t="shared" si="2"/>
        <v>0</v>
      </c>
      <c r="N481" s="2225">
        <f>'Part V-Revenues &amp; Expenses'!N34</f>
        <v>0</v>
      </c>
      <c r="O481" s="1065">
        <f>'Part V-Revenues &amp; Expenses'!O34</f>
        <v>0</v>
      </c>
      <c r="P481" s="2225">
        <f>'Part V-Revenues &amp; Expenses'!P34</f>
        <v>0</v>
      </c>
      <c r="Q481" s="1574">
        <f>'Part V-Revenues &amp; Expenses'!Q34</f>
        <v>0</v>
      </c>
      <c r="R481" s="2356"/>
      <c r="S481" s="2357"/>
      <c r="T481" s="2358"/>
      <c r="U481" s="2358"/>
      <c r="V481" s="2358"/>
      <c r="W481" s="2358"/>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575" t="str">
        <f t="shared" si="213"/>
        <v/>
      </c>
      <c r="IA481" s="1575" t="str">
        <f t="shared" si="214"/>
        <v/>
      </c>
      <c r="IB481" s="1575" t="str">
        <f t="shared" si="215"/>
        <v/>
      </c>
      <c r="IC481" s="1575" t="str">
        <f t="shared" si="216"/>
        <v/>
      </c>
      <c r="ID481" s="1575" t="str">
        <f t="shared" si="217"/>
        <v/>
      </c>
      <c r="IE481" s="1575" t="str">
        <f t="shared" si="218"/>
        <v/>
      </c>
      <c r="IF481" s="1575" t="str">
        <f t="shared" si="219"/>
        <v/>
      </c>
      <c r="IG481" s="1575" t="str">
        <f t="shared" si="220"/>
        <v/>
      </c>
      <c r="IH481" s="1575" t="str">
        <f t="shared" si="221"/>
        <v/>
      </c>
      <c r="II481" s="1575" t="str">
        <f t="shared" si="222"/>
        <v/>
      </c>
      <c r="IJ481" s="1575" t="str">
        <f t="shared" si="223"/>
        <v/>
      </c>
      <c r="IK481" s="1575" t="str">
        <f t="shared" si="224"/>
        <v/>
      </c>
      <c r="IL481" s="1575" t="str">
        <f t="shared" si="225"/>
        <v/>
      </c>
      <c r="IM481" s="1575" t="str">
        <f t="shared" si="226"/>
        <v/>
      </c>
      <c r="IN481" s="1575" t="str">
        <f t="shared" si="227"/>
        <v/>
      </c>
      <c r="IO481" s="1575" t="str">
        <f t="shared" si="228"/>
        <v/>
      </c>
      <c r="IP481" s="1575" t="str">
        <f t="shared" si="229"/>
        <v/>
      </c>
      <c r="IQ481" s="1575" t="str">
        <f t="shared" si="230"/>
        <v/>
      </c>
      <c r="IR481" s="1575" t="str">
        <f t="shared" si="231"/>
        <v/>
      </c>
      <c r="IS481" s="1575" t="str">
        <f t="shared" si="232"/>
        <v/>
      </c>
      <c r="IT481" s="1575" t="str">
        <f t="shared" si="233"/>
        <v/>
      </c>
      <c r="IU481" s="1575" t="str">
        <f t="shared" si="234"/>
        <v/>
      </c>
      <c r="IV481" s="1575" t="str">
        <f t="shared" si="235"/>
        <v/>
      </c>
      <c r="IW481" s="1575" t="str">
        <f t="shared" si="236"/>
        <v/>
      </c>
      <c r="IX481" s="1575" t="str">
        <f t="shared" si="237"/>
        <v/>
      </c>
      <c r="IY481" s="1575" t="str">
        <f t="shared" si="238"/>
        <v/>
      </c>
      <c r="IZ481" s="1575" t="str">
        <f t="shared" si="239"/>
        <v/>
      </c>
      <c r="JA481" s="1575" t="str">
        <f t="shared" si="240"/>
        <v/>
      </c>
      <c r="JB481" s="1575" t="str">
        <f t="shared" si="241"/>
        <v/>
      </c>
      <c r="JC481" s="1575" t="str">
        <f t="shared" si="242"/>
        <v/>
      </c>
      <c r="JD481" s="1575" t="str">
        <f t="shared" si="243"/>
        <v/>
      </c>
      <c r="JE481" s="1575" t="str">
        <f t="shared" si="244"/>
        <v/>
      </c>
      <c r="JF481" s="1575" t="str">
        <f t="shared" si="245"/>
        <v/>
      </c>
      <c r="JG481" s="1575" t="str">
        <f t="shared" si="246"/>
        <v/>
      </c>
      <c r="JH481" s="1575" t="str">
        <f t="shared" si="247"/>
        <v/>
      </c>
      <c r="JI481" s="1575" t="str">
        <f t="shared" si="248"/>
        <v/>
      </c>
      <c r="JJ481" s="1575" t="str">
        <f t="shared" si="249"/>
        <v/>
      </c>
      <c r="JK481" s="1575" t="str">
        <f t="shared" si="250"/>
        <v/>
      </c>
      <c r="JL481" s="1575" t="str">
        <f t="shared" si="251"/>
        <v/>
      </c>
      <c r="JM481" s="1575" t="str">
        <f t="shared" si="252"/>
        <v/>
      </c>
      <c r="JN481" s="1575" t="str">
        <f t="shared" si="253"/>
        <v/>
      </c>
      <c r="JO481" s="1575" t="str">
        <f t="shared" si="254"/>
        <v/>
      </c>
      <c r="JP481" s="1575" t="str">
        <f t="shared" si="255"/>
        <v/>
      </c>
      <c r="JQ481" s="1575" t="str">
        <f t="shared" si="256"/>
        <v/>
      </c>
      <c r="JR481" s="1575" t="str">
        <f t="shared" si="257"/>
        <v/>
      </c>
      <c r="JS481" s="1575" t="str">
        <f t="shared" si="258"/>
        <v/>
      </c>
      <c r="JT481" s="1575" t="str">
        <f t="shared" si="259"/>
        <v/>
      </c>
      <c r="JU481" s="1575" t="str">
        <f t="shared" si="260"/>
        <v/>
      </c>
      <c r="JV481" s="1575" t="str">
        <f t="shared" si="261"/>
        <v/>
      </c>
      <c r="JW481" s="1575" t="str">
        <f t="shared" si="262"/>
        <v/>
      </c>
      <c r="JX481" s="1575" t="str">
        <f t="shared" si="263"/>
        <v/>
      </c>
      <c r="JY481" s="1575" t="str">
        <f t="shared" si="264"/>
        <v/>
      </c>
      <c r="JZ481" s="1575" t="str">
        <f t="shared" si="265"/>
        <v/>
      </c>
      <c r="KA481" s="1575" t="str">
        <f t="shared" si="266"/>
        <v/>
      </c>
      <c r="KB481" s="1575" t="str">
        <f t="shared" si="267"/>
        <v/>
      </c>
      <c r="KC481" s="1575" t="str">
        <f t="shared" si="268"/>
        <v/>
      </c>
      <c r="KD481" s="1575" t="str">
        <f t="shared" si="269"/>
        <v/>
      </c>
      <c r="KE481" s="1575" t="str">
        <f t="shared" si="270"/>
        <v/>
      </c>
      <c r="KF481" s="1575" t="str">
        <f t="shared" si="271"/>
        <v/>
      </c>
      <c r="KG481" s="1575" t="str">
        <f t="shared" si="272"/>
        <v/>
      </c>
      <c r="KH481" s="1575" t="str">
        <f t="shared" si="273"/>
        <v/>
      </c>
      <c r="KI481" s="1575" t="str">
        <f t="shared" si="274"/>
        <v/>
      </c>
      <c r="KJ481" s="1575" t="str">
        <f t="shared" si="275"/>
        <v/>
      </c>
      <c r="KK481" s="1575" t="str">
        <f t="shared" si="276"/>
        <v/>
      </c>
      <c r="KL481" s="1575" t="str">
        <f t="shared" si="277"/>
        <v/>
      </c>
      <c r="KM481" s="1575" t="str">
        <f t="shared" si="278"/>
        <v/>
      </c>
      <c r="KN481" s="1575" t="str">
        <f t="shared" si="279"/>
        <v/>
      </c>
      <c r="KO481" s="1575" t="str">
        <f t="shared" si="280"/>
        <v/>
      </c>
      <c r="KP481" s="1575" t="str">
        <f t="shared" si="281"/>
        <v/>
      </c>
      <c r="KQ481" s="1575" t="str">
        <f t="shared" si="282"/>
        <v/>
      </c>
      <c r="KR481" s="1575" t="str">
        <f t="shared" si="283"/>
        <v/>
      </c>
      <c r="KS481" s="1575" t="str">
        <f t="shared" si="284"/>
        <v/>
      </c>
      <c r="KT481" s="1575" t="str">
        <f t="shared" si="285"/>
        <v/>
      </c>
      <c r="KU481" s="1575" t="str">
        <f t="shared" si="286"/>
        <v/>
      </c>
      <c r="KV481" s="1575" t="str">
        <f t="shared" si="287"/>
        <v/>
      </c>
      <c r="KW481" s="1575" t="str">
        <f t="shared" si="288"/>
        <v/>
      </c>
      <c r="KX481" s="1575" t="str">
        <f t="shared" si="289"/>
        <v/>
      </c>
      <c r="KY481" s="1575" t="str">
        <f t="shared" si="290"/>
        <v/>
      </c>
      <c r="KZ481" s="1575" t="str">
        <f t="shared" si="291"/>
        <v/>
      </c>
      <c r="LA481" s="1575" t="str">
        <f t="shared" si="292"/>
        <v/>
      </c>
      <c r="LB481" s="1575" t="str">
        <f t="shared" si="293"/>
        <v/>
      </c>
      <c r="LC481" s="1575" t="str">
        <f t="shared" si="294"/>
        <v/>
      </c>
      <c r="LD481" s="1575" t="str">
        <f t="shared" si="295"/>
        <v/>
      </c>
      <c r="LE481" s="1575" t="str">
        <f t="shared" si="296"/>
        <v/>
      </c>
      <c r="LF481" s="1575" t="str">
        <f t="shared" si="297"/>
        <v/>
      </c>
      <c r="LG481" s="1564" t="str">
        <f t="shared" si="298"/>
        <v/>
      </c>
      <c r="LH481" s="1564" t="str">
        <f t="shared" si="299"/>
        <v/>
      </c>
      <c r="LI481" s="1564" t="str">
        <f t="shared" si="300"/>
        <v/>
      </c>
      <c r="LJ481" s="1564" t="str">
        <f t="shared" si="301"/>
        <v/>
      </c>
      <c r="LK481" s="1564"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441">
        <f t="shared" si="323"/>
        <v>0</v>
      </c>
      <c r="MG481" s="1441">
        <f t="shared" si="324"/>
        <v>0</v>
      </c>
      <c r="MH481" s="1441">
        <f t="shared" si="325"/>
        <v>0</v>
      </c>
      <c r="MI481" s="1441">
        <f t="shared" si="326"/>
        <v>0</v>
      </c>
      <c r="MJ481" s="1441">
        <f t="shared" si="327"/>
        <v>0</v>
      </c>
      <c r="MK481" s="1441">
        <f t="shared" si="333"/>
        <v>0</v>
      </c>
      <c r="ML481" s="1441">
        <f t="shared" si="334"/>
        <v>0</v>
      </c>
      <c r="MM481" s="1441">
        <f t="shared" si="335"/>
        <v>0</v>
      </c>
      <c r="MN481" s="1441">
        <f t="shared" si="336"/>
        <v>0</v>
      </c>
      <c r="MO481" s="1441">
        <f t="shared" si="337"/>
        <v>0</v>
      </c>
      <c r="MP481" s="1441">
        <f t="shared" si="328"/>
        <v>0</v>
      </c>
      <c r="MQ481" s="1441">
        <f t="shared" si="329"/>
        <v>0</v>
      </c>
      <c r="MR481" s="1441">
        <f t="shared" si="330"/>
        <v>0</v>
      </c>
      <c r="MS481" s="1441">
        <f t="shared" si="331"/>
        <v>0</v>
      </c>
      <c r="MT481" s="1441">
        <f t="shared" si="332"/>
        <v>0</v>
      </c>
      <c r="NP481" s="261" t="s">
        <v>1135</v>
      </c>
    </row>
    <row r="482" spans="1:380" ht="13.9" customHeight="1">
      <c r="A482" s="2330" t="str">
        <f t="shared" si="0"/>
        <v/>
      </c>
      <c r="B482" s="2149">
        <f>'Part V-Revenues &amp; Expenses'!B35</f>
        <v>60</v>
      </c>
      <c r="C482" s="2150">
        <f>'Part V-Revenues &amp; Expenses'!C35</f>
        <v>1</v>
      </c>
      <c r="D482" s="2151">
        <f>'Part V-Revenues &amp; Expenses'!D35</f>
        <v>1</v>
      </c>
      <c r="E482" s="2152">
        <f>'Part V-Revenues &amp; Expenses'!E35</f>
        <v>21</v>
      </c>
      <c r="F482" s="2152">
        <f>'Part V-Revenues &amp; Expenses'!F35</f>
        <v>802</v>
      </c>
      <c r="G482" s="2152">
        <f>'Part V-Revenues &amp; Expenses'!G35</f>
        <v>1149</v>
      </c>
      <c r="H482" s="2152">
        <f>'Part V-Revenues &amp; Expenses'!H35</f>
        <v>1149</v>
      </c>
      <c r="I482" s="2152">
        <f>'Part V-Revenues &amp; Expenses'!I35</f>
        <v>0</v>
      </c>
      <c r="J482" s="2152">
        <f>'Part V-Revenues &amp; Expenses'!J35</f>
        <v>138</v>
      </c>
      <c r="K482" s="2153">
        <f>'Part V-Revenues &amp; Expenses'!K35</f>
        <v>0</v>
      </c>
      <c r="L482" s="2154">
        <f t="shared" si="1"/>
        <v>1011</v>
      </c>
      <c r="M482" s="2154">
        <f t="shared" si="2"/>
        <v>21231</v>
      </c>
      <c r="N482" s="2225" t="str">
        <f>'Part V-Revenues &amp; Expenses'!N35</f>
        <v>No</v>
      </c>
      <c r="O482" s="1065" t="str">
        <f>'Part V-Revenues &amp; Expenses'!O35</f>
        <v>Low-Rise Apt</v>
      </c>
      <c r="P482" s="2225" t="str">
        <f>'Part V-Revenues &amp; Expenses'!P35</f>
        <v>Acquisition/Rehab</v>
      </c>
      <c r="Q482" s="1574" t="str">
        <f>'Part V-Revenues &amp; Expenses'!Q35</f>
        <v>No</v>
      </c>
      <c r="R482" s="2356"/>
      <c r="S482" s="2357"/>
      <c r="T482" s="2358"/>
      <c r="U482" s="2358"/>
      <c r="V482" s="2358"/>
      <c r="W482" s="2358"/>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f t="shared" si="14"/>
        <v>21</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f t="shared" si="129"/>
        <v>16842</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f t="shared" si="184"/>
        <v>21</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575" t="str">
        <f t="shared" si="213"/>
        <v/>
      </c>
      <c r="IA482" s="1575">
        <f t="shared" si="214"/>
        <v>21</v>
      </c>
      <c r="IB482" s="1575" t="str">
        <f t="shared" si="215"/>
        <v/>
      </c>
      <c r="IC482" s="1575" t="str">
        <f t="shared" si="216"/>
        <v/>
      </c>
      <c r="ID482" s="1575" t="str">
        <f t="shared" si="217"/>
        <v/>
      </c>
      <c r="IE482" s="1575" t="str">
        <f t="shared" si="218"/>
        <v/>
      </c>
      <c r="IF482" s="1575" t="str">
        <f t="shared" si="219"/>
        <v/>
      </c>
      <c r="IG482" s="1575" t="str">
        <f t="shared" si="220"/>
        <v/>
      </c>
      <c r="IH482" s="1575" t="str">
        <f t="shared" si="221"/>
        <v/>
      </c>
      <c r="II482" s="1575" t="str">
        <f t="shared" si="222"/>
        <v/>
      </c>
      <c r="IJ482" s="1575" t="str">
        <f t="shared" si="223"/>
        <v/>
      </c>
      <c r="IK482" s="1575" t="str">
        <f t="shared" si="224"/>
        <v/>
      </c>
      <c r="IL482" s="1575" t="str">
        <f t="shared" si="225"/>
        <v/>
      </c>
      <c r="IM482" s="1575" t="str">
        <f t="shared" si="226"/>
        <v/>
      </c>
      <c r="IN482" s="1575" t="str">
        <f t="shared" si="227"/>
        <v/>
      </c>
      <c r="IO482" s="1575" t="str">
        <f t="shared" si="228"/>
        <v/>
      </c>
      <c r="IP482" s="1575" t="str">
        <f t="shared" si="229"/>
        <v/>
      </c>
      <c r="IQ482" s="1575" t="str">
        <f t="shared" si="230"/>
        <v/>
      </c>
      <c r="IR482" s="1575" t="str">
        <f t="shared" si="231"/>
        <v/>
      </c>
      <c r="IS482" s="1575" t="str">
        <f t="shared" si="232"/>
        <v/>
      </c>
      <c r="IT482" s="1575" t="str">
        <f t="shared" si="233"/>
        <v/>
      </c>
      <c r="IU482" s="1575" t="str">
        <f t="shared" si="234"/>
        <v/>
      </c>
      <c r="IV482" s="1575" t="str">
        <f t="shared" si="235"/>
        <v/>
      </c>
      <c r="IW482" s="1575" t="str">
        <f t="shared" si="236"/>
        <v/>
      </c>
      <c r="IX482" s="1575" t="str">
        <f t="shared" si="237"/>
        <v/>
      </c>
      <c r="IY482" s="1575" t="str">
        <f t="shared" si="238"/>
        <v/>
      </c>
      <c r="IZ482" s="1575" t="str">
        <f t="shared" si="239"/>
        <v/>
      </c>
      <c r="JA482" s="1575" t="str">
        <f t="shared" si="240"/>
        <v/>
      </c>
      <c r="JB482" s="1575" t="str">
        <f t="shared" si="241"/>
        <v/>
      </c>
      <c r="JC482" s="1575" t="str">
        <f t="shared" si="242"/>
        <v/>
      </c>
      <c r="JD482" s="1575" t="str">
        <f t="shared" si="243"/>
        <v/>
      </c>
      <c r="JE482" s="1575" t="str">
        <f t="shared" si="244"/>
        <v/>
      </c>
      <c r="JF482" s="1575" t="str">
        <f t="shared" si="245"/>
        <v/>
      </c>
      <c r="JG482" s="1575" t="str">
        <f t="shared" si="246"/>
        <v/>
      </c>
      <c r="JH482" s="1575" t="str">
        <f t="shared" si="247"/>
        <v/>
      </c>
      <c r="JI482" s="1575" t="str">
        <f t="shared" si="248"/>
        <v/>
      </c>
      <c r="JJ482" s="1575" t="str">
        <f t="shared" si="249"/>
        <v/>
      </c>
      <c r="JK482" s="1575" t="str">
        <f t="shared" si="250"/>
        <v/>
      </c>
      <c r="JL482" s="1575" t="str">
        <f t="shared" si="251"/>
        <v/>
      </c>
      <c r="JM482" s="1575" t="str">
        <f t="shared" si="252"/>
        <v/>
      </c>
      <c r="JN482" s="1575" t="str">
        <f t="shared" si="253"/>
        <v/>
      </c>
      <c r="JO482" s="1575" t="str">
        <f t="shared" si="254"/>
        <v/>
      </c>
      <c r="JP482" s="1575" t="str">
        <f t="shared" si="255"/>
        <v/>
      </c>
      <c r="JQ482" s="1575" t="str">
        <f t="shared" si="256"/>
        <v/>
      </c>
      <c r="JR482" s="1575" t="str">
        <f t="shared" si="257"/>
        <v/>
      </c>
      <c r="JS482" s="1575" t="str">
        <f t="shared" si="258"/>
        <v/>
      </c>
      <c r="JT482" s="1575">
        <f t="shared" si="259"/>
        <v>21</v>
      </c>
      <c r="JU482" s="1575" t="str">
        <f t="shared" si="260"/>
        <v/>
      </c>
      <c r="JV482" s="1575" t="str">
        <f t="shared" si="261"/>
        <v/>
      </c>
      <c r="JW482" s="1575" t="str">
        <f t="shared" si="262"/>
        <v/>
      </c>
      <c r="JX482" s="1575" t="str">
        <f t="shared" si="263"/>
        <v/>
      </c>
      <c r="JY482" s="1575" t="str">
        <f t="shared" si="264"/>
        <v/>
      </c>
      <c r="JZ482" s="1575" t="str">
        <f t="shared" si="265"/>
        <v/>
      </c>
      <c r="KA482" s="1575" t="str">
        <f t="shared" si="266"/>
        <v/>
      </c>
      <c r="KB482" s="1575" t="str">
        <f t="shared" si="267"/>
        <v/>
      </c>
      <c r="KC482" s="1575" t="str">
        <f t="shared" si="268"/>
        <v/>
      </c>
      <c r="KD482" s="1575" t="str">
        <f t="shared" si="269"/>
        <v/>
      </c>
      <c r="KE482" s="1575" t="str">
        <f t="shared" si="270"/>
        <v/>
      </c>
      <c r="KF482" s="1575" t="str">
        <f t="shared" si="271"/>
        <v/>
      </c>
      <c r="KG482" s="1575" t="str">
        <f t="shared" si="272"/>
        <v/>
      </c>
      <c r="KH482" s="1575" t="str">
        <f t="shared" si="273"/>
        <v/>
      </c>
      <c r="KI482" s="1575" t="str">
        <f t="shared" si="274"/>
        <v/>
      </c>
      <c r="KJ482" s="1575" t="str">
        <f t="shared" si="275"/>
        <v/>
      </c>
      <c r="KK482" s="1575" t="str">
        <f t="shared" si="276"/>
        <v/>
      </c>
      <c r="KL482" s="1575" t="str">
        <f t="shared" si="277"/>
        <v/>
      </c>
      <c r="KM482" s="1575" t="str">
        <f t="shared" si="278"/>
        <v/>
      </c>
      <c r="KN482" s="1575" t="str">
        <f t="shared" si="279"/>
        <v/>
      </c>
      <c r="KO482" s="1575" t="str">
        <f t="shared" si="280"/>
        <v/>
      </c>
      <c r="KP482" s="1575" t="str">
        <f t="shared" si="281"/>
        <v/>
      </c>
      <c r="KQ482" s="1575" t="str">
        <f t="shared" si="282"/>
        <v/>
      </c>
      <c r="KR482" s="1575" t="str">
        <f t="shared" si="283"/>
        <v/>
      </c>
      <c r="KS482" s="1575" t="str">
        <f t="shared" si="284"/>
        <v/>
      </c>
      <c r="KT482" s="1575" t="str">
        <f t="shared" si="285"/>
        <v/>
      </c>
      <c r="KU482" s="1575" t="str">
        <f t="shared" si="286"/>
        <v/>
      </c>
      <c r="KV482" s="1575" t="str">
        <f t="shared" si="287"/>
        <v/>
      </c>
      <c r="KW482" s="1575" t="str">
        <f t="shared" si="288"/>
        <v/>
      </c>
      <c r="KX482" s="1575" t="str">
        <f t="shared" si="289"/>
        <v/>
      </c>
      <c r="KY482" s="1575" t="str">
        <f t="shared" si="290"/>
        <v/>
      </c>
      <c r="KZ482" s="1575" t="str">
        <f t="shared" si="291"/>
        <v/>
      </c>
      <c r="LA482" s="1575" t="str">
        <f t="shared" si="292"/>
        <v/>
      </c>
      <c r="LB482" s="1575" t="str">
        <f t="shared" si="293"/>
        <v/>
      </c>
      <c r="LC482" s="1575" t="str">
        <f t="shared" si="294"/>
        <v/>
      </c>
      <c r="LD482" s="1575" t="str">
        <f t="shared" si="295"/>
        <v/>
      </c>
      <c r="LE482" s="1575" t="str">
        <f t="shared" si="296"/>
        <v/>
      </c>
      <c r="LF482" s="1575" t="str">
        <f t="shared" si="297"/>
        <v/>
      </c>
      <c r="LG482" s="1564" t="str">
        <f t="shared" si="298"/>
        <v/>
      </c>
      <c r="LH482" s="1564" t="str">
        <f t="shared" si="299"/>
        <v/>
      </c>
      <c r="LI482" s="1564" t="str">
        <f t="shared" si="300"/>
        <v/>
      </c>
      <c r="LJ482" s="1564" t="str">
        <f t="shared" si="301"/>
        <v/>
      </c>
      <c r="LK482" s="1564"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441">
        <f t="shared" si="323"/>
        <v>0</v>
      </c>
      <c r="MG482" s="1441">
        <f t="shared" si="324"/>
        <v>21</v>
      </c>
      <c r="MH482" s="1441">
        <f t="shared" si="325"/>
        <v>0</v>
      </c>
      <c r="MI482" s="1441">
        <f t="shared" si="326"/>
        <v>0</v>
      </c>
      <c r="MJ482" s="1441">
        <f t="shared" si="327"/>
        <v>0</v>
      </c>
      <c r="MK482" s="1441">
        <f t="shared" si="333"/>
        <v>0</v>
      </c>
      <c r="ML482" s="1441">
        <f t="shared" si="334"/>
        <v>0</v>
      </c>
      <c r="MM482" s="1441">
        <f t="shared" si="335"/>
        <v>0</v>
      </c>
      <c r="MN482" s="1441">
        <f t="shared" si="336"/>
        <v>0</v>
      </c>
      <c r="MO482" s="1441">
        <f t="shared" si="337"/>
        <v>0</v>
      </c>
      <c r="MP482" s="1441">
        <f t="shared" si="328"/>
        <v>0</v>
      </c>
      <c r="MQ482" s="1441">
        <f t="shared" si="329"/>
        <v>0</v>
      </c>
      <c r="MR482" s="1441">
        <f t="shared" si="330"/>
        <v>0</v>
      </c>
      <c r="MS482" s="1441">
        <f t="shared" si="331"/>
        <v>0</v>
      </c>
      <c r="MT482" s="1441">
        <f t="shared" si="332"/>
        <v>0</v>
      </c>
      <c r="NP482" s="261" t="s">
        <v>1136</v>
      </c>
    </row>
    <row r="483" spans="1:380" ht="13.9" customHeight="1">
      <c r="A483" s="2330" t="str">
        <f t="shared" si="0"/>
        <v/>
      </c>
      <c r="B483" s="2149">
        <f>'Part V-Revenues &amp; Expenses'!B36</f>
        <v>60</v>
      </c>
      <c r="C483" s="2150">
        <f>'Part V-Revenues &amp; Expenses'!C36</f>
        <v>1</v>
      </c>
      <c r="D483" s="2151">
        <f>'Part V-Revenues &amp; Expenses'!D36</f>
        <v>1</v>
      </c>
      <c r="E483" s="2152">
        <f>'Part V-Revenues &amp; Expenses'!E36</f>
        <v>1</v>
      </c>
      <c r="F483" s="2152">
        <f>'Part V-Revenues &amp; Expenses'!F36</f>
        <v>730</v>
      </c>
      <c r="G483" s="2152">
        <f>'Part V-Revenues &amp; Expenses'!G36</f>
        <v>1149</v>
      </c>
      <c r="H483" s="2152">
        <f>'Part V-Revenues &amp; Expenses'!H36</f>
        <v>1149</v>
      </c>
      <c r="I483" s="2152">
        <f>'Part V-Revenues &amp; Expenses'!I36</f>
        <v>0</v>
      </c>
      <c r="J483" s="2152">
        <f>'Part V-Revenues &amp; Expenses'!J36</f>
        <v>138</v>
      </c>
      <c r="K483" s="2153">
        <f>'Part V-Revenues &amp; Expenses'!K36</f>
        <v>0</v>
      </c>
      <c r="L483" s="2154">
        <f t="shared" si="1"/>
        <v>1011</v>
      </c>
      <c r="M483" s="2154">
        <f t="shared" si="2"/>
        <v>1011</v>
      </c>
      <c r="N483" s="2225" t="str">
        <f>'Part V-Revenues &amp; Expenses'!N36</f>
        <v>No</v>
      </c>
      <c r="O483" s="1065" t="str">
        <f>'Part V-Revenues &amp; Expenses'!O36</f>
        <v>Low-Rise Apt</v>
      </c>
      <c r="P483" s="2225" t="str">
        <f>'Part V-Revenues &amp; Expenses'!P36</f>
        <v>Acquisition/Rehab</v>
      </c>
      <c r="Q483" s="1574" t="str">
        <f>'Part V-Revenues &amp; Expenses'!Q36</f>
        <v>No</v>
      </c>
      <c r="R483" s="2356"/>
      <c r="S483" s="2357"/>
      <c r="T483" s="2358"/>
      <c r="U483" s="2358"/>
      <c r="V483" s="2358"/>
      <c r="W483" s="2358"/>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f t="shared" si="14"/>
        <v>1</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f t="shared" si="129"/>
        <v>730</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f t="shared" si="184"/>
        <v>1</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575" t="str">
        <f t="shared" si="213"/>
        <v/>
      </c>
      <c r="IA483" s="1575">
        <f t="shared" si="214"/>
        <v>1</v>
      </c>
      <c r="IB483" s="1575" t="str">
        <f t="shared" si="215"/>
        <v/>
      </c>
      <c r="IC483" s="1575" t="str">
        <f t="shared" si="216"/>
        <v/>
      </c>
      <c r="ID483" s="1575" t="str">
        <f t="shared" si="217"/>
        <v/>
      </c>
      <c r="IE483" s="1575" t="str">
        <f t="shared" si="218"/>
        <v/>
      </c>
      <c r="IF483" s="1575" t="str">
        <f t="shared" si="219"/>
        <v/>
      </c>
      <c r="IG483" s="1575" t="str">
        <f t="shared" si="220"/>
        <v/>
      </c>
      <c r="IH483" s="1575" t="str">
        <f t="shared" si="221"/>
        <v/>
      </c>
      <c r="II483" s="1575" t="str">
        <f t="shared" si="222"/>
        <v/>
      </c>
      <c r="IJ483" s="1575" t="str">
        <f t="shared" si="223"/>
        <v/>
      </c>
      <c r="IK483" s="1575" t="str">
        <f t="shared" si="224"/>
        <v/>
      </c>
      <c r="IL483" s="1575" t="str">
        <f t="shared" si="225"/>
        <v/>
      </c>
      <c r="IM483" s="1575" t="str">
        <f t="shared" si="226"/>
        <v/>
      </c>
      <c r="IN483" s="1575" t="str">
        <f t="shared" si="227"/>
        <v/>
      </c>
      <c r="IO483" s="1575" t="str">
        <f t="shared" si="228"/>
        <v/>
      </c>
      <c r="IP483" s="1575" t="str">
        <f t="shared" si="229"/>
        <v/>
      </c>
      <c r="IQ483" s="1575" t="str">
        <f t="shared" si="230"/>
        <v/>
      </c>
      <c r="IR483" s="1575" t="str">
        <f t="shared" si="231"/>
        <v/>
      </c>
      <c r="IS483" s="1575" t="str">
        <f t="shared" si="232"/>
        <v/>
      </c>
      <c r="IT483" s="1575" t="str">
        <f t="shared" si="233"/>
        <v/>
      </c>
      <c r="IU483" s="1575" t="str">
        <f t="shared" si="234"/>
        <v/>
      </c>
      <c r="IV483" s="1575" t="str">
        <f t="shared" si="235"/>
        <v/>
      </c>
      <c r="IW483" s="1575" t="str">
        <f t="shared" si="236"/>
        <v/>
      </c>
      <c r="IX483" s="1575" t="str">
        <f t="shared" si="237"/>
        <v/>
      </c>
      <c r="IY483" s="1575" t="str">
        <f t="shared" si="238"/>
        <v/>
      </c>
      <c r="IZ483" s="1575" t="str">
        <f t="shared" si="239"/>
        <v/>
      </c>
      <c r="JA483" s="1575" t="str">
        <f t="shared" si="240"/>
        <v/>
      </c>
      <c r="JB483" s="1575" t="str">
        <f t="shared" si="241"/>
        <v/>
      </c>
      <c r="JC483" s="1575" t="str">
        <f t="shared" si="242"/>
        <v/>
      </c>
      <c r="JD483" s="1575" t="str">
        <f t="shared" si="243"/>
        <v/>
      </c>
      <c r="JE483" s="1575" t="str">
        <f t="shared" si="244"/>
        <v/>
      </c>
      <c r="JF483" s="1575" t="str">
        <f t="shared" si="245"/>
        <v/>
      </c>
      <c r="JG483" s="1575" t="str">
        <f t="shared" si="246"/>
        <v/>
      </c>
      <c r="JH483" s="1575" t="str">
        <f t="shared" si="247"/>
        <v/>
      </c>
      <c r="JI483" s="1575" t="str">
        <f t="shared" si="248"/>
        <v/>
      </c>
      <c r="JJ483" s="1575" t="str">
        <f t="shared" si="249"/>
        <v/>
      </c>
      <c r="JK483" s="1575" t="str">
        <f t="shared" si="250"/>
        <v/>
      </c>
      <c r="JL483" s="1575" t="str">
        <f t="shared" si="251"/>
        <v/>
      </c>
      <c r="JM483" s="1575" t="str">
        <f t="shared" si="252"/>
        <v/>
      </c>
      <c r="JN483" s="1575" t="str">
        <f t="shared" si="253"/>
        <v/>
      </c>
      <c r="JO483" s="1575" t="str">
        <f t="shared" si="254"/>
        <v/>
      </c>
      <c r="JP483" s="1575" t="str">
        <f t="shared" si="255"/>
        <v/>
      </c>
      <c r="JQ483" s="1575" t="str">
        <f t="shared" si="256"/>
        <v/>
      </c>
      <c r="JR483" s="1575" t="str">
        <f t="shared" si="257"/>
        <v/>
      </c>
      <c r="JS483" s="1575" t="str">
        <f t="shared" si="258"/>
        <v/>
      </c>
      <c r="JT483" s="1575">
        <f t="shared" si="259"/>
        <v>1</v>
      </c>
      <c r="JU483" s="1575" t="str">
        <f t="shared" si="260"/>
        <v/>
      </c>
      <c r="JV483" s="1575" t="str">
        <f t="shared" si="261"/>
        <v/>
      </c>
      <c r="JW483" s="1575" t="str">
        <f t="shared" si="262"/>
        <v/>
      </c>
      <c r="JX483" s="1575" t="str">
        <f t="shared" si="263"/>
        <v/>
      </c>
      <c r="JY483" s="1575" t="str">
        <f t="shared" si="264"/>
        <v/>
      </c>
      <c r="JZ483" s="1575" t="str">
        <f t="shared" si="265"/>
        <v/>
      </c>
      <c r="KA483" s="1575" t="str">
        <f t="shared" si="266"/>
        <v/>
      </c>
      <c r="KB483" s="1575" t="str">
        <f t="shared" si="267"/>
        <v/>
      </c>
      <c r="KC483" s="1575" t="str">
        <f t="shared" si="268"/>
        <v/>
      </c>
      <c r="KD483" s="1575" t="str">
        <f t="shared" si="269"/>
        <v/>
      </c>
      <c r="KE483" s="1575" t="str">
        <f t="shared" si="270"/>
        <v/>
      </c>
      <c r="KF483" s="1575" t="str">
        <f t="shared" si="271"/>
        <v/>
      </c>
      <c r="KG483" s="1575" t="str">
        <f t="shared" si="272"/>
        <v/>
      </c>
      <c r="KH483" s="1575" t="str">
        <f t="shared" si="273"/>
        <v/>
      </c>
      <c r="KI483" s="1575" t="str">
        <f t="shared" si="274"/>
        <v/>
      </c>
      <c r="KJ483" s="1575" t="str">
        <f t="shared" si="275"/>
        <v/>
      </c>
      <c r="KK483" s="1575" t="str">
        <f t="shared" si="276"/>
        <v/>
      </c>
      <c r="KL483" s="1575" t="str">
        <f t="shared" si="277"/>
        <v/>
      </c>
      <c r="KM483" s="1575" t="str">
        <f t="shared" si="278"/>
        <v/>
      </c>
      <c r="KN483" s="1575" t="str">
        <f t="shared" si="279"/>
        <v/>
      </c>
      <c r="KO483" s="1575" t="str">
        <f t="shared" si="280"/>
        <v/>
      </c>
      <c r="KP483" s="1575" t="str">
        <f t="shared" si="281"/>
        <v/>
      </c>
      <c r="KQ483" s="1575" t="str">
        <f t="shared" si="282"/>
        <v/>
      </c>
      <c r="KR483" s="1575" t="str">
        <f t="shared" si="283"/>
        <v/>
      </c>
      <c r="KS483" s="1575" t="str">
        <f t="shared" si="284"/>
        <v/>
      </c>
      <c r="KT483" s="1575" t="str">
        <f t="shared" si="285"/>
        <v/>
      </c>
      <c r="KU483" s="1575" t="str">
        <f t="shared" si="286"/>
        <v/>
      </c>
      <c r="KV483" s="1575" t="str">
        <f t="shared" si="287"/>
        <v/>
      </c>
      <c r="KW483" s="1575" t="str">
        <f t="shared" si="288"/>
        <v/>
      </c>
      <c r="KX483" s="1575" t="str">
        <f t="shared" si="289"/>
        <v/>
      </c>
      <c r="KY483" s="1575" t="str">
        <f t="shared" si="290"/>
        <v/>
      </c>
      <c r="KZ483" s="1575" t="str">
        <f t="shared" si="291"/>
        <v/>
      </c>
      <c r="LA483" s="1575" t="str">
        <f t="shared" si="292"/>
        <v/>
      </c>
      <c r="LB483" s="1575" t="str">
        <f t="shared" si="293"/>
        <v/>
      </c>
      <c r="LC483" s="1575" t="str">
        <f t="shared" si="294"/>
        <v/>
      </c>
      <c r="LD483" s="1575" t="str">
        <f t="shared" si="295"/>
        <v/>
      </c>
      <c r="LE483" s="1575" t="str">
        <f t="shared" si="296"/>
        <v/>
      </c>
      <c r="LF483" s="1575" t="str">
        <f t="shared" si="297"/>
        <v/>
      </c>
      <c r="LG483" s="1564" t="str">
        <f t="shared" si="298"/>
        <v/>
      </c>
      <c r="LH483" s="1564" t="str">
        <f t="shared" si="299"/>
        <v/>
      </c>
      <c r="LI483" s="1564" t="str">
        <f t="shared" si="300"/>
        <v/>
      </c>
      <c r="LJ483" s="1564" t="str">
        <f t="shared" si="301"/>
        <v/>
      </c>
      <c r="LK483" s="1564"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441">
        <f t="shared" si="323"/>
        <v>0</v>
      </c>
      <c r="MG483" s="1441">
        <f t="shared" si="324"/>
        <v>1</v>
      </c>
      <c r="MH483" s="1441">
        <f t="shared" si="325"/>
        <v>0</v>
      </c>
      <c r="MI483" s="1441">
        <f t="shared" si="326"/>
        <v>0</v>
      </c>
      <c r="MJ483" s="1441">
        <f t="shared" si="327"/>
        <v>0</v>
      </c>
      <c r="MK483" s="1441">
        <f t="shared" si="333"/>
        <v>0</v>
      </c>
      <c r="ML483" s="1441">
        <f t="shared" si="334"/>
        <v>0</v>
      </c>
      <c r="MM483" s="1441">
        <f t="shared" si="335"/>
        <v>0</v>
      </c>
      <c r="MN483" s="1441">
        <f t="shared" si="336"/>
        <v>0</v>
      </c>
      <c r="MO483" s="1441">
        <f t="shared" si="337"/>
        <v>0</v>
      </c>
      <c r="MP483" s="1441">
        <f t="shared" si="328"/>
        <v>0</v>
      </c>
      <c r="MQ483" s="1441">
        <f t="shared" si="329"/>
        <v>0</v>
      </c>
      <c r="MR483" s="1441">
        <f t="shared" si="330"/>
        <v>0</v>
      </c>
      <c r="MS483" s="1441">
        <f t="shared" si="331"/>
        <v>0</v>
      </c>
      <c r="MT483" s="1441">
        <f t="shared" si="332"/>
        <v>0</v>
      </c>
      <c r="NP483" s="261" t="s">
        <v>1137</v>
      </c>
    </row>
    <row r="484" spans="1:380" ht="13.9" customHeight="1">
      <c r="A484" s="2330" t="str">
        <f t="shared" si="0"/>
        <v/>
      </c>
      <c r="B484" s="2149">
        <f>'Part V-Revenues &amp; Expenses'!B37</f>
        <v>60</v>
      </c>
      <c r="C484" s="2150">
        <f>'Part V-Revenues &amp; Expenses'!C37</f>
        <v>2</v>
      </c>
      <c r="D484" s="2151">
        <f>'Part V-Revenues &amp; Expenses'!D37</f>
        <v>1</v>
      </c>
      <c r="E484" s="2152">
        <f>'Part V-Revenues &amp; Expenses'!E37</f>
        <v>6</v>
      </c>
      <c r="F484" s="2152">
        <f>'Part V-Revenues &amp; Expenses'!F37</f>
        <v>989</v>
      </c>
      <c r="G484" s="2152">
        <f>'Part V-Revenues &amp; Expenses'!G37</f>
        <v>1378</v>
      </c>
      <c r="H484" s="2152">
        <f>'Part V-Revenues &amp; Expenses'!H37</f>
        <v>1378</v>
      </c>
      <c r="I484" s="2152">
        <f>'Part V-Revenues &amp; Expenses'!I37</f>
        <v>0</v>
      </c>
      <c r="J484" s="2152">
        <f>'Part V-Revenues &amp; Expenses'!J37</f>
        <v>173</v>
      </c>
      <c r="K484" s="2153">
        <f>'Part V-Revenues &amp; Expenses'!K37</f>
        <v>0</v>
      </c>
      <c r="L484" s="2154">
        <f t="shared" si="1"/>
        <v>1205</v>
      </c>
      <c r="M484" s="2154">
        <f t="shared" si="2"/>
        <v>7230</v>
      </c>
      <c r="N484" s="2225" t="str">
        <f>'Part V-Revenues &amp; Expenses'!N37</f>
        <v>No</v>
      </c>
      <c r="O484" s="1065" t="str">
        <f>'Part V-Revenues &amp; Expenses'!O37</f>
        <v>Low-Rise Apt</v>
      </c>
      <c r="P484" s="2225" t="str">
        <f>'Part V-Revenues &amp; Expenses'!P37</f>
        <v>Acquisition/Rehab</v>
      </c>
      <c r="Q484" s="1574" t="str">
        <f>'Part V-Revenues &amp; Expenses'!Q37</f>
        <v>No</v>
      </c>
      <c r="R484" s="2356"/>
      <c r="S484" s="2357"/>
      <c r="T484" s="2358"/>
      <c r="U484" s="2358"/>
      <c r="V484" s="2358"/>
      <c r="W484" s="2358"/>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f t="shared" si="15"/>
        <v>6</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f t="shared" si="130"/>
        <v>5934</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f t="shared" si="185"/>
        <v>6</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575" t="str">
        <f t="shared" si="213"/>
        <v/>
      </c>
      <c r="IA484" s="1575" t="str">
        <f t="shared" si="214"/>
        <v/>
      </c>
      <c r="IB484" s="1575">
        <f t="shared" si="215"/>
        <v>6</v>
      </c>
      <c r="IC484" s="1575" t="str">
        <f t="shared" si="216"/>
        <v/>
      </c>
      <c r="ID484" s="1575" t="str">
        <f t="shared" si="217"/>
        <v/>
      </c>
      <c r="IE484" s="1575" t="str">
        <f t="shared" si="218"/>
        <v/>
      </c>
      <c r="IF484" s="1575" t="str">
        <f t="shared" si="219"/>
        <v/>
      </c>
      <c r="IG484" s="1575" t="str">
        <f t="shared" si="220"/>
        <v/>
      </c>
      <c r="IH484" s="1575" t="str">
        <f t="shared" si="221"/>
        <v/>
      </c>
      <c r="II484" s="1575" t="str">
        <f t="shared" si="222"/>
        <v/>
      </c>
      <c r="IJ484" s="1575" t="str">
        <f t="shared" si="223"/>
        <v/>
      </c>
      <c r="IK484" s="1575" t="str">
        <f t="shared" si="224"/>
        <v/>
      </c>
      <c r="IL484" s="1575" t="str">
        <f t="shared" si="225"/>
        <v/>
      </c>
      <c r="IM484" s="1575" t="str">
        <f t="shared" si="226"/>
        <v/>
      </c>
      <c r="IN484" s="1575" t="str">
        <f t="shared" si="227"/>
        <v/>
      </c>
      <c r="IO484" s="1575" t="str">
        <f t="shared" si="228"/>
        <v/>
      </c>
      <c r="IP484" s="1575" t="str">
        <f t="shared" si="229"/>
        <v/>
      </c>
      <c r="IQ484" s="1575" t="str">
        <f t="shared" si="230"/>
        <v/>
      </c>
      <c r="IR484" s="1575" t="str">
        <f t="shared" si="231"/>
        <v/>
      </c>
      <c r="IS484" s="1575" t="str">
        <f t="shared" si="232"/>
        <v/>
      </c>
      <c r="IT484" s="1575" t="str">
        <f t="shared" si="233"/>
        <v/>
      </c>
      <c r="IU484" s="1575" t="str">
        <f t="shared" si="234"/>
        <v/>
      </c>
      <c r="IV484" s="1575" t="str">
        <f t="shared" si="235"/>
        <v/>
      </c>
      <c r="IW484" s="1575" t="str">
        <f t="shared" si="236"/>
        <v/>
      </c>
      <c r="IX484" s="1575" t="str">
        <f t="shared" si="237"/>
        <v/>
      </c>
      <c r="IY484" s="1575" t="str">
        <f t="shared" si="238"/>
        <v/>
      </c>
      <c r="IZ484" s="1575" t="str">
        <f t="shared" si="239"/>
        <v/>
      </c>
      <c r="JA484" s="1575" t="str">
        <f t="shared" si="240"/>
        <v/>
      </c>
      <c r="JB484" s="1575" t="str">
        <f t="shared" si="241"/>
        <v/>
      </c>
      <c r="JC484" s="1575" t="str">
        <f t="shared" si="242"/>
        <v/>
      </c>
      <c r="JD484" s="1575" t="str">
        <f t="shared" si="243"/>
        <v/>
      </c>
      <c r="JE484" s="1575" t="str">
        <f t="shared" si="244"/>
        <v/>
      </c>
      <c r="JF484" s="1575" t="str">
        <f t="shared" si="245"/>
        <v/>
      </c>
      <c r="JG484" s="1575" t="str">
        <f t="shared" si="246"/>
        <v/>
      </c>
      <c r="JH484" s="1575" t="str">
        <f t="shared" si="247"/>
        <v/>
      </c>
      <c r="JI484" s="1575" t="str">
        <f t="shared" si="248"/>
        <v/>
      </c>
      <c r="JJ484" s="1575" t="str">
        <f t="shared" si="249"/>
        <v/>
      </c>
      <c r="JK484" s="1575" t="str">
        <f t="shared" si="250"/>
        <v/>
      </c>
      <c r="JL484" s="1575" t="str">
        <f t="shared" si="251"/>
        <v/>
      </c>
      <c r="JM484" s="1575" t="str">
        <f t="shared" si="252"/>
        <v/>
      </c>
      <c r="JN484" s="1575" t="str">
        <f t="shared" si="253"/>
        <v/>
      </c>
      <c r="JO484" s="1575" t="str">
        <f t="shared" si="254"/>
        <v/>
      </c>
      <c r="JP484" s="1575" t="str">
        <f t="shared" si="255"/>
        <v/>
      </c>
      <c r="JQ484" s="1575" t="str">
        <f t="shared" si="256"/>
        <v/>
      </c>
      <c r="JR484" s="1575" t="str">
        <f t="shared" si="257"/>
        <v/>
      </c>
      <c r="JS484" s="1575" t="str">
        <f t="shared" si="258"/>
        <v/>
      </c>
      <c r="JT484" s="1575" t="str">
        <f t="shared" si="259"/>
        <v/>
      </c>
      <c r="JU484" s="1575">
        <f t="shared" si="260"/>
        <v>6</v>
      </c>
      <c r="JV484" s="1575" t="str">
        <f t="shared" si="261"/>
        <v/>
      </c>
      <c r="JW484" s="1575" t="str">
        <f t="shared" si="262"/>
        <v/>
      </c>
      <c r="JX484" s="1575" t="str">
        <f t="shared" si="263"/>
        <v/>
      </c>
      <c r="JY484" s="1575" t="str">
        <f t="shared" si="264"/>
        <v/>
      </c>
      <c r="JZ484" s="1575" t="str">
        <f t="shared" si="265"/>
        <v/>
      </c>
      <c r="KA484" s="1575" t="str">
        <f t="shared" si="266"/>
        <v/>
      </c>
      <c r="KB484" s="1575" t="str">
        <f t="shared" si="267"/>
        <v/>
      </c>
      <c r="KC484" s="1575" t="str">
        <f t="shared" si="268"/>
        <v/>
      </c>
      <c r="KD484" s="1575" t="str">
        <f t="shared" si="269"/>
        <v/>
      </c>
      <c r="KE484" s="1575" t="str">
        <f t="shared" si="270"/>
        <v/>
      </c>
      <c r="KF484" s="1575" t="str">
        <f t="shared" si="271"/>
        <v/>
      </c>
      <c r="KG484" s="1575" t="str">
        <f t="shared" si="272"/>
        <v/>
      </c>
      <c r="KH484" s="1575" t="str">
        <f t="shared" si="273"/>
        <v/>
      </c>
      <c r="KI484" s="1575" t="str">
        <f t="shared" si="274"/>
        <v/>
      </c>
      <c r="KJ484" s="1575" t="str">
        <f t="shared" si="275"/>
        <v/>
      </c>
      <c r="KK484" s="1575" t="str">
        <f t="shared" si="276"/>
        <v/>
      </c>
      <c r="KL484" s="1575" t="str">
        <f t="shared" si="277"/>
        <v/>
      </c>
      <c r="KM484" s="1575" t="str">
        <f t="shared" si="278"/>
        <v/>
      </c>
      <c r="KN484" s="1575" t="str">
        <f t="shared" si="279"/>
        <v/>
      </c>
      <c r="KO484" s="1575" t="str">
        <f t="shared" si="280"/>
        <v/>
      </c>
      <c r="KP484" s="1575" t="str">
        <f t="shared" si="281"/>
        <v/>
      </c>
      <c r="KQ484" s="1575" t="str">
        <f t="shared" si="282"/>
        <v/>
      </c>
      <c r="KR484" s="1575" t="str">
        <f t="shared" si="283"/>
        <v/>
      </c>
      <c r="KS484" s="1575" t="str">
        <f t="shared" si="284"/>
        <v/>
      </c>
      <c r="KT484" s="1575" t="str">
        <f t="shared" si="285"/>
        <v/>
      </c>
      <c r="KU484" s="1575" t="str">
        <f t="shared" si="286"/>
        <v/>
      </c>
      <c r="KV484" s="1575" t="str">
        <f t="shared" si="287"/>
        <v/>
      </c>
      <c r="KW484" s="1575" t="str">
        <f t="shared" si="288"/>
        <v/>
      </c>
      <c r="KX484" s="1575" t="str">
        <f t="shared" si="289"/>
        <v/>
      </c>
      <c r="KY484" s="1575" t="str">
        <f t="shared" si="290"/>
        <v/>
      </c>
      <c r="KZ484" s="1575" t="str">
        <f t="shared" si="291"/>
        <v/>
      </c>
      <c r="LA484" s="1575" t="str">
        <f t="shared" si="292"/>
        <v/>
      </c>
      <c r="LB484" s="1575" t="str">
        <f t="shared" si="293"/>
        <v/>
      </c>
      <c r="LC484" s="1575" t="str">
        <f t="shared" si="294"/>
        <v/>
      </c>
      <c r="LD484" s="1575" t="str">
        <f t="shared" si="295"/>
        <v/>
      </c>
      <c r="LE484" s="1575" t="str">
        <f t="shared" si="296"/>
        <v/>
      </c>
      <c r="LF484" s="1575" t="str">
        <f t="shared" si="297"/>
        <v/>
      </c>
      <c r="LG484" s="1564" t="str">
        <f t="shared" si="298"/>
        <v/>
      </c>
      <c r="LH484" s="1564" t="str">
        <f t="shared" si="299"/>
        <v/>
      </c>
      <c r="LI484" s="1564" t="str">
        <f t="shared" si="300"/>
        <v/>
      </c>
      <c r="LJ484" s="1564" t="str">
        <f t="shared" si="301"/>
        <v/>
      </c>
      <c r="LK484" s="1564"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441">
        <f t="shared" si="323"/>
        <v>0</v>
      </c>
      <c r="MG484" s="1441">
        <f t="shared" si="324"/>
        <v>0</v>
      </c>
      <c r="MH484" s="1441">
        <f t="shared" si="325"/>
        <v>6</v>
      </c>
      <c r="MI484" s="1441">
        <f t="shared" si="326"/>
        <v>0</v>
      </c>
      <c r="MJ484" s="1441">
        <f t="shared" si="327"/>
        <v>0</v>
      </c>
      <c r="MK484" s="1441">
        <f t="shared" si="333"/>
        <v>0</v>
      </c>
      <c r="ML484" s="1441">
        <f t="shared" si="334"/>
        <v>0</v>
      </c>
      <c r="MM484" s="1441">
        <f t="shared" si="335"/>
        <v>0</v>
      </c>
      <c r="MN484" s="1441">
        <f t="shared" si="336"/>
        <v>0</v>
      </c>
      <c r="MO484" s="1441">
        <f t="shared" si="337"/>
        <v>0</v>
      </c>
      <c r="MP484" s="1441">
        <f t="shared" si="328"/>
        <v>0</v>
      </c>
      <c r="MQ484" s="1441">
        <f t="shared" si="329"/>
        <v>0</v>
      </c>
      <c r="MR484" s="1441">
        <f t="shared" si="330"/>
        <v>0</v>
      </c>
      <c r="MS484" s="1441">
        <f t="shared" si="331"/>
        <v>0</v>
      </c>
      <c r="MT484" s="1441">
        <f t="shared" si="332"/>
        <v>0</v>
      </c>
      <c r="NP484" s="261" t="s">
        <v>1138</v>
      </c>
    </row>
    <row r="485" spans="1:380" ht="13.9" customHeight="1">
      <c r="A485" s="2330" t="str">
        <f t="shared" si="0"/>
        <v/>
      </c>
      <c r="B485" s="2149">
        <f>'Part V-Revenues &amp; Expenses'!B38</f>
        <v>60</v>
      </c>
      <c r="C485" s="2150">
        <f>'Part V-Revenues &amp; Expenses'!C38</f>
        <v>2</v>
      </c>
      <c r="D485" s="2151">
        <f>'Part V-Revenues &amp; Expenses'!D38</f>
        <v>1.5</v>
      </c>
      <c r="E485" s="2152">
        <f>'Part V-Revenues &amp; Expenses'!E38</f>
        <v>2</v>
      </c>
      <c r="F485" s="2152">
        <f>'Part V-Revenues &amp; Expenses'!F38</f>
        <v>1107</v>
      </c>
      <c r="G485" s="2152">
        <f>'Part V-Revenues &amp; Expenses'!G38</f>
        <v>1378</v>
      </c>
      <c r="H485" s="2152">
        <f>'Part V-Revenues &amp; Expenses'!H38</f>
        <v>1378</v>
      </c>
      <c r="I485" s="2152">
        <f>'Part V-Revenues &amp; Expenses'!I38</f>
        <v>0</v>
      </c>
      <c r="J485" s="2152">
        <f>'Part V-Revenues &amp; Expenses'!J38</f>
        <v>173</v>
      </c>
      <c r="K485" s="2153">
        <f>'Part V-Revenues &amp; Expenses'!K38</f>
        <v>0</v>
      </c>
      <c r="L485" s="2154">
        <f t="shared" si="1"/>
        <v>1205</v>
      </c>
      <c r="M485" s="2154">
        <f t="shared" si="2"/>
        <v>2410</v>
      </c>
      <c r="N485" s="2225" t="str">
        <f>'Part V-Revenues &amp; Expenses'!N38</f>
        <v>No</v>
      </c>
      <c r="O485" s="1065" t="str">
        <f>'Part V-Revenues &amp; Expenses'!O38</f>
        <v>Row House/TH</v>
      </c>
      <c r="P485" s="2225" t="str">
        <f>'Part V-Revenues &amp; Expenses'!P38</f>
        <v>Acquisition/Rehab</v>
      </c>
      <c r="Q485" s="1574" t="str">
        <f>'Part V-Revenues &amp; Expenses'!Q38</f>
        <v>No</v>
      </c>
      <c r="R485" s="2356"/>
      <c r="S485" s="2357"/>
      <c r="T485" s="2358"/>
      <c r="U485" s="2358"/>
      <c r="V485" s="2358"/>
      <c r="W485" s="2358"/>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f t="shared" si="15"/>
        <v>2</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f t="shared" si="130"/>
        <v>2214</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f t="shared" si="185"/>
        <v>2</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575" t="str">
        <f t="shared" si="213"/>
        <v/>
      </c>
      <c r="IA485" s="1575" t="str">
        <f t="shared" si="214"/>
        <v/>
      </c>
      <c r="IB485" s="1575" t="str">
        <f t="shared" si="215"/>
        <v/>
      </c>
      <c r="IC485" s="1575" t="str">
        <f t="shared" si="216"/>
        <v/>
      </c>
      <c r="ID485" s="1575" t="str">
        <f t="shared" si="217"/>
        <v/>
      </c>
      <c r="IE485" s="1575" t="str">
        <f t="shared" si="218"/>
        <v/>
      </c>
      <c r="IF485" s="1575" t="str">
        <f t="shared" si="219"/>
        <v/>
      </c>
      <c r="IG485" s="1575" t="str">
        <f t="shared" si="220"/>
        <v/>
      </c>
      <c r="IH485" s="1575" t="str">
        <f t="shared" si="221"/>
        <v/>
      </c>
      <c r="II485" s="1575" t="str">
        <f t="shared" si="222"/>
        <v/>
      </c>
      <c r="IJ485" s="1575" t="str">
        <f t="shared" si="223"/>
        <v/>
      </c>
      <c r="IK485" s="1575" t="str">
        <f t="shared" si="224"/>
        <v/>
      </c>
      <c r="IL485" s="1575" t="str">
        <f t="shared" si="225"/>
        <v/>
      </c>
      <c r="IM485" s="1575" t="str">
        <f t="shared" si="226"/>
        <v/>
      </c>
      <c r="IN485" s="1575" t="str">
        <f t="shared" si="227"/>
        <v/>
      </c>
      <c r="IO485" s="1575" t="str">
        <f t="shared" si="228"/>
        <v/>
      </c>
      <c r="IP485" s="1575" t="str">
        <f t="shared" si="229"/>
        <v/>
      </c>
      <c r="IQ485" s="1575" t="str">
        <f t="shared" si="230"/>
        <v/>
      </c>
      <c r="IR485" s="1575" t="str">
        <f t="shared" si="231"/>
        <v/>
      </c>
      <c r="IS485" s="1575" t="str">
        <f t="shared" si="232"/>
        <v/>
      </c>
      <c r="IT485" s="1575" t="str">
        <f t="shared" si="233"/>
        <v/>
      </c>
      <c r="IU485" s="1575" t="str">
        <f t="shared" si="234"/>
        <v/>
      </c>
      <c r="IV485" s="1575" t="str">
        <f t="shared" si="235"/>
        <v/>
      </c>
      <c r="IW485" s="1575" t="str">
        <f t="shared" si="236"/>
        <v/>
      </c>
      <c r="IX485" s="1575" t="str">
        <f t="shared" si="237"/>
        <v/>
      </c>
      <c r="IY485" s="1575" t="str">
        <f t="shared" si="238"/>
        <v/>
      </c>
      <c r="IZ485" s="1575" t="str">
        <f t="shared" si="239"/>
        <v/>
      </c>
      <c r="JA485" s="1575" t="str">
        <f t="shared" si="240"/>
        <v/>
      </c>
      <c r="JB485" s="1575" t="str">
        <f t="shared" si="241"/>
        <v/>
      </c>
      <c r="JC485" s="1575" t="str">
        <f t="shared" si="242"/>
        <v/>
      </c>
      <c r="JD485" s="1575" t="str">
        <f t="shared" si="243"/>
        <v/>
      </c>
      <c r="JE485" s="1575" t="str">
        <f t="shared" si="244"/>
        <v/>
      </c>
      <c r="JF485" s="1575" t="str">
        <f t="shared" si="245"/>
        <v/>
      </c>
      <c r="JG485" s="1575" t="str">
        <f t="shared" si="246"/>
        <v/>
      </c>
      <c r="JH485" s="1575" t="str">
        <f t="shared" si="247"/>
        <v/>
      </c>
      <c r="JI485" s="1575" t="str">
        <f t="shared" si="248"/>
        <v/>
      </c>
      <c r="JJ485" s="1575" t="str">
        <f t="shared" si="249"/>
        <v/>
      </c>
      <c r="JK485" s="1575">
        <f t="shared" si="250"/>
        <v>2</v>
      </c>
      <c r="JL485" s="1575" t="str">
        <f t="shared" si="251"/>
        <v/>
      </c>
      <c r="JM485" s="1575" t="str">
        <f t="shared" si="252"/>
        <v/>
      </c>
      <c r="JN485" s="1575" t="str">
        <f t="shared" si="253"/>
        <v/>
      </c>
      <c r="JO485" s="1575" t="str">
        <f t="shared" si="254"/>
        <v/>
      </c>
      <c r="JP485" s="1575" t="str">
        <f t="shared" si="255"/>
        <v/>
      </c>
      <c r="JQ485" s="1575" t="str">
        <f t="shared" si="256"/>
        <v/>
      </c>
      <c r="JR485" s="1575" t="str">
        <f t="shared" si="257"/>
        <v/>
      </c>
      <c r="JS485" s="1575" t="str">
        <f t="shared" si="258"/>
        <v/>
      </c>
      <c r="JT485" s="1575" t="str">
        <f t="shared" si="259"/>
        <v/>
      </c>
      <c r="JU485" s="1575" t="str">
        <f t="shared" si="260"/>
        <v/>
      </c>
      <c r="JV485" s="1575" t="str">
        <f t="shared" si="261"/>
        <v/>
      </c>
      <c r="JW485" s="1575" t="str">
        <f t="shared" si="262"/>
        <v/>
      </c>
      <c r="JX485" s="1575" t="str">
        <f t="shared" si="263"/>
        <v/>
      </c>
      <c r="JY485" s="1575" t="str">
        <f t="shared" si="264"/>
        <v/>
      </c>
      <c r="JZ485" s="1575" t="str">
        <f t="shared" si="265"/>
        <v/>
      </c>
      <c r="KA485" s="1575" t="str">
        <f t="shared" si="266"/>
        <v/>
      </c>
      <c r="KB485" s="1575" t="str">
        <f t="shared" si="267"/>
        <v/>
      </c>
      <c r="KC485" s="1575" t="str">
        <f t="shared" si="268"/>
        <v/>
      </c>
      <c r="KD485" s="1575" t="str">
        <f t="shared" si="269"/>
        <v/>
      </c>
      <c r="KE485" s="1575" t="str">
        <f t="shared" si="270"/>
        <v/>
      </c>
      <c r="KF485" s="1575" t="str">
        <f t="shared" si="271"/>
        <v/>
      </c>
      <c r="KG485" s="1575" t="str">
        <f t="shared" si="272"/>
        <v/>
      </c>
      <c r="KH485" s="1575" t="str">
        <f t="shared" si="273"/>
        <v/>
      </c>
      <c r="KI485" s="1575" t="str">
        <f t="shared" si="274"/>
        <v/>
      </c>
      <c r="KJ485" s="1575" t="str">
        <f t="shared" si="275"/>
        <v/>
      </c>
      <c r="KK485" s="1575" t="str">
        <f t="shared" si="276"/>
        <v/>
      </c>
      <c r="KL485" s="1575" t="str">
        <f t="shared" si="277"/>
        <v/>
      </c>
      <c r="KM485" s="1575" t="str">
        <f t="shared" si="278"/>
        <v/>
      </c>
      <c r="KN485" s="1575" t="str">
        <f t="shared" si="279"/>
        <v/>
      </c>
      <c r="KO485" s="1575" t="str">
        <f t="shared" si="280"/>
        <v/>
      </c>
      <c r="KP485" s="1575" t="str">
        <f t="shared" si="281"/>
        <v/>
      </c>
      <c r="KQ485" s="1575" t="str">
        <f t="shared" si="282"/>
        <v/>
      </c>
      <c r="KR485" s="1575" t="str">
        <f t="shared" si="283"/>
        <v/>
      </c>
      <c r="KS485" s="1575" t="str">
        <f t="shared" si="284"/>
        <v/>
      </c>
      <c r="KT485" s="1575" t="str">
        <f t="shared" si="285"/>
        <v/>
      </c>
      <c r="KU485" s="1575" t="str">
        <f t="shared" si="286"/>
        <v/>
      </c>
      <c r="KV485" s="1575" t="str">
        <f t="shared" si="287"/>
        <v/>
      </c>
      <c r="KW485" s="1575" t="str">
        <f t="shared" si="288"/>
        <v/>
      </c>
      <c r="KX485" s="1575" t="str">
        <f t="shared" si="289"/>
        <v/>
      </c>
      <c r="KY485" s="1575" t="str">
        <f t="shared" si="290"/>
        <v/>
      </c>
      <c r="KZ485" s="1575" t="str">
        <f t="shared" si="291"/>
        <v/>
      </c>
      <c r="LA485" s="1575" t="str">
        <f t="shared" si="292"/>
        <v/>
      </c>
      <c r="LB485" s="1575" t="str">
        <f t="shared" si="293"/>
        <v/>
      </c>
      <c r="LC485" s="1575" t="str">
        <f t="shared" si="294"/>
        <v/>
      </c>
      <c r="LD485" s="1575" t="str">
        <f t="shared" si="295"/>
        <v/>
      </c>
      <c r="LE485" s="1575" t="str">
        <f t="shared" si="296"/>
        <v/>
      </c>
      <c r="LF485" s="1575" t="str">
        <f t="shared" si="297"/>
        <v/>
      </c>
      <c r="LG485" s="1564" t="str">
        <f t="shared" si="298"/>
        <v/>
      </c>
      <c r="LH485" s="1564" t="str">
        <f t="shared" si="299"/>
        <v/>
      </c>
      <c r="LI485" s="1564" t="str">
        <f t="shared" si="300"/>
        <v/>
      </c>
      <c r="LJ485" s="1564" t="str">
        <f t="shared" si="301"/>
        <v/>
      </c>
      <c r="LK485" s="1564"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441">
        <f t="shared" si="323"/>
        <v>0</v>
      </c>
      <c r="MG485" s="1441">
        <f t="shared" si="324"/>
        <v>0</v>
      </c>
      <c r="MH485" s="1441">
        <f t="shared" si="325"/>
        <v>2</v>
      </c>
      <c r="MI485" s="1441">
        <f t="shared" si="326"/>
        <v>0</v>
      </c>
      <c r="MJ485" s="1441">
        <f t="shared" si="327"/>
        <v>0</v>
      </c>
      <c r="MK485" s="1441">
        <f t="shared" si="333"/>
        <v>0</v>
      </c>
      <c r="ML485" s="1441">
        <f t="shared" si="334"/>
        <v>0</v>
      </c>
      <c r="MM485" s="1441">
        <f t="shared" si="335"/>
        <v>0</v>
      </c>
      <c r="MN485" s="1441">
        <f t="shared" si="336"/>
        <v>0</v>
      </c>
      <c r="MO485" s="1441">
        <f t="shared" si="337"/>
        <v>0</v>
      </c>
      <c r="MP485" s="1441">
        <f t="shared" si="328"/>
        <v>0</v>
      </c>
      <c r="MQ485" s="1441">
        <f t="shared" si="329"/>
        <v>0</v>
      </c>
      <c r="MR485" s="1441">
        <f t="shared" si="330"/>
        <v>0</v>
      </c>
      <c r="MS485" s="1441">
        <f t="shared" si="331"/>
        <v>0</v>
      </c>
      <c r="MT485" s="1441">
        <f t="shared" si="332"/>
        <v>0</v>
      </c>
      <c r="NP485" s="261" t="s">
        <v>1139</v>
      </c>
    </row>
    <row r="486" spans="1:380" ht="13.9" customHeight="1">
      <c r="A486" s="2330" t="str">
        <f t="shared" si="0"/>
        <v/>
      </c>
      <c r="B486" s="2149">
        <f>'Part V-Revenues &amp; Expenses'!B39</f>
        <v>60</v>
      </c>
      <c r="C486" s="2150">
        <f>'Part V-Revenues &amp; Expenses'!C39</f>
        <v>2</v>
      </c>
      <c r="D486" s="2151">
        <f>'Part V-Revenues &amp; Expenses'!D39</f>
        <v>1.5</v>
      </c>
      <c r="E486" s="2152">
        <f>'Part V-Revenues &amp; Expenses'!E39</f>
        <v>1</v>
      </c>
      <c r="F486" s="2152">
        <f>'Part V-Revenues &amp; Expenses'!F39</f>
        <v>1146</v>
      </c>
      <c r="G486" s="2152">
        <f>'Part V-Revenues &amp; Expenses'!G39</f>
        <v>1378</v>
      </c>
      <c r="H486" s="2152">
        <f>'Part V-Revenues &amp; Expenses'!H39</f>
        <v>1378</v>
      </c>
      <c r="I486" s="2152">
        <f>'Part V-Revenues &amp; Expenses'!I39</f>
        <v>0</v>
      </c>
      <c r="J486" s="2152">
        <f>'Part V-Revenues &amp; Expenses'!J39</f>
        <v>173</v>
      </c>
      <c r="K486" s="2153">
        <f>'Part V-Revenues &amp; Expenses'!K39</f>
        <v>0</v>
      </c>
      <c r="L486" s="2154">
        <f t="shared" si="1"/>
        <v>1205</v>
      </c>
      <c r="M486" s="2154">
        <f t="shared" si="2"/>
        <v>1205</v>
      </c>
      <c r="N486" s="2225" t="str">
        <f>'Part V-Revenues &amp; Expenses'!N39</f>
        <v>No</v>
      </c>
      <c r="O486" s="1065" t="str">
        <f>'Part V-Revenues &amp; Expenses'!O39</f>
        <v>Low-Rise Apt</v>
      </c>
      <c r="P486" s="2225" t="str">
        <f>'Part V-Revenues &amp; Expenses'!P39</f>
        <v>Acquisition/Rehab</v>
      </c>
      <c r="Q486" s="1574" t="str">
        <f>'Part V-Revenues &amp; Expenses'!Q39</f>
        <v>No</v>
      </c>
      <c r="R486" s="2356"/>
      <c r="S486" s="2357"/>
      <c r="T486" s="2358"/>
      <c r="U486" s="2358"/>
      <c r="V486" s="2358"/>
      <c r="W486" s="2358"/>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f t="shared" si="15"/>
        <v>1</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f t="shared" si="130"/>
        <v>1146</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f t="shared" si="185"/>
        <v>1</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575" t="str">
        <f t="shared" si="213"/>
        <v/>
      </c>
      <c r="IA486" s="1575" t="str">
        <f t="shared" si="214"/>
        <v/>
      </c>
      <c r="IB486" s="1575">
        <f t="shared" si="215"/>
        <v>1</v>
      </c>
      <c r="IC486" s="1575" t="str">
        <f t="shared" si="216"/>
        <v/>
      </c>
      <c r="ID486" s="1575" t="str">
        <f t="shared" si="217"/>
        <v/>
      </c>
      <c r="IE486" s="1575" t="str">
        <f t="shared" si="218"/>
        <v/>
      </c>
      <c r="IF486" s="1575" t="str">
        <f t="shared" si="219"/>
        <v/>
      </c>
      <c r="IG486" s="1575" t="str">
        <f t="shared" si="220"/>
        <v/>
      </c>
      <c r="IH486" s="1575" t="str">
        <f t="shared" si="221"/>
        <v/>
      </c>
      <c r="II486" s="1575" t="str">
        <f t="shared" si="222"/>
        <v/>
      </c>
      <c r="IJ486" s="1575" t="str">
        <f t="shared" si="223"/>
        <v/>
      </c>
      <c r="IK486" s="1575" t="str">
        <f t="shared" si="224"/>
        <v/>
      </c>
      <c r="IL486" s="1575" t="str">
        <f t="shared" si="225"/>
        <v/>
      </c>
      <c r="IM486" s="1575" t="str">
        <f t="shared" si="226"/>
        <v/>
      </c>
      <c r="IN486" s="1575" t="str">
        <f t="shared" si="227"/>
        <v/>
      </c>
      <c r="IO486" s="1575" t="str">
        <f t="shared" si="228"/>
        <v/>
      </c>
      <c r="IP486" s="1575" t="str">
        <f t="shared" si="229"/>
        <v/>
      </c>
      <c r="IQ486" s="1575" t="str">
        <f t="shared" si="230"/>
        <v/>
      </c>
      <c r="IR486" s="1575" t="str">
        <f t="shared" si="231"/>
        <v/>
      </c>
      <c r="IS486" s="1575" t="str">
        <f t="shared" si="232"/>
        <v/>
      </c>
      <c r="IT486" s="1575" t="str">
        <f t="shared" si="233"/>
        <v/>
      </c>
      <c r="IU486" s="1575" t="str">
        <f t="shared" si="234"/>
        <v/>
      </c>
      <c r="IV486" s="1575" t="str">
        <f t="shared" si="235"/>
        <v/>
      </c>
      <c r="IW486" s="1575" t="str">
        <f t="shared" si="236"/>
        <v/>
      </c>
      <c r="IX486" s="1575" t="str">
        <f t="shared" si="237"/>
        <v/>
      </c>
      <c r="IY486" s="1575" t="str">
        <f t="shared" si="238"/>
        <v/>
      </c>
      <c r="IZ486" s="1575" t="str">
        <f t="shared" si="239"/>
        <v/>
      </c>
      <c r="JA486" s="1575" t="str">
        <f t="shared" si="240"/>
        <v/>
      </c>
      <c r="JB486" s="1575" t="str">
        <f t="shared" si="241"/>
        <v/>
      </c>
      <c r="JC486" s="1575" t="str">
        <f t="shared" si="242"/>
        <v/>
      </c>
      <c r="JD486" s="1575" t="str">
        <f t="shared" si="243"/>
        <v/>
      </c>
      <c r="JE486" s="1575" t="str">
        <f t="shared" si="244"/>
        <v/>
      </c>
      <c r="JF486" s="1575" t="str">
        <f t="shared" si="245"/>
        <v/>
      </c>
      <c r="JG486" s="1575" t="str">
        <f t="shared" si="246"/>
        <v/>
      </c>
      <c r="JH486" s="1575" t="str">
        <f t="shared" si="247"/>
        <v/>
      </c>
      <c r="JI486" s="1575" t="str">
        <f t="shared" si="248"/>
        <v/>
      </c>
      <c r="JJ486" s="1575" t="str">
        <f t="shared" si="249"/>
        <v/>
      </c>
      <c r="JK486" s="1575" t="str">
        <f t="shared" si="250"/>
        <v/>
      </c>
      <c r="JL486" s="1575" t="str">
        <f t="shared" si="251"/>
        <v/>
      </c>
      <c r="JM486" s="1575" t="str">
        <f t="shared" si="252"/>
        <v/>
      </c>
      <c r="JN486" s="1575" t="str">
        <f t="shared" si="253"/>
        <v/>
      </c>
      <c r="JO486" s="1575" t="str">
        <f t="shared" si="254"/>
        <v/>
      </c>
      <c r="JP486" s="1575" t="str">
        <f t="shared" si="255"/>
        <v/>
      </c>
      <c r="JQ486" s="1575" t="str">
        <f t="shared" si="256"/>
        <v/>
      </c>
      <c r="JR486" s="1575" t="str">
        <f t="shared" si="257"/>
        <v/>
      </c>
      <c r="JS486" s="1575" t="str">
        <f t="shared" si="258"/>
        <v/>
      </c>
      <c r="JT486" s="1575" t="str">
        <f t="shared" si="259"/>
        <v/>
      </c>
      <c r="JU486" s="1575">
        <f t="shared" si="260"/>
        <v>1</v>
      </c>
      <c r="JV486" s="1575" t="str">
        <f t="shared" si="261"/>
        <v/>
      </c>
      <c r="JW486" s="1575" t="str">
        <f t="shared" si="262"/>
        <v/>
      </c>
      <c r="JX486" s="1575" t="str">
        <f t="shared" si="263"/>
        <v/>
      </c>
      <c r="JY486" s="1575" t="str">
        <f t="shared" si="264"/>
        <v/>
      </c>
      <c r="JZ486" s="1575" t="str">
        <f t="shared" si="265"/>
        <v/>
      </c>
      <c r="KA486" s="1575" t="str">
        <f t="shared" si="266"/>
        <v/>
      </c>
      <c r="KB486" s="1575" t="str">
        <f t="shared" si="267"/>
        <v/>
      </c>
      <c r="KC486" s="1575" t="str">
        <f t="shared" si="268"/>
        <v/>
      </c>
      <c r="KD486" s="1575" t="str">
        <f t="shared" si="269"/>
        <v/>
      </c>
      <c r="KE486" s="1575" t="str">
        <f t="shared" si="270"/>
        <v/>
      </c>
      <c r="KF486" s="1575" t="str">
        <f t="shared" si="271"/>
        <v/>
      </c>
      <c r="KG486" s="1575" t="str">
        <f t="shared" si="272"/>
        <v/>
      </c>
      <c r="KH486" s="1575" t="str">
        <f t="shared" si="273"/>
        <v/>
      </c>
      <c r="KI486" s="1575" t="str">
        <f t="shared" si="274"/>
        <v/>
      </c>
      <c r="KJ486" s="1575" t="str">
        <f t="shared" si="275"/>
        <v/>
      </c>
      <c r="KK486" s="1575" t="str">
        <f t="shared" si="276"/>
        <v/>
      </c>
      <c r="KL486" s="1575" t="str">
        <f t="shared" si="277"/>
        <v/>
      </c>
      <c r="KM486" s="1575" t="str">
        <f t="shared" si="278"/>
        <v/>
      </c>
      <c r="KN486" s="1575" t="str">
        <f t="shared" si="279"/>
        <v/>
      </c>
      <c r="KO486" s="1575" t="str">
        <f t="shared" si="280"/>
        <v/>
      </c>
      <c r="KP486" s="1575" t="str">
        <f t="shared" si="281"/>
        <v/>
      </c>
      <c r="KQ486" s="1575" t="str">
        <f t="shared" si="282"/>
        <v/>
      </c>
      <c r="KR486" s="1575" t="str">
        <f t="shared" si="283"/>
        <v/>
      </c>
      <c r="KS486" s="1575" t="str">
        <f t="shared" si="284"/>
        <v/>
      </c>
      <c r="KT486" s="1575" t="str">
        <f t="shared" si="285"/>
        <v/>
      </c>
      <c r="KU486" s="1575" t="str">
        <f t="shared" si="286"/>
        <v/>
      </c>
      <c r="KV486" s="1575" t="str">
        <f t="shared" si="287"/>
        <v/>
      </c>
      <c r="KW486" s="1575" t="str">
        <f t="shared" si="288"/>
        <v/>
      </c>
      <c r="KX486" s="1575" t="str">
        <f t="shared" si="289"/>
        <v/>
      </c>
      <c r="KY486" s="1575" t="str">
        <f t="shared" si="290"/>
        <v/>
      </c>
      <c r="KZ486" s="1575" t="str">
        <f t="shared" si="291"/>
        <v/>
      </c>
      <c r="LA486" s="1575" t="str">
        <f t="shared" si="292"/>
        <v/>
      </c>
      <c r="LB486" s="1575" t="str">
        <f t="shared" si="293"/>
        <v/>
      </c>
      <c r="LC486" s="1575" t="str">
        <f t="shared" si="294"/>
        <v/>
      </c>
      <c r="LD486" s="1575" t="str">
        <f t="shared" si="295"/>
        <v/>
      </c>
      <c r="LE486" s="1575" t="str">
        <f t="shared" si="296"/>
        <v/>
      </c>
      <c r="LF486" s="1575" t="str">
        <f t="shared" si="297"/>
        <v/>
      </c>
      <c r="LG486" s="1564" t="str">
        <f t="shared" si="298"/>
        <v/>
      </c>
      <c r="LH486" s="1564" t="str">
        <f t="shared" si="299"/>
        <v/>
      </c>
      <c r="LI486" s="1564" t="str">
        <f t="shared" si="300"/>
        <v/>
      </c>
      <c r="LJ486" s="1564" t="str">
        <f t="shared" si="301"/>
        <v/>
      </c>
      <c r="LK486" s="1564"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441">
        <f t="shared" si="323"/>
        <v>0</v>
      </c>
      <c r="MG486" s="1441">
        <f t="shared" si="324"/>
        <v>0</v>
      </c>
      <c r="MH486" s="1441">
        <f t="shared" si="325"/>
        <v>1</v>
      </c>
      <c r="MI486" s="1441">
        <f t="shared" si="326"/>
        <v>0</v>
      </c>
      <c r="MJ486" s="1441">
        <f t="shared" si="327"/>
        <v>0</v>
      </c>
      <c r="MK486" s="1441">
        <f t="shared" si="333"/>
        <v>0</v>
      </c>
      <c r="ML486" s="1441">
        <f t="shared" si="334"/>
        <v>0</v>
      </c>
      <c r="MM486" s="1441">
        <f t="shared" si="335"/>
        <v>0</v>
      </c>
      <c r="MN486" s="1441">
        <f t="shared" si="336"/>
        <v>0</v>
      </c>
      <c r="MO486" s="1441">
        <f t="shared" si="337"/>
        <v>0</v>
      </c>
      <c r="MP486" s="1441">
        <f t="shared" si="328"/>
        <v>0</v>
      </c>
      <c r="MQ486" s="1441">
        <f t="shared" si="329"/>
        <v>0</v>
      </c>
      <c r="MR486" s="1441">
        <f t="shared" si="330"/>
        <v>0</v>
      </c>
      <c r="MS486" s="1441">
        <f t="shared" si="331"/>
        <v>0</v>
      </c>
      <c r="MT486" s="1441">
        <f t="shared" si="332"/>
        <v>0</v>
      </c>
      <c r="NP486" s="261" t="s">
        <v>1140</v>
      </c>
    </row>
    <row r="487" spans="1:380" ht="13.9" customHeight="1">
      <c r="A487" s="2330" t="str">
        <f t="shared" si="0"/>
        <v/>
      </c>
      <c r="B487" s="2149">
        <f>'Part V-Revenues &amp; Expenses'!B40</f>
        <v>60</v>
      </c>
      <c r="C487" s="2150">
        <f>'Part V-Revenues &amp; Expenses'!C40</f>
        <v>2</v>
      </c>
      <c r="D487" s="2151">
        <f>'Part V-Revenues &amp; Expenses'!D40</f>
        <v>2</v>
      </c>
      <c r="E487" s="2152">
        <f>'Part V-Revenues &amp; Expenses'!E40</f>
        <v>1</v>
      </c>
      <c r="F487" s="2152">
        <f>'Part V-Revenues &amp; Expenses'!F40</f>
        <v>1176</v>
      </c>
      <c r="G487" s="2152">
        <f>'Part V-Revenues &amp; Expenses'!G40</f>
        <v>1378</v>
      </c>
      <c r="H487" s="2152">
        <f>'Part V-Revenues &amp; Expenses'!H40</f>
        <v>1378</v>
      </c>
      <c r="I487" s="2152">
        <f>'Part V-Revenues &amp; Expenses'!I40</f>
        <v>0</v>
      </c>
      <c r="J487" s="2152">
        <f>'Part V-Revenues &amp; Expenses'!J40</f>
        <v>173</v>
      </c>
      <c r="K487" s="2153">
        <f>'Part V-Revenues &amp; Expenses'!K40</f>
        <v>0</v>
      </c>
      <c r="L487" s="2154">
        <f t="shared" si="1"/>
        <v>1205</v>
      </c>
      <c r="M487" s="2154">
        <f t="shared" si="2"/>
        <v>1205</v>
      </c>
      <c r="N487" s="2225" t="str">
        <f>'Part V-Revenues &amp; Expenses'!N40</f>
        <v>No</v>
      </c>
      <c r="O487" s="1065" t="str">
        <f>'Part V-Revenues &amp; Expenses'!O40</f>
        <v>Low-Rise Apt</v>
      </c>
      <c r="P487" s="2225" t="str">
        <f>'Part V-Revenues &amp; Expenses'!P40</f>
        <v>Acquisition/Rehab</v>
      </c>
      <c r="Q487" s="1574" t="str">
        <f>'Part V-Revenues &amp; Expenses'!Q40</f>
        <v>No</v>
      </c>
      <c r="R487" s="2356"/>
      <c r="S487" s="2357"/>
      <c r="T487" s="2358"/>
      <c r="U487" s="2358"/>
      <c r="V487" s="2358"/>
      <c r="W487" s="2358"/>
      <c r="X487" s="261" t="str">
        <f t="shared" si="3"/>
        <v/>
      </c>
      <c r="Y487" s="261" t="str">
        <f t="shared" si="4"/>
        <v/>
      </c>
      <c r="Z487" s="261" t="str">
        <f t="shared" si="5"/>
        <v/>
      </c>
      <c r="AA487" s="261" t="str">
        <f t="shared" si="6"/>
        <v/>
      </c>
      <c r="AB487" s="261" t="str">
        <f t="shared" si="7"/>
        <v/>
      </c>
      <c r="AC487" s="261" t="str">
        <f t="shared" si="8"/>
        <v/>
      </c>
      <c r="AD487" s="261" t="str">
        <f t="shared" si="9"/>
        <v/>
      </c>
      <c r="AE487" s="261" t="str">
        <f t="shared" si="10"/>
        <v/>
      </c>
      <c r="AF487" s="261" t="str">
        <f t="shared" si="11"/>
        <v/>
      </c>
      <c r="AG487" s="261" t="str">
        <f t="shared" si="12"/>
        <v/>
      </c>
      <c r="AH487" s="261" t="str">
        <f t="shared" si="13"/>
        <v/>
      </c>
      <c r="AI487" s="261" t="str">
        <f t="shared" si="14"/>
        <v/>
      </c>
      <c r="AJ487" s="261">
        <f t="shared" si="15"/>
        <v>1</v>
      </c>
      <c r="AK487" s="261" t="str">
        <f t="shared" si="16"/>
        <v/>
      </c>
      <c r="AL487" s="261" t="str">
        <f t="shared" si="17"/>
        <v/>
      </c>
      <c r="AM487" s="261" t="str">
        <f t="shared" si="18"/>
        <v/>
      </c>
      <c r="AN487" s="261" t="str">
        <f t="shared" si="19"/>
        <v/>
      </c>
      <c r="AO487" s="261" t="str">
        <f t="shared" si="20"/>
        <v/>
      </c>
      <c r="AP487" s="261" t="str">
        <f t="shared" si="21"/>
        <v/>
      </c>
      <c r="AQ487" s="261" t="str">
        <f t="shared" si="22"/>
        <v/>
      </c>
      <c r="AR487" s="261" t="str">
        <f t="shared" si="23"/>
        <v/>
      </c>
      <c r="AS487" s="261" t="str">
        <f t="shared" si="24"/>
        <v/>
      </c>
      <c r="AT487" s="261" t="str">
        <f t="shared" si="25"/>
        <v/>
      </c>
      <c r="AU487" s="261" t="str">
        <f t="shared" si="26"/>
        <v/>
      </c>
      <c r="AV487" s="261" t="str">
        <f t="shared" si="27"/>
        <v/>
      </c>
      <c r="AW487" s="261" t="str">
        <f t="shared" si="28"/>
        <v/>
      </c>
      <c r="AX487" s="261" t="str">
        <f t="shared" si="29"/>
        <v/>
      </c>
      <c r="AY487" s="261" t="str">
        <f t="shared" si="30"/>
        <v/>
      </c>
      <c r="AZ487" s="261" t="str">
        <f t="shared" si="31"/>
        <v/>
      </c>
      <c r="BA487" s="261" t="str">
        <f t="shared" si="32"/>
        <v/>
      </c>
      <c r="BB487" s="261" t="str">
        <f t="shared" si="33"/>
        <v/>
      </c>
      <c r="BC487" s="261" t="str">
        <f t="shared" si="34"/>
        <v/>
      </c>
      <c r="BD487" s="261" t="str">
        <f t="shared" si="35"/>
        <v/>
      </c>
      <c r="BE487" s="261" t="str">
        <f t="shared" si="36"/>
        <v/>
      </c>
      <c r="BF487" s="261" t="str">
        <f t="shared" si="37"/>
        <v/>
      </c>
      <c r="BG487" s="261" t="str">
        <f t="shared" si="38"/>
        <v/>
      </c>
      <c r="BH487" s="261" t="str">
        <f t="shared" si="39"/>
        <v/>
      </c>
      <c r="BI487" s="261" t="str">
        <f t="shared" si="40"/>
        <v/>
      </c>
      <c r="BJ487" s="261" t="str">
        <f t="shared" si="41"/>
        <v/>
      </c>
      <c r="BK487" s="261" t="str">
        <f t="shared" si="42"/>
        <v/>
      </c>
      <c r="BL487" s="261" t="str">
        <f t="shared" si="43"/>
        <v/>
      </c>
      <c r="BM487" s="261" t="str">
        <f t="shared" si="44"/>
        <v/>
      </c>
      <c r="BN487" s="261" t="str">
        <f t="shared" si="45"/>
        <v/>
      </c>
      <c r="BO487" s="261" t="str">
        <f t="shared" si="46"/>
        <v/>
      </c>
      <c r="BP487" s="261" t="str">
        <f t="shared" si="47"/>
        <v/>
      </c>
      <c r="BQ487" s="261" t="str">
        <f t="shared" si="48"/>
        <v/>
      </c>
      <c r="BR487" s="261" t="str">
        <f t="shared" si="49"/>
        <v/>
      </c>
      <c r="BS487" s="261" t="str">
        <f t="shared" si="50"/>
        <v/>
      </c>
      <c r="BT487" s="261" t="str">
        <f t="shared" si="51"/>
        <v/>
      </c>
      <c r="BU487" s="261" t="str">
        <f t="shared" si="52"/>
        <v/>
      </c>
      <c r="BV487" s="261" t="str">
        <f t="shared" si="53"/>
        <v/>
      </c>
      <c r="BW487" s="261" t="str">
        <f t="shared" si="54"/>
        <v/>
      </c>
      <c r="BX487" s="261" t="str">
        <f t="shared" si="55"/>
        <v/>
      </c>
      <c r="BY487" s="261" t="str">
        <f t="shared" si="56"/>
        <v/>
      </c>
      <c r="BZ487" s="261" t="str">
        <f t="shared" si="57"/>
        <v/>
      </c>
      <c r="CA487" s="261" t="str">
        <f t="shared" si="58"/>
        <v/>
      </c>
      <c r="CB487" s="261" t="str">
        <f t="shared" si="59"/>
        <v/>
      </c>
      <c r="CC487" s="261" t="str">
        <f t="shared" si="60"/>
        <v/>
      </c>
      <c r="CD487" s="261" t="str">
        <f t="shared" si="61"/>
        <v/>
      </c>
      <c r="CE487" s="261" t="str">
        <f t="shared" si="62"/>
        <v/>
      </c>
      <c r="CF487" s="261" t="str">
        <f t="shared" si="63"/>
        <v/>
      </c>
      <c r="CG487" s="261" t="str">
        <f t="shared" si="64"/>
        <v/>
      </c>
      <c r="CH487" s="261" t="str">
        <f t="shared" si="65"/>
        <v/>
      </c>
      <c r="CI487" s="261" t="str">
        <f t="shared" si="66"/>
        <v/>
      </c>
      <c r="CJ487" s="261" t="str">
        <f t="shared" si="67"/>
        <v/>
      </c>
      <c r="CK487" s="261" t="str">
        <f t="shared" si="68"/>
        <v/>
      </c>
      <c r="CL487" s="261" t="str">
        <f t="shared" si="69"/>
        <v/>
      </c>
      <c r="CM487" s="261" t="str">
        <f t="shared" si="70"/>
        <v/>
      </c>
      <c r="CN487" s="261" t="str">
        <f t="shared" si="71"/>
        <v/>
      </c>
      <c r="CO487" s="261" t="str">
        <f t="shared" si="72"/>
        <v/>
      </c>
      <c r="CP487" s="261" t="str">
        <f t="shared" si="73"/>
        <v/>
      </c>
      <c r="CQ487" s="261" t="str">
        <f t="shared" si="74"/>
        <v/>
      </c>
      <c r="CR487" s="261" t="str">
        <f t="shared" si="75"/>
        <v/>
      </c>
      <c r="CS487" s="261" t="str">
        <f t="shared" si="76"/>
        <v/>
      </c>
      <c r="CT487" s="261" t="str">
        <f t="shared" si="77"/>
        <v/>
      </c>
      <c r="CU487" s="261" t="str">
        <f t="shared" si="78"/>
        <v/>
      </c>
      <c r="CV487" s="261" t="str">
        <f t="shared" si="79"/>
        <v/>
      </c>
      <c r="CW487" s="261" t="str">
        <f t="shared" si="80"/>
        <v/>
      </c>
      <c r="CX487" s="261" t="str">
        <f t="shared" si="81"/>
        <v/>
      </c>
      <c r="CY487" s="261" t="str">
        <f t="shared" si="82"/>
        <v/>
      </c>
      <c r="CZ487" s="261" t="str">
        <f t="shared" si="83"/>
        <v/>
      </c>
      <c r="DA487" s="261" t="str">
        <f t="shared" si="84"/>
        <v/>
      </c>
      <c r="DB487" s="261" t="str">
        <f t="shared" si="85"/>
        <v/>
      </c>
      <c r="DC487" s="261" t="str">
        <f t="shared" si="86"/>
        <v/>
      </c>
      <c r="DD487" s="261" t="str">
        <f t="shared" si="87"/>
        <v/>
      </c>
      <c r="DE487" s="261" t="str">
        <f t="shared" si="88"/>
        <v/>
      </c>
      <c r="DF487" s="261" t="str">
        <f t="shared" si="89"/>
        <v/>
      </c>
      <c r="DG487" s="261" t="str">
        <f t="shared" si="90"/>
        <v/>
      </c>
      <c r="DH487" s="261" t="str">
        <f t="shared" si="91"/>
        <v/>
      </c>
      <c r="DI487" s="261" t="str">
        <f t="shared" si="92"/>
        <v/>
      </c>
      <c r="DJ487" s="261" t="str">
        <f t="shared" si="93"/>
        <v/>
      </c>
      <c r="DK487" s="261" t="str">
        <f t="shared" si="94"/>
        <v/>
      </c>
      <c r="DL487" s="261" t="str">
        <f t="shared" si="95"/>
        <v/>
      </c>
      <c r="DM487" s="261" t="str">
        <f t="shared" si="96"/>
        <v/>
      </c>
      <c r="DN487" s="261" t="str">
        <f t="shared" si="97"/>
        <v/>
      </c>
      <c r="DO487" s="261" t="str">
        <f t="shared" si="98"/>
        <v/>
      </c>
      <c r="DP487" s="261" t="str">
        <f t="shared" si="99"/>
        <v/>
      </c>
      <c r="DQ487" s="261" t="str">
        <f t="shared" si="100"/>
        <v/>
      </c>
      <c r="DR487" s="261" t="str">
        <f t="shared" si="101"/>
        <v/>
      </c>
      <c r="DS487" s="261" t="str">
        <f t="shared" si="102"/>
        <v/>
      </c>
      <c r="DT487" s="261" t="str">
        <f t="shared" si="103"/>
        <v/>
      </c>
      <c r="DU487" s="261" t="str">
        <f t="shared" si="104"/>
        <v/>
      </c>
      <c r="DV487" s="261" t="str">
        <f t="shared" si="105"/>
        <v/>
      </c>
      <c r="DW487" s="261" t="str">
        <f t="shared" si="106"/>
        <v/>
      </c>
      <c r="DX487" s="261" t="str">
        <f t="shared" si="107"/>
        <v/>
      </c>
      <c r="DY487" s="261" t="str">
        <f t="shared" si="108"/>
        <v/>
      </c>
      <c r="DZ487" s="261" t="str">
        <f t="shared" si="109"/>
        <v/>
      </c>
      <c r="EA487" s="261" t="str">
        <f t="shared" si="110"/>
        <v/>
      </c>
      <c r="EB487" s="261" t="str">
        <f t="shared" si="111"/>
        <v/>
      </c>
      <c r="EC487" s="261" t="str">
        <f t="shared" si="112"/>
        <v/>
      </c>
      <c r="ED487" s="261" t="str">
        <f t="shared" si="113"/>
        <v/>
      </c>
      <c r="EE487" s="261" t="str">
        <f t="shared" si="114"/>
        <v/>
      </c>
      <c r="EF487" s="261" t="str">
        <f t="shared" si="115"/>
        <v/>
      </c>
      <c r="EG487" s="261" t="str">
        <f t="shared" si="116"/>
        <v/>
      </c>
      <c r="EH487" s="261" t="str">
        <f t="shared" si="117"/>
        <v/>
      </c>
      <c r="EI487" s="261" t="str">
        <f t="shared" si="118"/>
        <v/>
      </c>
      <c r="EJ487" s="261" t="str">
        <f t="shared" si="119"/>
        <v/>
      </c>
      <c r="EK487" s="261" t="str">
        <f t="shared" si="120"/>
        <v/>
      </c>
      <c r="EL487" s="261" t="str">
        <f t="shared" si="121"/>
        <v/>
      </c>
      <c r="EM487" s="261" t="str">
        <f t="shared" si="122"/>
        <v/>
      </c>
      <c r="EN487" s="261" t="str">
        <f t="shared" si="123"/>
        <v/>
      </c>
      <c r="EO487" s="261" t="str">
        <f t="shared" si="124"/>
        <v/>
      </c>
      <c r="EP487" s="261" t="str">
        <f t="shared" si="125"/>
        <v/>
      </c>
      <c r="EQ487" s="261" t="str">
        <f t="shared" si="126"/>
        <v/>
      </c>
      <c r="ER487" s="261" t="str">
        <f t="shared" si="127"/>
        <v/>
      </c>
      <c r="ES487" s="261" t="str">
        <f t="shared" si="128"/>
        <v/>
      </c>
      <c r="ET487" s="261" t="str">
        <f t="shared" si="129"/>
        <v/>
      </c>
      <c r="EU487" s="261">
        <f t="shared" si="130"/>
        <v>1176</v>
      </c>
      <c r="EV487" s="261" t="str">
        <f t="shared" si="131"/>
        <v/>
      </c>
      <c r="EW487" s="261" t="str">
        <f t="shared" si="132"/>
        <v/>
      </c>
      <c r="EX487" s="261" t="str">
        <f t="shared" si="133"/>
        <v/>
      </c>
      <c r="EY487" s="261" t="str">
        <f t="shared" si="134"/>
        <v/>
      </c>
      <c r="EZ487" s="261" t="str">
        <f t="shared" si="135"/>
        <v/>
      </c>
      <c r="FA487" s="261" t="str">
        <f t="shared" si="136"/>
        <v/>
      </c>
      <c r="FB487" s="261" t="str">
        <f t="shared" si="137"/>
        <v/>
      </c>
      <c r="FC487" s="261" t="str">
        <f t="shared" si="138"/>
        <v/>
      </c>
      <c r="FD487" s="261" t="str">
        <f t="shared" si="139"/>
        <v/>
      </c>
      <c r="FE487" s="261" t="str">
        <f t="shared" si="140"/>
        <v/>
      </c>
      <c r="FF487" s="261" t="str">
        <f t="shared" si="141"/>
        <v/>
      </c>
      <c r="FG487" s="261" t="str">
        <f t="shared" si="142"/>
        <v/>
      </c>
      <c r="FH487" s="261" t="str">
        <f t="shared" si="143"/>
        <v/>
      </c>
      <c r="FI487" s="261" t="str">
        <f t="shared" si="144"/>
        <v/>
      </c>
      <c r="FJ487" s="261" t="str">
        <f t="shared" si="145"/>
        <v/>
      </c>
      <c r="FK487" s="261" t="str">
        <f t="shared" si="146"/>
        <v/>
      </c>
      <c r="FL487" s="261" t="str">
        <f t="shared" si="147"/>
        <v/>
      </c>
      <c r="FM487" s="261" t="str">
        <f t="shared" si="148"/>
        <v/>
      </c>
      <c r="FN487" s="261" t="str">
        <f t="shared" si="149"/>
        <v/>
      </c>
      <c r="FO487" s="261" t="str">
        <f t="shared" si="150"/>
        <v/>
      </c>
      <c r="FP487" s="261" t="str">
        <f t="shared" si="151"/>
        <v/>
      </c>
      <c r="FQ487" s="261" t="str">
        <f t="shared" si="152"/>
        <v/>
      </c>
      <c r="FR487" s="261" t="str">
        <f t="shared" si="153"/>
        <v/>
      </c>
      <c r="FS487" s="261" t="str">
        <f t="shared" si="154"/>
        <v/>
      </c>
      <c r="FT487" s="261" t="str">
        <f t="shared" si="155"/>
        <v/>
      </c>
      <c r="FU487" s="261" t="str">
        <f t="shared" si="156"/>
        <v/>
      </c>
      <c r="FV487" s="261" t="str">
        <f t="shared" si="157"/>
        <v/>
      </c>
      <c r="FW487" s="261" t="str">
        <f t="shared" si="158"/>
        <v/>
      </c>
      <c r="FX487" s="261" t="str">
        <f t="shared" si="159"/>
        <v/>
      </c>
      <c r="FY487" s="261" t="str">
        <f t="shared" si="160"/>
        <v/>
      </c>
      <c r="FZ487" s="261" t="str">
        <f t="shared" si="161"/>
        <v/>
      </c>
      <c r="GA487" s="261" t="str">
        <f t="shared" si="162"/>
        <v/>
      </c>
      <c r="GB487" s="261" t="str">
        <f t="shared" si="163"/>
        <v/>
      </c>
      <c r="GC487" s="261" t="str">
        <f t="shared" si="164"/>
        <v/>
      </c>
      <c r="GD487" s="261" t="str">
        <f t="shared" si="165"/>
        <v/>
      </c>
      <c r="GE487" s="261" t="str">
        <f t="shared" si="166"/>
        <v/>
      </c>
      <c r="GF487" s="261" t="str">
        <f t="shared" si="167"/>
        <v/>
      </c>
      <c r="GG487" s="261" t="str">
        <f t="shared" si="168"/>
        <v/>
      </c>
      <c r="GH487" s="261" t="str">
        <f t="shared" si="169"/>
        <v/>
      </c>
      <c r="GI487" s="261" t="str">
        <f t="shared" si="170"/>
        <v/>
      </c>
      <c r="GJ487" s="261" t="str">
        <f t="shared" si="171"/>
        <v/>
      </c>
      <c r="GK487" s="261" t="str">
        <f t="shared" si="172"/>
        <v/>
      </c>
      <c r="GL487" s="261" t="str">
        <f t="shared" si="173"/>
        <v/>
      </c>
      <c r="GM487" s="261" t="str">
        <f t="shared" si="174"/>
        <v/>
      </c>
      <c r="GN487" s="261" t="str">
        <f t="shared" si="175"/>
        <v/>
      </c>
      <c r="GO487" s="261" t="str">
        <f t="shared" si="176"/>
        <v/>
      </c>
      <c r="GP487" s="261" t="str">
        <f t="shared" si="177"/>
        <v/>
      </c>
      <c r="GQ487" s="261" t="str">
        <f t="shared" si="178"/>
        <v/>
      </c>
      <c r="GR487" s="261" t="str">
        <f t="shared" si="179"/>
        <v/>
      </c>
      <c r="GS487" s="261" t="str">
        <f t="shared" si="180"/>
        <v/>
      </c>
      <c r="GT487" s="261" t="str">
        <f t="shared" si="181"/>
        <v/>
      </c>
      <c r="GU487" s="261" t="str">
        <f t="shared" si="182"/>
        <v/>
      </c>
      <c r="GV487" s="261" t="str">
        <f t="shared" si="183"/>
        <v/>
      </c>
      <c r="GW487" s="261" t="str">
        <f t="shared" si="184"/>
        <v/>
      </c>
      <c r="GX487" s="261">
        <f t="shared" si="185"/>
        <v>1</v>
      </c>
      <c r="GY487" s="261" t="str">
        <f t="shared" si="186"/>
        <v/>
      </c>
      <c r="GZ487" s="261" t="str">
        <f t="shared" si="187"/>
        <v/>
      </c>
      <c r="HA487" s="261" t="str">
        <f t="shared" si="188"/>
        <v/>
      </c>
      <c r="HB487" s="261" t="str">
        <f t="shared" si="189"/>
        <v/>
      </c>
      <c r="HC487" s="261" t="str">
        <f t="shared" si="190"/>
        <v/>
      </c>
      <c r="HD487" s="261" t="str">
        <f t="shared" si="191"/>
        <v/>
      </c>
      <c r="HE487" s="261" t="str">
        <f t="shared" si="192"/>
        <v/>
      </c>
      <c r="HF487" s="261" t="str">
        <f t="shared" si="193"/>
        <v/>
      </c>
      <c r="HG487" s="261" t="str">
        <f t="shared" si="194"/>
        <v/>
      </c>
      <c r="HH487" s="261" t="str">
        <f t="shared" si="195"/>
        <v/>
      </c>
      <c r="HI487" s="261" t="str">
        <f t="shared" si="196"/>
        <v/>
      </c>
      <c r="HJ487" s="261" t="str">
        <f t="shared" si="197"/>
        <v/>
      </c>
      <c r="HK487" s="261" t="str">
        <f t="shared" si="198"/>
        <v/>
      </c>
      <c r="HL487" s="261" t="str">
        <f t="shared" si="199"/>
        <v/>
      </c>
      <c r="HM487" s="261" t="str">
        <f t="shared" si="200"/>
        <v/>
      </c>
      <c r="HN487" s="261" t="str">
        <f t="shared" si="201"/>
        <v/>
      </c>
      <c r="HO487" s="261" t="str">
        <f t="shared" si="202"/>
        <v/>
      </c>
      <c r="HP487" s="261" t="str">
        <f t="shared" si="203"/>
        <v/>
      </c>
      <c r="HQ487" s="261" t="str">
        <f t="shared" si="204"/>
        <v/>
      </c>
      <c r="HR487" s="261" t="str">
        <f t="shared" si="205"/>
        <v/>
      </c>
      <c r="HS487" s="261" t="str">
        <f t="shared" si="206"/>
        <v/>
      </c>
      <c r="HT487" s="261" t="str">
        <f t="shared" si="207"/>
        <v/>
      </c>
      <c r="HU487" s="261" t="str">
        <f t="shared" si="208"/>
        <v/>
      </c>
      <c r="HV487" s="261" t="str">
        <f t="shared" si="209"/>
        <v/>
      </c>
      <c r="HW487" s="261" t="str">
        <f t="shared" si="210"/>
        <v/>
      </c>
      <c r="HX487" s="261" t="str">
        <f t="shared" si="211"/>
        <v/>
      </c>
      <c r="HY487" s="261" t="str">
        <f t="shared" si="212"/>
        <v/>
      </c>
      <c r="HZ487" s="1575" t="str">
        <f t="shared" si="213"/>
        <v/>
      </c>
      <c r="IA487" s="1575" t="str">
        <f t="shared" si="214"/>
        <v/>
      </c>
      <c r="IB487" s="1575">
        <f t="shared" si="215"/>
        <v>1</v>
      </c>
      <c r="IC487" s="1575" t="str">
        <f t="shared" si="216"/>
        <v/>
      </c>
      <c r="ID487" s="1575" t="str">
        <f t="shared" si="217"/>
        <v/>
      </c>
      <c r="IE487" s="1575" t="str">
        <f t="shared" si="218"/>
        <v/>
      </c>
      <c r="IF487" s="1575" t="str">
        <f t="shared" si="219"/>
        <v/>
      </c>
      <c r="IG487" s="1575" t="str">
        <f t="shared" si="220"/>
        <v/>
      </c>
      <c r="IH487" s="1575" t="str">
        <f t="shared" si="221"/>
        <v/>
      </c>
      <c r="II487" s="1575" t="str">
        <f t="shared" si="222"/>
        <v/>
      </c>
      <c r="IJ487" s="1575" t="str">
        <f t="shared" si="223"/>
        <v/>
      </c>
      <c r="IK487" s="1575" t="str">
        <f t="shared" si="224"/>
        <v/>
      </c>
      <c r="IL487" s="1575" t="str">
        <f t="shared" si="225"/>
        <v/>
      </c>
      <c r="IM487" s="1575" t="str">
        <f t="shared" si="226"/>
        <v/>
      </c>
      <c r="IN487" s="1575" t="str">
        <f t="shared" si="227"/>
        <v/>
      </c>
      <c r="IO487" s="1575" t="str">
        <f t="shared" si="228"/>
        <v/>
      </c>
      <c r="IP487" s="1575" t="str">
        <f t="shared" si="229"/>
        <v/>
      </c>
      <c r="IQ487" s="1575" t="str">
        <f t="shared" si="230"/>
        <v/>
      </c>
      <c r="IR487" s="1575" t="str">
        <f t="shared" si="231"/>
        <v/>
      </c>
      <c r="IS487" s="1575" t="str">
        <f t="shared" si="232"/>
        <v/>
      </c>
      <c r="IT487" s="1575" t="str">
        <f t="shared" si="233"/>
        <v/>
      </c>
      <c r="IU487" s="1575" t="str">
        <f t="shared" si="234"/>
        <v/>
      </c>
      <c r="IV487" s="1575" t="str">
        <f t="shared" si="235"/>
        <v/>
      </c>
      <c r="IW487" s="1575" t="str">
        <f t="shared" si="236"/>
        <v/>
      </c>
      <c r="IX487" s="1575" t="str">
        <f t="shared" si="237"/>
        <v/>
      </c>
      <c r="IY487" s="1575" t="str">
        <f t="shared" si="238"/>
        <v/>
      </c>
      <c r="IZ487" s="1575" t="str">
        <f t="shared" si="239"/>
        <v/>
      </c>
      <c r="JA487" s="1575" t="str">
        <f t="shared" si="240"/>
        <v/>
      </c>
      <c r="JB487" s="1575" t="str">
        <f t="shared" si="241"/>
        <v/>
      </c>
      <c r="JC487" s="1575" t="str">
        <f t="shared" si="242"/>
        <v/>
      </c>
      <c r="JD487" s="1575" t="str">
        <f t="shared" si="243"/>
        <v/>
      </c>
      <c r="JE487" s="1575" t="str">
        <f t="shared" si="244"/>
        <v/>
      </c>
      <c r="JF487" s="1575" t="str">
        <f t="shared" si="245"/>
        <v/>
      </c>
      <c r="JG487" s="1575" t="str">
        <f t="shared" si="246"/>
        <v/>
      </c>
      <c r="JH487" s="1575" t="str">
        <f t="shared" si="247"/>
        <v/>
      </c>
      <c r="JI487" s="1575" t="str">
        <f t="shared" si="248"/>
        <v/>
      </c>
      <c r="JJ487" s="1575" t="str">
        <f t="shared" si="249"/>
        <v/>
      </c>
      <c r="JK487" s="1575" t="str">
        <f t="shared" si="250"/>
        <v/>
      </c>
      <c r="JL487" s="1575" t="str">
        <f t="shared" si="251"/>
        <v/>
      </c>
      <c r="JM487" s="1575" t="str">
        <f t="shared" si="252"/>
        <v/>
      </c>
      <c r="JN487" s="1575" t="str">
        <f t="shared" si="253"/>
        <v/>
      </c>
      <c r="JO487" s="1575" t="str">
        <f t="shared" si="254"/>
        <v/>
      </c>
      <c r="JP487" s="1575" t="str">
        <f t="shared" si="255"/>
        <v/>
      </c>
      <c r="JQ487" s="1575" t="str">
        <f t="shared" si="256"/>
        <v/>
      </c>
      <c r="JR487" s="1575" t="str">
        <f t="shared" si="257"/>
        <v/>
      </c>
      <c r="JS487" s="1575" t="str">
        <f t="shared" si="258"/>
        <v/>
      </c>
      <c r="JT487" s="1575" t="str">
        <f t="shared" si="259"/>
        <v/>
      </c>
      <c r="JU487" s="1575">
        <f t="shared" si="260"/>
        <v>1</v>
      </c>
      <c r="JV487" s="1575" t="str">
        <f t="shared" si="261"/>
        <v/>
      </c>
      <c r="JW487" s="1575" t="str">
        <f t="shared" si="262"/>
        <v/>
      </c>
      <c r="JX487" s="1575" t="str">
        <f t="shared" si="263"/>
        <v/>
      </c>
      <c r="JY487" s="1575" t="str">
        <f t="shared" si="264"/>
        <v/>
      </c>
      <c r="JZ487" s="1575" t="str">
        <f t="shared" si="265"/>
        <v/>
      </c>
      <c r="KA487" s="1575" t="str">
        <f t="shared" si="266"/>
        <v/>
      </c>
      <c r="KB487" s="1575" t="str">
        <f t="shared" si="267"/>
        <v/>
      </c>
      <c r="KC487" s="1575" t="str">
        <f t="shared" si="268"/>
        <v/>
      </c>
      <c r="KD487" s="1575" t="str">
        <f t="shared" si="269"/>
        <v/>
      </c>
      <c r="KE487" s="1575" t="str">
        <f t="shared" si="270"/>
        <v/>
      </c>
      <c r="KF487" s="1575" t="str">
        <f t="shared" si="271"/>
        <v/>
      </c>
      <c r="KG487" s="1575" t="str">
        <f t="shared" si="272"/>
        <v/>
      </c>
      <c r="KH487" s="1575" t="str">
        <f t="shared" si="273"/>
        <v/>
      </c>
      <c r="KI487" s="1575" t="str">
        <f t="shared" si="274"/>
        <v/>
      </c>
      <c r="KJ487" s="1575" t="str">
        <f t="shared" si="275"/>
        <v/>
      </c>
      <c r="KK487" s="1575" t="str">
        <f t="shared" si="276"/>
        <v/>
      </c>
      <c r="KL487" s="1575" t="str">
        <f t="shared" si="277"/>
        <v/>
      </c>
      <c r="KM487" s="1575" t="str">
        <f t="shared" si="278"/>
        <v/>
      </c>
      <c r="KN487" s="1575" t="str">
        <f t="shared" si="279"/>
        <v/>
      </c>
      <c r="KO487" s="1575" t="str">
        <f t="shared" si="280"/>
        <v/>
      </c>
      <c r="KP487" s="1575" t="str">
        <f t="shared" si="281"/>
        <v/>
      </c>
      <c r="KQ487" s="1575" t="str">
        <f t="shared" si="282"/>
        <v/>
      </c>
      <c r="KR487" s="1575" t="str">
        <f t="shared" si="283"/>
        <v/>
      </c>
      <c r="KS487" s="1575" t="str">
        <f t="shared" si="284"/>
        <v/>
      </c>
      <c r="KT487" s="1575" t="str">
        <f t="shared" si="285"/>
        <v/>
      </c>
      <c r="KU487" s="1575" t="str">
        <f t="shared" si="286"/>
        <v/>
      </c>
      <c r="KV487" s="1575" t="str">
        <f t="shared" si="287"/>
        <v/>
      </c>
      <c r="KW487" s="1575" t="str">
        <f t="shared" si="288"/>
        <v/>
      </c>
      <c r="KX487" s="1575" t="str">
        <f t="shared" si="289"/>
        <v/>
      </c>
      <c r="KY487" s="1575" t="str">
        <f t="shared" si="290"/>
        <v/>
      </c>
      <c r="KZ487" s="1575" t="str">
        <f t="shared" si="291"/>
        <v/>
      </c>
      <c r="LA487" s="1575" t="str">
        <f t="shared" si="292"/>
        <v/>
      </c>
      <c r="LB487" s="1575" t="str">
        <f t="shared" si="293"/>
        <v/>
      </c>
      <c r="LC487" s="1575" t="str">
        <f t="shared" si="294"/>
        <v/>
      </c>
      <c r="LD487" s="1575" t="str">
        <f t="shared" si="295"/>
        <v/>
      </c>
      <c r="LE487" s="1575" t="str">
        <f t="shared" si="296"/>
        <v/>
      </c>
      <c r="LF487" s="1575" t="str">
        <f t="shared" si="297"/>
        <v/>
      </c>
      <c r="LG487" s="1564" t="str">
        <f t="shared" si="298"/>
        <v/>
      </c>
      <c r="LH487" s="1564" t="str">
        <f t="shared" si="299"/>
        <v/>
      </c>
      <c r="LI487" s="1564" t="str">
        <f t="shared" si="300"/>
        <v/>
      </c>
      <c r="LJ487" s="1564" t="str">
        <f t="shared" si="301"/>
        <v/>
      </c>
      <c r="LK487" s="1564" t="str">
        <f t="shared" si="302"/>
        <v/>
      </c>
      <c r="LL487" s="261" t="str">
        <f t="shared" si="303"/>
        <v/>
      </c>
      <c r="LM487" s="261" t="str">
        <f t="shared" si="304"/>
        <v/>
      </c>
      <c r="LN487" s="261" t="str">
        <f t="shared" si="305"/>
        <v/>
      </c>
      <c r="LO487" s="261" t="str">
        <f t="shared" si="306"/>
        <v/>
      </c>
      <c r="LP487" s="261" t="str">
        <f t="shared" si="307"/>
        <v/>
      </c>
      <c r="LQ487" s="261" t="str">
        <f t="shared" si="308"/>
        <v/>
      </c>
      <c r="LR487" s="261" t="str">
        <f t="shared" si="309"/>
        <v/>
      </c>
      <c r="LS487" s="261" t="str">
        <f t="shared" si="310"/>
        <v/>
      </c>
      <c r="LT487" s="261" t="str">
        <f t="shared" si="311"/>
        <v/>
      </c>
      <c r="LU487" s="261" t="str">
        <f t="shared" si="312"/>
        <v/>
      </c>
      <c r="LV487" s="261" t="str">
        <f t="shared" si="313"/>
        <v/>
      </c>
      <c r="LW487" s="261" t="str">
        <f t="shared" si="314"/>
        <v/>
      </c>
      <c r="LX487" s="261" t="str">
        <f t="shared" si="315"/>
        <v/>
      </c>
      <c r="LY487" s="261" t="str">
        <f t="shared" si="316"/>
        <v/>
      </c>
      <c r="LZ487" s="261" t="str">
        <f t="shared" si="317"/>
        <v/>
      </c>
      <c r="MA487" s="261" t="str">
        <f t="shared" si="318"/>
        <v/>
      </c>
      <c r="MB487" s="261" t="str">
        <f t="shared" si="319"/>
        <v/>
      </c>
      <c r="MC487" s="261" t="str">
        <f t="shared" si="320"/>
        <v/>
      </c>
      <c r="MD487" s="261" t="str">
        <f t="shared" si="321"/>
        <v/>
      </c>
      <c r="ME487" s="261" t="str">
        <f t="shared" si="322"/>
        <v/>
      </c>
      <c r="MF487" s="1441">
        <f t="shared" si="323"/>
        <v>0</v>
      </c>
      <c r="MG487" s="1441">
        <f t="shared" si="324"/>
        <v>0</v>
      </c>
      <c r="MH487" s="1441">
        <f t="shared" si="325"/>
        <v>1</v>
      </c>
      <c r="MI487" s="1441">
        <f t="shared" si="326"/>
        <v>0</v>
      </c>
      <c r="MJ487" s="1441">
        <f t="shared" si="327"/>
        <v>0</v>
      </c>
      <c r="MK487" s="1441">
        <f t="shared" si="333"/>
        <v>0</v>
      </c>
      <c r="ML487" s="1441">
        <f t="shared" si="334"/>
        <v>0</v>
      </c>
      <c r="MM487" s="1441">
        <f t="shared" si="335"/>
        <v>0</v>
      </c>
      <c r="MN487" s="1441">
        <f t="shared" si="336"/>
        <v>0</v>
      </c>
      <c r="MO487" s="1441">
        <f t="shared" si="337"/>
        <v>0</v>
      </c>
      <c r="MP487" s="1441">
        <f t="shared" si="328"/>
        <v>0</v>
      </c>
      <c r="MQ487" s="1441">
        <f t="shared" si="329"/>
        <v>0</v>
      </c>
      <c r="MR487" s="1441">
        <f t="shared" si="330"/>
        <v>0</v>
      </c>
      <c r="MS487" s="1441">
        <f t="shared" si="331"/>
        <v>0</v>
      </c>
      <c r="MT487" s="1441">
        <f t="shared" si="332"/>
        <v>0</v>
      </c>
      <c r="NP487" s="261" t="s">
        <v>1141</v>
      </c>
    </row>
    <row r="488" spans="1:380" ht="13.9" customHeight="1">
      <c r="A488" s="2330" t="str">
        <f t="shared" si="0"/>
        <v/>
      </c>
      <c r="B488" s="2149">
        <f>'Part V-Revenues &amp; Expenses'!B41</f>
        <v>60</v>
      </c>
      <c r="C488" s="2150">
        <f>'Part V-Revenues &amp; Expenses'!C41</f>
        <v>2</v>
      </c>
      <c r="D488" s="2151">
        <f>'Part V-Revenues &amp; Expenses'!D41</f>
        <v>2</v>
      </c>
      <c r="E488" s="2152">
        <f>'Part V-Revenues &amp; Expenses'!E41</f>
        <v>4</v>
      </c>
      <c r="F488" s="2152">
        <f>'Part V-Revenues &amp; Expenses'!F41</f>
        <v>1223</v>
      </c>
      <c r="G488" s="2152">
        <f>'Part V-Revenues &amp; Expenses'!G41</f>
        <v>1378</v>
      </c>
      <c r="H488" s="2152">
        <f>'Part V-Revenues &amp; Expenses'!H41</f>
        <v>1378</v>
      </c>
      <c r="I488" s="2152">
        <f>'Part V-Revenues &amp; Expenses'!I41</f>
        <v>0</v>
      </c>
      <c r="J488" s="2152">
        <f>'Part V-Revenues &amp; Expenses'!J41</f>
        <v>173</v>
      </c>
      <c r="K488" s="2153">
        <f>'Part V-Revenues &amp; Expenses'!K41</f>
        <v>0</v>
      </c>
      <c r="L488" s="2154">
        <f t="shared" si="1"/>
        <v>1205</v>
      </c>
      <c r="M488" s="2154">
        <f t="shared" si="2"/>
        <v>4820</v>
      </c>
      <c r="N488" s="2225" t="str">
        <f>'Part V-Revenues &amp; Expenses'!N41</f>
        <v>No</v>
      </c>
      <c r="O488" s="1065" t="str">
        <f>'Part V-Revenues &amp; Expenses'!O41</f>
        <v>Low-Rise Apt</v>
      </c>
      <c r="P488" s="2225" t="str">
        <f>'Part V-Revenues &amp; Expenses'!P41</f>
        <v>Acquisition/Rehab</v>
      </c>
      <c r="Q488" s="1574" t="str">
        <f>'Part V-Revenues &amp; Expenses'!Q41</f>
        <v>No</v>
      </c>
      <c r="R488" s="2356"/>
      <c r="S488" s="2357"/>
      <c r="T488" s="2358"/>
      <c r="U488" s="2358"/>
      <c r="V488" s="2358"/>
      <c r="W488" s="2358"/>
      <c r="X488" s="261" t="str">
        <f t="shared" si="3"/>
        <v/>
      </c>
      <c r="Y488" s="261" t="str">
        <f t="shared" si="4"/>
        <v/>
      </c>
      <c r="Z488" s="261" t="str">
        <f t="shared" si="5"/>
        <v/>
      </c>
      <c r="AA488" s="261" t="str">
        <f t="shared" si="6"/>
        <v/>
      </c>
      <c r="AB488" s="261" t="str">
        <f t="shared" si="7"/>
        <v/>
      </c>
      <c r="AC488" s="261" t="str">
        <f t="shared" si="8"/>
        <v/>
      </c>
      <c r="AD488" s="261" t="str">
        <f t="shared" si="9"/>
        <v/>
      </c>
      <c r="AE488" s="261" t="str">
        <f t="shared" si="10"/>
        <v/>
      </c>
      <c r="AF488" s="261" t="str">
        <f t="shared" si="11"/>
        <v/>
      </c>
      <c r="AG488" s="261" t="str">
        <f t="shared" si="12"/>
        <v/>
      </c>
      <c r="AH488" s="261" t="str">
        <f t="shared" si="13"/>
        <v/>
      </c>
      <c r="AI488" s="261" t="str">
        <f t="shared" si="14"/>
        <v/>
      </c>
      <c r="AJ488" s="261">
        <f t="shared" si="15"/>
        <v>4</v>
      </c>
      <c r="AK488" s="261" t="str">
        <f t="shared" si="16"/>
        <v/>
      </c>
      <c r="AL488" s="261" t="str">
        <f t="shared" si="17"/>
        <v/>
      </c>
      <c r="AM488" s="261" t="str">
        <f t="shared" si="18"/>
        <v/>
      </c>
      <c r="AN488" s="261" t="str">
        <f t="shared" si="19"/>
        <v/>
      </c>
      <c r="AO488" s="261" t="str">
        <f t="shared" si="20"/>
        <v/>
      </c>
      <c r="AP488" s="261" t="str">
        <f t="shared" si="21"/>
        <v/>
      </c>
      <c r="AQ488" s="261" t="str">
        <f t="shared" si="22"/>
        <v/>
      </c>
      <c r="AR488" s="261" t="str">
        <f t="shared" si="23"/>
        <v/>
      </c>
      <c r="AS488" s="261" t="str">
        <f t="shared" si="24"/>
        <v/>
      </c>
      <c r="AT488" s="261" t="str">
        <f t="shared" si="25"/>
        <v/>
      </c>
      <c r="AU488" s="261" t="str">
        <f t="shared" si="26"/>
        <v/>
      </c>
      <c r="AV488" s="261" t="str">
        <f t="shared" si="27"/>
        <v/>
      </c>
      <c r="AW488" s="261" t="str">
        <f t="shared" si="28"/>
        <v/>
      </c>
      <c r="AX488" s="261" t="str">
        <f t="shared" si="29"/>
        <v/>
      </c>
      <c r="AY488" s="261" t="str">
        <f t="shared" si="30"/>
        <v/>
      </c>
      <c r="AZ488" s="261" t="str">
        <f t="shared" si="31"/>
        <v/>
      </c>
      <c r="BA488" s="261" t="str">
        <f t="shared" si="32"/>
        <v/>
      </c>
      <c r="BB488" s="261" t="str">
        <f t="shared" si="33"/>
        <v/>
      </c>
      <c r="BC488" s="261" t="str">
        <f t="shared" si="34"/>
        <v/>
      </c>
      <c r="BD488" s="261" t="str">
        <f t="shared" si="35"/>
        <v/>
      </c>
      <c r="BE488" s="261" t="str">
        <f t="shared" si="36"/>
        <v/>
      </c>
      <c r="BF488" s="261" t="str">
        <f t="shared" si="37"/>
        <v/>
      </c>
      <c r="BG488" s="261" t="str">
        <f t="shared" si="38"/>
        <v/>
      </c>
      <c r="BH488" s="261" t="str">
        <f t="shared" si="39"/>
        <v/>
      </c>
      <c r="BI488" s="261" t="str">
        <f t="shared" si="40"/>
        <v/>
      </c>
      <c r="BJ488" s="261" t="str">
        <f t="shared" si="41"/>
        <v/>
      </c>
      <c r="BK488" s="261" t="str">
        <f t="shared" si="42"/>
        <v/>
      </c>
      <c r="BL488" s="261" t="str">
        <f t="shared" si="43"/>
        <v/>
      </c>
      <c r="BM488" s="261" t="str">
        <f t="shared" si="44"/>
        <v/>
      </c>
      <c r="BN488" s="261" t="str">
        <f t="shared" si="45"/>
        <v/>
      </c>
      <c r="BO488" s="261" t="str">
        <f t="shared" si="46"/>
        <v/>
      </c>
      <c r="BP488" s="261" t="str">
        <f t="shared" si="47"/>
        <v/>
      </c>
      <c r="BQ488" s="261" t="str">
        <f t="shared" si="48"/>
        <v/>
      </c>
      <c r="BR488" s="261" t="str">
        <f t="shared" si="49"/>
        <v/>
      </c>
      <c r="BS488" s="261" t="str">
        <f t="shared" si="50"/>
        <v/>
      </c>
      <c r="BT488" s="261" t="str">
        <f t="shared" si="51"/>
        <v/>
      </c>
      <c r="BU488" s="261" t="str">
        <f t="shared" si="52"/>
        <v/>
      </c>
      <c r="BV488" s="261" t="str">
        <f t="shared" si="53"/>
        <v/>
      </c>
      <c r="BW488" s="261" t="str">
        <f t="shared" si="54"/>
        <v/>
      </c>
      <c r="BX488" s="261" t="str">
        <f t="shared" si="55"/>
        <v/>
      </c>
      <c r="BY488" s="261" t="str">
        <f t="shared" si="56"/>
        <v/>
      </c>
      <c r="BZ488" s="261" t="str">
        <f t="shared" si="57"/>
        <v/>
      </c>
      <c r="CA488" s="261" t="str">
        <f t="shared" si="58"/>
        <v/>
      </c>
      <c r="CB488" s="261" t="str">
        <f t="shared" si="59"/>
        <v/>
      </c>
      <c r="CC488" s="261" t="str">
        <f t="shared" si="60"/>
        <v/>
      </c>
      <c r="CD488" s="261" t="str">
        <f t="shared" si="61"/>
        <v/>
      </c>
      <c r="CE488" s="261" t="str">
        <f t="shared" si="62"/>
        <v/>
      </c>
      <c r="CF488" s="261" t="str">
        <f t="shared" si="63"/>
        <v/>
      </c>
      <c r="CG488" s="261" t="str">
        <f t="shared" si="64"/>
        <v/>
      </c>
      <c r="CH488" s="261" t="str">
        <f t="shared" si="65"/>
        <v/>
      </c>
      <c r="CI488" s="261" t="str">
        <f t="shared" si="66"/>
        <v/>
      </c>
      <c r="CJ488" s="261" t="str">
        <f t="shared" si="67"/>
        <v/>
      </c>
      <c r="CK488" s="261" t="str">
        <f t="shared" si="68"/>
        <v/>
      </c>
      <c r="CL488" s="261" t="str">
        <f t="shared" si="69"/>
        <v/>
      </c>
      <c r="CM488" s="261" t="str">
        <f t="shared" si="70"/>
        <v/>
      </c>
      <c r="CN488" s="261" t="str">
        <f t="shared" si="71"/>
        <v/>
      </c>
      <c r="CO488" s="261" t="str">
        <f t="shared" si="72"/>
        <v/>
      </c>
      <c r="CP488" s="261" t="str">
        <f t="shared" si="73"/>
        <v/>
      </c>
      <c r="CQ488" s="261" t="str">
        <f t="shared" si="74"/>
        <v/>
      </c>
      <c r="CR488" s="261" t="str">
        <f t="shared" si="75"/>
        <v/>
      </c>
      <c r="CS488" s="261" t="str">
        <f t="shared" si="76"/>
        <v/>
      </c>
      <c r="CT488" s="261" t="str">
        <f t="shared" si="77"/>
        <v/>
      </c>
      <c r="CU488" s="261" t="str">
        <f t="shared" si="78"/>
        <v/>
      </c>
      <c r="CV488" s="261" t="str">
        <f t="shared" si="79"/>
        <v/>
      </c>
      <c r="CW488" s="261" t="str">
        <f t="shared" si="80"/>
        <v/>
      </c>
      <c r="CX488" s="261" t="str">
        <f t="shared" si="81"/>
        <v/>
      </c>
      <c r="CY488" s="261" t="str">
        <f t="shared" si="82"/>
        <v/>
      </c>
      <c r="CZ488" s="261" t="str">
        <f t="shared" si="83"/>
        <v/>
      </c>
      <c r="DA488" s="261" t="str">
        <f t="shared" si="84"/>
        <v/>
      </c>
      <c r="DB488" s="261" t="str">
        <f t="shared" si="85"/>
        <v/>
      </c>
      <c r="DC488" s="261" t="str">
        <f t="shared" si="86"/>
        <v/>
      </c>
      <c r="DD488" s="261" t="str">
        <f t="shared" si="87"/>
        <v/>
      </c>
      <c r="DE488" s="261" t="str">
        <f t="shared" si="88"/>
        <v/>
      </c>
      <c r="DF488" s="261" t="str">
        <f t="shared" si="89"/>
        <v/>
      </c>
      <c r="DG488" s="261" t="str">
        <f t="shared" si="90"/>
        <v/>
      </c>
      <c r="DH488" s="261" t="str">
        <f t="shared" si="91"/>
        <v/>
      </c>
      <c r="DI488" s="261" t="str">
        <f t="shared" si="92"/>
        <v/>
      </c>
      <c r="DJ488" s="261" t="str">
        <f t="shared" si="93"/>
        <v/>
      </c>
      <c r="DK488" s="261" t="str">
        <f t="shared" si="94"/>
        <v/>
      </c>
      <c r="DL488" s="261" t="str">
        <f t="shared" si="95"/>
        <v/>
      </c>
      <c r="DM488" s="261" t="str">
        <f t="shared" si="96"/>
        <v/>
      </c>
      <c r="DN488" s="261" t="str">
        <f t="shared" si="97"/>
        <v/>
      </c>
      <c r="DO488" s="261" t="str">
        <f t="shared" si="98"/>
        <v/>
      </c>
      <c r="DP488" s="261" t="str">
        <f t="shared" si="99"/>
        <v/>
      </c>
      <c r="DQ488" s="261" t="str">
        <f t="shared" si="100"/>
        <v/>
      </c>
      <c r="DR488" s="261" t="str">
        <f t="shared" si="101"/>
        <v/>
      </c>
      <c r="DS488" s="261" t="str">
        <f t="shared" si="102"/>
        <v/>
      </c>
      <c r="DT488" s="261" t="str">
        <f t="shared" si="103"/>
        <v/>
      </c>
      <c r="DU488" s="261" t="str">
        <f t="shared" si="104"/>
        <v/>
      </c>
      <c r="DV488" s="261" t="str">
        <f t="shared" si="105"/>
        <v/>
      </c>
      <c r="DW488" s="261" t="str">
        <f t="shared" si="106"/>
        <v/>
      </c>
      <c r="DX488" s="261" t="str">
        <f t="shared" si="107"/>
        <v/>
      </c>
      <c r="DY488" s="261" t="str">
        <f t="shared" si="108"/>
        <v/>
      </c>
      <c r="DZ488" s="261" t="str">
        <f t="shared" si="109"/>
        <v/>
      </c>
      <c r="EA488" s="261" t="str">
        <f t="shared" si="110"/>
        <v/>
      </c>
      <c r="EB488" s="261" t="str">
        <f t="shared" si="111"/>
        <v/>
      </c>
      <c r="EC488" s="261" t="str">
        <f t="shared" si="112"/>
        <v/>
      </c>
      <c r="ED488" s="261" t="str">
        <f t="shared" si="113"/>
        <v/>
      </c>
      <c r="EE488" s="261" t="str">
        <f t="shared" si="114"/>
        <v/>
      </c>
      <c r="EF488" s="261" t="str">
        <f t="shared" si="115"/>
        <v/>
      </c>
      <c r="EG488" s="261" t="str">
        <f t="shared" si="116"/>
        <v/>
      </c>
      <c r="EH488" s="261" t="str">
        <f t="shared" si="117"/>
        <v/>
      </c>
      <c r="EI488" s="261" t="str">
        <f t="shared" si="118"/>
        <v/>
      </c>
      <c r="EJ488" s="261" t="str">
        <f t="shared" si="119"/>
        <v/>
      </c>
      <c r="EK488" s="261" t="str">
        <f t="shared" si="120"/>
        <v/>
      </c>
      <c r="EL488" s="261" t="str">
        <f t="shared" si="121"/>
        <v/>
      </c>
      <c r="EM488" s="261" t="str">
        <f t="shared" si="122"/>
        <v/>
      </c>
      <c r="EN488" s="261" t="str">
        <f t="shared" si="123"/>
        <v/>
      </c>
      <c r="EO488" s="261" t="str">
        <f t="shared" si="124"/>
        <v/>
      </c>
      <c r="EP488" s="261" t="str">
        <f t="shared" si="125"/>
        <v/>
      </c>
      <c r="EQ488" s="261" t="str">
        <f t="shared" si="126"/>
        <v/>
      </c>
      <c r="ER488" s="261" t="str">
        <f t="shared" si="127"/>
        <v/>
      </c>
      <c r="ES488" s="261" t="str">
        <f t="shared" si="128"/>
        <v/>
      </c>
      <c r="ET488" s="261" t="str">
        <f t="shared" si="129"/>
        <v/>
      </c>
      <c r="EU488" s="261">
        <f t="shared" si="130"/>
        <v>4892</v>
      </c>
      <c r="EV488" s="261" t="str">
        <f t="shared" si="131"/>
        <v/>
      </c>
      <c r="EW488" s="261" t="str">
        <f t="shared" si="132"/>
        <v/>
      </c>
      <c r="EX488" s="261" t="str">
        <f t="shared" si="133"/>
        <v/>
      </c>
      <c r="EY488" s="261" t="str">
        <f t="shared" si="134"/>
        <v/>
      </c>
      <c r="EZ488" s="261" t="str">
        <f t="shared" si="135"/>
        <v/>
      </c>
      <c r="FA488" s="261" t="str">
        <f t="shared" si="136"/>
        <v/>
      </c>
      <c r="FB488" s="261" t="str">
        <f t="shared" si="137"/>
        <v/>
      </c>
      <c r="FC488" s="261" t="str">
        <f t="shared" si="138"/>
        <v/>
      </c>
      <c r="FD488" s="261" t="str">
        <f t="shared" si="139"/>
        <v/>
      </c>
      <c r="FE488" s="261" t="str">
        <f t="shared" si="140"/>
        <v/>
      </c>
      <c r="FF488" s="261" t="str">
        <f t="shared" si="141"/>
        <v/>
      </c>
      <c r="FG488" s="261" t="str">
        <f t="shared" si="142"/>
        <v/>
      </c>
      <c r="FH488" s="261" t="str">
        <f t="shared" si="143"/>
        <v/>
      </c>
      <c r="FI488" s="261" t="str">
        <f t="shared" si="144"/>
        <v/>
      </c>
      <c r="FJ488" s="261" t="str">
        <f t="shared" si="145"/>
        <v/>
      </c>
      <c r="FK488" s="261" t="str">
        <f t="shared" si="146"/>
        <v/>
      </c>
      <c r="FL488" s="261" t="str">
        <f t="shared" si="147"/>
        <v/>
      </c>
      <c r="FM488" s="261" t="str">
        <f t="shared" si="148"/>
        <v/>
      </c>
      <c r="FN488" s="261" t="str">
        <f t="shared" si="149"/>
        <v/>
      </c>
      <c r="FO488" s="261" t="str">
        <f t="shared" si="150"/>
        <v/>
      </c>
      <c r="FP488" s="261" t="str">
        <f t="shared" si="151"/>
        <v/>
      </c>
      <c r="FQ488" s="261" t="str">
        <f t="shared" si="152"/>
        <v/>
      </c>
      <c r="FR488" s="261" t="str">
        <f t="shared" si="153"/>
        <v/>
      </c>
      <c r="FS488" s="261" t="str">
        <f t="shared" si="154"/>
        <v/>
      </c>
      <c r="FT488" s="261" t="str">
        <f t="shared" si="155"/>
        <v/>
      </c>
      <c r="FU488" s="261" t="str">
        <f t="shared" si="156"/>
        <v/>
      </c>
      <c r="FV488" s="261" t="str">
        <f t="shared" si="157"/>
        <v/>
      </c>
      <c r="FW488" s="261" t="str">
        <f t="shared" si="158"/>
        <v/>
      </c>
      <c r="FX488" s="261" t="str">
        <f t="shared" si="159"/>
        <v/>
      </c>
      <c r="FY488" s="261" t="str">
        <f t="shared" si="160"/>
        <v/>
      </c>
      <c r="FZ488" s="261" t="str">
        <f t="shared" si="161"/>
        <v/>
      </c>
      <c r="GA488" s="261" t="str">
        <f t="shared" si="162"/>
        <v/>
      </c>
      <c r="GB488" s="261" t="str">
        <f t="shared" si="163"/>
        <v/>
      </c>
      <c r="GC488" s="261" t="str">
        <f t="shared" si="164"/>
        <v/>
      </c>
      <c r="GD488" s="261" t="str">
        <f t="shared" si="165"/>
        <v/>
      </c>
      <c r="GE488" s="261" t="str">
        <f t="shared" si="166"/>
        <v/>
      </c>
      <c r="GF488" s="261" t="str">
        <f t="shared" si="167"/>
        <v/>
      </c>
      <c r="GG488" s="261" t="str">
        <f t="shared" si="168"/>
        <v/>
      </c>
      <c r="GH488" s="261" t="str">
        <f t="shared" si="169"/>
        <v/>
      </c>
      <c r="GI488" s="261" t="str">
        <f t="shared" si="170"/>
        <v/>
      </c>
      <c r="GJ488" s="261" t="str">
        <f t="shared" si="171"/>
        <v/>
      </c>
      <c r="GK488" s="261" t="str">
        <f t="shared" si="172"/>
        <v/>
      </c>
      <c r="GL488" s="261" t="str">
        <f t="shared" si="173"/>
        <v/>
      </c>
      <c r="GM488" s="261" t="str">
        <f t="shared" si="174"/>
        <v/>
      </c>
      <c r="GN488" s="261" t="str">
        <f t="shared" si="175"/>
        <v/>
      </c>
      <c r="GO488" s="261" t="str">
        <f t="shared" si="176"/>
        <v/>
      </c>
      <c r="GP488" s="261" t="str">
        <f t="shared" si="177"/>
        <v/>
      </c>
      <c r="GQ488" s="261" t="str">
        <f t="shared" si="178"/>
        <v/>
      </c>
      <c r="GR488" s="261" t="str">
        <f t="shared" si="179"/>
        <v/>
      </c>
      <c r="GS488" s="261" t="str">
        <f t="shared" si="180"/>
        <v/>
      </c>
      <c r="GT488" s="261" t="str">
        <f t="shared" si="181"/>
        <v/>
      </c>
      <c r="GU488" s="261" t="str">
        <f t="shared" si="182"/>
        <v/>
      </c>
      <c r="GV488" s="261" t="str">
        <f t="shared" si="183"/>
        <v/>
      </c>
      <c r="GW488" s="261" t="str">
        <f t="shared" si="184"/>
        <v/>
      </c>
      <c r="GX488" s="261">
        <f t="shared" si="185"/>
        <v>4</v>
      </c>
      <c r="GY488" s="261" t="str">
        <f t="shared" si="186"/>
        <v/>
      </c>
      <c r="GZ488" s="261" t="str">
        <f t="shared" si="187"/>
        <v/>
      </c>
      <c r="HA488" s="261" t="str">
        <f t="shared" si="188"/>
        <v/>
      </c>
      <c r="HB488" s="261" t="str">
        <f t="shared" si="189"/>
        <v/>
      </c>
      <c r="HC488" s="261" t="str">
        <f t="shared" si="190"/>
        <v/>
      </c>
      <c r="HD488" s="261" t="str">
        <f t="shared" si="191"/>
        <v/>
      </c>
      <c r="HE488" s="261" t="str">
        <f t="shared" si="192"/>
        <v/>
      </c>
      <c r="HF488" s="261" t="str">
        <f t="shared" si="193"/>
        <v/>
      </c>
      <c r="HG488" s="261" t="str">
        <f t="shared" si="194"/>
        <v/>
      </c>
      <c r="HH488" s="261" t="str">
        <f t="shared" si="195"/>
        <v/>
      </c>
      <c r="HI488" s="261" t="str">
        <f t="shared" si="196"/>
        <v/>
      </c>
      <c r="HJ488" s="261" t="str">
        <f t="shared" si="197"/>
        <v/>
      </c>
      <c r="HK488" s="261" t="str">
        <f t="shared" si="198"/>
        <v/>
      </c>
      <c r="HL488" s="261" t="str">
        <f t="shared" si="199"/>
        <v/>
      </c>
      <c r="HM488" s="261" t="str">
        <f t="shared" si="200"/>
        <v/>
      </c>
      <c r="HN488" s="261" t="str">
        <f t="shared" si="201"/>
        <v/>
      </c>
      <c r="HO488" s="261" t="str">
        <f t="shared" si="202"/>
        <v/>
      </c>
      <c r="HP488" s="261" t="str">
        <f t="shared" si="203"/>
        <v/>
      </c>
      <c r="HQ488" s="261" t="str">
        <f t="shared" si="204"/>
        <v/>
      </c>
      <c r="HR488" s="261" t="str">
        <f t="shared" si="205"/>
        <v/>
      </c>
      <c r="HS488" s="261" t="str">
        <f t="shared" si="206"/>
        <v/>
      </c>
      <c r="HT488" s="261" t="str">
        <f t="shared" si="207"/>
        <v/>
      </c>
      <c r="HU488" s="261" t="str">
        <f t="shared" si="208"/>
        <v/>
      </c>
      <c r="HV488" s="261" t="str">
        <f t="shared" si="209"/>
        <v/>
      </c>
      <c r="HW488" s="261" t="str">
        <f t="shared" si="210"/>
        <v/>
      </c>
      <c r="HX488" s="261" t="str">
        <f t="shared" si="211"/>
        <v/>
      </c>
      <c r="HY488" s="261" t="str">
        <f t="shared" si="212"/>
        <v/>
      </c>
      <c r="HZ488" s="1575" t="str">
        <f t="shared" si="213"/>
        <v/>
      </c>
      <c r="IA488" s="1575" t="str">
        <f t="shared" si="214"/>
        <v/>
      </c>
      <c r="IB488" s="1575">
        <f t="shared" si="215"/>
        <v>4</v>
      </c>
      <c r="IC488" s="1575" t="str">
        <f t="shared" si="216"/>
        <v/>
      </c>
      <c r="ID488" s="1575" t="str">
        <f t="shared" si="217"/>
        <v/>
      </c>
      <c r="IE488" s="1575" t="str">
        <f t="shared" si="218"/>
        <v/>
      </c>
      <c r="IF488" s="1575" t="str">
        <f t="shared" si="219"/>
        <v/>
      </c>
      <c r="IG488" s="1575" t="str">
        <f t="shared" si="220"/>
        <v/>
      </c>
      <c r="IH488" s="1575" t="str">
        <f t="shared" si="221"/>
        <v/>
      </c>
      <c r="II488" s="1575" t="str">
        <f t="shared" si="222"/>
        <v/>
      </c>
      <c r="IJ488" s="1575" t="str">
        <f t="shared" si="223"/>
        <v/>
      </c>
      <c r="IK488" s="1575" t="str">
        <f t="shared" si="224"/>
        <v/>
      </c>
      <c r="IL488" s="1575" t="str">
        <f t="shared" si="225"/>
        <v/>
      </c>
      <c r="IM488" s="1575" t="str">
        <f t="shared" si="226"/>
        <v/>
      </c>
      <c r="IN488" s="1575" t="str">
        <f t="shared" si="227"/>
        <v/>
      </c>
      <c r="IO488" s="1575" t="str">
        <f t="shared" si="228"/>
        <v/>
      </c>
      <c r="IP488" s="1575" t="str">
        <f t="shared" si="229"/>
        <v/>
      </c>
      <c r="IQ488" s="1575" t="str">
        <f t="shared" si="230"/>
        <v/>
      </c>
      <c r="IR488" s="1575" t="str">
        <f t="shared" si="231"/>
        <v/>
      </c>
      <c r="IS488" s="1575" t="str">
        <f t="shared" si="232"/>
        <v/>
      </c>
      <c r="IT488" s="1575" t="str">
        <f t="shared" si="233"/>
        <v/>
      </c>
      <c r="IU488" s="1575" t="str">
        <f t="shared" si="234"/>
        <v/>
      </c>
      <c r="IV488" s="1575" t="str">
        <f t="shared" si="235"/>
        <v/>
      </c>
      <c r="IW488" s="1575" t="str">
        <f t="shared" si="236"/>
        <v/>
      </c>
      <c r="IX488" s="1575" t="str">
        <f t="shared" si="237"/>
        <v/>
      </c>
      <c r="IY488" s="1575" t="str">
        <f t="shared" si="238"/>
        <v/>
      </c>
      <c r="IZ488" s="1575" t="str">
        <f t="shared" si="239"/>
        <v/>
      </c>
      <c r="JA488" s="1575" t="str">
        <f t="shared" si="240"/>
        <v/>
      </c>
      <c r="JB488" s="1575" t="str">
        <f t="shared" si="241"/>
        <v/>
      </c>
      <c r="JC488" s="1575" t="str">
        <f t="shared" si="242"/>
        <v/>
      </c>
      <c r="JD488" s="1575" t="str">
        <f t="shared" si="243"/>
        <v/>
      </c>
      <c r="JE488" s="1575" t="str">
        <f t="shared" si="244"/>
        <v/>
      </c>
      <c r="JF488" s="1575" t="str">
        <f t="shared" si="245"/>
        <v/>
      </c>
      <c r="JG488" s="1575" t="str">
        <f t="shared" si="246"/>
        <v/>
      </c>
      <c r="JH488" s="1575" t="str">
        <f t="shared" si="247"/>
        <v/>
      </c>
      <c r="JI488" s="1575" t="str">
        <f t="shared" si="248"/>
        <v/>
      </c>
      <c r="JJ488" s="1575" t="str">
        <f t="shared" si="249"/>
        <v/>
      </c>
      <c r="JK488" s="1575" t="str">
        <f t="shared" si="250"/>
        <v/>
      </c>
      <c r="JL488" s="1575" t="str">
        <f t="shared" si="251"/>
        <v/>
      </c>
      <c r="JM488" s="1575" t="str">
        <f t="shared" si="252"/>
        <v/>
      </c>
      <c r="JN488" s="1575" t="str">
        <f t="shared" si="253"/>
        <v/>
      </c>
      <c r="JO488" s="1575" t="str">
        <f t="shared" si="254"/>
        <v/>
      </c>
      <c r="JP488" s="1575" t="str">
        <f t="shared" si="255"/>
        <v/>
      </c>
      <c r="JQ488" s="1575" t="str">
        <f t="shared" si="256"/>
        <v/>
      </c>
      <c r="JR488" s="1575" t="str">
        <f t="shared" si="257"/>
        <v/>
      </c>
      <c r="JS488" s="1575" t="str">
        <f t="shared" si="258"/>
        <v/>
      </c>
      <c r="JT488" s="1575" t="str">
        <f t="shared" si="259"/>
        <v/>
      </c>
      <c r="JU488" s="1575">
        <f t="shared" si="260"/>
        <v>4</v>
      </c>
      <c r="JV488" s="1575" t="str">
        <f t="shared" si="261"/>
        <v/>
      </c>
      <c r="JW488" s="1575" t="str">
        <f t="shared" si="262"/>
        <v/>
      </c>
      <c r="JX488" s="1575" t="str">
        <f t="shared" si="263"/>
        <v/>
      </c>
      <c r="JY488" s="1575" t="str">
        <f t="shared" si="264"/>
        <v/>
      </c>
      <c r="JZ488" s="1575" t="str">
        <f t="shared" si="265"/>
        <v/>
      </c>
      <c r="KA488" s="1575" t="str">
        <f t="shared" si="266"/>
        <v/>
      </c>
      <c r="KB488" s="1575" t="str">
        <f t="shared" si="267"/>
        <v/>
      </c>
      <c r="KC488" s="1575" t="str">
        <f t="shared" si="268"/>
        <v/>
      </c>
      <c r="KD488" s="1575" t="str">
        <f t="shared" si="269"/>
        <v/>
      </c>
      <c r="KE488" s="1575" t="str">
        <f t="shared" si="270"/>
        <v/>
      </c>
      <c r="KF488" s="1575" t="str">
        <f t="shared" si="271"/>
        <v/>
      </c>
      <c r="KG488" s="1575" t="str">
        <f t="shared" si="272"/>
        <v/>
      </c>
      <c r="KH488" s="1575" t="str">
        <f t="shared" si="273"/>
        <v/>
      </c>
      <c r="KI488" s="1575" t="str">
        <f t="shared" si="274"/>
        <v/>
      </c>
      <c r="KJ488" s="1575" t="str">
        <f t="shared" si="275"/>
        <v/>
      </c>
      <c r="KK488" s="1575" t="str">
        <f t="shared" si="276"/>
        <v/>
      </c>
      <c r="KL488" s="1575" t="str">
        <f t="shared" si="277"/>
        <v/>
      </c>
      <c r="KM488" s="1575" t="str">
        <f t="shared" si="278"/>
        <v/>
      </c>
      <c r="KN488" s="1575" t="str">
        <f t="shared" si="279"/>
        <v/>
      </c>
      <c r="KO488" s="1575" t="str">
        <f t="shared" si="280"/>
        <v/>
      </c>
      <c r="KP488" s="1575" t="str">
        <f t="shared" si="281"/>
        <v/>
      </c>
      <c r="KQ488" s="1575" t="str">
        <f t="shared" si="282"/>
        <v/>
      </c>
      <c r="KR488" s="1575" t="str">
        <f t="shared" si="283"/>
        <v/>
      </c>
      <c r="KS488" s="1575" t="str">
        <f t="shared" si="284"/>
        <v/>
      </c>
      <c r="KT488" s="1575" t="str">
        <f t="shared" si="285"/>
        <v/>
      </c>
      <c r="KU488" s="1575" t="str">
        <f t="shared" si="286"/>
        <v/>
      </c>
      <c r="KV488" s="1575" t="str">
        <f t="shared" si="287"/>
        <v/>
      </c>
      <c r="KW488" s="1575" t="str">
        <f t="shared" si="288"/>
        <v/>
      </c>
      <c r="KX488" s="1575" t="str">
        <f t="shared" si="289"/>
        <v/>
      </c>
      <c r="KY488" s="1575" t="str">
        <f t="shared" si="290"/>
        <v/>
      </c>
      <c r="KZ488" s="1575" t="str">
        <f t="shared" si="291"/>
        <v/>
      </c>
      <c r="LA488" s="1575" t="str">
        <f t="shared" si="292"/>
        <v/>
      </c>
      <c r="LB488" s="1575" t="str">
        <f t="shared" si="293"/>
        <v/>
      </c>
      <c r="LC488" s="1575" t="str">
        <f t="shared" si="294"/>
        <v/>
      </c>
      <c r="LD488" s="1575" t="str">
        <f t="shared" si="295"/>
        <v/>
      </c>
      <c r="LE488" s="1575" t="str">
        <f t="shared" si="296"/>
        <v/>
      </c>
      <c r="LF488" s="1575" t="str">
        <f t="shared" si="297"/>
        <v/>
      </c>
      <c r="LG488" s="1564" t="str">
        <f t="shared" si="298"/>
        <v/>
      </c>
      <c r="LH488" s="1564" t="str">
        <f t="shared" si="299"/>
        <v/>
      </c>
      <c r="LI488" s="1564" t="str">
        <f t="shared" si="300"/>
        <v/>
      </c>
      <c r="LJ488" s="1564" t="str">
        <f t="shared" si="301"/>
        <v/>
      </c>
      <c r="LK488" s="1564" t="str">
        <f t="shared" si="302"/>
        <v/>
      </c>
      <c r="LL488" s="261" t="str">
        <f t="shared" si="303"/>
        <v/>
      </c>
      <c r="LM488" s="261" t="str">
        <f t="shared" si="304"/>
        <v/>
      </c>
      <c r="LN488" s="261" t="str">
        <f t="shared" si="305"/>
        <v/>
      </c>
      <c r="LO488" s="261" t="str">
        <f t="shared" si="306"/>
        <v/>
      </c>
      <c r="LP488" s="261" t="str">
        <f t="shared" si="307"/>
        <v/>
      </c>
      <c r="LQ488" s="261" t="str">
        <f t="shared" si="308"/>
        <v/>
      </c>
      <c r="LR488" s="261" t="str">
        <f t="shared" si="309"/>
        <v/>
      </c>
      <c r="LS488" s="261" t="str">
        <f t="shared" si="310"/>
        <v/>
      </c>
      <c r="LT488" s="261" t="str">
        <f t="shared" si="311"/>
        <v/>
      </c>
      <c r="LU488" s="261" t="str">
        <f t="shared" si="312"/>
        <v/>
      </c>
      <c r="LV488" s="261" t="str">
        <f t="shared" si="313"/>
        <v/>
      </c>
      <c r="LW488" s="261" t="str">
        <f t="shared" si="314"/>
        <v/>
      </c>
      <c r="LX488" s="261" t="str">
        <f t="shared" si="315"/>
        <v/>
      </c>
      <c r="LY488" s="261" t="str">
        <f t="shared" si="316"/>
        <v/>
      </c>
      <c r="LZ488" s="261" t="str">
        <f t="shared" si="317"/>
        <v/>
      </c>
      <c r="MA488" s="261" t="str">
        <f t="shared" si="318"/>
        <v/>
      </c>
      <c r="MB488" s="261" t="str">
        <f t="shared" si="319"/>
        <v/>
      </c>
      <c r="MC488" s="261" t="str">
        <f t="shared" si="320"/>
        <v/>
      </c>
      <c r="MD488" s="261" t="str">
        <f t="shared" si="321"/>
        <v/>
      </c>
      <c r="ME488" s="261" t="str">
        <f t="shared" si="322"/>
        <v/>
      </c>
      <c r="MF488" s="1441">
        <f t="shared" si="323"/>
        <v>0</v>
      </c>
      <c r="MG488" s="1441">
        <f t="shared" si="324"/>
        <v>0</v>
      </c>
      <c r="MH488" s="1441">
        <f t="shared" si="325"/>
        <v>4</v>
      </c>
      <c r="MI488" s="1441">
        <f t="shared" si="326"/>
        <v>0</v>
      </c>
      <c r="MJ488" s="1441">
        <f t="shared" si="327"/>
        <v>0</v>
      </c>
      <c r="MK488" s="1441">
        <f t="shared" si="333"/>
        <v>0</v>
      </c>
      <c r="ML488" s="1441">
        <f t="shared" si="334"/>
        <v>0</v>
      </c>
      <c r="MM488" s="1441">
        <f t="shared" si="335"/>
        <v>0</v>
      </c>
      <c r="MN488" s="1441">
        <f t="shared" si="336"/>
        <v>0</v>
      </c>
      <c r="MO488" s="1441">
        <f t="shared" si="337"/>
        <v>0</v>
      </c>
      <c r="MP488" s="1441">
        <f t="shared" si="328"/>
        <v>0</v>
      </c>
      <c r="MQ488" s="1441">
        <f t="shared" si="329"/>
        <v>0</v>
      </c>
      <c r="MR488" s="1441">
        <f t="shared" si="330"/>
        <v>0</v>
      </c>
      <c r="MS488" s="1441">
        <f t="shared" si="331"/>
        <v>0</v>
      </c>
      <c r="MT488" s="1441">
        <f t="shared" si="332"/>
        <v>0</v>
      </c>
      <c r="NP488" s="261" t="s">
        <v>1142</v>
      </c>
    </row>
    <row r="489" spans="1:380" ht="13.9" customHeight="1">
      <c r="A489" s="2330" t="str">
        <f t="shared" si="0"/>
        <v/>
      </c>
      <c r="B489" s="2149">
        <f>'Part V-Revenues &amp; Expenses'!B42</f>
        <v>60</v>
      </c>
      <c r="C489" s="2150">
        <f>'Part V-Revenues &amp; Expenses'!C42</f>
        <v>3</v>
      </c>
      <c r="D489" s="2151">
        <f>'Part V-Revenues &amp; Expenses'!D42</f>
        <v>2.5</v>
      </c>
      <c r="E489" s="2152">
        <f>'Part V-Revenues &amp; Expenses'!E42</f>
        <v>1</v>
      </c>
      <c r="F489" s="2152">
        <f>'Part V-Revenues &amp; Expenses'!F42</f>
        <v>1107</v>
      </c>
      <c r="G489" s="2152">
        <f>'Part V-Revenues &amp; Expenses'!G42</f>
        <v>1593</v>
      </c>
      <c r="H489" s="2152">
        <f>'Part V-Revenues &amp; Expenses'!H42</f>
        <v>1593</v>
      </c>
      <c r="I489" s="2152">
        <f>'Part V-Revenues &amp; Expenses'!I42</f>
        <v>0</v>
      </c>
      <c r="J489" s="2152">
        <f>'Part V-Revenues &amp; Expenses'!J42</f>
        <v>216</v>
      </c>
      <c r="K489" s="2153">
        <f>'Part V-Revenues &amp; Expenses'!K42</f>
        <v>0</v>
      </c>
      <c r="L489" s="2154">
        <f t="shared" si="1"/>
        <v>1377</v>
      </c>
      <c r="M489" s="2154">
        <f t="shared" si="2"/>
        <v>1377</v>
      </c>
      <c r="N489" s="2225" t="str">
        <f>'Part V-Revenues &amp; Expenses'!N42</f>
        <v>No</v>
      </c>
      <c r="O489" s="1065" t="str">
        <f>'Part V-Revenues &amp; Expenses'!O42</f>
        <v>Row House/TH</v>
      </c>
      <c r="P489" s="2225" t="str">
        <f>'Part V-Revenues &amp; Expenses'!P42</f>
        <v>Acquisition/Rehab</v>
      </c>
      <c r="Q489" s="1574" t="str">
        <f>'Part V-Revenues &amp; Expenses'!Q42</f>
        <v>No</v>
      </c>
      <c r="R489" s="2356"/>
      <c r="S489" s="2357"/>
      <c r="T489" s="2358"/>
      <c r="U489" s="2358"/>
      <c r="V489" s="2358"/>
      <c r="W489" s="2358"/>
      <c r="X489" s="261" t="str">
        <f t="shared" si="3"/>
        <v/>
      </c>
      <c r="Y489" s="261" t="str">
        <f t="shared" si="4"/>
        <v/>
      </c>
      <c r="Z489" s="261" t="str">
        <f t="shared" si="5"/>
        <v/>
      </c>
      <c r="AA489" s="261" t="str">
        <f t="shared" si="6"/>
        <v/>
      </c>
      <c r="AB489" s="261" t="str">
        <f t="shared" si="7"/>
        <v/>
      </c>
      <c r="AC489" s="261" t="str">
        <f t="shared" si="8"/>
        <v/>
      </c>
      <c r="AD489" s="261" t="str">
        <f t="shared" si="9"/>
        <v/>
      </c>
      <c r="AE489" s="261" t="str">
        <f t="shared" si="10"/>
        <v/>
      </c>
      <c r="AF489" s="261" t="str">
        <f t="shared" si="11"/>
        <v/>
      </c>
      <c r="AG489" s="261" t="str">
        <f t="shared" si="12"/>
        <v/>
      </c>
      <c r="AH489" s="261" t="str">
        <f t="shared" si="13"/>
        <v/>
      </c>
      <c r="AI489" s="261" t="str">
        <f t="shared" si="14"/>
        <v/>
      </c>
      <c r="AJ489" s="261" t="str">
        <f t="shared" si="15"/>
        <v/>
      </c>
      <c r="AK489" s="261">
        <f t="shared" si="16"/>
        <v>1</v>
      </c>
      <c r="AL489" s="261" t="str">
        <f t="shared" si="17"/>
        <v/>
      </c>
      <c r="AM489" s="261" t="str">
        <f t="shared" si="18"/>
        <v/>
      </c>
      <c r="AN489" s="261" t="str">
        <f t="shared" si="19"/>
        <v/>
      </c>
      <c r="AO489" s="261" t="str">
        <f t="shared" si="20"/>
        <v/>
      </c>
      <c r="AP489" s="261" t="str">
        <f t="shared" si="21"/>
        <v/>
      </c>
      <c r="AQ489" s="261" t="str">
        <f t="shared" si="22"/>
        <v/>
      </c>
      <c r="AR489" s="261" t="str">
        <f t="shared" si="23"/>
        <v/>
      </c>
      <c r="AS489" s="261" t="str">
        <f t="shared" si="24"/>
        <v/>
      </c>
      <c r="AT489" s="261" t="str">
        <f t="shared" si="25"/>
        <v/>
      </c>
      <c r="AU489" s="261" t="str">
        <f t="shared" si="26"/>
        <v/>
      </c>
      <c r="AV489" s="261" t="str">
        <f t="shared" si="27"/>
        <v/>
      </c>
      <c r="AW489" s="261" t="str">
        <f t="shared" si="28"/>
        <v/>
      </c>
      <c r="AX489" s="261" t="str">
        <f t="shared" si="29"/>
        <v/>
      </c>
      <c r="AY489" s="261" t="str">
        <f t="shared" si="30"/>
        <v/>
      </c>
      <c r="AZ489" s="261" t="str">
        <f t="shared" si="31"/>
        <v/>
      </c>
      <c r="BA489" s="261" t="str">
        <f t="shared" si="32"/>
        <v/>
      </c>
      <c r="BB489" s="261" t="str">
        <f t="shared" si="33"/>
        <v/>
      </c>
      <c r="BC489" s="261" t="str">
        <f t="shared" si="34"/>
        <v/>
      </c>
      <c r="BD489" s="261" t="str">
        <f t="shared" si="35"/>
        <v/>
      </c>
      <c r="BE489" s="261" t="str">
        <f t="shared" si="36"/>
        <v/>
      </c>
      <c r="BF489" s="261" t="str">
        <f t="shared" si="37"/>
        <v/>
      </c>
      <c r="BG489" s="261" t="str">
        <f t="shared" si="38"/>
        <v/>
      </c>
      <c r="BH489" s="261" t="str">
        <f t="shared" si="39"/>
        <v/>
      </c>
      <c r="BI489" s="261" t="str">
        <f t="shared" si="40"/>
        <v/>
      </c>
      <c r="BJ489" s="261" t="str">
        <f t="shared" si="41"/>
        <v/>
      </c>
      <c r="BK489" s="261" t="str">
        <f t="shared" si="42"/>
        <v/>
      </c>
      <c r="BL489" s="261" t="str">
        <f t="shared" si="43"/>
        <v/>
      </c>
      <c r="BM489" s="261" t="str">
        <f t="shared" si="44"/>
        <v/>
      </c>
      <c r="BN489" s="261" t="str">
        <f t="shared" si="45"/>
        <v/>
      </c>
      <c r="BO489" s="261" t="str">
        <f t="shared" si="46"/>
        <v/>
      </c>
      <c r="BP489" s="261" t="str">
        <f t="shared" si="47"/>
        <v/>
      </c>
      <c r="BQ489" s="261" t="str">
        <f t="shared" si="48"/>
        <v/>
      </c>
      <c r="BR489" s="261" t="str">
        <f t="shared" si="49"/>
        <v/>
      </c>
      <c r="BS489" s="261" t="str">
        <f t="shared" si="50"/>
        <v/>
      </c>
      <c r="BT489" s="261" t="str">
        <f t="shared" si="51"/>
        <v/>
      </c>
      <c r="BU489" s="261" t="str">
        <f t="shared" si="52"/>
        <v/>
      </c>
      <c r="BV489" s="261" t="str">
        <f t="shared" si="53"/>
        <v/>
      </c>
      <c r="BW489" s="261" t="str">
        <f t="shared" si="54"/>
        <v/>
      </c>
      <c r="BX489" s="261" t="str">
        <f t="shared" si="55"/>
        <v/>
      </c>
      <c r="BY489" s="261" t="str">
        <f t="shared" si="56"/>
        <v/>
      </c>
      <c r="BZ489" s="261" t="str">
        <f t="shared" si="57"/>
        <v/>
      </c>
      <c r="CA489" s="261" t="str">
        <f t="shared" si="58"/>
        <v/>
      </c>
      <c r="CB489" s="261" t="str">
        <f t="shared" si="59"/>
        <v/>
      </c>
      <c r="CC489" s="261" t="str">
        <f t="shared" si="60"/>
        <v/>
      </c>
      <c r="CD489" s="261" t="str">
        <f t="shared" si="61"/>
        <v/>
      </c>
      <c r="CE489" s="261" t="str">
        <f t="shared" si="62"/>
        <v/>
      </c>
      <c r="CF489" s="261" t="str">
        <f t="shared" si="63"/>
        <v/>
      </c>
      <c r="CG489" s="261" t="str">
        <f t="shared" si="64"/>
        <v/>
      </c>
      <c r="CH489" s="261" t="str">
        <f t="shared" si="65"/>
        <v/>
      </c>
      <c r="CI489" s="261" t="str">
        <f t="shared" si="66"/>
        <v/>
      </c>
      <c r="CJ489" s="261" t="str">
        <f t="shared" si="67"/>
        <v/>
      </c>
      <c r="CK489" s="261" t="str">
        <f t="shared" si="68"/>
        <v/>
      </c>
      <c r="CL489" s="261" t="str">
        <f t="shared" si="69"/>
        <v/>
      </c>
      <c r="CM489" s="261" t="str">
        <f t="shared" si="70"/>
        <v/>
      </c>
      <c r="CN489" s="261" t="str">
        <f t="shared" si="71"/>
        <v/>
      </c>
      <c r="CO489" s="261" t="str">
        <f t="shared" si="72"/>
        <v/>
      </c>
      <c r="CP489" s="261" t="str">
        <f t="shared" si="73"/>
        <v/>
      </c>
      <c r="CQ489" s="261" t="str">
        <f t="shared" si="74"/>
        <v/>
      </c>
      <c r="CR489" s="261" t="str">
        <f t="shared" si="75"/>
        <v/>
      </c>
      <c r="CS489" s="261" t="str">
        <f t="shared" si="76"/>
        <v/>
      </c>
      <c r="CT489" s="261" t="str">
        <f t="shared" si="77"/>
        <v/>
      </c>
      <c r="CU489" s="261" t="str">
        <f t="shared" si="78"/>
        <v/>
      </c>
      <c r="CV489" s="261" t="str">
        <f t="shared" si="79"/>
        <v/>
      </c>
      <c r="CW489" s="261" t="str">
        <f t="shared" si="80"/>
        <v/>
      </c>
      <c r="CX489" s="261" t="str">
        <f t="shared" si="81"/>
        <v/>
      </c>
      <c r="CY489" s="261" t="str">
        <f t="shared" si="82"/>
        <v/>
      </c>
      <c r="CZ489" s="261" t="str">
        <f t="shared" si="83"/>
        <v/>
      </c>
      <c r="DA489" s="261" t="str">
        <f t="shared" si="84"/>
        <v/>
      </c>
      <c r="DB489" s="261" t="str">
        <f t="shared" si="85"/>
        <v/>
      </c>
      <c r="DC489" s="261" t="str">
        <f t="shared" si="86"/>
        <v/>
      </c>
      <c r="DD489" s="261" t="str">
        <f t="shared" si="87"/>
        <v/>
      </c>
      <c r="DE489" s="261" t="str">
        <f t="shared" si="88"/>
        <v/>
      </c>
      <c r="DF489" s="261" t="str">
        <f t="shared" si="89"/>
        <v/>
      </c>
      <c r="DG489" s="261" t="str">
        <f t="shared" si="90"/>
        <v/>
      </c>
      <c r="DH489" s="261" t="str">
        <f t="shared" si="91"/>
        <v/>
      </c>
      <c r="DI489" s="261" t="str">
        <f t="shared" si="92"/>
        <v/>
      </c>
      <c r="DJ489" s="261" t="str">
        <f t="shared" si="93"/>
        <v/>
      </c>
      <c r="DK489" s="261" t="str">
        <f t="shared" si="94"/>
        <v/>
      </c>
      <c r="DL489" s="261" t="str">
        <f t="shared" si="95"/>
        <v/>
      </c>
      <c r="DM489" s="261" t="str">
        <f t="shared" si="96"/>
        <v/>
      </c>
      <c r="DN489" s="261" t="str">
        <f t="shared" si="97"/>
        <v/>
      </c>
      <c r="DO489" s="261" t="str">
        <f t="shared" si="98"/>
        <v/>
      </c>
      <c r="DP489" s="261" t="str">
        <f t="shared" si="99"/>
        <v/>
      </c>
      <c r="DQ489" s="261" t="str">
        <f t="shared" si="100"/>
        <v/>
      </c>
      <c r="DR489" s="261" t="str">
        <f t="shared" si="101"/>
        <v/>
      </c>
      <c r="DS489" s="261" t="str">
        <f t="shared" si="102"/>
        <v/>
      </c>
      <c r="DT489" s="261" t="str">
        <f t="shared" si="103"/>
        <v/>
      </c>
      <c r="DU489" s="261" t="str">
        <f t="shared" si="104"/>
        <v/>
      </c>
      <c r="DV489" s="261" t="str">
        <f t="shared" si="105"/>
        <v/>
      </c>
      <c r="DW489" s="261" t="str">
        <f t="shared" si="106"/>
        <v/>
      </c>
      <c r="DX489" s="261" t="str">
        <f t="shared" si="107"/>
        <v/>
      </c>
      <c r="DY489" s="261" t="str">
        <f t="shared" si="108"/>
        <v/>
      </c>
      <c r="DZ489" s="261" t="str">
        <f t="shared" si="109"/>
        <v/>
      </c>
      <c r="EA489" s="261" t="str">
        <f t="shared" si="110"/>
        <v/>
      </c>
      <c r="EB489" s="261" t="str">
        <f t="shared" si="111"/>
        <v/>
      </c>
      <c r="EC489" s="261" t="str">
        <f t="shared" si="112"/>
        <v/>
      </c>
      <c r="ED489" s="261" t="str">
        <f t="shared" si="113"/>
        <v/>
      </c>
      <c r="EE489" s="261" t="str">
        <f t="shared" si="114"/>
        <v/>
      </c>
      <c r="EF489" s="261" t="str">
        <f t="shared" si="115"/>
        <v/>
      </c>
      <c r="EG489" s="261" t="str">
        <f t="shared" si="116"/>
        <v/>
      </c>
      <c r="EH489" s="261" t="str">
        <f t="shared" si="117"/>
        <v/>
      </c>
      <c r="EI489" s="261" t="str">
        <f t="shared" si="118"/>
        <v/>
      </c>
      <c r="EJ489" s="261" t="str">
        <f t="shared" si="119"/>
        <v/>
      </c>
      <c r="EK489" s="261" t="str">
        <f t="shared" si="120"/>
        <v/>
      </c>
      <c r="EL489" s="261" t="str">
        <f t="shared" si="121"/>
        <v/>
      </c>
      <c r="EM489" s="261" t="str">
        <f t="shared" si="122"/>
        <v/>
      </c>
      <c r="EN489" s="261" t="str">
        <f t="shared" si="123"/>
        <v/>
      </c>
      <c r="EO489" s="261" t="str">
        <f t="shared" si="124"/>
        <v/>
      </c>
      <c r="EP489" s="261" t="str">
        <f t="shared" si="125"/>
        <v/>
      </c>
      <c r="EQ489" s="261" t="str">
        <f t="shared" si="126"/>
        <v/>
      </c>
      <c r="ER489" s="261" t="str">
        <f t="shared" si="127"/>
        <v/>
      </c>
      <c r="ES489" s="261" t="str">
        <f t="shared" si="128"/>
        <v/>
      </c>
      <c r="ET489" s="261" t="str">
        <f t="shared" si="129"/>
        <v/>
      </c>
      <c r="EU489" s="261" t="str">
        <f t="shared" si="130"/>
        <v/>
      </c>
      <c r="EV489" s="261">
        <f t="shared" si="131"/>
        <v>1107</v>
      </c>
      <c r="EW489" s="261" t="str">
        <f t="shared" si="132"/>
        <v/>
      </c>
      <c r="EX489" s="261" t="str">
        <f t="shared" si="133"/>
        <v/>
      </c>
      <c r="EY489" s="261" t="str">
        <f t="shared" si="134"/>
        <v/>
      </c>
      <c r="EZ489" s="261" t="str">
        <f t="shared" si="135"/>
        <v/>
      </c>
      <c r="FA489" s="261" t="str">
        <f t="shared" si="136"/>
        <v/>
      </c>
      <c r="FB489" s="261" t="str">
        <f t="shared" si="137"/>
        <v/>
      </c>
      <c r="FC489" s="261" t="str">
        <f t="shared" si="138"/>
        <v/>
      </c>
      <c r="FD489" s="261" t="str">
        <f t="shared" si="139"/>
        <v/>
      </c>
      <c r="FE489" s="261" t="str">
        <f t="shared" si="140"/>
        <v/>
      </c>
      <c r="FF489" s="261" t="str">
        <f t="shared" si="141"/>
        <v/>
      </c>
      <c r="FG489" s="261" t="str">
        <f t="shared" si="142"/>
        <v/>
      </c>
      <c r="FH489" s="261" t="str">
        <f t="shared" si="143"/>
        <v/>
      </c>
      <c r="FI489" s="261" t="str">
        <f t="shared" si="144"/>
        <v/>
      </c>
      <c r="FJ489" s="261" t="str">
        <f t="shared" si="145"/>
        <v/>
      </c>
      <c r="FK489" s="261" t="str">
        <f t="shared" si="146"/>
        <v/>
      </c>
      <c r="FL489" s="261" t="str">
        <f t="shared" si="147"/>
        <v/>
      </c>
      <c r="FM489" s="261" t="str">
        <f t="shared" si="148"/>
        <v/>
      </c>
      <c r="FN489" s="261" t="str">
        <f t="shared" si="149"/>
        <v/>
      </c>
      <c r="FO489" s="261" t="str">
        <f t="shared" si="150"/>
        <v/>
      </c>
      <c r="FP489" s="261" t="str">
        <f t="shared" si="151"/>
        <v/>
      </c>
      <c r="FQ489" s="261" t="str">
        <f t="shared" si="152"/>
        <v/>
      </c>
      <c r="FR489" s="261" t="str">
        <f t="shared" si="153"/>
        <v/>
      </c>
      <c r="FS489" s="261" t="str">
        <f t="shared" si="154"/>
        <v/>
      </c>
      <c r="FT489" s="261" t="str">
        <f t="shared" si="155"/>
        <v/>
      </c>
      <c r="FU489" s="261" t="str">
        <f t="shared" si="156"/>
        <v/>
      </c>
      <c r="FV489" s="261" t="str">
        <f t="shared" si="157"/>
        <v/>
      </c>
      <c r="FW489" s="261" t="str">
        <f t="shared" si="158"/>
        <v/>
      </c>
      <c r="FX489" s="261" t="str">
        <f t="shared" si="159"/>
        <v/>
      </c>
      <c r="FY489" s="261" t="str">
        <f t="shared" si="160"/>
        <v/>
      </c>
      <c r="FZ489" s="261" t="str">
        <f t="shared" si="161"/>
        <v/>
      </c>
      <c r="GA489" s="261" t="str">
        <f t="shared" si="162"/>
        <v/>
      </c>
      <c r="GB489" s="261" t="str">
        <f t="shared" si="163"/>
        <v/>
      </c>
      <c r="GC489" s="261" t="str">
        <f t="shared" si="164"/>
        <v/>
      </c>
      <c r="GD489" s="261" t="str">
        <f t="shared" si="165"/>
        <v/>
      </c>
      <c r="GE489" s="261" t="str">
        <f t="shared" si="166"/>
        <v/>
      </c>
      <c r="GF489" s="261" t="str">
        <f t="shared" si="167"/>
        <v/>
      </c>
      <c r="GG489" s="261" t="str">
        <f t="shared" si="168"/>
        <v/>
      </c>
      <c r="GH489" s="261" t="str">
        <f t="shared" si="169"/>
        <v/>
      </c>
      <c r="GI489" s="261" t="str">
        <f t="shared" si="170"/>
        <v/>
      </c>
      <c r="GJ489" s="261" t="str">
        <f t="shared" si="171"/>
        <v/>
      </c>
      <c r="GK489" s="261" t="str">
        <f t="shared" si="172"/>
        <v/>
      </c>
      <c r="GL489" s="261" t="str">
        <f t="shared" si="173"/>
        <v/>
      </c>
      <c r="GM489" s="261" t="str">
        <f t="shared" si="174"/>
        <v/>
      </c>
      <c r="GN489" s="261" t="str">
        <f t="shared" si="175"/>
        <v/>
      </c>
      <c r="GO489" s="261" t="str">
        <f t="shared" si="176"/>
        <v/>
      </c>
      <c r="GP489" s="261" t="str">
        <f t="shared" si="177"/>
        <v/>
      </c>
      <c r="GQ489" s="261" t="str">
        <f t="shared" si="178"/>
        <v/>
      </c>
      <c r="GR489" s="261" t="str">
        <f t="shared" si="179"/>
        <v/>
      </c>
      <c r="GS489" s="261" t="str">
        <f t="shared" si="180"/>
        <v/>
      </c>
      <c r="GT489" s="261" t="str">
        <f t="shared" si="181"/>
        <v/>
      </c>
      <c r="GU489" s="261" t="str">
        <f t="shared" si="182"/>
        <v/>
      </c>
      <c r="GV489" s="261" t="str">
        <f t="shared" si="183"/>
        <v/>
      </c>
      <c r="GW489" s="261" t="str">
        <f t="shared" si="184"/>
        <v/>
      </c>
      <c r="GX489" s="261" t="str">
        <f t="shared" si="185"/>
        <v/>
      </c>
      <c r="GY489" s="261">
        <f t="shared" si="186"/>
        <v>1</v>
      </c>
      <c r="GZ489" s="261" t="str">
        <f t="shared" si="187"/>
        <v/>
      </c>
      <c r="HA489" s="261" t="str">
        <f t="shared" si="188"/>
        <v/>
      </c>
      <c r="HB489" s="261" t="str">
        <f t="shared" si="189"/>
        <v/>
      </c>
      <c r="HC489" s="261" t="str">
        <f t="shared" si="190"/>
        <v/>
      </c>
      <c r="HD489" s="261" t="str">
        <f t="shared" si="191"/>
        <v/>
      </c>
      <c r="HE489" s="261" t="str">
        <f t="shared" si="192"/>
        <v/>
      </c>
      <c r="HF489" s="261" t="str">
        <f t="shared" si="193"/>
        <v/>
      </c>
      <c r="HG489" s="261" t="str">
        <f t="shared" si="194"/>
        <v/>
      </c>
      <c r="HH489" s="261" t="str">
        <f t="shared" si="195"/>
        <v/>
      </c>
      <c r="HI489" s="261" t="str">
        <f t="shared" si="196"/>
        <v/>
      </c>
      <c r="HJ489" s="261" t="str">
        <f t="shared" si="197"/>
        <v/>
      </c>
      <c r="HK489" s="261" t="str">
        <f t="shared" si="198"/>
        <v/>
      </c>
      <c r="HL489" s="261" t="str">
        <f t="shared" si="199"/>
        <v/>
      </c>
      <c r="HM489" s="261" t="str">
        <f t="shared" si="200"/>
        <v/>
      </c>
      <c r="HN489" s="261" t="str">
        <f t="shared" si="201"/>
        <v/>
      </c>
      <c r="HO489" s="261" t="str">
        <f t="shared" si="202"/>
        <v/>
      </c>
      <c r="HP489" s="261" t="str">
        <f t="shared" si="203"/>
        <v/>
      </c>
      <c r="HQ489" s="261" t="str">
        <f t="shared" si="204"/>
        <v/>
      </c>
      <c r="HR489" s="261" t="str">
        <f t="shared" si="205"/>
        <v/>
      </c>
      <c r="HS489" s="261" t="str">
        <f t="shared" si="206"/>
        <v/>
      </c>
      <c r="HT489" s="261" t="str">
        <f t="shared" si="207"/>
        <v/>
      </c>
      <c r="HU489" s="261" t="str">
        <f t="shared" si="208"/>
        <v/>
      </c>
      <c r="HV489" s="261" t="str">
        <f t="shared" si="209"/>
        <v/>
      </c>
      <c r="HW489" s="261" t="str">
        <f t="shared" si="210"/>
        <v/>
      </c>
      <c r="HX489" s="261" t="str">
        <f t="shared" si="211"/>
        <v/>
      </c>
      <c r="HY489" s="261" t="str">
        <f t="shared" si="212"/>
        <v/>
      </c>
      <c r="HZ489" s="1575" t="str">
        <f t="shared" si="213"/>
        <v/>
      </c>
      <c r="IA489" s="1575" t="str">
        <f t="shared" si="214"/>
        <v/>
      </c>
      <c r="IB489" s="1575" t="str">
        <f t="shared" si="215"/>
        <v/>
      </c>
      <c r="IC489" s="1575" t="str">
        <f t="shared" si="216"/>
        <v/>
      </c>
      <c r="ID489" s="1575" t="str">
        <f t="shared" si="217"/>
        <v/>
      </c>
      <c r="IE489" s="1575" t="str">
        <f t="shared" si="218"/>
        <v/>
      </c>
      <c r="IF489" s="1575" t="str">
        <f t="shared" si="219"/>
        <v/>
      </c>
      <c r="IG489" s="1575" t="str">
        <f t="shared" si="220"/>
        <v/>
      </c>
      <c r="IH489" s="1575" t="str">
        <f t="shared" si="221"/>
        <v/>
      </c>
      <c r="II489" s="1575" t="str">
        <f t="shared" si="222"/>
        <v/>
      </c>
      <c r="IJ489" s="1575" t="str">
        <f t="shared" si="223"/>
        <v/>
      </c>
      <c r="IK489" s="1575" t="str">
        <f t="shared" si="224"/>
        <v/>
      </c>
      <c r="IL489" s="1575" t="str">
        <f t="shared" si="225"/>
        <v/>
      </c>
      <c r="IM489" s="1575" t="str">
        <f t="shared" si="226"/>
        <v/>
      </c>
      <c r="IN489" s="1575" t="str">
        <f t="shared" si="227"/>
        <v/>
      </c>
      <c r="IO489" s="1575" t="str">
        <f t="shared" si="228"/>
        <v/>
      </c>
      <c r="IP489" s="1575" t="str">
        <f t="shared" si="229"/>
        <v/>
      </c>
      <c r="IQ489" s="1575" t="str">
        <f t="shared" si="230"/>
        <v/>
      </c>
      <c r="IR489" s="1575" t="str">
        <f t="shared" si="231"/>
        <v/>
      </c>
      <c r="IS489" s="1575" t="str">
        <f t="shared" si="232"/>
        <v/>
      </c>
      <c r="IT489" s="1575" t="str">
        <f t="shared" si="233"/>
        <v/>
      </c>
      <c r="IU489" s="1575" t="str">
        <f t="shared" si="234"/>
        <v/>
      </c>
      <c r="IV489" s="1575" t="str">
        <f t="shared" si="235"/>
        <v/>
      </c>
      <c r="IW489" s="1575" t="str">
        <f t="shared" si="236"/>
        <v/>
      </c>
      <c r="IX489" s="1575" t="str">
        <f t="shared" si="237"/>
        <v/>
      </c>
      <c r="IY489" s="1575" t="str">
        <f t="shared" si="238"/>
        <v/>
      </c>
      <c r="IZ489" s="1575" t="str">
        <f t="shared" si="239"/>
        <v/>
      </c>
      <c r="JA489" s="1575" t="str">
        <f t="shared" si="240"/>
        <v/>
      </c>
      <c r="JB489" s="1575" t="str">
        <f t="shared" si="241"/>
        <v/>
      </c>
      <c r="JC489" s="1575" t="str">
        <f t="shared" si="242"/>
        <v/>
      </c>
      <c r="JD489" s="1575" t="str">
        <f t="shared" si="243"/>
        <v/>
      </c>
      <c r="JE489" s="1575" t="str">
        <f t="shared" si="244"/>
        <v/>
      </c>
      <c r="JF489" s="1575" t="str">
        <f t="shared" si="245"/>
        <v/>
      </c>
      <c r="JG489" s="1575" t="str">
        <f t="shared" si="246"/>
        <v/>
      </c>
      <c r="JH489" s="1575" t="str">
        <f t="shared" si="247"/>
        <v/>
      </c>
      <c r="JI489" s="1575" t="str">
        <f t="shared" si="248"/>
        <v/>
      </c>
      <c r="JJ489" s="1575" t="str">
        <f t="shared" si="249"/>
        <v/>
      </c>
      <c r="JK489" s="1575" t="str">
        <f t="shared" si="250"/>
        <v/>
      </c>
      <c r="JL489" s="1575">
        <f t="shared" si="251"/>
        <v>1</v>
      </c>
      <c r="JM489" s="1575" t="str">
        <f t="shared" si="252"/>
        <v/>
      </c>
      <c r="JN489" s="1575" t="str">
        <f t="shared" si="253"/>
        <v/>
      </c>
      <c r="JO489" s="1575" t="str">
        <f t="shared" si="254"/>
        <v/>
      </c>
      <c r="JP489" s="1575" t="str">
        <f t="shared" si="255"/>
        <v/>
      </c>
      <c r="JQ489" s="1575" t="str">
        <f t="shared" si="256"/>
        <v/>
      </c>
      <c r="JR489" s="1575" t="str">
        <f t="shared" si="257"/>
        <v/>
      </c>
      <c r="JS489" s="1575" t="str">
        <f t="shared" si="258"/>
        <v/>
      </c>
      <c r="JT489" s="1575" t="str">
        <f t="shared" si="259"/>
        <v/>
      </c>
      <c r="JU489" s="1575" t="str">
        <f t="shared" si="260"/>
        <v/>
      </c>
      <c r="JV489" s="1575" t="str">
        <f t="shared" si="261"/>
        <v/>
      </c>
      <c r="JW489" s="1575" t="str">
        <f t="shared" si="262"/>
        <v/>
      </c>
      <c r="JX489" s="1575" t="str">
        <f t="shared" si="263"/>
        <v/>
      </c>
      <c r="JY489" s="1575" t="str">
        <f t="shared" si="264"/>
        <v/>
      </c>
      <c r="JZ489" s="1575" t="str">
        <f t="shared" si="265"/>
        <v/>
      </c>
      <c r="KA489" s="1575" t="str">
        <f t="shared" si="266"/>
        <v/>
      </c>
      <c r="KB489" s="1575" t="str">
        <f t="shared" si="267"/>
        <v/>
      </c>
      <c r="KC489" s="1575" t="str">
        <f t="shared" si="268"/>
        <v/>
      </c>
      <c r="KD489" s="1575" t="str">
        <f t="shared" si="269"/>
        <v/>
      </c>
      <c r="KE489" s="1575" t="str">
        <f t="shared" si="270"/>
        <v/>
      </c>
      <c r="KF489" s="1575" t="str">
        <f t="shared" si="271"/>
        <v/>
      </c>
      <c r="KG489" s="1575" t="str">
        <f t="shared" si="272"/>
        <v/>
      </c>
      <c r="KH489" s="1575" t="str">
        <f t="shared" si="273"/>
        <v/>
      </c>
      <c r="KI489" s="1575" t="str">
        <f t="shared" si="274"/>
        <v/>
      </c>
      <c r="KJ489" s="1575" t="str">
        <f t="shared" si="275"/>
        <v/>
      </c>
      <c r="KK489" s="1575" t="str">
        <f t="shared" si="276"/>
        <v/>
      </c>
      <c r="KL489" s="1575" t="str">
        <f t="shared" si="277"/>
        <v/>
      </c>
      <c r="KM489" s="1575" t="str">
        <f t="shared" si="278"/>
        <v/>
      </c>
      <c r="KN489" s="1575" t="str">
        <f t="shared" si="279"/>
        <v/>
      </c>
      <c r="KO489" s="1575" t="str">
        <f t="shared" si="280"/>
        <v/>
      </c>
      <c r="KP489" s="1575" t="str">
        <f t="shared" si="281"/>
        <v/>
      </c>
      <c r="KQ489" s="1575" t="str">
        <f t="shared" si="282"/>
        <v/>
      </c>
      <c r="KR489" s="1575" t="str">
        <f t="shared" si="283"/>
        <v/>
      </c>
      <c r="KS489" s="1575" t="str">
        <f t="shared" si="284"/>
        <v/>
      </c>
      <c r="KT489" s="1575" t="str">
        <f t="shared" si="285"/>
        <v/>
      </c>
      <c r="KU489" s="1575" t="str">
        <f t="shared" si="286"/>
        <v/>
      </c>
      <c r="KV489" s="1575" t="str">
        <f t="shared" si="287"/>
        <v/>
      </c>
      <c r="KW489" s="1575" t="str">
        <f t="shared" si="288"/>
        <v/>
      </c>
      <c r="KX489" s="1575" t="str">
        <f t="shared" si="289"/>
        <v/>
      </c>
      <c r="KY489" s="1575" t="str">
        <f t="shared" si="290"/>
        <v/>
      </c>
      <c r="KZ489" s="1575" t="str">
        <f t="shared" si="291"/>
        <v/>
      </c>
      <c r="LA489" s="1575" t="str">
        <f t="shared" si="292"/>
        <v/>
      </c>
      <c r="LB489" s="1575" t="str">
        <f t="shared" si="293"/>
        <v/>
      </c>
      <c r="LC489" s="1575" t="str">
        <f t="shared" si="294"/>
        <v/>
      </c>
      <c r="LD489" s="1575" t="str">
        <f t="shared" si="295"/>
        <v/>
      </c>
      <c r="LE489" s="1575" t="str">
        <f t="shared" si="296"/>
        <v/>
      </c>
      <c r="LF489" s="1575" t="str">
        <f t="shared" si="297"/>
        <v/>
      </c>
      <c r="LG489" s="1564" t="str">
        <f t="shared" si="298"/>
        <v/>
      </c>
      <c r="LH489" s="1564" t="str">
        <f t="shared" si="299"/>
        <v/>
      </c>
      <c r="LI489" s="1564" t="str">
        <f t="shared" si="300"/>
        <v/>
      </c>
      <c r="LJ489" s="1564" t="str">
        <f t="shared" si="301"/>
        <v/>
      </c>
      <c r="LK489" s="1564" t="str">
        <f t="shared" si="302"/>
        <v/>
      </c>
      <c r="LL489" s="261" t="str">
        <f t="shared" si="303"/>
        <v/>
      </c>
      <c r="LM489" s="261" t="str">
        <f t="shared" si="304"/>
        <v/>
      </c>
      <c r="LN489" s="261" t="str">
        <f t="shared" si="305"/>
        <v/>
      </c>
      <c r="LO489" s="261" t="str">
        <f t="shared" si="306"/>
        <v/>
      </c>
      <c r="LP489" s="261" t="str">
        <f t="shared" si="307"/>
        <v/>
      </c>
      <c r="LQ489" s="261" t="str">
        <f t="shared" si="308"/>
        <v/>
      </c>
      <c r="LR489" s="261" t="str">
        <f t="shared" si="309"/>
        <v/>
      </c>
      <c r="LS489" s="261" t="str">
        <f t="shared" si="310"/>
        <v/>
      </c>
      <c r="LT489" s="261" t="str">
        <f t="shared" si="311"/>
        <v/>
      </c>
      <c r="LU489" s="261" t="str">
        <f t="shared" si="312"/>
        <v/>
      </c>
      <c r="LV489" s="261" t="str">
        <f t="shared" si="313"/>
        <v/>
      </c>
      <c r="LW489" s="261" t="str">
        <f t="shared" si="314"/>
        <v/>
      </c>
      <c r="LX489" s="261" t="str">
        <f t="shared" si="315"/>
        <v/>
      </c>
      <c r="LY489" s="261" t="str">
        <f t="shared" si="316"/>
        <v/>
      </c>
      <c r="LZ489" s="261" t="str">
        <f t="shared" si="317"/>
        <v/>
      </c>
      <c r="MA489" s="261" t="str">
        <f t="shared" si="318"/>
        <v/>
      </c>
      <c r="MB489" s="261" t="str">
        <f t="shared" si="319"/>
        <v/>
      </c>
      <c r="MC489" s="261" t="str">
        <f t="shared" si="320"/>
        <v/>
      </c>
      <c r="MD489" s="261" t="str">
        <f t="shared" si="321"/>
        <v/>
      </c>
      <c r="ME489" s="261" t="str">
        <f t="shared" si="322"/>
        <v/>
      </c>
      <c r="MF489" s="1441">
        <f t="shared" si="323"/>
        <v>0</v>
      </c>
      <c r="MG489" s="1441">
        <f t="shared" si="324"/>
        <v>0</v>
      </c>
      <c r="MH489" s="1441">
        <f t="shared" si="325"/>
        <v>0</v>
      </c>
      <c r="MI489" s="1441">
        <f t="shared" si="326"/>
        <v>1</v>
      </c>
      <c r="MJ489" s="1441">
        <f t="shared" si="327"/>
        <v>0</v>
      </c>
      <c r="MK489" s="1441">
        <f t="shared" si="333"/>
        <v>0</v>
      </c>
      <c r="ML489" s="1441">
        <f t="shared" si="334"/>
        <v>0</v>
      </c>
      <c r="MM489" s="1441">
        <f t="shared" si="335"/>
        <v>0</v>
      </c>
      <c r="MN489" s="1441">
        <f t="shared" si="336"/>
        <v>0</v>
      </c>
      <c r="MO489" s="1441">
        <f t="shared" si="337"/>
        <v>0</v>
      </c>
      <c r="MP489" s="1441">
        <f t="shared" si="328"/>
        <v>0</v>
      </c>
      <c r="MQ489" s="1441">
        <f t="shared" si="329"/>
        <v>0</v>
      </c>
      <c r="MR489" s="1441">
        <f t="shared" si="330"/>
        <v>0</v>
      </c>
      <c r="MS489" s="1441">
        <f t="shared" si="331"/>
        <v>0</v>
      </c>
      <c r="MT489" s="1441">
        <f t="shared" si="332"/>
        <v>0</v>
      </c>
      <c r="NP489" s="261" t="s">
        <v>1143</v>
      </c>
    </row>
    <row r="490" spans="1:380" ht="13.9" customHeight="1">
      <c r="A490" s="2330" t="str">
        <f t="shared" si="0"/>
        <v/>
      </c>
      <c r="B490" s="2149">
        <f>'Part V-Revenues &amp; Expenses'!B43</f>
        <v>60</v>
      </c>
      <c r="C490" s="2150">
        <f>'Part V-Revenues &amp; Expenses'!C43</f>
        <v>3</v>
      </c>
      <c r="D490" s="2151">
        <f>'Part V-Revenues &amp; Expenses'!D43</f>
        <v>2</v>
      </c>
      <c r="E490" s="2152">
        <f>'Part V-Revenues &amp; Expenses'!E43</f>
        <v>2</v>
      </c>
      <c r="F490" s="2152">
        <f>'Part V-Revenues &amp; Expenses'!F43</f>
        <v>1278</v>
      </c>
      <c r="G490" s="2152">
        <f>'Part V-Revenues &amp; Expenses'!G43</f>
        <v>1593</v>
      </c>
      <c r="H490" s="2152">
        <f>'Part V-Revenues &amp; Expenses'!H43</f>
        <v>1593</v>
      </c>
      <c r="I490" s="2152">
        <f>'Part V-Revenues &amp; Expenses'!I43</f>
        <v>0</v>
      </c>
      <c r="J490" s="2152">
        <f>'Part V-Revenues &amp; Expenses'!J43</f>
        <v>216</v>
      </c>
      <c r="K490" s="2153">
        <f>'Part V-Revenues &amp; Expenses'!K43</f>
        <v>0</v>
      </c>
      <c r="L490" s="2154">
        <f t="shared" si="1"/>
        <v>1377</v>
      </c>
      <c r="M490" s="2154">
        <f t="shared" si="2"/>
        <v>2754</v>
      </c>
      <c r="N490" s="2225" t="str">
        <f>'Part V-Revenues &amp; Expenses'!N43</f>
        <v>No</v>
      </c>
      <c r="O490" s="1065" t="str">
        <f>'Part V-Revenues &amp; Expenses'!O43</f>
        <v>Low-Rise Apt</v>
      </c>
      <c r="P490" s="2225" t="str">
        <f>'Part V-Revenues &amp; Expenses'!P43</f>
        <v>Acquisition/Rehab</v>
      </c>
      <c r="Q490" s="1574" t="str">
        <f>'Part V-Revenues &amp; Expenses'!Q43</f>
        <v>No</v>
      </c>
      <c r="R490" s="2356"/>
      <c r="S490" s="2357"/>
      <c r="T490" s="2358"/>
      <c r="U490" s="2358"/>
      <c r="V490" s="2358"/>
      <c r="W490" s="2358"/>
      <c r="X490" s="261" t="str">
        <f t="shared" si="3"/>
        <v/>
      </c>
      <c r="Y490" s="261" t="str">
        <f t="shared" si="4"/>
        <v/>
      </c>
      <c r="Z490" s="261" t="str">
        <f t="shared" si="5"/>
        <v/>
      </c>
      <c r="AA490" s="261" t="str">
        <f t="shared" si="6"/>
        <v/>
      </c>
      <c r="AB490" s="261" t="str">
        <f t="shared" si="7"/>
        <v/>
      </c>
      <c r="AC490" s="261" t="str">
        <f t="shared" si="8"/>
        <v/>
      </c>
      <c r="AD490" s="261" t="str">
        <f t="shared" si="9"/>
        <v/>
      </c>
      <c r="AE490" s="261" t="str">
        <f t="shared" si="10"/>
        <v/>
      </c>
      <c r="AF490" s="261" t="str">
        <f t="shared" si="11"/>
        <v/>
      </c>
      <c r="AG490" s="261" t="str">
        <f t="shared" si="12"/>
        <v/>
      </c>
      <c r="AH490" s="261" t="str">
        <f t="shared" si="13"/>
        <v/>
      </c>
      <c r="AI490" s="261" t="str">
        <f t="shared" si="14"/>
        <v/>
      </c>
      <c r="AJ490" s="261" t="str">
        <f t="shared" si="15"/>
        <v/>
      </c>
      <c r="AK490" s="261">
        <f t="shared" si="16"/>
        <v>2</v>
      </c>
      <c r="AL490" s="261" t="str">
        <f t="shared" si="17"/>
        <v/>
      </c>
      <c r="AM490" s="261" t="str">
        <f t="shared" si="18"/>
        <v/>
      </c>
      <c r="AN490" s="261" t="str">
        <f t="shared" si="19"/>
        <v/>
      </c>
      <c r="AO490" s="261" t="str">
        <f t="shared" si="20"/>
        <v/>
      </c>
      <c r="AP490" s="261" t="str">
        <f t="shared" si="21"/>
        <v/>
      </c>
      <c r="AQ490" s="261" t="str">
        <f t="shared" si="22"/>
        <v/>
      </c>
      <c r="AR490" s="261" t="str">
        <f t="shared" si="23"/>
        <v/>
      </c>
      <c r="AS490" s="261" t="str">
        <f t="shared" si="24"/>
        <v/>
      </c>
      <c r="AT490" s="261" t="str">
        <f t="shared" si="25"/>
        <v/>
      </c>
      <c r="AU490" s="261" t="str">
        <f t="shared" si="26"/>
        <v/>
      </c>
      <c r="AV490" s="261" t="str">
        <f t="shared" si="27"/>
        <v/>
      </c>
      <c r="AW490" s="261" t="str">
        <f t="shared" si="28"/>
        <v/>
      </c>
      <c r="AX490" s="261" t="str">
        <f t="shared" si="29"/>
        <v/>
      </c>
      <c r="AY490" s="261" t="str">
        <f t="shared" si="30"/>
        <v/>
      </c>
      <c r="AZ490" s="261" t="str">
        <f t="shared" si="31"/>
        <v/>
      </c>
      <c r="BA490" s="261" t="str">
        <f t="shared" si="32"/>
        <v/>
      </c>
      <c r="BB490" s="261" t="str">
        <f t="shared" si="33"/>
        <v/>
      </c>
      <c r="BC490" s="261" t="str">
        <f t="shared" si="34"/>
        <v/>
      </c>
      <c r="BD490" s="261" t="str">
        <f t="shared" si="35"/>
        <v/>
      </c>
      <c r="BE490" s="261" t="str">
        <f t="shared" si="36"/>
        <v/>
      </c>
      <c r="BF490" s="261" t="str">
        <f t="shared" si="37"/>
        <v/>
      </c>
      <c r="BG490" s="261" t="str">
        <f t="shared" si="38"/>
        <v/>
      </c>
      <c r="BH490" s="261" t="str">
        <f t="shared" si="39"/>
        <v/>
      </c>
      <c r="BI490" s="261" t="str">
        <f t="shared" si="40"/>
        <v/>
      </c>
      <c r="BJ490" s="261" t="str">
        <f t="shared" si="41"/>
        <v/>
      </c>
      <c r="BK490" s="261" t="str">
        <f t="shared" si="42"/>
        <v/>
      </c>
      <c r="BL490" s="261" t="str">
        <f t="shared" si="43"/>
        <v/>
      </c>
      <c r="BM490" s="261" t="str">
        <f t="shared" si="44"/>
        <v/>
      </c>
      <c r="BN490" s="261" t="str">
        <f t="shared" si="45"/>
        <v/>
      </c>
      <c r="BO490" s="261" t="str">
        <f t="shared" si="46"/>
        <v/>
      </c>
      <c r="BP490" s="261" t="str">
        <f t="shared" si="47"/>
        <v/>
      </c>
      <c r="BQ490" s="261" t="str">
        <f t="shared" si="48"/>
        <v/>
      </c>
      <c r="BR490" s="261" t="str">
        <f t="shared" si="49"/>
        <v/>
      </c>
      <c r="BS490" s="261" t="str">
        <f t="shared" si="50"/>
        <v/>
      </c>
      <c r="BT490" s="261" t="str">
        <f t="shared" si="51"/>
        <v/>
      </c>
      <c r="BU490" s="261" t="str">
        <f t="shared" si="52"/>
        <v/>
      </c>
      <c r="BV490" s="261" t="str">
        <f t="shared" si="53"/>
        <v/>
      </c>
      <c r="BW490" s="261" t="str">
        <f t="shared" si="54"/>
        <v/>
      </c>
      <c r="BX490" s="261" t="str">
        <f t="shared" si="55"/>
        <v/>
      </c>
      <c r="BY490" s="261" t="str">
        <f t="shared" si="56"/>
        <v/>
      </c>
      <c r="BZ490" s="261" t="str">
        <f t="shared" si="57"/>
        <v/>
      </c>
      <c r="CA490" s="261" t="str">
        <f t="shared" si="58"/>
        <v/>
      </c>
      <c r="CB490" s="261" t="str">
        <f t="shared" si="59"/>
        <v/>
      </c>
      <c r="CC490" s="261" t="str">
        <f t="shared" si="60"/>
        <v/>
      </c>
      <c r="CD490" s="261" t="str">
        <f t="shared" si="61"/>
        <v/>
      </c>
      <c r="CE490" s="261" t="str">
        <f t="shared" si="62"/>
        <v/>
      </c>
      <c r="CF490" s="261" t="str">
        <f t="shared" si="63"/>
        <v/>
      </c>
      <c r="CG490" s="261" t="str">
        <f t="shared" si="64"/>
        <v/>
      </c>
      <c r="CH490" s="261" t="str">
        <f t="shared" si="65"/>
        <v/>
      </c>
      <c r="CI490" s="261" t="str">
        <f t="shared" si="66"/>
        <v/>
      </c>
      <c r="CJ490" s="261" t="str">
        <f t="shared" si="67"/>
        <v/>
      </c>
      <c r="CK490" s="261" t="str">
        <f t="shared" si="68"/>
        <v/>
      </c>
      <c r="CL490" s="261" t="str">
        <f t="shared" si="69"/>
        <v/>
      </c>
      <c r="CM490" s="261" t="str">
        <f t="shared" si="70"/>
        <v/>
      </c>
      <c r="CN490" s="261" t="str">
        <f t="shared" si="71"/>
        <v/>
      </c>
      <c r="CO490" s="261" t="str">
        <f t="shared" si="72"/>
        <v/>
      </c>
      <c r="CP490" s="261" t="str">
        <f t="shared" si="73"/>
        <v/>
      </c>
      <c r="CQ490" s="261" t="str">
        <f t="shared" si="74"/>
        <v/>
      </c>
      <c r="CR490" s="261" t="str">
        <f t="shared" si="75"/>
        <v/>
      </c>
      <c r="CS490" s="261" t="str">
        <f t="shared" si="76"/>
        <v/>
      </c>
      <c r="CT490" s="261" t="str">
        <f t="shared" si="77"/>
        <v/>
      </c>
      <c r="CU490" s="261" t="str">
        <f t="shared" si="78"/>
        <v/>
      </c>
      <c r="CV490" s="261" t="str">
        <f t="shared" si="79"/>
        <v/>
      </c>
      <c r="CW490" s="261" t="str">
        <f t="shared" si="80"/>
        <v/>
      </c>
      <c r="CX490" s="261" t="str">
        <f t="shared" si="81"/>
        <v/>
      </c>
      <c r="CY490" s="261" t="str">
        <f t="shared" si="82"/>
        <v/>
      </c>
      <c r="CZ490" s="261" t="str">
        <f t="shared" si="83"/>
        <v/>
      </c>
      <c r="DA490" s="261" t="str">
        <f t="shared" si="84"/>
        <v/>
      </c>
      <c r="DB490" s="261" t="str">
        <f t="shared" si="85"/>
        <v/>
      </c>
      <c r="DC490" s="261" t="str">
        <f t="shared" si="86"/>
        <v/>
      </c>
      <c r="DD490" s="261" t="str">
        <f t="shared" si="87"/>
        <v/>
      </c>
      <c r="DE490" s="261" t="str">
        <f t="shared" si="88"/>
        <v/>
      </c>
      <c r="DF490" s="261" t="str">
        <f t="shared" si="89"/>
        <v/>
      </c>
      <c r="DG490" s="261" t="str">
        <f t="shared" si="90"/>
        <v/>
      </c>
      <c r="DH490" s="261" t="str">
        <f t="shared" si="91"/>
        <v/>
      </c>
      <c r="DI490" s="261" t="str">
        <f t="shared" si="92"/>
        <v/>
      </c>
      <c r="DJ490" s="261" t="str">
        <f t="shared" si="93"/>
        <v/>
      </c>
      <c r="DK490" s="261" t="str">
        <f t="shared" si="94"/>
        <v/>
      </c>
      <c r="DL490" s="261" t="str">
        <f t="shared" si="95"/>
        <v/>
      </c>
      <c r="DM490" s="261" t="str">
        <f t="shared" si="96"/>
        <v/>
      </c>
      <c r="DN490" s="261" t="str">
        <f t="shared" si="97"/>
        <v/>
      </c>
      <c r="DO490" s="261" t="str">
        <f t="shared" si="98"/>
        <v/>
      </c>
      <c r="DP490" s="261" t="str">
        <f t="shared" si="99"/>
        <v/>
      </c>
      <c r="DQ490" s="261" t="str">
        <f t="shared" si="100"/>
        <v/>
      </c>
      <c r="DR490" s="261" t="str">
        <f t="shared" si="101"/>
        <v/>
      </c>
      <c r="DS490" s="261" t="str">
        <f t="shared" si="102"/>
        <v/>
      </c>
      <c r="DT490" s="261" t="str">
        <f t="shared" si="103"/>
        <v/>
      </c>
      <c r="DU490" s="261" t="str">
        <f t="shared" si="104"/>
        <v/>
      </c>
      <c r="DV490" s="261" t="str">
        <f t="shared" si="105"/>
        <v/>
      </c>
      <c r="DW490" s="261" t="str">
        <f t="shared" si="106"/>
        <v/>
      </c>
      <c r="DX490" s="261" t="str">
        <f t="shared" si="107"/>
        <v/>
      </c>
      <c r="DY490" s="261" t="str">
        <f t="shared" si="108"/>
        <v/>
      </c>
      <c r="DZ490" s="261" t="str">
        <f t="shared" si="109"/>
        <v/>
      </c>
      <c r="EA490" s="261" t="str">
        <f t="shared" si="110"/>
        <v/>
      </c>
      <c r="EB490" s="261" t="str">
        <f t="shared" si="111"/>
        <v/>
      </c>
      <c r="EC490" s="261" t="str">
        <f t="shared" si="112"/>
        <v/>
      </c>
      <c r="ED490" s="261" t="str">
        <f t="shared" si="113"/>
        <v/>
      </c>
      <c r="EE490" s="261" t="str">
        <f t="shared" si="114"/>
        <v/>
      </c>
      <c r="EF490" s="261" t="str">
        <f t="shared" si="115"/>
        <v/>
      </c>
      <c r="EG490" s="261" t="str">
        <f t="shared" si="116"/>
        <v/>
      </c>
      <c r="EH490" s="261" t="str">
        <f t="shared" si="117"/>
        <v/>
      </c>
      <c r="EI490" s="261" t="str">
        <f t="shared" si="118"/>
        <v/>
      </c>
      <c r="EJ490" s="261" t="str">
        <f t="shared" si="119"/>
        <v/>
      </c>
      <c r="EK490" s="261" t="str">
        <f t="shared" si="120"/>
        <v/>
      </c>
      <c r="EL490" s="261" t="str">
        <f t="shared" si="121"/>
        <v/>
      </c>
      <c r="EM490" s="261" t="str">
        <f t="shared" si="122"/>
        <v/>
      </c>
      <c r="EN490" s="261" t="str">
        <f t="shared" si="123"/>
        <v/>
      </c>
      <c r="EO490" s="261" t="str">
        <f t="shared" si="124"/>
        <v/>
      </c>
      <c r="EP490" s="261" t="str">
        <f t="shared" si="125"/>
        <v/>
      </c>
      <c r="EQ490" s="261" t="str">
        <f t="shared" si="126"/>
        <v/>
      </c>
      <c r="ER490" s="261" t="str">
        <f t="shared" si="127"/>
        <v/>
      </c>
      <c r="ES490" s="261" t="str">
        <f t="shared" si="128"/>
        <v/>
      </c>
      <c r="ET490" s="261" t="str">
        <f t="shared" si="129"/>
        <v/>
      </c>
      <c r="EU490" s="261" t="str">
        <f t="shared" si="130"/>
        <v/>
      </c>
      <c r="EV490" s="261">
        <f t="shared" si="131"/>
        <v>2556</v>
      </c>
      <c r="EW490" s="261" t="str">
        <f t="shared" si="132"/>
        <v/>
      </c>
      <c r="EX490" s="261" t="str">
        <f t="shared" si="133"/>
        <v/>
      </c>
      <c r="EY490" s="261" t="str">
        <f t="shared" si="134"/>
        <v/>
      </c>
      <c r="EZ490" s="261" t="str">
        <f t="shared" si="135"/>
        <v/>
      </c>
      <c r="FA490" s="261" t="str">
        <f t="shared" si="136"/>
        <v/>
      </c>
      <c r="FB490" s="261" t="str">
        <f t="shared" si="137"/>
        <v/>
      </c>
      <c r="FC490" s="261" t="str">
        <f t="shared" si="138"/>
        <v/>
      </c>
      <c r="FD490" s="261" t="str">
        <f t="shared" si="139"/>
        <v/>
      </c>
      <c r="FE490" s="261" t="str">
        <f t="shared" si="140"/>
        <v/>
      </c>
      <c r="FF490" s="261" t="str">
        <f t="shared" si="141"/>
        <v/>
      </c>
      <c r="FG490" s="261" t="str">
        <f t="shared" si="142"/>
        <v/>
      </c>
      <c r="FH490" s="261" t="str">
        <f t="shared" si="143"/>
        <v/>
      </c>
      <c r="FI490" s="261" t="str">
        <f t="shared" si="144"/>
        <v/>
      </c>
      <c r="FJ490" s="261" t="str">
        <f t="shared" si="145"/>
        <v/>
      </c>
      <c r="FK490" s="261" t="str">
        <f t="shared" si="146"/>
        <v/>
      </c>
      <c r="FL490" s="261" t="str">
        <f t="shared" si="147"/>
        <v/>
      </c>
      <c r="FM490" s="261" t="str">
        <f t="shared" si="148"/>
        <v/>
      </c>
      <c r="FN490" s="261" t="str">
        <f t="shared" si="149"/>
        <v/>
      </c>
      <c r="FO490" s="261" t="str">
        <f t="shared" si="150"/>
        <v/>
      </c>
      <c r="FP490" s="261" t="str">
        <f t="shared" si="151"/>
        <v/>
      </c>
      <c r="FQ490" s="261" t="str">
        <f t="shared" si="152"/>
        <v/>
      </c>
      <c r="FR490" s="261" t="str">
        <f t="shared" si="153"/>
        <v/>
      </c>
      <c r="FS490" s="261" t="str">
        <f t="shared" si="154"/>
        <v/>
      </c>
      <c r="FT490" s="261" t="str">
        <f t="shared" si="155"/>
        <v/>
      </c>
      <c r="FU490" s="261" t="str">
        <f t="shared" si="156"/>
        <v/>
      </c>
      <c r="FV490" s="261" t="str">
        <f t="shared" si="157"/>
        <v/>
      </c>
      <c r="FW490" s="261" t="str">
        <f t="shared" si="158"/>
        <v/>
      </c>
      <c r="FX490" s="261" t="str">
        <f t="shared" si="159"/>
        <v/>
      </c>
      <c r="FY490" s="261" t="str">
        <f t="shared" si="160"/>
        <v/>
      </c>
      <c r="FZ490" s="261" t="str">
        <f t="shared" si="161"/>
        <v/>
      </c>
      <c r="GA490" s="261" t="str">
        <f t="shared" si="162"/>
        <v/>
      </c>
      <c r="GB490" s="261" t="str">
        <f t="shared" si="163"/>
        <v/>
      </c>
      <c r="GC490" s="261" t="str">
        <f t="shared" si="164"/>
        <v/>
      </c>
      <c r="GD490" s="261" t="str">
        <f t="shared" si="165"/>
        <v/>
      </c>
      <c r="GE490" s="261" t="str">
        <f t="shared" si="166"/>
        <v/>
      </c>
      <c r="GF490" s="261" t="str">
        <f t="shared" si="167"/>
        <v/>
      </c>
      <c r="GG490" s="261" t="str">
        <f t="shared" si="168"/>
        <v/>
      </c>
      <c r="GH490" s="261" t="str">
        <f t="shared" si="169"/>
        <v/>
      </c>
      <c r="GI490" s="261" t="str">
        <f t="shared" si="170"/>
        <v/>
      </c>
      <c r="GJ490" s="261" t="str">
        <f t="shared" si="171"/>
        <v/>
      </c>
      <c r="GK490" s="261" t="str">
        <f t="shared" si="172"/>
        <v/>
      </c>
      <c r="GL490" s="261" t="str">
        <f t="shared" si="173"/>
        <v/>
      </c>
      <c r="GM490" s="261" t="str">
        <f t="shared" si="174"/>
        <v/>
      </c>
      <c r="GN490" s="261" t="str">
        <f t="shared" si="175"/>
        <v/>
      </c>
      <c r="GO490" s="261" t="str">
        <f t="shared" si="176"/>
        <v/>
      </c>
      <c r="GP490" s="261" t="str">
        <f t="shared" si="177"/>
        <v/>
      </c>
      <c r="GQ490" s="261" t="str">
        <f t="shared" si="178"/>
        <v/>
      </c>
      <c r="GR490" s="261" t="str">
        <f t="shared" si="179"/>
        <v/>
      </c>
      <c r="GS490" s="261" t="str">
        <f t="shared" si="180"/>
        <v/>
      </c>
      <c r="GT490" s="261" t="str">
        <f t="shared" si="181"/>
        <v/>
      </c>
      <c r="GU490" s="261" t="str">
        <f t="shared" si="182"/>
        <v/>
      </c>
      <c r="GV490" s="261" t="str">
        <f t="shared" si="183"/>
        <v/>
      </c>
      <c r="GW490" s="261" t="str">
        <f t="shared" si="184"/>
        <v/>
      </c>
      <c r="GX490" s="261" t="str">
        <f t="shared" si="185"/>
        <v/>
      </c>
      <c r="GY490" s="261">
        <f t="shared" si="186"/>
        <v>2</v>
      </c>
      <c r="GZ490" s="261" t="str">
        <f t="shared" si="187"/>
        <v/>
      </c>
      <c r="HA490" s="261" t="str">
        <f t="shared" si="188"/>
        <v/>
      </c>
      <c r="HB490" s="261" t="str">
        <f t="shared" si="189"/>
        <v/>
      </c>
      <c r="HC490" s="261" t="str">
        <f t="shared" si="190"/>
        <v/>
      </c>
      <c r="HD490" s="261" t="str">
        <f t="shared" si="191"/>
        <v/>
      </c>
      <c r="HE490" s="261" t="str">
        <f t="shared" si="192"/>
        <v/>
      </c>
      <c r="HF490" s="261" t="str">
        <f t="shared" si="193"/>
        <v/>
      </c>
      <c r="HG490" s="261" t="str">
        <f t="shared" si="194"/>
        <v/>
      </c>
      <c r="HH490" s="261" t="str">
        <f t="shared" si="195"/>
        <v/>
      </c>
      <c r="HI490" s="261" t="str">
        <f t="shared" si="196"/>
        <v/>
      </c>
      <c r="HJ490" s="261" t="str">
        <f t="shared" si="197"/>
        <v/>
      </c>
      <c r="HK490" s="261" t="str">
        <f t="shared" si="198"/>
        <v/>
      </c>
      <c r="HL490" s="261" t="str">
        <f t="shared" si="199"/>
        <v/>
      </c>
      <c r="HM490" s="261" t="str">
        <f t="shared" si="200"/>
        <v/>
      </c>
      <c r="HN490" s="261" t="str">
        <f t="shared" si="201"/>
        <v/>
      </c>
      <c r="HO490" s="261" t="str">
        <f t="shared" si="202"/>
        <v/>
      </c>
      <c r="HP490" s="261" t="str">
        <f t="shared" si="203"/>
        <v/>
      </c>
      <c r="HQ490" s="261" t="str">
        <f t="shared" si="204"/>
        <v/>
      </c>
      <c r="HR490" s="261" t="str">
        <f t="shared" si="205"/>
        <v/>
      </c>
      <c r="HS490" s="261" t="str">
        <f t="shared" si="206"/>
        <v/>
      </c>
      <c r="HT490" s="261" t="str">
        <f t="shared" si="207"/>
        <v/>
      </c>
      <c r="HU490" s="261" t="str">
        <f t="shared" si="208"/>
        <v/>
      </c>
      <c r="HV490" s="261" t="str">
        <f t="shared" si="209"/>
        <v/>
      </c>
      <c r="HW490" s="261" t="str">
        <f t="shared" si="210"/>
        <v/>
      </c>
      <c r="HX490" s="261" t="str">
        <f t="shared" si="211"/>
        <v/>
      </c>
      <c r="HY490" s="261" t="str">
        <f t="shared" si="212"/>
        <v/>
      </c>
      <c r="HZ490" s="1575" t="str">
        <f t="shared" si="213"/>
        <v/>
      </c>
      <c r="IA490" s="1575" t="str">
        <f t="shared" si="214"/>
        <v/>
      </c>
      <c r="IB490" s="1575" t="str">
        <f t="shared" si="215"/>
        <v/>
      </c>
      <c r="IC490" s="1575">
        <f t="shared" si="216"/>
        <v>2</v>
      </c>
      <c r="ID490" s="1575" t="str">
        <f t="shared" si="217"/>
        <v/>
      </c>
      <c r="IE490" s="1575" t="str">
        <f t="shared" si="218"/>
        <v/>
      </c>
      <c r="IF490" s="1575" t="str">
        <f t="shared" si="219"/>
        <v/>
      </c>
      <c r="IG490" s="1575" t="str">
        <f t="shared" si="220"/>
        <v/>
      </c>
      <c r="IH490" s="1575" t="str">
        <f t="shared" si="221"/>
        <v/>
      </c>
      <c r="II490" s="1575" t="str">
        <f t="shared" si="222"/>
        <v/>
      </c>
      <c r="IJ490" s="1575" t="str">
        <f t="shared" si="223"/>
        <v/>
      </c>
      <c r="IK490" s="1575" t="str">
        <f t="shared" si="224"/>
        <v/>
      </c>
      <c r="IL490" s="1575" t="str">
        <f t="shared" si="225"/>
        <v/>
      </c>
      <c r="IM490" s="1575" t="str">
        <f t="shared" si="226"/>
        <v/>
      </c>
      <c r="IN490" s="1575" t="str">
        <f t="shared" si="227"/>
        <v/>
      </c>
      <c r="IO490" s="1575" t="str">
        <f t="shared" si="228"/>
        <v/>
      </c>
      <c r="IP490" s="1575" t="str">
        <f t="shared" si="229"/>
        <v/>
      </c>
      <c r="IQ490" s="1575" t="str">
        <f t="shared" si="230"/>
        <v/>
      </c>
      <c r="IR490" s="1575" t="str">
        <f t="shared" si="231"/>
        <v/>
      </c>
      <c r="IS490" s="1575" t="str">
        <f t="shared" si="232"/>
        <v/>
      </c>
      <c r="IT490" s="1575" t="str">
        <f t="shared" si="233"/>
        <v/>
      </c>
      <c r="IU490" s="1575" t="str">
        <f t="shared" si="234"/>
        <v/>
      </c>
      <c r="IV490" s="1575" t="str">
        <f t="shared" si="235"/>
        <v/>
      </c>
      <c r="IW490" s="1575" t="str">
        <f t="shared" si="236"/>
        <v/>
      </c>
      <c r="IX490" s="1575" t="str">
        <f t="shared" si="237"/>
        <v/>
      </c>
      <c r="IY490" s="1575" t="str">
        <f t="shared" si="238"/>
        <v/>
      </c>
      <c r="IZ490" s="1575" t="str">
        <f t="shared" si="239"/>
        <v/>
      </c>
      <c r="JA490" s="1575" t="str">
        <f t="shared" si="240"/>
        <v/>
      </c>
      <c r="JB490" s="1575" t="str">
        <f t="shared" si="241"/>
        <v/>
      </c>
      <c r="JC490" s="1575" t="str">
        <f t="shared" si="242"/>
        <v/>
      </c>
      <c r="JD490" s="1575" t="str">
        <f t="shared" si="243"/>
        <v/>
      </c>
      <c r="JE490" s="1575" t="str">
        <f t="shared" si="244"/>
        <v/>
      </c>
      <c r="JF490" s="1575" t="str">
        <f t="shared" si="245"/>
        <v/>
      </c>
      <c r="JG490" s="1575" t="str">
        <f t="shared" si="246"/>
        <v/>
      </c>
      <c r="JH490" s="1575" t="str">
        <f t="shared" si="247"/>
        <v/>
      </c>
      <c r="JI490" s="1575" t="str">
        <f t="shared" si="248"/>
        <v/>
      </c>
      <c r="JJ490" s="1575" t="str">
        <f t="shared" si="249"/>
        <v/>
      </c>
      <c r="JK490" s="1575" t="str">
        <f t="shared" si="250"/>
        <v/>
      </c>
      <c r="JL490" s="1575" t="str">
        <f t="shared" si="251"/>
        <v/>
      </c>
      <c r="JM490" s="1575" t="str">
        <f t="shared" si="252"/>
        <v/>
      </c>
      <c r="JN490" s="1575" t="str">
        <f t="shared" si="253"/>
        <v/>
      </c>
      <c r="JO490" s="1575" t="str">
        <f t="shared" si="254"/>
        <v/>
      </c>
      <c r="JP490" s="1575" t="str">
        <f t="shared" si="255"/>
        <v/>
      </c>
      <c r="JQ490" s="1575" t="str">
        <f t="shared" si="256"/>
        <v/>
      </c>
      <c r="JR490" s="1575" t="str">
        <f t="shared" si="257"/>
        <v/>
      </c>
      <c r="JS490" s="1575" t="str">
        <f t="shared" si="258"/>
        <v/>
      </c>
      <c r="JT490" s="1575" t="str">
        <f t="shared" si="259"/>
        <v/>
      </c>
      <c r="JU490" s="1575" t="str">
        <f t="shared" si="260"/>
        <v/>
      </c>
      <c r="JV490" s="1575">
        <f t="shared" si="261"/>
        <v>2</v>
      </c>
      <c r="JW490" s="1575" t="str">
        <f t="shared" si="262"/>
        <v/>
      </c>
      <c r="JX490" s="1575" t="str">
        <f t="shared" si="263"/>
        <v/>
      </c>
      <c r="JY490" s="1575" t="str">
        <f t="shared" si="264"/>
        <v/>
      </c>
      <c r="JZ490" s="1575" t="str">
        <f t="shared" si="265"/>
        <v/>
      </c>
      <c r="KA490" s="1575" t="str">
        <f t="shared" si="266"/>
        <v/>
      </c>
      <c r="KB490" s="1575" t="str">
        <f t="shared" si="267"/>
        <v/>
      </c>
      <c r="KC490" s="1575" t="str">
        <f t="shared" si="268"/>
        <v/>
      </c>
      <c r="KD490" s="1575" t="str">
        <f t="shared" si="269"/>
        <v/>
      </c>
      <c r="KE490" s="1575" t="str">
        <f t="shared" si="270"/>
        <v/>
      </c>
      <c r="KF490" s="1575" t="str">
        <f t="shared" si="271"/>
        <v/>
      </c>
      <c r="KG490" s="1575" t="str">
        <f t="shared" si="272"/>
        <v/>
      </c>
      <c r="KH490" s="1575" t="str">
        <f t="shared" si="273"/>
        <v/>
      </c>
      <c r="KI490" s="1575" t="str">
        <f t="shared" si="274"/>
        <v/>
      </c>
      <c r="KJ490" s="1575" t="str">
        <f t="shared" si="275"/>
        <v/>
      </c>
      <c r="KK490" s="1575" t="str">
        <f t="shared" si="276"/>
        <v/>
      </c>
      <c r="KL490" s="1575" t="str">
        <f t="shared" si="277"/>
        <v/>
      </c>
      <c r="KM490" s="1575" t="str">
        <f t="shared" si="278"/>
        <v/>
      </c>
      <c r="KN490" s="1575" t="str">
        <f t="shared" si="279"/>
        <v/>
      </c>
      <c r="KO490" s="1575" t="str">
        <f t="shared" si="280"/>
        <v/>
      </c>
      <c r="KP490" s="1575" t="str">
        <f t="shared" si="281"/>
        <v/>
      </c>
      <c r="KQ490" s="1575" t="str">
        <f t="shared" si="282"/>
        <v/>
      </c>
      <c r="KR490" s="1575" t="str">
        <f t="shared" si="283"/>
        <v/>
      </c>
      <c r="KS490" s="1575" t="str">
        <f t="shared" si="284"/>
        <v/>
      </c>
      <c r="KT490" s="1575" t="str">
        <f t="shared" si="285"/>
        <v/>
      </c>
      <c r="KU490" s="1575" t="str">
        <f t="shared" si="286"/>
        <v/>
      </c>
      <c r="KV490" s="1575" t="str">
        <f t="shared" si="287"/>
        <v/>
      </c>
      <c r="KW490" s="1575" t="str">
        <f t="shared" si="288"/>
        <v/>
      </c>
      <c r="KX490" s="1575" t="str">
        <f t="shared" si="289"/>
        <v/>
      </c>
      <c r="KY490" s="1575" t="str">
        <f t="shared" si="290"/>
        <v/>
      </c>
      <c r="KZ490" s="1575" t="str">
        <f t="shared" si="291"/>
        <v/>
      </c>
      <c r="LA490" s="1575" t="str">
        <f t="shared" si="292"/>
        <v/>
      </c>
      <c r="LB490" s="1575" t="str">
        <f t="shared" si="293"/>
        <v/>
      </c>
      <c r="LC490" s="1575" t="str">
        <f t="shared" si="294"/>
        <v/>
      </c>
      <c r="LD490" s="1575" t="str">
        <f t="shared" si="295"/>
        <v/>
      </c>
      <c r="LE490" s="1575" t="str">
        <f t="shared" si="296"/>
        <v/>
      </c>
      <c r="LF490" s="1575" t="str">
        <f t="shared" si="297"/>
        <v/>
      </c>
      <c r="LG490" s="1564" t="str">
        <f t="shared" si="298"/>
        <v/>
      </c>
      <c r="LH490" s="1564" t="str">
        <f t="shared" si="299"/>
        <v/>
      </c>
      <c r="LI490" s="1564" t="str">
        <f t="shared" si="300"/>
        <v/>
      </c>
      <c r="LJ490" s="1564" t="str">
        <f t="shared" si="301"/>
        <v/>
      </c>
      <c r="LK490" s="1564" t="str">
        <f t="shared" si="302"/>
        <v/>
      </c>
      <c r="LL490" s="261" t="str">
        <f t="shared" si="303"/>
        <v/>
      </c>
      <c r="LM490" s="261" t="str">
        <f t="shared" si="304"/>
        <v/>
      </c>
      <c r="LN490" s="261" t="str">
        <f t="shared" si="305"/>
        <v/>
      </c>
      <c r="LO490" s="261" t="str">
        <f t="shared" si="306"/>
        <v/>
      </c>
      <c r="LP490" s="261" t="str">
        <f t="shared" si="307"/>
        <v/>
      </c>
      <c r="LQ490" s="261" t="str">
        <f t="shared" si="308"/>
        <v/>
      </c>
      <c r="LR490" s="261" t="str">
        <f t="shared" si="309"/>
        <v/>
      </c>
      <c r="LS490" s="261" t="str">
        <f t="shared" si="310"/>
        <v/>
      </c>
      <c r="LT490" s="261" t="str">
        <f t="shared" si="311"/>
        <v/>
      </c>
      <c r="LU490" s="261" t="str">
        <f t="shared" si="312"/>
        <v/>
      </c>
      <c r="LV490" s="261" t="str">
        <f t="shared" si="313"/>
        <v/>
      </c>
      <c r="LW490" s="261" t="str">
        <f t="shared" si="314"/>
        <v/>
      </c>
      <c r="LX490" s="261" t="str">
        <f t="shared" si="315"/>
        <v/>
      </c>
      <c r="LY490" s="261" t="str">
        <f t="shared" si="316"/>
        <v/>
      </c>
      <c r="LZ490" s="261" t="str">
        <f t="shared" si="317"/>
        <v/>
      </c>
      <c r="MA490" s="261" t="str">
        <f t="shared" si="318"/>
        <v/>
      </c>
      <c r="MB490" s="261" t="str">
        <f t="shared" si="319"/>
        <v/>
      </c>
      <c r="MC490" s="261" t="str">
        <f t="shared" si="320"/>
        <v/>
      </c>
      <c r="MD490" s="261" t="str">
        <f t="shared" si="321"/>
        <v/>
      </c>
      <c r="ME490" s="261" t="str">
        <f t="shared" si="322"/>
        <v/>
      </c>
      <c r="MF490" s="1441">
        <f t="shared" si="323"/>
        <v>0</v>
      </c>
      <c r="MG490" s="1441">
        <f t="shared" si="324"/>
        <v>0</v>
      </c>
      <c r="MH490" s="1441">
        <f t="shared" si="325"/>
        <v>0</v>
      </c>
      <c r="MI490" s="1441">
        <f t="shared" si="326"/>
        <v>2</v>
      </c>
      <c r="MJ490" s="1441">
        <f t="shared" si="327"/>
        <v>0</v>
      </c>
      <c r="MK490" s="1441">
        <f t="shared" si="333"/>
        <v>0</v>
      </c>
      <c r="ML490" s="1441">
        <f t="shared" si="334"/>
        <v>0</v>
      </c>
      <c r="MM490" s="1441">
        <f t="shared" si="335"/>
        <v>0</v>
      </c>
      <c r="MN490" s="1441">
        <f t="shared" si="336"/>
        <v>0</v>
      </c>
      <c r="MO490" s="1441">
        <f t="shared" si="337"/>
        <v>0</v>
      </c>
      <c r="MP490" s="1441">
        <f t="shared" si="328"/>
        <v>0</v>
      </c>
      <c r="MQ490" s="1441">
        <f t="shared" si="329"/>
        <v>0</v>
      </c>
      <c r="MR490" s="1441">
        <f t="shared" si="330"/>
        <v>0</v>
      </c>
      <c r="MS490" s="1441">
        <f t="shared" si="331"/>
        <v>0</v>
      </c>
      <c r="MT490" s="1441">
        <f t="shared" si="332"/>
        <v>0</v>
      </c>
      <c r="NP490" s="261" t="s">
        <v>1144</v>
      </c>
    </row>
    <row r="491" spans="1:380" ht="13.9" customHeight="1">
      <c r="A491" s="2330" t="str">
        <f t="shared" si="0"/>
        <v/>
      </c>
      <c r="B491" s="2149">
        <f>'Part V-Revenues &amp; Expenses'!B44</f>
        <v>60</v>
      </c>
      <c r="C491" s="2150">
        <f>'Part V-Revenues &amp; Expenses'!C44</f>
        <v>3</v>
      </c>
      <c r="D491" s="2151">
        <f>'Part V-Revenues &amp; Expenses'!D44</f>
        <v>2.5</v>
      </c>
      <c r="E491" s="2152">
        <f>'Part V-Revenues &amp; Expenses'!E44</f>
        <v>1</v>
      </c>
      <c r="F491" s="2152">
        <f>'Part V-Revenues &amp; Expenses'!F44</f>
        <v>1392</v>
      </c>
      <c r="G491" s="2152">
        <f>'Part V-Revenues &amp; Expenses'!G44</f>
        <v>1593</v>
      </c>
      <c r="H491" s="2152">
        <f>'Part V-Revenues &amp; Expenses'!H44</f>
        <v>1593</v>
      </c>
      <c r="I491" s="2152">
        <f>'Part V-Revenues &amp; Expenses'!I44</f>
        <v>0</v>
      </c>
      <c r="J491" s="2152">
        <f>'Part V-Revenues &amp; Expenses'!J44</f>
        <v>216</v>
      </c>
      <c r="K491" s="2153">
        <f>'Part V-Revenues &amp; Expenses'!K44</f>
        <v>0</v>
      </c>
      <c r="L491" s="2154">
        <f t="shared" si="1"/>
        <v>1377</v>
      </c>
      <c r="M491" s="2154">
        <f t="shared" si="2"/>
        <v>1377</v>
      </c>
      <c r="N491" s="2225" t="str">
        <f>'Part V-Revenues &amp; Expenses'!N44</f>
        <v>No</v>
      </c>
      <c r="O491" s="1065" t="str">
        <f>'Part V-Revenues &amp; Expenses'!O44</f>
        <v>Row House/TH</v>
      </c>
      <c r="P491" s="2225" t="str">
        <f>'Part V-Revenues &amp; Expenses'!P44</f>
        <v>Acquisition/Rehab</v>
      </c>
      <c r="Q491" s="1574" t="str">
        <f>'Part V-Revenues &amp; Expenses'!Q44</f>
        <v>No</v>
      </c>
      <c r="R491" s="2356"/>
      <c r="S491" s="2357"/>
      <c r="T491" s="2358"/>
      <c r="U491" s="2358"/>
      <c r="V491" s="2358"/>
      <c r="W491" s="2358"/>
      <c r="X491" s="261" t="str">
        <f t="shared" si="3"/>
        <v/>
      </c>
      <c r="Y491" s="261" t="str">
        <f t="shared" si="4"/>
        <v/>
      </c>
      <c r="Z491" s="261" t="str">
        <f t="shared" si="5"/>
        <v/>
      </c>
      <c r="AA491" s="261" t="str">
        <f t="shared" si="6"/>
        <v/>
      </c>
      <c r="AB491" s="261" t="str">
        <f t="shared" si="7"/>
        <v/>
      </c>
      <c r="AC491" s="261" t="str">
        <f t="shared" si="8"/>
        <v/>
      </c>
      <c r="AD491" s="261" t="str">
        <f t="shared" si="9"/>
        <v/>
      </c>
      <c r="AE491" s="261" t="str">
        <f t="shared" si="10"/>
        <v/>
      </c>
      <c r="AF491" s="261" t="str">
        <f t="shared" si="11"/>
        <v/>
      </c>
      <c r="AG491" s="261" t="str">
        <f t="shared" si="12"/>
        <v/>
      </c>
      <c r="AH491" s="261" t="str">
        <f t="shared" si="13"/>
        <v/>
      </c>
      <c r="AI491" s="261" t="str">
        <f t="shared" si="14"/>
        <v/>
      </c>
      <c r="AJ491" s="261" t="str">
        <f t="shared" si="15"/>
        <v/>
      </c>
      <c r="AK491" s="261">
        <f t="shared" si="16"/>
        <v>1</v>
      </c>
      <c r="AL491" s="261" t="str">
        <f t="shared" si="17"/>
        <v/>
      </c>
      <c r="AM491" s="261" t="str">
        <f t="shared" si="18"/>
        <v/>
      </c>
      <c r="AN491" s="261" t="str">
        <f t="shared" si="19"/>
        <v/>
      </c>
      <c r="AO491" s="261" t="str">
        <f t="shared" si="20"/>
        <v/>
      </c>
      <c r="AP491" s="261" t="str">
        <f t="shared" si="21"/>
        <v/>
      </c>
      <c r="AQ491" s="261" t="str">
        <f t="shared" si="22"/>
        <v/>
      </c>
      <c r="AR491" s="261" t="str">
        <f t="shared" si="23"/>
        <v/>
      </c>
      <c r="AS491" s="261" t="str">
        <f t="shared" si="24"/>
        <v/>
      </c>
      <c r="AT491" s="261" t="str">
        <f t="shared" si="25"/>
        <v/>
      </c>
      <c r="AU491" s="261" t="str">
        <f t="shared" si="26"/>
        <v/>
      </c>
      <c r="AV491" s="261" t="str">
        <f t="shared" si="27"/>
        <v/>
      </c>
      <c r="AW491" s="261" t="str">
        <f t="shared" si="28"/>
        <v/>
      </c>
      <c r="AX491" s="261" t="str">
        <f t="shared" si="29"/>
        <v/>
      </c>
      <c r="AY491" s="261" t="str">
        <f t="shared" si="30"/>
        <v/>
      </c>
      <c r="AZ491" s="261" t="str">
        <f t="shared" si="31"/>
        <v/>
      </c>
      <c r="BA491" s="261" t="str">
        <f t="shared" si="32"/>
        <v/>
      </c>
      <c r="BB491" s="261" t="str">
        <f t="shared" si="33"/>
        <v/>
      </c>
      <c r="BC491" s="261" t="str">
        <f t="shared" si="34"/>
        <v/>
      </c>
      <c r="BD491" s="261" t="str">
        <f t="shared" si="35"/>
        <v/>
      </c>
      <c r="BE491" s="261" t="str">
        <f t="shared" si="36"/>
        <v/>
      </c>
      <c r="BF491" s="261" t="str">
        <f t="shared" si="37"/>
        <v/>
      </c>
      <c r="BG491" s="261" t="str">
        <f t="shared" si="38"/>
        <v/>
      </c>
      <c r="BH491" s="261" t="str">
        <f t="shared" si="39"/>
        <v/>
      </c>
      <c r="BI491" s="261" t="str">
        <f t="shared" si="40"/>
        <v/>
      </c>
      <c r="BJ491" s="261" t="str">
        <f t="shared" si="41"/>
        <v/>
      </c>
      <c r="BK491" s="261" t="str">
        <f t="shared" si="42"/>
        <v/>
      </c>
      <c r="BL491" s="261" t="str">
        <f t="shared" si="43"/>
        <v/>
      </c>
      <c r="BM491" s="261" t="str">
        <f t="shared" si="44"/>
        <v/>
      </c>
      <c r="BN491" s="261" t="str">
        <f t="shared" si="45"/>
        <v/>
      </c>
      <c r="BO491" s="261" t="str">
        <f t="shared" si="46"/>
        <v/>
      </c>
      <c r="BP491" s="261" t="str">
        <f t="shared" si="47"/>
        <v/>
      </c>
      <c r="BQ491" s="261" t="str">
        <f t="shared" si="48"/>
        <v/>
      </c>
      <c r="BR491" s="261" t="str">
        <f t="shared" si="49"/>
        <v/>
      </c>
      <c r="BS491" s="261" t="str">
        <f t="shared" si="50"/>
        <v/>
      </c>
      <c r="BT491" s="261" t="str">
        <f t="shared" si="51"/>
        <v/>
      </c>
      <c r="BU491" s="261" t="str">
        <f t="shared" si="52"/>
        <v/>
      </c>
      <c r="BV491" s="261" t="str">
        <f t="shared" si="53"/>
        <v/>
      </c>
      <c r="BW491" s="261" t="str">
        <f t="shared" si="54"/>
        <v/>
      </c>
      <c r="BX491" s="261" t="str">
        <f t="shared" si="55"/>
        <v/>
      </c>
      <c r="BY491" s="261" t="str">
        <f t="shared" si="56"/>
        <v/>
      </c>
      <c r="BZ491" s="261" t="str">
        <f t="shared" si="57"/>
        <v/>
      </c>
      <c r="CA491" s="261" t="str">
        <f t="shared" si="58"/>
        <v/>
      </c>
      <c r="CB491" s="261" t="str">
        <f t="shared" si="59"/>
        <v/>
      </c>
      <c r="CC491" s="261" t="str">
        <f t="shared" si="60"/>
        <v/>
      </c>
      <c r="CD491" s="261" t="str">
        <f t="shared" si="61"/>
        <v/>
      </c>
      <c r="CE491" s="261" t="str">
        <f t="shared" si="62"/>
        <v/>
      </c>
      <c r="CF491" s="261" t="str">
        <f t="shared" si="63"/>
        <v/>
      </c>
      <c r="CG491" s="261" t="str">
        <f t="shared" si="64"/>
        <v/>
      </c>
      <c r="CH491" s="261" t="str">
        <f t="shared" si="65"/>
        <v/>
      </c>
      <c r="CI491" s="261" t="str">
        <f t="shared" si="66"/>
        <v/>
      </c>
      <c r="CJ491" s="261" t="str">
        <f t="shared" si="67"/>
        <v/>
      </c>
      <c r="CK491" s="261" t="str">
        <f t="shared" si="68"/>
        <v/>
      </c>
      <c r="CL491" s="261" t="str">
        <f t="shared" si="69"/>
        <v/>
      </c>
      <c r="CM491" s="261" t="str">
        <f t="shared" si="70"/>
        <v/>
      </c>
      <c r="CN491" s="261" t="str">
        <f t="shared" si="71"/>
        <v/>
      </c>
      <c r="CO491" s="261" t="str">
        <f t="shared" si="72"/>
        <v/>
      </c>
      <c r="CP491" s="261" t="str">
        <f t="shared" si="73"/>
        <v/>
      </c>
      <c r="CQ491" s="261" t="str">
        <f t="shared" si="74"/>
        <v/>
      </c>
      <c r="CR491" s="261" t="str">
        <f t="shared" si="75"/>
        <v/>
      </c>
      <c r="CS491" s="261" t="str">
        <f t="shared" si="76"/>
        <v/>
      </c>
      <c r="CT491" s="261" t="str">
        <f t="shared" si="77"/>
        <v/>
      </c>
      <c r="CU491" s="261" t="str">
        <f t="shared" si="78"/>
        <v/>
      </c>
      <c r="CV491" s="261" t="str">
        <f t="shared" si="79"/>
        <v/>
      </c>
      <c r="CW491" s="261" t="str">
        <f t="shared" si="80"/>
        <v/>
      </c>
      <c r="CX491" s="261" t="str">
        <f t="shared" si="81"/>
        <v/>
      </c>
      <c r="CY491" s="261" t="str">
        <f t="shared" si="82"/>
        <v/>
      </c>
      <c r="CZ491" s="261" t="str">
        <f t="shared" si="83"/>
        <v/>
      </c>
      <c r="DA491" s="261" t="str">
        <f t="shared" si="84"/>
        <v/>
      </c>
      <c r="DB491" s="261" t="str">
        <f t="shared" si="85"/>
        <v/>
      </c>
      <c r="DC491" s="261" t="str">
        <f t="shared" si="86"/>
        <v/>
      </c>
      <c r="DD491" s="261" t="str">
        <f t="shared" si="87"/>
        <v/>
      </c>
      <c r="DE491" s="261" t="str">
        <f t="shared" si="88"/>
        <v/>
      </c>
      <c r="DF491" s="261" t="str">
        <f t="shared" si="89"/>
        <v/>
      </c>
      <c r="DG491" s="261" t="str">
        <f t="shared" si="90"/>
        <v/>
      </c>
      <c r="DH491" s="261" t="str">
        <f t="shared" si="91"/>
        <v/>
      </c>
      <c r="DI491" s="261" t="str">
        <f t="shared" si="92"/>
        <v/>
      </c>
      <c r="DJ491" s="261" t="str">
        <f t="shared" si="93"/>
        <v/>
      </c>
      <c r="DK491" s="261" t="str">
        <f t="shared" si="94"/>
        <v/>
      </c>
      <c r="DL491" s="261" t="str">
        <f t="shared" si="95"/>
        <v/>
      </c>
      <c r="DM491" s="261" t="str">
        <f t="shared" si="96"/>
        <v/>
      </c>
      <c r="DN491" s="261" t="str">
        <f t="shared" si="97"/>
        <v/>
      </c>
      <c r="DO491" s="261" t="str">
        <f t="shared" si="98"/>
        <v/>
      </c>
      <c r="DP491" s="261" t="str">
        <f t="shared" si="99"/>
        <v/>
      </c>
      <c r="DQ491" s="261" t="str">
        <f t="shared" si="100"/>
        <v/>
      </c>
      <c r="DR491" s="261" t="str">
        <f t="shared" si="101"/>
        <v/>
      </c>
      <c r="DS491" s="261" t="str">
        <f t="shared" si="102"/>
        <v/>
      </c>
      <c r="DT491" s="261" t="str">
        <f t="shared" si="103"/>
        <v/>
      </c>
      <c r="DU491" s="261" t="str">
        <f t="shared" si="104"/>
        <v/>
      </c>
      <c r="DV491" s="261" t="str">
        <f t="shared" si="105"/>
        <v/>
      </c>
      <c r="DW491" s="261" t="str">
        <f t="shared" si="106"/>
        <v/>
      </c>
      <c r="DX491" s="261" t="str">
        <f t="shared" si="107"/>
        <v/>
      </c>
      <c r="DY491" s="261" t="str">
        <f t="shared" si="108"/>
        <v/>
      </c>
      <c r="DZ491" s="261" t="str">
        <f t="shared" si="109"/>
        <v/>
      </c>
      <c r="EA491" s="261" t="str">
        <f t="shared" si="110"/>
        <v/>
      </c>
      <c r="EB491" s="261" t="str">
        <f t="shared" si="111"/>
        <v/>
      </c>
      <c r="EC491" s="261" t="str">
        <f t="shared" si="112"/>
        <v/>
      </c>
      <c r="ED491" s="261" t="str">
        <f t="shared" si="113"/>
        <v/>
      </c>
      <c r="EE491" s="261" t="str">
        <f t="shared" si="114"/>
        <v/>
      </c>
      <c r="EF491" s="261" t="str">
        <f t="shared" si="115"/>
        <v/>
      </c>
      <c r="EG491" s="261" t="str">
        <f t="shared" si="116"/>
        <v/>
      </c>
      <c r="EH491" s="261" t="str">
        <f t="shared" si="117"/>
        <v/>
      </c>
      <c r="EI491" s="261" t="str">
        <f t="shared" si="118"/>
        <v/>
      </c>
      <c r="EJ491" s="261" t="str">
        <f t="shared" si="119"/>
        <v/>
      </c>
      <c r="EK491" s="261" t="str">
        <f t="shared" si="120"/>
        <v/>
      </c>
      <c r="EL491" s="261" t="str">
        <f t="shared" si="121"/>
        <v/>
      </c>
      <c r="EM491" s="261" t="str">
        <f t="shared" si="122"/>
        <v/>
      </c>
      <c r="EN491" s="261" t="str">
        <f t="shared" si="123"/>
        <v/>
      </c>
      <c r="EO491" s="261" t="str">
        <f t="shared" si="124"/>
        <v/>
      </c>
      <c r="EP491" s="261" t="str">
        <f t="shared" si="125"/>
        <v/>
      </c>
      <c r="EQ491" s="261" t="str">
        <f t="shared" si="126"/>
        <v/>
      </c>
      <c r="ER491" s="261" t="str">
        <f t="shared" si="127"/>
        <v/>
      </c>
      <c r="ES491" s="261" t="str">
        <f t="shared" si="128"/>
        <v/>
      </c>
      <c r="ET491" s="261" t="str">
        <f t="shared" si="129"/>
        <v/>
      </c>
      <c r="EU491" s="261" t="str">
        <f t="shared" si="130"/>
        <v/>
      </c>
      <c r="EV491" s="261">
        <f t="shared" si="131"/>
        <v>1392</v>
      </c>
      <c r="EW491" s="261" t="str">
        <f t="shared" si="132"/>
        <v/>
      </c>
      <c r="EX491" s="261" t="str">
        <f t="shared" si="133"/>
        <v/>
      </c>
      <c r="EY491" s="261" t="str">
        <f t="shared" si="134"/>
        <v/>
      </c>
      <c r="EZ491" s="261" t="str">
        <f t="shared" si="135"/>
        <v/>
      </c>
      <c r="FA491" s="261" t="str">
        <f t="shared" si="136"/>
        <v/>
      </c>
      <c r="FB491" s="261" t="str">
        <f t="shared" si="137"/>
        <v/>
      </c>
      <c r="FC491" s="261" t="str">
        <f t="shared" si="138"/>
        <v/>
      </c>
      <c r="FD491" s="261" t="str">
        <f t="shared" si="139"/>
        <v/>
      </c>
      <c r="FE491" s="261" t="str">
        <f t="shared" si="140"/>
        <v/>
      </c>
      <c r="FF491" s="261" t="str">
        <f t="shared" si="141"/>
        <v/>
      </c>
      <c r="FG491" s="261" t="str">
        <f t="shared" si="142"/>
        <v/>
      </c>
      <c r="FH491" s="261" t="str">
        <f t="shared" si="143"/>
        <v/>
      </c>
      <c r="FI491" s="261" t="str">
        <f t="shared" si="144"/>
        <v/>
      </c>
      <c r="FJ491" s="261" t="str">
        <f t="shared" si="145"/>
        <v/>
      </c>
      <c r="FK491" s="261" t="str">
        <f t="shared" si="146"/>
        <v/>
      </c>
      <c r="FL491" s="261" t="str">
        <f t="shared" si="147"/>
        <v/>
      </c>
      <c r="FM491" s="261" t="str">
        <f t="shared" si="148"/>
        <v/>
      </c>
      <c r="FN491" s="261" t="str">
        <f t="shared" si="149"/>
        <v/>
      </c>
      <c r="FO491" s="261" t="str">
        <f t="shared" si="150"/>
        <v/>
      </c>
      <c r="FP491" s="261" t="str">
        <f t="shared" si="151"/>
        <v/>
      </c>
      <c r="FQ491" s="261" t="str">
        <f t="shared" si="152"/>
        <v/>
      </c>
      <c r="FR491" s="261" t="str">
        <f t="shared" si="153"/>
        <v/>
      </c>
      <c r="FS491" s="261" t="str">
        <f t="shared" si="154"/>
        <v/>
      </c>
      <c r="FT491" s="261" t="str">
        <f t="shared" si="155"/>
        <v/>
      </c>
      <c r="FU491" s="261" t="str">
        <f t="shared" si="156"/>
        <v/>
      </c>
      <c r="FV491" s="261" t="str">
        <f t="shared" si="157"/>
        <v/>
      </c>
      <c r="FW491" s="261" t="str">
        <f t="shared" si="158"/>
        <v/>
      </c>
      <c r="FX491" s="261" t="str">
        <f t="shared" si="159"/>
        <v/>
      </c>
      <c r="FY491" s="261" t="str">
        <f t="shared" si="160"/>
        <v/>
      </c>
      <c r="FZ491" s="261" t="str">
        <f t="shared" si="161"/>
        <v/>
      </c>
      <c r="GA491" s="261" t="str">
        <f t="shared" si="162"/>
        <v/>
      </c>
      <c r="GB491" s="261" t="str">
        <f t="shared" si="163"/>
        <v/>
      </c>
      <c r="GC491" s="261" t="str">
        <f t="shared" si="164"/>
        <v/>
      </c>
      <c r="GD491" s="261" t="str">
        <f t="shared" si="165"/>
        <v/>
      </c>
      <c r="GE491" s="261" t="str">
        <f t="shared" si="166"/>
        <v/>
      </c>
      <c r="GF491" s="261" t="str">
        <f t="shared" si="167"/>
        <v/>
      </c>
      <c r="GG491" s="261" t="str">
        <f t="shared" si="168"/>
        <v/>
      </c>
      <c r="GH491" s="261" t="str">
        <f t="shared" si="169"/>
        <v/>
      </c>
      <c r="GI491" s="261" t="str">
        <f t="shared" si="170"/>
        <v/>
      </c>
      <c r="GJ491" s="261" t="str">
        <f t="shared" si="171"/>
        <v/>
      </c>
      <c r="GK491" s="261" t="str">
        <f t="shared" si="172"/>
        <v/>
      </c>
      <c r="GL491" s="261" t="str">
        <f t="shared" si="173"/>
        <v/>
      </c>
      <c r="GM491" s="261" t="str">
        <f t="shared" si="174"/>
        <v/>
      </c>
      <c r="GN491" s="261" t="str">
        <f t="shared" si="175"/>
        <v/>
      </c>
      <c r="GO491" s="261" t="str">
        <f t="shared" si="176"/>
        <v/>
      </c>
      <c r="GP491" s="261" t="str">
        <f t="shared" si="177"/>
        <v/>
      </c>
      <c r="GQ491" s="261" t="str">
        <f t="shared" si="178"/>
        <v/>
      </c>
      <c r="GR491" s="261" t="str">
        <f t="shared" si="179"/>
        <v/>
      </c>
      <c r="GS491" s="261" t="str">
        <f t="shared" si="180"/>
        <v/>
      </c>
      <c r="GT491" s="261" t="str">
        <f t="shared" si="181"/>
        <v/>
      </c>
      <c r="GU491" s="261" t="str">
        <f t="shared" si="182"/>
        <v/>
      </c>
      <c r="GV491" s="261" t="str">
        <f t="shared" si="183"/>
        <v/>
      </c>
      <c r="GW491" s="261" t="str">
        <f t="shared" si="184"/>
        <v/>
      </c>
      <c r="GX491" s="261" t="str">
        <f t="shared" si="185"/>
        <v/>
      </c>
      <c r="GY491" s="261">
        <f t="shared" si="186"/>
        <v>1</v>
      </c>
      <c r="GZ491" s="261" t="str">
        <f t="shared" si="187"/>
        <v/>
      </c>
      <c r="HA491" s="261" t="str">
        <f t="shared" si="188"/>
        <v/>
      </c>
      <c r="HB491" s="261" t="str">
        <f t="shared" si="189"/>
        <v/>
      </c>
      <c r="HC491" s="261" t="str">
        <f t="shared" si="190"/>
        <v/>
      </c>
      <c r="HD491" s="261" t="str">
        <f t="shared" si="191"/>
        <v/>
      </c>
      <c r="HE491" s="261" t="str">
        <f t="shared" si="192"/>
        <v/>
      </c>
      <c r="HF491" s="261" t="str">
        <f t="shared" si="193"/>
        <v/>
      </c>
      <c r="HG491" s="261" t="str">
        <f t="shared" si="194"/>
        <v/>
      </c>
      <c r="HH491" s="261" t="str">
        <f t="shared" si="195"/>
        <v/>
      </c>
      <c r="HI491" s="261" t="str">
        <f t="shared" si="196"/>
        <v/>
      </c>
      <c r="HJ491" s="261" t="str">
        <f t="shared" si="197"/>
        <v/>
      </c>
      <c r="HK491" s="261" t="str">
        <f t="shared" si="198"/>
        <v/>
      </c>
      <c r="HL491" s="261" t="str">
        <f t="shared" si="199"/>
        <v/>
      </c>
      <c r="HM491" s="261" t="str">
        <f t="shared" si="200"/>
        <v/>
      </c>
      <c r="HN491" s="261" t="str">
        <f t="shared" si="201"/>
        <v/>
      </c>
      <c r="HO491" s="261" t="str">
        <f t="shared" si="202"/>
        <v/>
      </c>
      <c r="HP491" s="261" t="str">
        <f t="shared" si="203"/>
        <v/>
      </c>
      <c r="HQ491" s="261" t="str">
        <f t="shared" si="204"/>
        <v/>
      </c>
      <c r="HR491" s="261" t="str">
        <f t="shared" si="205"/>
        <v/>
      </c>
      <c r="HS491" s="261" t="str">
        <f t="shared" si="206"/>
        <v/>
      </c>
      <c r="HT491" s="261" t="str">
        <f t="shared" si="207"/>
        <v/>
      </c>
      <c r="HU491" s="261" t="str">
        <f t="shared" si="208"/>
        <v/>
      </c>
      <c r="HV491" s="261" t="str">
        <f t="shared" si="209"/>
        <v/>
      </c>
      <c r="HW491" s="261" t="str">
        <f t="shared" si="210"/>
        <v/>
      </c>
      <c r="HX491" s="261" t="str">
        <f t="shared" si="211"/>
        <v/>
      </c>
      <c r="HY491" s="261" t="str">
        <f t="shared" si="212"/>
        <v/>
      </c>
      <c r="HZ491" s="1575" t="str">
        <f t="shared" si="213"/>
        <v/>
      </c>
      <c r="IA491" s="1575" t="str">
        <f t="shared" si="214"/>
        <v/>
      </c>
      <c r="IB491" s="1575" t="str">
        <f t="shared" si="215"/>
        <v/>
      </c>
      <c r="IC491" s="1575" t="str">
        <f t="shared" si="216"/>
        <v/>
      </c>
      <c r="ID491" s="1575" t="str">
        <f t="shared" si="217"/>
        <v/>
      </c>
      <c r="IE491" s="1575" t="str">
        <f t="shared" si="218"/>
        <v/>
      </c>
      <c r="IF491" s="1575" t="str">
        <f t="shared" si="219"/>
        <v/>
      </c>
      <c r="IG491" s="1575" t="str">
        <f t="shared" si="220"/>
        <v/>
      </c>
      <c r="IH491" s="1575" t="str">
        <f t="shared" si="221"/>
        <v/>
      </c>
      <c r="II491" s="1575" t="str">
        <f t="shared" si="222"/>
        <v/>
      </c>
      <c r="IJ491" s="1575" t="str">
        <f t="shared" si="223"/>
        <v/>
      </c>
      <c r="IK491" s="1575" t="str">
        <f t="shared" si="224"/>
        <v/>
      </c>
      <c r="IL491" s="1575" t="str">
        <f t="shared" si="225"/>
        <v/>
      </c>
      <c r="IM491" s="1575" t="str">
        <f t="shared" si="226"/>
        <v/>
      </c>
      <c r="IN491" s="1575" t="str">
        <f t="shared" si="227"/>
        <v/>
      </c>
      <c r="IO491" s="1575" t="str">
        <f t="shared" si="228"/>
        <v/>
      </c>
      <c r="IP491" s="1575" t="str">
        <f t="shared" si="229"/>
        <v/>
      </c>
      <c r="IQ491" s="1575" t="str">
        <f t="shared" si="230"/>
        <v/>
      </c>
      <c r="IR491" s="1575" t="str">
        <f t="shared" si="231"/>
        <v/>
      </c>
      <c r="IS491" s="1575" t="str">
        <f t="shared" si="232"/>
        <v/>
      </c>
      <c r="IT491" s="1575" t="str">
        <f t="shared" si="233"/>
        <v/>
      </c>
      <c r="IU491" s="1575" t="str">
        <f t="shared" si="234"/>
        <v/>
      </c>
      <c r="IV491" s="1575" t="str">
        <f t="shared" si="235"/>
        <v/>
      </c>
      <c r="IW491" s="1575" t="str">
        <f t="shared" si="236"/>
        <v/>
      </c>
      <c r="IX491" s="1575" t="str">
        <f t="shared" si="237"/>
        <v/>
      </c>
      <c r="IY491" s="1575" t="str">
        <f t="shared" si="238"/>
        <v/>
      </c>
      <c r="IZ491" s="1575" t="str">
        <f t="shared" si="239"/>
        <v/>
      </c>
      <c r="JA491" s="1575" t="str">
        <f t="shared" si="240"/>
        <v/>
      </c>
      <c r="JB491" s="1575" t="str">
        <f t="shared" si="241"/>
        <v/>
      </c>
      <c r="JC491" s="1575" t="str">
        <f t="shared" si="242"/>
        <v/>
      </c>
      <c r="JD491" s="1575" t="str">
        <f t="shared" si="243"/>
        <v/>
      </c>
      <c r="JE491" s="1575" t="str">
        <f t="shared" si="244"/>
        <v/>
      </c>
      <c r="JF491" s="1575" t="str">
        <f t="shared" si="245"/>
        <v/>
      </c>
      <c r="JG491" s="1575" t="str">
        <f t="shared" si="246"/>
        <v/>
      </c>
      <c r="JH491" s="1575" t="str">
        <f t="shared" si="247"/>
        <v/>
      </c>
      <c r="JI491" s="1575" t="str">
        <f t="shared" si="248"/>
        <v/>
      </c>
      <c r="JJ491" s="1575" t="str">
        <f t="shared" si="249"/>
        <v/>
      </c>
      <c r="JK491" s="1575" t="str">
        <f t="shared" si="250"/>
        <v/>
      </c>
      <c r="JL491" s="1575">
        <f t="shared" si="251"/>
        <v>1</v>
      </c>
      <c r="JM491" s="1575" t="str">
        <f t="shared" si="252"/>
        <v/>
      </c>
      <c r="JN491" s="1575" t="str">
        <f t="shared" si="253"/>
        <v/>
      </c>
      <c r="JO491" s="1575" t="str">
        <f t="shared" si="254"/>
        <v/>
      </c>
      <c r="JP491" s="1575" t="str">
        <f t="shared" si="255"/>
        <v/>
      </c>
      <c r="JQ491" s="1575" t="str">
        <f t="shared" si="256"/>
        <v/>
      </c>
      <c r="JR491" s="1575" t="str">
        <f t="shared" si="257"/>
        <v/>
      </c>
      <c r="JS491" s="1575" t="str">
        <f t="shared" si="258"/>
        <v/>
      </c>
      <c r="JT491" s="1575" t="str">
        <f t="shared" si="259"/>
        <v/>
      </c>
      <c r="JU491" s="1575" t="str">
        <f t="shared" si="260"/>
        <v/>
      </c>
      <c r="JV491" s="1575" t="str">
        <f t="shared" si="261"/>
        <v/>
      </c>
      <c r="JW491" s="1575" t="str">
        <f t="shared" si="262"/>
        <v/>
      </c>
      <c r="JX491" s="1575" t="str">
        <f t="shared" si="263"/>
        <v/>
      </c>
      <c r="JY491" s="1575" t="str">
        <f t="shared" si="264"/>
        <v/>
      </c>
      <c r="JZ491" s="1575" t="str">
        <f t="shared" si="265"/>
        <v/>
      </c>
      <c r="KA491" s="1575" t="str">
        <f t="shared" si="266"/>
        <v/>
      </c>
      <c r="KB491" s="1575" t="str">
        <f t="shared" si="267"/>
        <v/>
      </c>
      <c r="KC491" s="1575" t="str">
        <f t="shared" si="268"/>
        <v/>
      </c>
      <c r="KD491" s="1575" t="str">
        <f t="shared" si="269"/>
        <v/>
      </c>
      <c r="KE491" s="1575" t="str">
        <f t="shared" si="270"/>
        <v/>
      </c>
      <c r="KF491" s="1575" t="str">
        <f t="shared" si="271"/>
        <v/>
      </c>
      <c r="KG491" s="1575" t="str">
        <f t="shared" si="272"/>
        <v/>
      </c>
      <c r="KH491" s="1575" t="str">
        <f t="shared" si="273"/>
        <v/>
      </c>
      <c r="KI491" s="1575" t="str">
        <f t="shared" si="274"/>
        <v/>
      </c>
      <c r="KJ491" s="1575" t="str">
        <f t="shared" si="275"/>
        <v/>
      </c>
      <c r="KK491" s="1575" t="str">
        <f t="shared" si="276"/>
        <v/>
      </c>
      <c r="KL491" s="1575" t="str">
        <f t="shared" si="277"/>
        <v/>
      </c>
      <c r="KM491" s="1575" t="str">
        <f t="shared" si="278"/>
        <v/>
      </c>
      <c r="KN491" s="1575" t="str">
        <f t="shared" si="279"/>
        <v/>
      </c>
      <c r="KO491" s="1575" t="str">
        <f t="shared" si="280"/>
        <v/>
      </c>
      <c r="KP491" s="1575" t="str">
        <f t="shared" si="281"/>
        <v/>
      </c>
      <c r="KQ491" s="1575" t="str">
        <f t="shared" si="282"/>
        <v/>
      </c>
      <c r="KR491" s="1575" t="str">
        <f t="shared" si="283"/>
        <v/>
      </c>
      <c r="KS491" s="1575" t="str">
        <f t="shared" si="284"/>
        <v/>
      </c>
      <c r="KT491" s="1575" t="str">
        <f t="shared" si="285"/>
        <v/>
      </c>
      <c r="KU491" s="1575" t="str">
        <f t="shared" si="286"/>
        <v/>
      </c>
      <c r="KV491" s="1575" t="str">
        <f t="shared" si="287"/>
        <v/>
      </c>
      <c r="KW491" s="1575" t="str">
        <f t="shared" si="288"/>
        <v/>
      </c>
      <c r="KX491" s="1575" t="str">
        <f t="shared" si="289"/>
        <v/>
      </c>
      <c r="KY491" s="1575" t="str">
        <f t="shared" si="290"/>
        <v/>
      </c>
      <c r="KZ491" s="1575" t="str">
        <f t="shared" si="291"/>
        <v/>
      </c>
      <c r="LA491" s="1575" t="str">
        <f t="shared" si="292"/>
        <v/>
      </c>
      <c r="LB491" s="1575" t="str">
        <f t="shared" si="293"/>
        <v/>
      </c>
      <c r="LC491" s="1575" t="str">
        <f t="shared" si="294"/>
        <v/>
      </c>
      <c r="LD491" s="1575" t="str">
        <f t="shared" si="295"/>
        <v/>
      </c>
      <c r="LE491" s="1575" t="str">
        <f t="shared" si="296"/>
        <v/>
      </c>
      <c r="LF491" s="1575" t="str">
        <f t="shared" si="297"/>
        <v/>
      </c>
      <c r="LG491" s="1564" t="str">
        <f t="shared" si="298"/>
        <v/>
      </c>
      <c r="LH491" s="1564" t="str">
        <f t="shared" si="299"/>
        <v/>
      </c>
      <c r="LI491" s="1564" t="str">
        <f t="shared" si="300"/>
        <v/>
      </c>
      <c r="LJ491" s="1564" t="str">
        <f t="shared" si="301"/>
        <v/>
      </c>
      <c r="LK491" s="1564" t="str">
        <f t="shared" si="302"/>
        <v/>
      </c>
      <c r="LL491" s="261" t="str">
        <f t="shared" si="303"/>
        <v/>
      </c>
      <c r="LM491" s="261" t="str">
        <f t="shared" si="304"/>
        <v/>
      </c>
      <c r="LN491" s="261" t="str">
        <f t="shared" si="305"/>
        <v/>
      </c>
      <c r="LO491" s="261" t="str">
        <f t="shared" si="306"/>
        <v/>
      </c>
      <c r="LP491" s="261" t="str">
        <f t="shared" si="307"/>
        <v/>
      </c>
      <c r="LQ491" s="261" t="str">
        <f t="shared" si="308"/>
        <v/>
      </c>
      <c r="LR491" s="261" t="str">
        <f t="shared" si="309"/>
        <v/>
      </c>
      <c r="LS491" s="261" t="str">
        <f t="shared" si="310"/>
        <v/>
      </c>
      <c r="LT491" s="261" t="str">
        <f t="shared" si="311"/>
        <v/>
      </c>
      <c r="LU491" s="261" t="str">
        <f t="shared" si="312"/>
        <v/>
      </c>
      <c r="LV491" s="261" t="str">
        <f t="shared" si="313"/>
        <v/>
      </c>
      <c r="LW491" s="261" t="str">
        <f t="shared" si="314"/>
        <v/>
      </c>
      <c r="LX491" s="261" t="str">
        <f t="shared" si="315"/>
        <v/>
      </c>
      <c r="LY491" s="261" t="str">
        <f t="shared" si="316"/>
        <v/>
      </c>
      <c r="LZ491" s="261" t="str">
        <f t="shared" si="317"/>
        <v/>
      </c>
      <c r="MA491" s="261" t="str">
        <f t="shared" si="318"/>
        <v/>
      </c>
      <c r="MB491" s="261" t="str">
        <f t="shared" si="319"/>
        <v/>
      </c>
      <c r="MC491" s="261" t="str">
        <f t="shared" si="320"/>
        <v/>
      </c>
      <c r="MD491" s="261" t="str">
        <f t="shared" si="321"/>
        <v/>
      </c>
      <c r="ME491" s="261" t="str">
        <f t="shared" si="322"/>
        <v/>
      </c>
      <c r="MF491" s="1441">
        <f t="shared" si="323"/>
        <v>0</v>
      </c>
      <c r="MG491" s="1441">
        <f t="shared" si="324"/>
        <v>0</v>
      </c>
      <c r="MH491" s="1441">
        <f t="shared" si="325"/>
        <v>0</v>
      </c>
      <c r="MI491" s="1441">
        <f t="shared" si="326"/>
        <v>1</v>
      </c>
      <c r="MJ491" s="1441">
        <f t="shared" si="327"/>
        <v>0</v>
      </c>
      <c r="MK491" s="1441">
        <f t="shared" si="333"/>
        <v>0</v>
      </c>
      <c r="ML491" s="1441">
        <f t="shared" si="334"/>
        <v>0</v>
      </c>
      <c r="MM491" s="1441">
        <f t="shared" si="335"/>
        <v>0</v>
      </c>
      <c r="MN491" s="1441">
        <f t="shared" si="336"/>
        <v>0</v>
      </c>
      <c r="MO491" s="1441">
        <f t="shared" si="337"/>
        <v>0</v>
      </c>
      <c r="MP491" s="1441">
        <f t="shared" si="328"/>
        <v>0</v>
      </c>
      <c r="MQ491" s="1441">
        <f t="shared" si="329"/>
        <v>0</v>
      </c>
      <c r="MR491" s="1441">
        <f t="shared" si="330"/>
        <v>0</v>
      </c>
      <c r="MS491" s="1441">
        <f t="shared" si="331"/>
        <v>0</v>
      </c>
      <c r="MT491" s="1441">
        <f t="shared" si="332"/>
        <v>0</v>
      </c>
      <c r="NP491" s="261" t="s">
        <v>1145</v>
      </c>
    </row>
    <row r="492" spans="1:380" ht="13.9" customHeight="1">
      <c r="A492" s="2330" t="str">
        <f t="shared" si="0"/>
        <v/>
      </c>
      <c r="B492" s="2149">
        <f>'Part V-Revenues &amp; Expenses'!B45</f>
        <v>0</v>
      </c>
      <c r="C492" s="2150">
        <f>'Part V-Revenues &amp; Expenses'!C45</f>
        <v>0</v>
      </c>
      <c r="D492" s="2151">
        <f>'Part V-Revenues &amp; Expenses'!D45</f>
        <v>0</v>
      </c>
      <c r="E492" s="2152">
        <f>'Part V-Revenues &amp; Expenses'!E45</f>
        <v>0</v>
      </c>
      <c r="F492" s="2152">
        <f>'Part V-Revenues &amp; Expenses'!F45</f>
        <v>0</v>
      </c>
      <c r="G492" s="2152">
        <f>'Part V-Revenues &amp; Expenses'!G45</f>
        <v>0</v>
      </c>
      <c r="H492" s="2152">
        <f>'Part V-Revenues &amp; Expenses'!H45</f>
        <v>0</v>
      </c>
      <c r="I492" s="2152">
        <f>'Part V-Revenues &amp; Expenses'!I45</f>
        <v>0</v>
      </c>
      <c r="J492" s="2152">
        <f>'Part V-Revenues &amp; Expenses'!J45</f>
        <v>0</v>
      </c>
      <c r="K492" s="2153">
        <f>'Part V-Revenues &amp; Expenses'!K45</f>
        <v>0</v>
      </c>
      <c r="L492" s="2154">
        <f t="shared" si="1"/>
        <v>0</v>
      </c>
      <c r="M492" s="2154">
        <f t="shared" si="2"/>
        <v>0</v>
      </c>
      <c r="N492" s="2225">
        <f>'Part V-Revenues &amp; Expenses'!N45</f>
        <v>0</v>
      </c>
      <c r="O492" s="1065">
        <f>'Part V-Revenues &amp; Expenses'!O45</f>
        <v>0</v>
      </c>
      <c r="P492" s="2225">
        <f>'Part V-Revenues &amp; Expenses'!P45</f>
        <v>0</v>
      </c>
      <c r="Q492" s="1574">
        <f>'Part V-Revenues &amp; Expenses'!Q45</f>
        <v>0</v>
      </c>
      <c r="R492" s="2356"/>
      <c r="S492" s="2357"/>
      <c r="T492" s="2358"/>
      <c r="U492" s="2358"/>
      <c r="V492" s="2358"/>
      <c r="W492" s="2358"/>
      <c r="X492" s="261" t="str">
        <f t="shared" si="3"/>
        <v/>
      </c>
      <c r="Y492" s="261" t="str">
        <f t="shared" si="4"/>
        <v/>
      </c>
      <c r="Z492" s="261" t="str">
        <f t="shared" si="5"/>
        <v/>
      </c>
      <c r="AA492" s="261" t="str">
        <f t="shared" si="6"/>
        <v/>
      </c>
      <c r="AB492" s="261" t="str">
        <f t="shared" si="7"/>
        <v/>
      </c>
      <c r="AC492" s="261" t="str">
        <f t="shared" si="8"/>
        <v/>
      </c>
      <c r="AD492" s="261" t="str">
        <f t="shared" si="9"/>
        <v/>
      </c>
      <c r="AE492" s="261" t="str">
        <f t="shared" si="10"/>
        <v/>
      </c>
      <c r="AF492" s="261" t="str">
        <f t="shared" si="11"/>
        <v/>
      </c>
      <c r="AG492" s="261" t="str">
        <f t="shared" si="12"/>
        <v/>
      </c>
      <c r="AH492" s="261" t="str">
        <f t="shared" si="13"/>
        <v/>
      </c>
      <c r="AI492" s="261" t="str">
        <f t="shared" si="14"/>
        <v/>
      </c>
      <c r="AJ492" s="261" t="str">
        <f t="shared" si="15"/>
        <v/>
      </c>
      <c r="AK492" s="261" t="str">
        <f t="shared" si="16"/>
        <v/>
      </c>
      <c r="AL492" s="261" t="str">
        <f t="shared" si="17"/>
        <v/>
      </c>
      <c r="AM492" s="261" t="str">
        <f t="shared" si="18"/>
        <v/>
      </c>
      <c r="AN492" s="261" t="str">
        <f t="shared" si="19"/>
        <v/>
      </c>
      <c r="AO492" s="261" t="str">
        <f t="shared" si="20"/>
        <v/>
      </c>
      <c r="AP492" s="261" t="str">
        <f t="shared" si="21"/>
        <v/>
      </c>
      <c r="AQ492" s="261" t="str">
        <f t="shared" si="22"/>
        <v/>
      </c>
      <c r="AR492" s="261" t="str">
        <f t="shared" si="23"/>
        <v/>
      </c>
      <c r="AS492" s="261" t="str">
        <f t="shared" si="24"/>
        <v/>
      </c>
      <c r="AT492" s="261" t="str">
        <f t="shared" si="25"/>
        <v/>
      </c>
      <c r="AU492" s="261" t="str">
        <f t="shared" si="26"/>
        <v/>
      </c>
      <c r="AV492" s="261" t="str">
        <f t="shared" si="27"/>
        <v/>
      </c>
      <c r="AW492" s="261" t="str">
        <f t="shared" si="28"/>
        <v/>
      </c>
      <c r="AX492" s="261" t="str">
        <f t="shared" si="29"/>
        <v/>
      </c>
      <c r="AY492" s="261" t="str">
        <f t="shared" si="30"/>
        <v/>
      </c>
      <c r="AZ492" s="261" t="str">
        <f t="shared" si="31"/>
        <v/>
      </c>
      <c r="BA492" s="261" t="str">
        <f t="shared" si="32"/>
        <v/>
      </c>
      <c r="BB492" s="261" t="str">
        <f t="shared" si="33"/>
        <v/>
      </c>
      <c r="BC492" s="261" t="str">
        <f t="shared" si="34"/>
        <v/>
      </c>
      <c r="BD492" s="261" t="str">
        <f t="shared" si="35"/>
        <v/>
      </c>
      <c r="BE492" s="261" t="str">
        <f t="shared" si="36"/>
        <v/>
      </c>
      <c r="BF492" s="261" t="str">
        <f t="shared" si="37"/>
        <v/>
      </c>
      <c r="BG492" s="261" t="str">
        <f t="shared" si="38"/>
        <v/>
      </c>
      <c r="BH492" s="261" t="str">
        <f t="shared" si="39"/>
        <v/>
      </c>
      <c r="BI492" s="261" t="str">
        <f t="shared" si="40"/>
        <v/>
      </c>
      <c r="BJ492" s="261" t="str">
        <f t="shared" si="41"/>
        <v/>
      </c>
      <c r="BK492" s="261" t="str">
        <f t="shared" si="42"/>
        <v/>
      </c>
      <c r="BL492" s="261" t="str">
        <f t="shared" si="43"/>
        <v/>
      </c>
      <c r="BM492" s="261" t="str">
        <f t="shared" si="44"/>
        <v/>
      </c>
      <c r="BN492" s="261" t="str">
        <f t="shared" si="45"/>
        <v/>
      </c>
      <c r="BO492" s="261" t="str">
        <f t="shared" si="46"/>
        <v/>
      </c>
      <c r="BP492" s="261" t="str">
        <f t="shared" si="47"/>
        <v/>
      </c>
      <c r="BQ492" s="261" t="str">
        <f t="shared" si="48"/>
        <v/>
      </c>
      <c r="BR492" s="261" t="str">
        <f t="shared" si="49"/>
        <v/>
      </c>
      <c r="BS492" s="261" t="str">
        <f t="shared" si="50"/>
        <v/>
      </c>
      <c r="BT492" s="261" t="str">
        <f t="shared" si="51"/>
        <v/>
      </c>
      <c r="BU492" s="261" t="str">
        <f t="shared" si="52"/>
        <v/>
      </c>
      <c r="BV492" s="261" t="str">
        <f t="shared" si="53"/>
        <v/>
      </c>
      <c r="BW492" s="261" t="str">
        <f t="shared" si="54"/>
        <v/>
      </c>
      <c r="BX492" s="261" t="str">
        <f t="shared" si="55"/>
        <v/>
      </c>
      <c r="BY492" s="261" t="str">
        <f t="shared" si="56"/>
        <v/>
      </c>
      <c r="BZ492" s="261" t="str">
        <f t="shared" si="57"/>
        <v/>
      </c>
      <c r="CA492" s="261" t="str">
        <f t="shared" si="58"/>
        <v/>
      </c>
      <c r="CB492" s="261" t="str">
        <f t="shared" si="59"/>
        <v/>
      </c>
      <c r="CC492" s="261" t="str">
        <f t="shared" si="60"/>
        <v/>
      </c>
      <c r="CD492" s="261" t="str">
        <f t="shared" si="61"/>
        <v/>
      </c>
      <c r="CE492" s="261" t="str">
        <f t="shared" si="62"/>
        <v/>
      </c>
      <c r="CF492" s="261" t="str">
        <f t="shared" si="63"/>
        <v/>
      </c>
      <c r="CG492" s="261" t="str">
        <f t="shared" si="64"/>
        <v/>
      </c>
      <c r="CH492" s="261" t="str">
        <f t="shared" si="65"/>
        <v/>
      </c>
      <c r="CI492" s="261" t="str">
        <f t="shared" si="66"/>
        <v/>
      </c>
      <c r="CJ492" s="261" t="str">
        <f t="shared" si="67"/>
        <v/>
      </c>
      <c r="CK492" s="261" t="str">
        <f t="shared" si="68"/>
        <v/>
      </c>
      <c r="CL492" s="261" t="str">
        <f t="shared" si="69"/>
        <v/>
      </c>
      <c r="CM492" s="261" t="str">
        <f t="shared" si="70"/>
        <v/>
      </c>
      <c r="CN492" s="261" t="str">
        <f t="shared" si="71"/>
        <v/>
      </c>
      <c r="CO492" s="261" t="str">
        <f t="shared" si="72"/>
        <v/>
      </c>
      <c r="CP492" s="261" t="str">
        <f t="shared" si="73"/>
        <v/>
      </c>
      <c r="CQ492" s="261" t="str">
        <f t="shared" si="74"/>
        <v/>
      </c>
      <c r="CR492" s="261" t="str">
        <f t="shared" si="75"/>
        <v/>
      </c>
      <c r="CS492" s="261" t="str">
        <f t="shared" si="76"/>
        <v/>
      </c>
      <c r="CT492" s="261" t="str">
        <f t="shared" si="77"/>
        <v/>
      </c>
      <c r="CU492" s="261" t="str">
        <f t="shared" si="78"/>
        <v/>
      </c>
      <c r="CV492" s="261" t="str">
        <f t="shared" si="79"/>
        <v/>
      </c>
      <c r="CW492" s="261" t="str">
        <f t="shared" si="80"/>
        <v/>
      </c>
      <c r="CX492" s="261" t="str">
        <f t="shared" si="81"/>
        <v/>
      </c>
      <c r="CY492" s="261" t="str">
        <f t="shared" si="82"/>
        <v/>
      </c>
      <c r="CZ492" s="261" t="str">
        <f t="shared" si="83"/>
        <v/>
      </c>
      <c r="DA492" s="261" t="str">
        <f t="shared" si="84"/>
        <v/>
      </c>
      <c r="DB492" s="261" t="str">
        <f t="shared" si="85"/>
        <v/>
      </c>
      <c r="DC492" s="261" t="str">
        <f t="shared" si="86"/>
        <v/>
      </c>
      <c r="DD492" s="261" t="str">
        <f t="shared" si="87"/>
        <v/>
      </c>
      <c r="DE492" s="261" t="str">
        <f t="shared" si="88"/>
        <v/>
      </c>
      <c r="DF492" s="261" t="str">
        <f t="shared" si="89"/>
        <v/>
      </c>
      <c r="DG492" s="261" t="str">
        <f t="shared" si="90"/>
        <v/>
      </c>
      <c r="DH492" s="261" t="str">
        <f t="shared" si="91"/>
        <v/>
      </c>
      <c r="DI492" s="261" t="str">
        <f t="shared" si="92"/>
        <v/>
      </c>
      <c r="DJ492" s="261" t="str">
        <f t="shared" si="93"/>
        <v/>
      </c>
      <c r="DK492" s="261" t="str">
        <f t="shared" si="94"/>
        <v/>
      </c>
      <c r="DL492" s="261" t="str">
        <f t="shared" si="95"/>
        <v/>
      </c>
      <c r="DM492" s="261" t="str">
        <f t="shared" si="96"/>
        <v/>
      </c>
      <c r="DN492" s="261" t="str">
        <f t="shared" si="97"/>
        <v/>
      </c>
      <c r="DO492" s="261" t="str">
        <f t="shared" si="98"/>
        <v/>
      </c>
      <c r="DP492" s="261" t="str">
        <f t="shared" si="99"/>
        <v/>
      </c>
      <c r="DQ492" s="261" t="str">
        <f t="shared" si="100"/>
        <v/>
      </c>
      <c r="DR492" s="261" t="str">
        <f t="shared" si="101"/>
        <v/>
      </c>
      <c r="DS492" s="261" t="str">
        <f t="shared" si="102"/>
        <v/>
      </c>
      <c r="DT492" s="261" t="str">
        <f t="shared" si="103"/>
        <v/>
      </c>
      <c r="DU492" s="261" t="str">
        <f t="shared" si="104"/>
        <v/>
      </c>
      <c r="DV492" s="261" t="str">
        <f t="shared" si="105"/>
        <v/>
      </c>
      <c r="DW492" s="261" t="str">
        <f t="shared" si="106"/>
        <v/>
      </c>
      <c r="DX492" s="261" t="str">
        <f t="shared" si="107"/>
        <v/>
      </c>
      <c r="DY492" s="261" t="str">
        <f t="shared" si="108"/>
        <v/>
      </c>
      <c r="DZ492" s="261" t="str">
        <f t="shared" si="109"/>
        <v/>
      </c>
      <c r="EA492" s="261" t="str">
        <f t="shared" si="110"/>
        <v/>
      </c>
      <c r="EB492" s="261" t="str">
        <f t="shared" si="111"/>
        <v/>
      </c>
      <c r="EC492" s="261" t="str">
        <f t="shared" si="112"/>
        <v/>
      </c>
      <c r="ED492" s="261" t="str">
        <f t="shared" si="113"/>
        <v/>
      </c>
      <c r="EE492" s="261" t="str">
        <f t="shared" si="114"/>
        <v/>
      </c>
      <c r="EF492" s="261" t="str">
        <f t="shared" si="115"/>
        <v/>
      </c>
      <c r="EG492" s="261" t="str">
        <f t="shared" si="116"/>
        <v/>
      </c>
      <c r="EH492" s="261" t="str">
        <f t="shared" si="117"/>
        <v/>
      </c>
      <c r="EI492" s="261" t="str">
        <f t="shared" si="118"/>
        <v/>
      </c>
      <c r="EJ492" s="261" t="str">
        <f t="shared" si="119"/>
        <v/>
      </c>
      <c r="EK492" s="261" t="str">
        <f t="shared" si="120"/>
        <v/>
      </c>
      <c r="EL492" s="261" t="str">
        <f t="shared" si="121"/>
        <v/>
      </c>
      <c r="EM492" s="261" t="str">
        <f t="shared" si="122"/>
        <v/>
      </c>
      <c r="EN492" s="261" t="str">
        <f t="shared" si="123"/>
        <v/>
      </c>
      <c r="EO492" s="261" t="str">
        <f t="shared" si="124"/>
        <v/>
      </c>
      <c r="EP492" s="261" t="str">
        <f t="shared" si="125"/>
        <v/>
      </c>
      <c r="EQ492" s="261" t="str">
        <f t="shared" si="126"/>
        <v/>
      </c>
      <c r="ER492" s="261" t="str">
        <f t="shared" si="127"/>
        <v/>
      </c>
      <c r="ES492" s="261" t="str">
        <f t="shared" si="128"/>
        <v/>
      </c>
      <c r="ET492" s="261" t="str">
        <f t="shared" si="129"/>
        <v/>
      </c>
      <c r="EU492" s="261" t="str">
        <f t="shared" si="130"/>
        <v/>
      </c>
      <c r="EV492" s="261" t="str">
        <f t="shared" si="131"/>
        <v/>
      </c>
      <c r="EW492" s="261" t="str">
        <f t="shared" si="132"/>
        <v/>
      </c>
      <c r="EX492" s="261" t="str">
        <f t="shared" si="133"/>
        <v/>
      </c>
      <c r="EY492" s="261" t="str">
        <f t="shared" si="134"/>
        <v/>
      </c>
      <c r="EZ492" s="261" t="str">
        <f t="shared" si="135"/>
        <v/>
      </c>
      <c r="FA492" s="261" t="str">
        <f t="shared" si="136"/>
        <v/>
      </c>
      <c r="FB492" s="261" t="str">
        <f t="shared" si="137"/>
        <v/>
      </c>
      <c r="FC492" s="261" t="str">
        <f t="shared" si="138"/>
        <v/>
      </c>
      <c r="FD492" s="261" t="str">
        <f t="shared" si="139"/>
        <v/>
      </c>
      <c r="FE492" s="261" t="str">
        <f t="shared" si="140"/>
        <v/>
      </c>
      <c r="FF492" s="261" t="str">
        <f t="shared" si="141"/>
        <v/>
      </c>
      <c r="FG492" s="261" t="str">
        <f t="shared" si="142"/>
        <v/>
      </c>
      <c r="FH492" s="261" t="str">
        <f t="shared" si="143"/>
        <v/>
      </c>
      <c r="FI492" s="261" t="str">
        <f t="shared" si="144"/>
        <v/>
      </c>
      <c r="FJ492" s="261" t="str">
        <f t="shared" si="145"/>
        <v/>
      </c>
      <c r="FK492" s="261" t="str">
        <f t="shared" si="146"/>
        <v/>
      </c>
      <c r="FL492" s="261" t="str">
        <f t="shared" si="147"/>
        <v/>
      </c>
      <c r="FM492" s="261" t="str">
        <f t="shared" si="148"/>
        <v/>
      </c>
      <c r="FN492" s="261" t="str">
        <f t="shared" si="149"/>
        <v/>
      </c>
      <c r="FO492" s="261" t="str">
        <f t="shared" si="150"/>
        <v/>
      </c>
      <c r="FP492" s="261" t="str">
        <f t="shared" si="151"/>
        <v/>
      </c>
      <c r="FQ492" s="261" t="str">
        <f t="shared" si="152"/>
        <v/>
      </c>
      <c r="FR492" s="261" t="str">
        <f t="shared" si="153"/>
        <v/>
      </c>
      <c r="FS492" s="261" t="str">
        <f t="shared" si="154"/>
        <v/>
      </c>
      <c r="FT492" s="261" t="str">
        <f t="shared" si="155"/>
        <v/>
      </c>
      <c r="FU492" s="261" t="str">
        <f t="shared" si="156"/>
        <v/>
      </c>
      <c r="FV492" s="261" t="str">
        <f t="shared" si="157"/>
        <v/>
      </c>
      <c r="FW492" s="261" t="str">
        <f t="shared" si="158"/>
        <v/>
      </c>
      <c r="FX492" s="261" t="str">
        <f t="shared" si="159"/>
        <v/>
      </c>
      <c r="FY492" s="261" t="str">
        <f t="shared" si="160"/>
        <v/>
      </c>
      <c r="FZ492" s="261" t="str">
        <f t="shared" si="161"/>
        <v/>
      </c>
      <c r="GA492" s="261" t="str">
        <f t="shared" si="162"/>
        <v/>
      </c>
      <c r="GB492" s="261" t="str">
        <f t="shared" si="163"/>
        <v/>
      </c>
      <c r="GC492" s="261" t="str">
        <f t="shared" si="164"/>
        <v/>
      </c>
      <c r="GD492" s="261" t="str">
        <f t="shared" si="165"/>
        <v/>
      </c>
      <c r="GE492" s="261" t="str">
        <f t="shared" si="166"/>
        <v/>
      </c>
      <c r="GF492" s="261" t="str">
        <f t="shared" si="167"/>
        <v/>
      </c>
      <c r="GG492" s="261" t="str">
        <f t="shared" si="168"/>
        <v/>
      </c>
      <c r="GH492" s="261" t="str">
        <f t="shared" si="169"/>
        <v/>
      </c>
      <c r="GI492" s="261" t="str">
        <f t="shared" si="170"/>
        <v/>
      </c>
      <c r="GJ492" s="261" t="str">
        <f t="shared" si="171"/>
        <v/>
      </c>
      <c r="GK492" s="261" t="str">
        <f t="shared" si="172"/>
        <v/>
      </c>
      <c r="GL492" s="261" t="str">
        <f t="shared" si="173"/>
        <v/>
      </c>
      <c r="GM492" s="261" t="str">
        <f t="shared" si="174"/>
        <v/>
      </c>
      <c r="GN492" s="261" t="str">
        <f t="shared" si="175"/>
        <v/>
      </c>
      <c r="GO492" s="261" t="str">
        <f t="shared" si="176"/>
        <v/>
      </c>
      <c r="GP492" s="261" t="str">
        <f t="shared" si="177"/>
        <v/>
      </c>
      <c r="GQ492" s="261" t="str">
        <f t="shared" si="178"/>
        <v/>
      </c>
      <c r="GR492" s="261" t="str">
        <f t="shared" si="179"/>
        <v/>
      </c>
      <c r="GS492" s="261" t="str">
        <f t="shared" si="180"/>
        <v/>
      </c>
      <c r="GT492" s="261" t="str">
        <f t="shared" si="181"/>
        <v/>
      </c>
      <c r="GU492" s="261" t="str">
        <f t="shared" si="182"/>
        <v/>
      </c>
      <c r="GV492" s="261" t="str">
        <f t="shared" si="183"/>
        <v/>
      </c>
      <c r="GW492" s="261" t="str">
        <f t="shared" si="184"/>
        <v/>
      </c>
      <c r="GX492" s="261" t="str">
        <f t="shared" si="185"/>
        <v/>
      </c>
      <c r="GY492" s="261" t="str">
        <f t="shared" si="186"/>
        <v/>
      </c>
      <c r="GZ492" s="261" t="str">
        <f t="shared" si="187"/>
        <v/>
      </c>
      <c r="HA492" s="261" t="str">
        <f t="shared" si="188"/>
        <v/>
      </c>
      <c r="HB492" s="261" t="str">
        <f t="shared" si="189"/>
        <v/>
      </c>
      <c r="HC492" s="261" t="str">
        <f t="shared" si="190"/>
        <v/>
      </c>
      <c r="HD492" s="261" t="str">
        <f t="shared" si="191"/>
        <v/>
      </c>
      <c r="HE492" s="261" t="str">
        <f t="shared" si="192"/>
        <v/>
      </c>
      <c r="HF492" s="261" t="str">
        <f t="shared" si="193"/>
        <v/>
      </c>
      <c r="HG492" s="261" t="str">
        <f t="shared" si="194"/>
        <v/>
      </c>
      <c r="HH492" s="261" t="str">
        <f t="shared" si="195"/>
        <v/>
      </c>
      <c r="HI492" s="261" t="str">
        <f t="shared" si="196"/>
        <v/>
      </c>
      <c r="HJ492" s="261" t="str">
        <f t="shared" si="197"/>
        <v/>
      </c>
      <c r="HK492" s="261" t="str">
        <f t="shared" si="198"/>
        <v/>
      </c>
      <c r="HL492" s="261" t="str">
        <f t="shared" si="199"/>
        <v/>
      </c>
      <c r="HM492" s="261" t="str">
        <f t="shared" si="200"/>
        <v/>
      </c>
      <c r="HN492" s="261" t="str">
        <f t="shared" si="201"/>
        <v/>
      </c>
      <c r="HO492" s="261" t="str">
        <f t="shared" si="202"/>
        <v/>
      </c>
      <c r="HP492" s="261" t="str">
        <f t="shared" si="203"/>
        <v/>
      </c>
      <c r="HQ492" s="261" t="str">
        <f t="shared" si="204"/>
        <v/>
      </c>
      <c r="HR492" s="261" t="str">
        <f t="shared" si="205"/>
        <v/>
      </c>
      <c r="HS492" s="261" t="str">
        <f t="shared" si="206"/>
        <v/>
      </c>
      <c r="HT492" s="261" t="str">
        <f t="shared" si="207"/>
        <v/>
      </c>
      <c r="HU492" s="261" t="str">
        <f t="shared" si="208"/>
        <v/>
      </c>
      <c r="HV492" s="261" t="str">
        <f t="shared" si="209"/>
        <v/>
      </c>
      <c r="HW492" s="261" t="str">
        <f t="shared" si="210"/>
        <v/>
      </c>
      <c r="HX492" s="261" t="str">
        <f t="shared" si="211"/>
        <v/>
      </c>
      <c r="HY492" s="261" t="str">
        <f t="shared" si="212"/>
        <v/>
      </c>
      <c r="HZ492" s="1575" t="str">
        <f t="shared" si="213"/>
        <v/>
      </c>
      <c r="IA492" s="1575" t="str">
        <f t="shared" si="214"/>
        <v/>
      </c>
      <c r="IB492" s="1575" t="str">
        <f t="shared" si="215"/>
        <v/>
      </c>
      <c r="IC492" s="1575" t="str">
        <f t="shared" si="216"/>
        <v/>
      </c>
      <c r="ID492" s="1575" t="str">
        <f t="shared" si="217"/>
        <v/>
      </c>
      <c r="IE492" s="1575" t="str">
        <f t="shared" si="218"/>
        <v/>
      </c>
      <c r="IF492" s="1575" t="str">
        <f t="shared" si="219"/>
        <v/>
      </c>
      <c r="IG492" s="1575" t="str">
        <f t="shared" si="220"/>
        <v/>
      </c>
      <c r="IH492" s="1575" t="str">
        <f t="shared" si="221"/>
        <v/>
      </c>
      <c r="II492" s="1575" t="str">
        <f t="shared" si="222"/>
        <v/>
      </c>
      <c r="IJ492" s="1575" t="str">
        <f t="shared" si="223"/>
        <v/>
      </c>
      <c r="IK492" s="1575" t="str">
        <f t="shared" si="224"/>
        <v/>
      </c>
      <c r="IL492" s="1575" t="str">
        <f t="shared" si="225"/>
        <v/>
      </c>
      <c r="IM492" s="1575" t="str">
        <f t="shared" si="226"/>
        <v/>
      </c>
      <c r="IN492" s="1575" t="str">
        <f t="shared" si="227"/>
        <v/>
      </c>
      <c r="IO492" s="1575" t="str">
        <f t="shared" si="228"/>
        <v/>
      </c>
      <c r="IP492" s="1575" t="str">
        <f t="shared" si="229"/>
        <v/>
      </c>
      <c r="IQ492" s="1575" t="str">
        <f t="shared" si="230"/>
        <v/>
      </c>
      <c r="IR492" s="1575" t="str">
        <f t="shared" si="231"/>
        <v/>
      </c>
      <c r="IS492" s="1575" t="str">
        <f t="shared" si="232"/>
        <v/>
      </c>
      <c r="IT492" s="1575" t="str">
        <f t="shared" si="233"/>
        <v/>
      </c>
      <c r="IU492" s="1575" t="str">
        <f t="shared" si="234"/>
        <v/>
      </c>
      <c r="IV492" s="1575" t="str">
        <f t="shared" si="235"/>
        <v/>
      </c>
      <c r="IW492" s="1575" t="str">
        <f t="shared" si="236"/>
        <v/>
      </c>
      <c r="IX492" s="1575" t="str">
        <f t="shared" si="237"/>
        <v/>
      </c>
      <c r="IY492" s="1575" t="str">
        <f t="shared" si="238"/>
        <v/>
      </c>
      <c r="IZ492" s="1575" t="str">
        <f t="shared" si="239"/>
        <v/>
      </c>
      <c r="JA492" s="1575" t="str">
        <f t="shared" si="240"/>
        <v/>
      </c>
      <c r="JB492" s="1575" t="str">
        <f t="shared" si="241"/>
        <v/>
      </c>
      <c r="JC492" s="1575" t="str">
        <f t="shared" si="242"/>
        <v/>
      </c>
      <c r="JD492" s="1575" t="str">
        <f t="shared" si="243"/>
        <v/>
      </c>
      <c r="JE492" s="1575" t="str">
        <f t="shared" si="244"/>
        <v/>
      </c>
      <c r="JF492" s="1575" t="str">
        <f t="shared" si="245"/>
        <v/>
      </c>
      <c r="JG492" s="1575" t="str">
        <f t="shared" si="246"/>
        <v/>
      </c>
      <c r="JH492" s="1575" t="str">
        <f t="shared" si="247"/>
        <v/>
      </c>
      <c r="JI492" s="1575" t="str">
        <f t="shared" si="248"/>
        <v/>
      </c>
      <c r="JJ492" s="1575" t="str">
        <f t="shared" si="249"/>
        <v/>
      </c>
      <c r="JK492" s="1575" t="str">
        <f t="shared" si="250"/>
        <v/>
      </c>
      <c r="JL492" s="1575" t="str">
        <f t="shared" si="251"/>
        <v/>
      </c>
      <c r="JM492" s="1575" t="str">
        <f t="shared" si="252"/>
        <v/>
      </c>
      <c r="JN492" s="1575" t="str">
        <f t="shared" si="253"/>
        <v/>
      </c>
      <c r="JO492" s="1575" t="str">
        <f t="shared" si="254"/>
        <v/>
      </c>
      <c r="JP492" s="1575" t="str">
        <f t="shared" si="255"/>
        <v/>
      </c>
      <c r="JQ492" s="1575" t="str">
        <f t="shared" si="256"/>
        <v/>
      </c>
      <c r="JR492" s="1575" t="str">
        <f t="shared" si="257"/>
        <v/>
      </c>
      <c r="JS492" s="1575" t="str">
        <f t="shared" si="258"/>
        <v/>
      </c>
      <c r="JT492" s="1575" t="str">
        <f t="shared" si="259"/>
        <v/>
      </c>
      <c r="JU492" s="1575" t="str">
        <f t="shared" si="260"/>
        <v/>
      </c>
      <c r="JV492" s="1575" t="str">
        <f t="shared" si="261"/>
        <v/>
      </c>
      <c r="JW492" s="1575" t="str">
        <f t="shared" si="262"/>
        <v/>
      </c>
      <c r="JX492" s="1575" t="str">
        <f t="shared" si="263"/>
        <v/>
      </c>
      <c r="JY492" s="1575" t="str">
        <f t="shared" si="264"/>
        <v/>
      </c>
      <c r="JZ492" s="1575" t="str">
        <f t="shared" si="265"/>
        <v/>
      </c>
      <c r="KA492" s="1575" t="str">
        <f t="shared" si="266"/>
        <v/>
      </c>
      <c r="KB492" s="1575" t="str">
        <f t="shared" si="267"/>
        <v/>
      </c>
      <c r="KC492" s="1575" t="str">
        <f t="shared" si="268"/>
        <v/>
      </c>
      <c r="KD492" s="1575" t="str">
        <f t="shared" si="269"/>
        <v/>
      </c>
      <c r="KE492" s="1575" t="str">
        <f t="shared" si="270"/>
        <v/>
      </c>
      <c r="KF492" s="1575" t="str">
        <f t="shared" si="271"/>
        <v/>
      </c>
      <c r="KG492" s="1575" t="str">
        <f t="shared" si="272"/>
        <v/>
      </c>
      <c r="KH492" s="1575" t="str">
        <f t="shared" si="273"/>
        <v/>
      </c>
      <c r="KI492" s="1575" t="str">
        <f t="shared" si="274"/>
        <v/>
      </c>
      <c r="KJ492" s="1575" t="str">
        <f t="shared" si="275"/>
        <v/>
      </c>
      <c r="KK492" s="1575" t="str">
        <f t="shared" si="276"/>
        <v/>
      </c>
      <c r="KL492" s="1575" t="str">
        <f t="shared" si="277"/>
        <v/>
      </c>
      <c r="KM492" s="1575" t="str">
        <f t="shared" si="278"/>
        <v/>
      </c>
      <c r="KN492" s="1575" t="str">
        <f t="shared" si="279"/>
        <v/>
      </c>
      <c r="KO492" s="1575" t="str">
        <f t="shared" si="280"/>
        <v/>
      </c>
      <c r="KP492" s="1575" t="str">
        <f t="shared" si="281"/>
        <v/>
      </c>
      <c r="KQ492" s="1575" t="str">
        <f t="shared" si="282"/>
        <v/>
      </c>
      <c r="KR492" s="1575" t="str">
        <f t="shared" si="283"/>
        <v/>
      </c>
      <c r="KS492" s="1575" t="str">
        <f t="shared" si="284"/>
        <v/>
      </c>
      <c r="KT492" s="1575" t="str">
        <f t="shared" si="285"/>
        <v/>
      </c>
      <c r="KU492" s="1575" t="str">
        <f t="shared" si="286"/>
        <v/>
      </c>
      <c r="KV492" s="1575" t="str">
        <f t="shared" si="287"/>
        <v/>
      </c>
      <c r="KW492" s="1575" t="str">
        <f t="shared" si="288"/>
        <v/>
      </c>
      <c r="KX492" s="1575" t="str">
        <f t="shared" si="289"/>
        <v/>
      </c>
      <c r="KY492" s="1575" t="str">
        <f t="shared" si="290"/>
        <v/>
      </c>
      <c r="KZ492" s="1575" t="str">
        <f t="shared" si="291"/>
        <v/>
      </c>
      <c r="LA492" s="1575" t="str">
        <f t="shared" si="292"/>
        <v/>
      </c>
      <c r="LB492" s="1575" t="str">
        <f t="shared" si="293"/>
        <v/>
      </c>
      <c r="LC492" s="1575" t="str">
        <f t="shared" si="294"/>
        <v/>
      </c>
      <c r="LD492" s="1575" t="str">
        <f t="shared" si="295"/>
        <v/>
      </c>
      <c r="LE492" s="1575" t="str">
        <f t="shared" si="296"/>
        <v/>
      </c>
      <c r="LF492" s="1575" t="str">
        <f t="shared" si="297"/>
        <v/>
      </c>
      <c r="LG492" s="1564" t="str">
        <f t="shared" si="298"/>
        <v/>
      </c>
      <c r="LH492" s="1564" t="str">
        <f t="shared" si="299"/>
        <v/>
      </c>
      <c r="LI492" s="1564" t="str">
        <f t="shared" si="300"/>
        <v/>
      </c>
      <c r="LJ492" s="1564" t="str">
        <f t="shared" si="301"/>
        <v/>
      </c>
      <c r="LK492" s="1564" t="str">
        <f t="shared" si="302"/>
        <v/>
      </c>
      <c r="LL492" s="261" t="str">
        <f t="shared" si="303"/>
        <v/>
      </c>
      <c r="LM492" s="261" t="str">
        <f t="shared" si="304"/>
        <v/>
      </c>
      <c r="LN492" s="261" t="str">
        <f t="shared" si="305"/>
        <v/>
      </c>
      <c r="LO492" s="261" t="str">
        <f t="shared" si="306"/>
        <v/>
      </c>
      <c r="LP492" s="261" t="str">
        <f t="shared" si="307"/>
        <v/>
      </c>
      <c r="LQ492" s="261" t="str">
        <f t="shared" si="308"/>
        <v/>
      </c>
      <c r="LR492" s="261" t="str">
        <f t="shared" si="309"/>
        <v/>
      </c>
      <c r="LS492" s="261" t="str">
        <f t="shared" si="310"/>
        <v/>
      </c>
      <c r="LT492" s="261" t="str">
        <f t="shared" si="311"/>
        <v/>
      </c>
      <c r="LU492" s="261" t="str">
        <f t="shared" si="312"/>
        <v/>
      </c>
      <c r="LV492" s="261" t="str">
        <f t="shared" si="313"/>
        <v/>
      </c>
      <c r="LW492" s="261" t="str">
        <f t="shared" si="314"/>
        <v/>
      </c>
      <c r="LX492" s="261" t="str">
        <f t="shared" si="315"/>
        <v/>
      </c>
      <c r="LY492" s="261" t="str">
        <f t="shared" si="316"/>
        <v/>
      </c>
      <c r="LZ492" s="261" t="str">
        <f t="shared" si="317"/>
        <v/>
      </c>
      <c r="MA492" s="261" t="str">
        <f t="shared" si="318"/>
        <v/>
      </c>
      <c r="MB492" s="261" t="str">
        <f t="shared" si="319"/>
        <v/>
      </c>
      <c r="MC492" s="261" t="str">
        <f t="shared" si="320"/>
        <v/>
      </c>
      <c r="MD492" s="261" t="str">
        <f t="shared" si="321"/>
        <v/>
      </c>
      <c r="ME492" s="261" t="str">
        <f t="shared" si="322"/>
        <v/>
      </c>
      <c r="MF492" s="1441">
        <f t="shared" si="323"/>
        <v>0</v>
      </c>
      <c r="MG492" s="1441">
        <f t="shared" si="324"/>
        <v>0</v>
      </c>
      <c r="MH492" s="1441">
        <f t="shared" si="325"/>
        <v>0</v>
      </c>
      <c r="MI492" s="1441">
        <f t="shared" si="326"/>
        <v>0</v>
      </c>
      <c r="MJ492" s="1441">
        <f t="shared" si="327"/>
        <v>0</v>
      </c>
      <c r="MK492" s="1441">
        <f t="shared" si="333"/>
        <v>0</v>
      </c>
      <c r="ML492" s="1441">
        <f t="shared" si="334"/>
        <v>0</v>
      </c>
      <c r="MM492" s="1441">
        <f t="shared" si="335"/>
        <v>0</v>
      </c>
      <c r="MN492" s="1441">
        <f t="shared" si="336"/>
        <v>0</v>
      </c>
      <c r="MO492" s="1441">
        <f t="shared" si="337"/>
        <v>0</v>
      </c>
      <c r="MP492" s="1441">
        <f t="shared" si="328"/>
        <v>0</v>
      </c>
      <c r="MQ492" s="1441">
        <f t="shared" si="329"/>
        <v>0</v>
      </c>
      <c r="MR492" s="1441">
        <f t="shared" si="330"/>
        <v>0</v>
      </c>
      <c r="MS492" s="1441">
        <f t="shared" si="331"/>
        <v>0</v>
      </c>
      <c r="MT492" s="1441">
        <f t="shared" si="332"/>
        <v>0</v>
      </c>
      <c r="NP492" s="261" t="s">
        <v>1146</v>
      </c>
    </row>
    <row r="493" spans="1:380" ht="13.9" customHeight="1">
      <c r="A493" s="2330" t="str">
        <f t="shared" si="0"/>
        <v/>
      </c>
      <c r="B493" s="2149">
        <f>'Part V-Revenues &amp; Expenses'!B46</f>
        <v>0</v>
      </c>
      <c r="C493" s="2150">
        <f>'Part V-Revenues &amp; Expenses'!C46</f>
        <v>0</v>
      </c>
      <c r="D493" s="2151">
        <f>'Part V-Revenues &amp; Expenses'!D46</f>
        <v>0</v>
      </c>
      <c r="E493" s="2152">
        <f>'Part V-Revenues &amp; Expenses'!E46</f>
        <v>0</v>
      </c>
      <c r="F493" s="2152">
        <f>'Part V-Revenues &amp; Expenses'!F46</f>
        <v>0</v>
      </c>
      <c r="G493" s="2152">
        <f>'Part V-Revenues &amp; Expenses'!G46</f>
        <v>0</v>
      </c>
      <c r="H493" s="2152">
        <f>'Part V-Revenues &amp; Expenses'!H46</f>
        <v>0</v>
      </c>
      <c r="I493" s="2152">
        <f>'Part V-Revenues &amp; Expenses'!I46</f>
        <v>0</v>
      </c>
      <c r="J493" s="2152">
        <f>'Part V-Revenues &amp; Expenses'!J46</f>
        <v>0</v>
      </c>
      <c r="K493" s="2153">
        <f>'Part V-Revenues &amp; Expenses'!K46</f>
        <v>0</v>
      </c>
      <c r="L493" s="2154">
        <f t="shared" si="1"/>
        <v>0</v>
      </c>
      <c r="M493" s="2154">
        <f t="shared" si="2"/>
        <v>0</v>
      </c>
      <c r="N493" s="2225">
        <f>'Part V-Revenues &amp; Expenses'!N46</f>
        <v>0</v>
      </c>
      <c r="O493" s="1065">
        <f>'Part V-Revenues &amp; Expenses'!O46</f>
        <v>0</v>
      </c>
      <c r="P493" s="2225">
        <f>'Part V-Revenues &amp; Expenses'!P46</f>
        <v>0</v>
      </c>
      <c r="Q493" s="1574">
        <f>'Part V-Revenues &amp; Expenses'!Q46</f>
        <v>0</v>
      </c>
      <c r="R493" s="2356"/>
      <c r="S493" s="2357"/>
      <c r="T493" s="2358"/>
      <c r="U493" s="2358"/>
      <c r="V493" s="2358"/>
      <c r="W493" s="2358"/>
      <c r="X493" s="261" t="str">
        <f t="shared" si="3"/>
        <v/>
      </c>
      <c r="Y493" s="261" t="str">
        <f t="shared" si="4"/>
        <v/>
      </c>
      <c r="Z493" s="261" t="str">
        <f t="shared" si="5"/>
        <v/>
      </c>
      <c r="AA493" s="261" t="str">
        <f t="shared" si="6"/>
        <v/>
      </c>
      <c r="AB493" s="261" t="str">
        <f t="shared" si="7"/>
        <v/>
      </c>
      <c r="AC493" s="261" t="str">
        <f t="shared" si="8"/>
        <v/>
      </c>
      <c r="AD493" s="261" t="str">
        <f t="shared" si="9"/>
        <v/>
      </c>
      <c r="AE493" s="261" t="str">
        <f t="shared" si="10"/>
        <v/>
      </c>
      <c r="AF493" s="261" t="str">
        <f t="shared" si="11"/>
        <v/>
      </c>
      <c r="AG493" s="261" t="str">
        <f t="shared" si="12"/>
        <v/>
      </c>
      <c r="AH493" s="261" t="str">
        <f t="shared" si="13"/>
        <v/>
      </c>
      <c r="AI493" s="261" t="str">
        <f t="shared" si="14"/>
        <v/>
      </c>
      <c r="AJ493" s="261" t="str">
        <f t="shared" si="15"/>
        <v/>
      </c>
      <c r="AK493" s="261" t="str">
        <f t="shared" si="16"/>
        <v/>
      </c>
      <c r="AL493" s="261" t="str">
        <f t="shared" si="17"/>
        <v/>
      </c>
      <c r="AM493" s="261" t="str">
        <f t="shared" si="18"/>
        <v/>
      </c>
      <c r="AN493" s="261" t="str">
        <f t="shared" si="19"/>
        <v/>
      </c>
      <c r="AO493" s="261" t="str">
        <f t="shared" si="20"/>
        <v/>
      </c>
      <c r="AP493" s="261" t="str">
        <f t="shared" si="21"/>
        <v/>
      </c>
      <c r="AQ493" s="261" t="str">
        <f t="shared" si="22"/>
        <v/>
      </c>
      <c r="AR493" s="261" t="str">
        <f t="shared" si="23"/>
        <v/>
      </c>
      <c r="AS493" s="261" t="str">
        <f t="shared" si="24"/>
        <v/>
      </c>
      <c r="AT493" s="261" t="str">
        <f t="shared" si="25"/>
        <v/>
      </c>
      <c r="AU493" s="261" t="str">
        <f t="shared" si="26"/>
        <v/>
      </c>
      <c r="AV493" s="261" t="str">
        <f t="shared" si="27"/>
        <v/>
      </c>
      <c r="AW493" s="261" t="str">
        <f t="shared" si="28"/>
        <v/>
      </c>
      <c r="AX493" s="261" t="str">
        <f t="shared" si="29"/>
        <v/>
      </c>
      <c r="AY493" s="261" t="str">
        <f t="shared" si="30"/>
        <v/>
      </c>
      <c r="AZ493" s="261" t="str">
        <f t="shared" si="31"/>
        <v/>
      </c>
      <c r="BA493" s="261" t="str">
        <f t="shared" si="32"/>
        <v/>
      </c>
      <c r="BB493" s="261" t="str">
        <f t="shared" si="33"/>
        <v/>
      </c>
      <c r="BC493" s="261" t="str">
        <f t="shared" si="34"/>
        <v/>
      </c>
      <c r="BD493" s="261" t="str">
        <f t="shared" si="35"/>
        <v/>
      </c>
      <c r="BE493" s="261" t="str">
        <f t="shared" si="36"/>
        <v/>
      </c>
      <c r="BF493" s="261" t="str">
        <f t="shared" si="37"/>
        <v/>
      </c>
      <c r="BG493" s="261" t="str">
        <f t="shared" si="38"/>
        <v/>
      </c>
      <c r="BH493" s="261" t="str">
        <f t="shared" si="39"/>
        <v/>
      </c>
      <c r="BI493" s="261" t="str">
        <f t="shared" si="40"/>
        <v/>
      </c>
      <c r="BJ493" s="261" t="str">
        <f t="shared" si="41"/>
        <v/>
      </c>
      <c r="BK493" s="261" t="str">
        <f t="shared" si="42"/>
        <v/>
      </c>
      <c r="BL493" s="261" t="str">
        <f t="shared" si="43"/>
        <v/>
      </c>
      <c r="BM493" s="261" t="str">
        <f t="shared" si="44"/>
        <v/>
      </c>
      <c r="BN493" s="261" t="str">
        <f t="shared" si="45"/>
        <v/>
      </c>
      <c r="BO493" s="261" t="str">
        <f t="shared" si="46"/>
        <v/>
      </c>
      <c r="BP493" s="261" t="str">
        <f t="shared" si="47"/>
        <v/>
      </c>
      <c r="BQ493" s="261" t="str">
        <f t="shared" si="48"/>
        <v/>
      </c>
      <c r="BR493" s="261" t="str">
        <f t="shared" si="49"/>
        <v/>
      </c>
      <c r="BS493" s="261" t="str">
        <f t="shared" si="50"/>
        <v/>
      </c>
      <c r="BT493" s="261" t="str">
        <f t="shared" si="51"/>
        <v/>
      </c>
      <c r="BU493" s="261" t="str">
        <f t="shared" si="52"/>
        <v/>
      </c>
      <c r="BV493" s="261" t="str">
        <f t="shared" si="53"/>
        <v/>
      </c>
      <c r="BW493" s="261" t="str">
        <f t="shared" si="54"/>
        <v/>
      </c>
      <c r="BX493" s="261" t="str">
        <f t="shared" si="55"/>
        <v/>
      </c>
      <c r="BY493" s="261" t="str">
        <f t="shared" si="56"/>
        <v/>
      </c>
      <c r="BZ493" s="261" t="str">
        <f t="shared" si="57"/>
        <v/>
      </c>
      <c r="CA493" s="261" t="str">
        <f t="shared" si="58"/>
        <v/>
      </c>
      <c r="CB493" s="261" t="str">
        <f t="shared" si="59"/>
        <v/>
      </c>
      <c r="CC493" s="261" t="str">
        <f t="shared" si="60"/>
        <v/>
      </c>
      <c r="CD493" s="261" t="str">
        <f t="shared" si="61"/>
        <v/>
      </c>
      <c r="CE493" s="261" t="str">
        <f t="shared" si="62"/>
        <v/>
      </c>
      <c r="CF493" s="261" t="str">
        <f t="shared" si="63"/>
        <v/>
      </c>
      <c r="CG493" s="261" t="str">
        <f t="shared" si="64"/>
        <v/>
      </c>
      <c r="CH493" s="261" t="str">
        <f t="shared" si="65"/>
        <v/>
      </c>
      <c r="CI493" s="261" t="str">
        <f t="shared" si="66"/>
        <v/>
      </c>
      <c r="CJ493" s="261" t="str">
        <f t="shared" si="67"/>
        <v/>
      </c>
      <c r="CK493" s="261" t="str">
        <f t="shared" si="68"/>
        <v/>
      </c>
      <c r="CL493" s="261" t="str">
        <f t="shared" si="69"/>
        <v/>
      </c>
      <c r="CM493" s="261" t="str">
        <f t="shared" si="70"/>
        <v/>
      </c>
      <c r="CN493" s="261" t="str">
        <f t="shared" si="71"/>
        <v/>
      </c>
      <c r="CO493" s="261" t="str">
        <f t="shared" si="72"/>
        <v/>
      </c>
      <c r="CP493" s="261" t="str">
        <f t="shared" si="73"/>
        <v/>
      </c>
      <c r="CQ493" s="261" t="str">
        <f t="shared" si="74"/>
        <v/>
      </c>
      <c r="CR493" s="261" t="str">
        <f t="shared" si="75"/>
        <v/>
      </c>
      <c r="CS493" s="261" t="str">
        <f t="shared" si="76"/>
        <v/>
      </c>
      <c r="CT493" s="261" t="str">
        <f t="shared" si="77"/>
        <v/>
      </c>
      <c r="CU493" s="261" t="str">
        <f t="shared" si="78"/>
        <v/>
      </c>
      <c r="CV493" s="261" t="str">
        <f t="shared" si="79"/>
        <v/>
      </c>
      <c r="CW493" s="261" t="str">
        <f t="shared" si="80"/>
        <v/>
      </c>
      <c r="CX493" s="261" t="str">
        <f t="shared" si="81"/>
        <v/>
      </c>
      <c r="CY493" s="261" t="str">
        <f t="shared" si="82"/>
        <v/>
      </c>
      <c r="CZ493" s="261" t="str">
        <f t="shared" si="83"/>
        <v/>
      </c>
      <c r="DA493" s="261" t="str">
        <f t="shared" si="84"/>
        <v/>
      </c>
      <c r="DB493" s="261" t="str">
        <f t="shared" si="85"/>
        <v/>
      </c>
      <c r="DC493" s="261" t="str">
        <f t="shared" si="86"/>
        <v/>
      </c>
      <c r="DD493" s="261" t="str">
        <f t="shared" si="87"/>
        <v/>
      </c>
      <c r="DE493" s="261" t="str">
        <f t="shared" si="88"/>
        <v/>
      </c>
      <c r="DF493" s="261" t="str">
        <f t="shared" si="89"/>
        <v/>
      </c>
      <c r="DG493" s="261" t="str">
        <f t="shared" si="90"/>
        <v/>
      </c>
      <c r="DH493" s="261" t="str">
        <f t="shared" si="91"/>
        <v/>
      </c>
      <c r="DI493" s="261" t="str">
        <f t="shared" si="92"/>
        <v/>
      </c>
      <c r="DJ493" s="261" t="str">
        <f t="shared" si="93"/>
        <v/>
      </c>
      <c r="DK493" s="261" t="str">
        <f t="shared" si="94"/>
        <v/>
      </c>
      <c r="DL493" s="261" t="str">
        <f t="shared" si="95"/>
        <v/>
      </c>
      <c r="DM493" s="261" t="str">
        <f t="shared" si="96"/>
        <v/>
      </c>
      <c r="DN493" s="261" t="str">
        <f t="shared" si="97"/>
        <v/>
      </c>
      <c r="DO493" s="261" t="str">
        <f t="shared" si="98"/>
        <v/>
      </c>
      <c r="DP493" s="261" t="str">
        <f t="shared" si="99"/>
        <v/>
      </c>
      <c r="DQ493" s="261" t="str">
        <f t="shared" si="100"/>
        <v/>
      </c>
      <c r="DR493" s="261" t="str">
        <f t="shared" si="101"/>
        <v/>
      </c>
      <c r="DS493" s="261" t="str">
        <f t="shared" si="102"/>
        <v/>
      </c>
      <c r="DT493" s="261" t="str">
        <f t="shared" si="103"/>
        <v/>
      </c>
      <c r="DU493" s="261" t="str">
        <f t="shared" si="104"/>
        <v/>
      </c>
      <c r="DV493" s="261" t="str">
        <f t="shared" si="105"/>
        <v/>
      </c>
      <c r="DW493" s="261" t="str">
        <f t="shared" si="106"/>
        <v/>
      </c>
      <c r="DX493" s="261" t="str">
        <f t="shared" si="107"/>
        <v/>
      </c>
      <c r="DY493" s="261" t="str">
        <f t="shared" si="108"/>
        <v/>
      </c>
      <c r="DZ493" s="261" t="str">
        <f t="shared" si="109"/>
        <v/>
      </c>
      <c r="EA493" s="261" t="str">
        <f t="shared" si="110"/>
        <v/>
      </c>
      <c r="EB493" s="261" t="str">
        <f t="shared" si="111"/>
        <v/>
      </c>
      <c r="EC493" s="261" t="str">
        <f t="shared" si="112"/>
        <v/>
      </c>
      <c r="ED493" s="261" t="str">
        <f t="shared" si="113"/>
        <v/>
      </c>
      <c r="EE493" s="261" t="str">
        <f t="shared" si="114"/>
        <v/>
      </c>
      <c r="EF493" s="261" t="str">
        <f t="shared" si="115"/>
        <v/>
      </c>
      <c r="EG493" s="261" t="str">
        <f t="shared" si="116"/>
        <v/>
      </c>
      <c r="EH493" s="261" t="str">
        <f t="shared" si="117"/>
        <v/>
      </c>
      <c r="EI493" s="261" t="str">
        <f t="shared" si="118"/>
        <v/>
      </c>
      <c r="EJ493" s="261" t="str">
        <f t="shared" si="119"/>
        <v/>
      </c>
      <c r="EK493" s="261" t="str">
        <f t="shared" si="120"/>
        <v/>
      </c>
      <c r="EL493" s="261" t="str">
        <f t="shared" si="121"/>
        <v/>
      </c>
      <c r="EM493" s="261" t="str">
        <f t="shared" si="122"/>
        <v/>
      </c>
      <c r="EN493" s="261" t="str">
        <f t="shared" si="123"/>
        <v/>
      </c>
      <c r="EO493" s="261" t="str">
        <f t="shared" si="124"/>
        <v/>
      </c>
      <c r="EP493" s="261" t="str">
        <f t="shared" si="125"/>
        <v/>
      </c>
      <c r="EQ493" s="261" t="str">
        <f t="shared" si="126"/>
        <v/>
      </c>
      <c r="ER493" s="261" t="str">
        <f t="shared" si="127"/>
        <v/>
      </c>
      <c r="ES493" s="261" t="str">
        <f t="shared" si="128"/>
        <v/>
      </c>
      <c r="ET493" s="261" t="str">
        <f t="shared" si="129"/>
        <v/>
      </c>
      <c r="EU493" s="261" t="str">
        <f t="shared" si="130"/>
        <v/>
      </c>
      <c r="EV493" s="261" t="str">
        <f t="shared" si="131"/>
        <v/>
      </c>
      <c r="EW493" s="261" t="str">
        <f t="shared" si="132"/>
        <v/>
      </c>
      <c r="EX493" s="261" t="str">
        <f t="shared" si="133"/>
        <v/>
      </c>
      <c r="EY493" s="261" t="str">
        <f t="shared" si="134"/>
        <v/>
      </c>
      <c r="EZ493" s="261" t="str">
        <f t="shared" si="135"/>
        <v/>
      </c>
      <c r="FA493" s="261" t="str">
        <f t="shared" si="136"/>
        <v/>
      </c>
      <c r="FB493" s="261" t="str">
        <f t="shared" si="137"/>
        <v/>
      </c>
      <c r="FC493" s="261" t="str">
        <f t="shared" si="138"/>
        <v/>
      </c>
      <c r="FD493" s="261" t="str">
        <f t="shared" si="139"/>
        <v/>
      </c>
      <c r="FE493" s="261" t="str">
        <f t="shared" si="140"/>
        <v/>
      </c>
      <c r="FF493" s="261" t="str">
        <f t="shared" si="141"/>
        <v/>
      </c>
      <c r="FG493" s="261" t="str">
        <f t="shared" si="142"/>
        <v/>
      </c>
      <c r="FH493" s="261" t="str">
        <f t="shared" si="143"/>
        <v/>
      </c>
      <c r="FI493" s="261" t="str">
        <f t="shared" si="144"/>
        <v/>
      </c>
      <c r="FJ493" s="261" t="str">
        <f t="shared" si="145"/>
        <v/>
      </c>
      <c r="FK493" s="261" t="str">
        <f t="shared" si="146"/>
        <v/>
      </c>
      <c r="FL493" s="261" t="str">
        <f t="shared" si="147"/>
        <v/>
      </c>
      <c r="FM493" s="261" t="str">
        <f t="shared" si="148"/>
        <v/>
      </c>
      <c r="FN493" s="261" t="str">
        <f t="shared" si="149"/>
        <v/>
      </c>
      <c r="FO493" s="261" t="str">
        <f t="shared" si="150"/>
        <v/>
      </c>
      <c r="FP493" s="261" t="str">
        <f t="shared" si="151"/>
        <v/>
      </c>
      <c r="FQ493" s="261" t="str">
        <f t="shared" si="152"/>
        <v/>
      </c>
      <c r="FR493" s="261" t="str">
        <f t="shared" si="153"/>
        <v/>
      </c>
      <c r="FS493" s="261" t="str">
        <f t="shared" si="154"/>
        <v/>
      </c>
      <c r="FT493" s="261" t="str">
        <f t="shared" si="155"/>
        <v/>
      </c>
      <c r="FU493" s="261" t="str">
        <f t="shared" si="156"/>
        <v/>
      </c>
      <c r="FV493" s="261" t="str">
        <f t="shared" si="157"/>
        <v/>
      </c>
      <c r="FW493" s="261" t="str">
        <f t="shared" si="158"/>
        <v/>
      </c>
      <c r="FX493" s="261" t="str">
        <f t="shared" si="159"/>
        <v/>
      </c>
      <c r="FY493" s="261" t="str">
        <f t="shared" si="160"/>
        <v/>
      </c>
      <c r="FZ493" s="261" t="str">
        <f t="shared" si="161"/>
        <v/>
      </c>
      <c r="GA493" s="261" t="str">
        <f t="shared" si="162"/>
        <v/>
      </c>
      <c r="GB493" s="261" t="str">
        <f t="shared" si="163"/>
        <v/>
      </c>
      <c r="GC493" s="261" t="str">
        <f t="shared" si="164"/>
        <v/>
      </c>
      <c r="GD493" s="261" t="str">
        <f t="shared" si="165"/>
        <v/>
      </c>
      <c r="GE493" s="261" t="str">
        <f t="shared" si="166"/>
        <v/>
      </c>
      <c r="GF493" s="261" t="str">
        <f t="shared" si="167"/>
        <v/>
      </c>
      <c r="GG493" s="261" t="str">
        <f t="shared" si="168"/>
        <v/>
      </c>
      <c r="GH493" s="261" t="str">
        <f t="shared" si="169"/>
        <v/>
      </c>
      <c r="GI493" s="261" t="str">
        <f t="shared" si="170"/>
        <v/>
      </c>
      <c r="GJ493" s="261" t="str">
        <f t="shared" si="171"/>
        <v/>
      </c>
      <c r="GK493" s="261" t="str">
        <f t="shared" si="172"/>
        <v/>
      </c>
      <c r="GL493" s="261" t="str">
        <f t="shared" si="173"/>
        <v/>
      </c>
      <c r="GM493" s="261" t="str">
        <f t="shared" si="174"/>
        <v/>
      </c>
      <c r="GN493" s="261" t="str">
        <f t="shared" si="175"/>
        <v/>
      </c>
      <c r="GO493" s="261" t="str">
        <f t="shared" si="176"/>
        <v/>
      </c>
      <c r="GP493" s="261" t="str">
        <f t="shared" si="177"/>
        <v/>
      </c>
      <c r="GQ493" s="261" t="str">
        <f t="shared" si="178"/>
        <v/>
      </c>
      <c r="GR493" s="261" t="str">
        <f t="shared" si="179"/>
        <v/>
      </c>
      <c r="GS493" s="261" t="str">
        <f t="shared" si="180"/>
        <v/>
      </c>
      <c r="GT493" s="261" t="str">
        <f t="shared" si="181"/>
        <v/>
      </c>
      <c r="GU493" s="261" t="str">
        <f t="shared" si="182"/>
        <v/>
      </c>
      <c r="GV493" s="261" t="str">
        <f t="shared" si="183"/>
        <v/>
      </c>
      <c r="GW493" s="261" t="str">
        <f t="shared" si="184"/>
        <v/>
      </c>
      <c r="GX493" s="261" t="str">
        <f t="shared" si="185"/>
        <v/>
      </c>
      <c r="GY493" s="261" t="str">
        <f t="shared" si="186"/>
        <v/>
      </c>
      <c r="GZ493" s="261" t="str">
        <f t="shared" si="187"/>
        <v/>
      </c>
      <c r="HA493" s="261" t="str">
        <f t="shared" si="188"/>
        <v/>
      </c>
      <c r="HB493" s="261" t="str">
        <f t="shared" si="189"/>
        <v/>
      </c>
      <c r="HC493" s="261" t="str">
        <f t="shared" si="190"/>
        <v/>
      </c>
      <c r="HD493" s="261" t="str">
        <f t="shared" si="191"/>
        <v/>
      </c>
      <c r="HE493" s="261" t="str">
        <f t="shared" si="192"/>
        <v/>
      </c>
      <c r="HF493" s="261" t="str">
        <f t="shared" si="193"/>
        <v/>
      </c>
      <c r="HG493" s="261" t="str">
        <f t="shared" si="194"/>
        <v/>
      </c>
      <c r="HH493" s="261" t="str">
        <f t="shared" si="195"/>
        <v/>
      </c>
      <c r="HI493" s="261" t="str">
        <f t="shared" si="196"/>
        <v/>
      </c>
      <c r="HJ493" s="261" t="str">
        <f t="shared" si="197"/>
        <v/>
      </c>
      <c r="HK493" s="261" t="str">
        <f t="shared" si="198"/>
        <v/>
      </c>
      <c r="HL493" s="261" t="str">
        <f t="shared" si="199"/>
        <v/>
      </c>
      <c r="HM493" s="261" t="str">
        <f t="shared" si="200"/>
        <v/>
      </c>
      <c r="HN493" s="261" t="str">
        <f t="shared" si="201"/>
        <v/>
      </c>
      <c r="HO493" s="261" t="str">
        <f t="shared" si="202"/>
        <v/>
      </c>
      <c r="HP493" s="261" t="str">
        <f t="shared" si="203"/>
        <v/>
      </c>
      <c r="HQ493" s="261" t="str">
        <f t="shared" si="204"/>
        <v/>
      </c>
      <c r="HR493" s="261" t="str">
        <f t="shared" si="205"/>
        <v/>
      </c>
      <c r="HS493" s="261" t="str">
        <f t="shared" si="206"/>
        <v/>
      </c>
      <c r="HT493" s="261" t="str">
        <f t="shared" si="207"/>
        <v/>
      </c>
      <c r="HU493" s="261" t="str">
        <f t="shared" si="208"/>
        <v/>
      </c>
      <c r="HV493" s="261" t="str">
        <f t="shared" si="209"/>
        <v/>
      </c>
      <c r="HW493" s="261" t="str">
        <f t="shared" si="210"/>
        <v/>
      </c>
      <c r="HX493" s="261" t="str">
        <f t="shared" si="211"/>
        <v/>
      </c>
      <c r="HY493" s="261" t="str">
        <f t="shared" si="212"/>
        <v/>
      </c>
      <c r="HZ493" s="1575" t="str">
        <f t="shared" si="213"/>
        <v/>
      </c>
      <c r="IA493" s="1575" t="str">
        <f t="shared" si="214"/>
        <v/>
      </c>
      <c r="IB493" s="1575" t="str">
        <f t="shared" si="215"/>
        <v/>
      </c>
      <c r="IC493" s="1575" t="str">
        <f t="shared" si="216"/>
        <v/>
      </c>
      <c r="ID493" s="1575" t="str">
        <f t="shared" si="217"/>
        <v/>
      </c>
      <c r="IE493" s="1575" t="str">
        <f t="shared" si="218"/>
        <v/>
      </c>
      <c r="IF493" s="1575" t="str">
        <f t="shared" si="219"/>
        <v/>
      </c>
      <c r="IG493" s="1575" t="str">
        <f t="shared" si="220"/>
        <v/>
      </c>
      <c r="IH493" s="1575" t="str">
        <f t="shared" si="221"/>
        <v/>
      </c>
      <c r="II493" s="1575" t="str">
        <f t="shared" si="222"/>
        <v/>
      </c>
      <c r="IJ493" s="1575" t="str">
        <f t="shared" si="223"/>
        <v/>
      </c>
      <c r="IK493" s="1575" t="str">
        <f t="shared" si="224"/>
        <v/>
      </c>
      <c r="IL493" s="1575" t="str">
        <f t="shared" si="225"/>
        <v/>
      </c>
      <c r="IM493" s="1575" t="str">
        <f t="shared" si="226"/>
        <v/>
      </c>
      <c r="IN493" s="1575" t="str">
        <f t="shared" si="227"/>
        <v/>
      </c>
      <c r="IO493" s="1575" t="str">
        <f t="shared" si="228"/>
        <v/>
      </c>
      <c r="IP493" s="1575" t="str">
        <f t="shared" si="229"/>
        <v/>
      </c>
      <c r="IQ493" s="1575" t="str">
        <f t="shared" si="230"/>
        <v/>
      </c>
      <c r="IR493" s="1575" t="str">
        <f t="shared" si="231"/>
        <v/>
      </c>
      <c r="IS493" s="1575" t="str">
        <f t="shared" si="232"/>
        <v/>
      </c>
      <c r="IT493" s="1575" t="str">
        <f t="shared" si="233"/>
        <v/>
      </c>
      <c r="IU493" s="1575" t="str">
        <f t="shared" si="234"/>
        <v/>
      </c>
      <c r="IV493" s="1575" t="str">
        <f t="shared" si="235"/>
        <v/>
      </c>
      <c r="IW493" s="1575" t="str">
        <f t="shared" si="236"/>
        <v/>
      </c>
      <c r="IX493" s="1575" t="str">
        <f t="shared" si="237"/>
        <v/>
      </c>
      <c r="IY493" s="1575" t="str">
        <f t="shared" si="238"/>
        <v/>
      </c>
      <c r="IZ493" s="1575" t="str">
        <f t="shared" si="239"/>
        <v/>
      </c>
      <c r="JA493" s="1575" t="str">
        <f t="shared" si="240"/>
        <v/>
      </c>
      <c r="JB493" s="1575" t="str">
        <f t="shared" si="241"/>
        <v/>
      </c>
      <c r="JC493" s="1575" t="str">
        <f t="shared" si="242"/>
        <v/>
      </c>
      <c r="JD493" s="1575" t="str">
        <f t="shared" si="243"/>
        <v/>
      </c>
      <c r="JE493" s="1575" t="str">
        <f t="shared" si="244"/>
        <v/>
      </c>
      <c r="JF493" s="1575" t="str">
        <f t="shared" si="245"/>
        <v/>
      </c>
      <c r="JG493" s="1575" t="str">
        <f t="shared" si="246"/>
        <v/>
      </c>
      <c r="JH493" s="1575" t="str">
        <f t="shared" si="247"/>
        <v/>
      </c>
      <c r="JI493" s="1575" t="str">
        <f t="shared" si="248"/>
        <v/>
      </c>
      <c r="JJ493" s="1575" t="str">
        <f t="shared" si="249"/>
        <v/>
      </c>
      <c r="JK493" s="1575" t="str">
        <f t="shared" si="250"/>
        <v/>
      </c>
      <c r="JL493" s="1575" t="str">
        <f t="shared" si="251"/>
        <v/>
      </c>
      <c r="JM493" s="1575" t="str">
        <f t="shared" si="252"/>
        <v/>
      </c>
      <c r="JN493" s="1575" t="str">
        <f t="shared" si="253"/>
        <v/>
      </c>
      <c r="JO493" s="1575" t="str">
        <f t="shared" si="254"/>
        <v/>
      </c>
      <c r="JP493" s="1575" t="str">
        <f t="shared" si="255"/>
        <v/>
      </c>
      <c r="JQ493" s="1575" t="str">
        <f t="shared" si="256"/>
        <v/>
      </c>
      <c r="JR493" s="1575" t="str">
        <f t="shared" si="257"/>
        <v/>
      </c>
      <c r="JS493" s="1575" t="str">
        <f t="shared" si="258"/>
        <v/>
      </c>
      <c r="JT493" s="1575" t="str">
        <f t="shared" si="259"/>
        <v/>
      </c>
      <c r="JU493" s="1575" t="str">
        <f t="shared" si="260"/>
        <v/>
      </c>
      <c r="JV493" s="1575" t="str">
        <f t="shared" si="261"/>
        <v/>
      </c>
      <c r="JW493" s="1575" t="str">
        <f t="shared" si="262"/>
        <v/>
      </c>
      <c r="JX493" s="1575" t="str">
        <f t="shared" si="263"/>
        <v/>
      </c>
      <c r="JY493" s="1575" t="str">
        <f t="shared" si="264"/>
        <v/>
      </c>
      <c r="JZ493" s="1575" t="str">
        <f t="shared" si="265"/>
        <v/>
      </c>
      <c r="KA493" s="1575" t="str">
        <f t="shared" si="266"/>
        <v/>
      </c>
      <c r="KB493" s="1575" t="str">
        <f t="shared" si="267"/>
        <v/>
      </c>
      <c r="KC493" s="1575" t="str">
        <f t="shared" si="268"/>
        <v/>
      </c>
      <c r="KD493" s="1575" t="str">
        <f t="shared" si="269"/>
        <v/>
      </c>
      <c r="KE493" s="1575" t="str">
        <f t="shared" si="270"/>
        <v/>
      </c>
      <c r="KF493" s="1575" t="str">
        <f t="shared" si="271"/>
        <v/>
      </c>
      <c r="KG493" s="1575" t="str">
        <f t="shared" si="272"/>
        <v/>
      </c>
      <c r="KH493" s="1575" t="str">
        <f t="shared" si="273"/>
        <v/>
      </c>
      <c r="KI493" s="1575" t="str">
        <f t="shared" si="274"/>
        <v/>
      </c>
      <c r="KJ493" s="1575" t="str">
        <f t="shared" si="275"/>
        <v/>
      </c>
      <c r="KK493" s="1575" t="str">
        <f t="shared" si="276"/>
        <v/>
      </c>
      <c r="KL493" s="1575" t="str">
        <f t="shared" si="277"/>
        <v/>
      </c>
      <c r="KM493" s="1575" t="str">
        <f t="shared" si="278"/>
        <v/>
      </c>
      <c r="KN493" s="1575" t="str">
        <f t="shared" si="279"/>
        <v/>
      </c>
      <c r="KO493" s="1575" t="str">
        <f t="shared" si="280"/>
        <v/>
      </c>
      <c r="KP493" s="1575" t="str">
        <f t="shared" si="281"/>
        <v/>
      </c>
      <c r="KQ493" s="1575" t="str">
        <f t="shared" si="282"/>
        <v/>
      </c>
      <c r="KR493" s="1575" t="str">
        <f t="shared" si="283"/>
        <v/>
      </c>
      <c r="KS493" s="1575" t="str">
        <f t="shared" si="284"/>
        <v/>
      </c>
      <c r="KT493" s="1575" t="str">
        <f t="shared" si="285"/>
        <v/>
      </c>
      <c r="KU493" s="1575" t="str">
        <f t="shared" si="286"/>
        <v/>
      </c>
      <c r="KV493" s="1575" t="str">
        <f t="shared" si="287"/>
        <v/>
      </c>
      <c r="KW493" s="1575" t="str">
        <f t="shared" si="288"/>
        <v/>
      </c>
      <c r="KX493" s="1575" t="str">
        <f t="shared" si="289"/>
        <v/>
      </c>
      <c r="KY493" s="1575" t="str">
        <f t="shared" si="290"/>
        <v/>
      </c>
      <c r="KZ493" s="1575" t="str">
        <f t="shared" si="291"/>
        <v/>
      </c>
      <c r="LA493" s="1575" t="str">
        <f t="shared" si="292"/>
        <v/>
      </c>
      <c r="LB493" s="1575" t="str">
        <f t="shared" si="293"/>
        <v/>
      </c>
      <c r="LC493" s="1575" t="str">
        <f t="shared" si="294"/>
        <v/>
      </c>
      <c r="LD493" s="1575" t="str">
        <f t="shared" si="295"/>
        <v/>
      </c>
      <c r="LE493" s="1575" t="str">
        <f t="shared" si="296"/>
        <v/>
      </c>
      <c r="LF493" s="1575" t="str">
        <f t="shared" si="297"/>
        <v/>
      </c>
      <c r="LG493" s="1564" t="str">
        <f t="shared" si="298"/>
        <v/>
      </c>
      <c r="LH493" s="1564" t="str">
        <f t="shared" si="299"/>
        <v/>
      </c>
      <c r="LI493" s="1564" t="str">
        <f t="shared" si="300"/>
        <v/>
      </c>
      <c r="LJ493" s="1564" t="str">
        <f t="shared" si="301"/>
        <v/>
      </c>
      <c r="LK493" s="1564" t="str">
        <f t="shared" si="302"/>
        <v/>
      </c>
      <c r="LL493" s="261" t="str">
        <f t="shared" si="303"/>
        <v/>
      </c>
      <c r="LM493" s="261" t="str">
        <f t="shared" si="304"/>
        <v/>
      </c>
      <c r="LN493" s="261" t="str">
        <f t="shared" si="305"/>
        <v/>
      </c>
      <c r="LO493" s="261" t="str">
        <f t="shared" si="306"/>
        <v/>
      </c>
      <c r="LP493" s="261" t="str">
        <f t="shared" si="307"/>
        <v/>
      </c>
      <c r="LQ493" s="261" t="str">
        <f t="shared" si="308"/>
        <v/>
      </c>
      <c r="LR493" s="261" t="str">
        <f t="shared" si="309"/>
        <v/>
      </c>
      <c r="LS493" s="261" t="str">
        <f t="shared" si="310"/>
        <v/>
      </c>
      <c r="LT493" s="261" t="str">
        <f t="shared" si="311"/>
        <v/>
      </c>
      <c r="LU493" s="261" t="str">
        <f t="shared" si="312"/>
        <v/>
      </c>
      <c r="LV493" s="261" t="str">
        <f t="shared" si="313"/>
        <v/>
      </c>
      <c r="LW493" s="261" t="str">
        <f t="shared" si="314"/>
        <v/>
      </c>
      <c r="LX493" s="261" t="str">
        <f t="shared" si="315"/>
        <v/>
      </c>
      <c r="LY493" s="261" t="str">
        <f t="shared" si="316"/>
        <v/>
      </c>
      <c r="LZ493" s="261" t="str">
        <f t="shared" si="317"/>
        <v/>
      </c>
      <c r="MA493" s="261" t="str">
        <f t="shared" si="318"/>
        <v/>
      </c>
      <c r="MB493" s="261" t="str">
        <f t="shared" si="319"/>
        <v/>
      </c>
      <c r="MC493" s="261" t="str">
        <f t="shared" si="320"/>
        <v/>
      </c>
      <c r="MD493" s="261" t="str">
        <f t="shared" si="321"/>
        <v/>
      </c>
      <c r="ME493" s="261" t="str">
        <f t="shared" si="322"/>
        <v/>
      </c>
      <c r="MF493" s="1441">
        <f t="shared" si="323"/>
        <v>0</v>
      </c>
      <c r="MG493" s="1441">
        <f t="shared" si="324"/>
        <v>0</v>
      </c>
      <c r="MH493" s="1441">
        <f t="shared" si="325"/>
        <v>0</v>
      </c>
      <c r="MI493" s="1441">
        <f t="shared" si="326"/>
        <v>0</v>
      </c>
      <c r="MJ493" s="1441">
        <f t="shared" si="327"/>
        <v>0</v>
      </c>
      <c r="MK493" s="1441">
        <f t="shared" si="333"/>
        <v>0</v>
      </c>
      <c r="ML493" s="1441">
        <f t="shared" si="334"/>
        <v>0</v>
      </c>
      <c r="MM493" s="1441">
        <f t="shared" si="335"/>
        <v>0</v>
      </c>
      <c r="MN493" s="1441">
        <f t="shared" si="336"/>
        <v>0</v>
      </c>
      <c r="MO493" s="1441">
        <f t="shared" si="337"/>
        <v>0</v>
      </c>
      <c r="MP493" s="1441">
        <f t="shared" si="328"/>
        <v>0</v>
      </c>
      <c r="MQ493" s="1441">
        <f t="shared" si="329"/>
        <v>0</v>
      </c>
      <c r="MR493" s="1441">
        <f t="shared" si="330"/>
        <v>0</v>
      </c>
      <c r="MS493" s="1441">
        <f t="shared" si="331"/>
        <v>0</v>
      </c>
      <c r="MT493" s="1441">
        <f t="shared" si="332"/>
        <v>0</v>
      </c>
      <c r="NP493" s="261" t="s">
        <v>1147</v>
      </c>
    </row>
    <row r="494" spans="1:380" ht="13.9" customHeight="1">
      <c r="A494" s="2330" t="str">
        <f t="shared" si="0"/>
        <v/>
      </c>
      <c r="B494" s="2149">
        <f>'Part V-Revenues &amp; Expenses'!B47</f>
        <v>0</v>
      </c>
      <c r="C494" s="2150">
        <f>'Part V-Revenues &amp; Expenses'!C47</f>
        <v>0</v>
      </c>
      <c r="D494" s="2151">
        <f>'Part V-Revenues &amp; Expenses'!D47</f>
        <v>0</v>
      </c>
      <c r="E494" s="2152">
        <f>'Part V-Revenues &amp; Expenses'!E47</f>
        <v>0</v>
      </c>
      <c r="F494" s="2152">
        <f>'Part V-Revenues &amp; Expenses'!F47</f>
        <v>0</v>
      </c>
      <c r="G494" s="2152">
        <f>'Part V-Revenues &amp; Expenses'!G47</f>
        <v>0</v>
      </c>
      <c r="H494" s="2152">
        <f>'Part V-Revenues &amp; Expenses'!H47</f>
        <v>0</v>
      </c>
      <c r="I494" s="2152">
        <f>'Part V-Revenues &amp; Expenses'!I47</f>
        <v>0</v>
      </c>
      <c r="J494" s="2152">
        <f>'Part V-Revenues &amp; Expenses'!J47</f>
        <v>0</v>
      </c>
      <c r="K494" s="2153">
        <f>'Part V-Revenues &amp; Expenses'!K47</f>
        <v>0</v>
      </c>
      <c r="L494" s="2154">
        <f t="shared" si="1"/>
        <v>0</v>
      </c>
      <c r="M494" s="2154">
        <f t="shared" si="2"/>
        <v>0</v>
      </c>
      <c r="N494" s="2225">
        <f>'Part V-Revenues &amp; Expenses'!N47</f>
        <v>0</v>
      </c>
      <c r="O494" s="1065">
        <f>'Part V-Revenues &amp; Expenses'!O47</f>
        <v>0</v>
      </c>
      <c r="P494" s="2225">
        <f>'Part V-Revenues &amp; Expenses'!P47</f>
        <v>0</v>
      </c>
      <c r="Q494" s="1574">
        <f>'Part V-Revenues &amp; Expenses'!Q47</f>
        <v>0</v>
      </c>
      <c r="R494" s="2356"/>
      <c r="S494" s="2357"/>
      <c r="T494" s="2358"/>
      <c r="U494" s="2358"/>
      <c r="V494" s="2358"/>
      <c r="W494" s="2358"/>
      <c r="X494" s="261" t="str">
        <f t="shared" si="3"/>
        <v/>
      </c>
      <c r="Y494" s="261" t="str">
        <f t="shared" si="4"/>
        <v/>
      </c>
      <c r="Z494" s="261" t="str">
        <f t="shared" si="5"/>
        <v/>
      </c>
      <c r="AA494" s="261" t="str">
        <f t="shared" si="6"/>
        <v/>
      </c>
      <c r="AB494" s="261" t="str">
        <f t="shared" si="7"/>
        <v/>
      </c>
      <c r="AC494" s="261" t="str">
        <f t="shared" si="8"/>
        <v/>
      </c>
      <c r="AD494" s="261" t="str">
        <f t="shared" si="9"/>
        <v/>
      </c>
      <c r="AE494" s="261" t="str">
        <f t="shared" si="10"/>
        <v/>
      </c>
      <c r="AF494" s="261" t="str">
        <f t="shared" si="11"/>
        <v/>
      </c>
      <c r="AG494" s="261" t="str">
        <f t="shared" si="12"/>
        <v/>
      </c>
      <c r="AH494" s="261" t="str">
        <f t="shared" si="13"/>
        <v/>
      </c>
      <c r="AI494" s="261" t="str">
        <f t="shared" si="14"/>
        <v/>
      </c>
      <c r="AJ494" s="261" t="str">
        <f t="shared" si="15"/>
        <v/>
      </c>
      <c r="AK494" s="261" t="str">
        <f t="shared" si="16"/>
        <v/>
      </c>
      <c r="AL494" s="261" t="str">
        <f t="shared" si="17"/>
        <v/>
      </c>
      <c r="AM494" s="261" t="str">
        <f t="shared" si="18"/>
        <v/>
      </c>
      <c r="AN494" s="261" t="str">
        <f t="shared" si="19"/>
        <v/>
      </c>
      <c r="AO494" s="261" t="str">
        <f t="shared" si="20"/>
        <v/>
      </c>
      <c r="AP494" s="261" t="str">
        <f t="shared" si="21"/>
        <v/>
      </c>
      <c r="AQ494" s="261" t="str">
        <f t="shared" si="22"/>
        <v/>
      </c>
      <c r="AR494" s="261" t="str">
        <f t="shared" si="23"/>
        <v/>
      </c>
      <c r="AS494" s="261" t="str">
        <f t="shared" si="24"/>
        <v/>
      </c>
      <c r="AT494" s="261" t="str">
        <f t="shared" si="25"/>
        <v/>
      </c>
      <c r="AU494" s="261" t="str">
        <f t="shared" si="26"/>
        <v/>
      </c>
      <c r="AV494" s="261" t="str">
        <f t="shared" si="27"/>
        <v/>
      </c>
      <c r="AW494" s="261" t="str">
        <f t="shared" si="28"/>
        <v/>
      </c>
      <c r="AX494" s="261" t="str">
        <f t="shared" si="29"/>
        <v/>
      </c>
      <c r="AY494" s="261" t="str">
        <f t="shared" si="30"/>
        <v/>
      </c>
      <c r="AZ494" s="261" t="str">
        <f t="shared" si="31"/>
        <v/>
      </c>
      <c r="BA494" s="261" t="str">
        <f t="shared" si="32"/>
        <v/>
      </c>
      <c r="BB494" s="261" t="str">
        <f t="shared" si="33"/>
        <v/>
      </c>
      <c r="BC494" s="261" t="str">
        <f t="shared" si="34"/>
        <v/>
      </c>
      <c r="BD494" s="261" t="str">
        <f t="shared" si="35"/>
        <v/>
      </c>
      <c r="BE494" s="261" t="str">
        <f t="shared" si="36"/>
        <v/>
      </c>
      <c r="BF494" s="261" t="str">
        <f t="shared" si="37"/>
        <v/>
      </c>
      <c r="BG494" s="261" t="str">
        <f t="shared" si="38"/>
        <v/>
      </c>
      <c r="BH494" s="261" t="str">
        <f t="shared" si="39"/>
        <v/>
      </c>
      <c r="BI494" s="261" t="str">
        <f t="shared" si="40"/>
        <v/>
      </c>
      <c r="BJ494" s="261" t="str">
        <f t="shared" si="41"/>
        <v/>
      </c>
      <c r="BK494" s="261" t="str">
        <f t="shared" si="42"/>
        <v/>
      </c>
      <c r="BL494" s="261" t="str">
        <f t="shared" si="43"/>
        <v/>
      </c>
      <c r="BM494" s="261" t="str">
        <f t="shared" si="44"/>
        <v/>
      </c>
      <c r="BN494" s="261" t="str">
        <f t="shared" si="45"/>
        <v/>
      </c>
      <c r="BO494" s="261" t="str">
        <f t="shared" si="46"/>
        <v/>
      </c>
      <c r="BP494" s="261" t="str">
        <f t="shared" si="47"/>
        <v/>
      </c>
      <c r="BQ494" s="261" t="str">
        <f t="shared" si="48"/>
        <v/>
      </c>
      <c r="BR494" s="261" t="str">
        <f t="shared" si="49"/>
        <v/>
      </c>
      <c r="BS494" s="261" t="str">
        <f t="shared" si="50"/>
        <v/>
      </c>
      <c r="BT494" s="261" t="str">
        <f t="shared" si="51"/>
        <v/>
      </c>
      <c r="BU494" s="261" t="str">
        <f t="shared" si="52"/>
        <v/>
      </c>
      <c r="BV494" s="261" t="str">
        <f t="shared" si="53"/>
        <v/>
      </c>
      <c r="BW494" s="261" t="str">
        <f t="shared" si="54"/>
        <v/>
      </c>
      <c r="BX494" s="261" t="str">
        <f t="shared" si="55"/>
        <v/>
      </c>
      <c r="BY494" s="261" t="str">
        <f t="shared" si="56"/>
        <v/>
      </c>
      <c r="BZ494" s="261" t="str">
        <f t="shared" si="57"/>
        <v/>
      </c>
      <c r="CA494" s="261" t="str">
        <f t="shared" si="58"/>
        <v/>
      </c>
      <c r="CB494" s="261" t="str">
        <f t="shared" si="59"/>
        <v/>
      </c>
      <c r="CC494" s="261" t="str">
        <f t="shared" si="60"/>
        <v/>
      </c>
      <c r="CD494" s="261" t="str">
        <f t="shared" si="61"/>
        <v/>
      </c>
      <c r="CE494" s="261" t="str">
        <f t="shared" si="62"/>
        <v/>
      </c>
      <c r="CF494" s="261" t="str">
        <f t="shared" si="63"/>
        <v/>
      </c>
      <c r="CG494" s="261" t="str">
        <f t="shared" si="64"/>
        <v/>
      </c>
      <c r="CH494" s="261" t="str">
        <f t="shared" si="65"/>
        <v/>
      </c>
      <c r="CI494" s="261" t="str">
        <f t="shared" si="66"/>
        <v/>
      </c>
      <c r="CJ494" s="261" t="str">
        <f t="shared" si="67"/>
        <v/>
      </c>
      <c r="CK494" s="261" t="str">
        <f t="shared" si="68"/>
        <v/>
      </c>
      <c r="CL494" s="261" t="str">
        <f t="shared" si="69"/>
        <v/>
      </c>
      <c r="CM494" s="261" t="str">
        <f t="shared" si="70"/>
        <v/>
      </c>
      <c r="CN494" s="261" t="str">
        <f t="shared" si="71"/>
        <v/>
      </c>
      <c r="CO494" s="261" t="str">
        <f t="shared" si="72"/>
        <v/>
      </c>
      <c r="CP494" s="261" t="str">
        <f t="shared" si="73"/>
        <v/>
      </c>
      <c r="CQ494" s="261" t="str">
        <f t="shared" si="74"/>
        <v/>
      </c>
      <c r="CR494" s="261" t="str">
        <f t="shared" si="75"/>
        <v/>
      </c>
      <c r="CS494" s="261" t="str">
        <f t="shared" si="76"/>
        <v/>
      </c>
      <c r="CT494" s="261" t="str">
        <f t="shared" si="77"/>
        <v/>
      </c>
      <c r="CU494" s="261" t="str">
        <f t="shared" si="78"/>
        <v/>
      </c>
      <c r="CV494" s="261" t="str">
        <f t="shared" si="79"/>
        <v/>
      </c>
      <c r="CW494" s="261" t="str">
        <f t="shared" si="80"/>
        <v/>
      </c>
      <c r="CX494" s="261" t="str">
        <f t="shared" si="81"/>
        <v/>
      </c>
      <c r="CY494" s="261" t="str">
        <f t="shared" si="82"/>
        <v/>
      </c>
      <c r="CZ494" s="261" t="str">
        <f t="shared" si="83"/>
        <v/>
      </c>
      <c r="DA494" s="261" t="str">
        <f t="shared" si="84"/>
        <v/>
      </c>
      <c r="DB494" s="261" t="str">
        <f t="shared" si="85"/>
        <v/>
      </c>
      <c r="DC494" s="261" t="str">
        <f t="shared" si="86"/>
        <v/>
      </c>
      <c r="DD494" s="261" t="str">
        <f t="shared" si="87"/>
        <v/>
      </c>
      <c r="DE494" s="261" t="str">
        <f t="shared" si="88"/>
        <v/>
      </c>
      <c r="DF494" s="261" t="str">
        <f t="shared" si="89"/>
        <v/>
      </c>
      <c r="DG494" s="261" t="str">
        <f t="shared" si="90"/>
        <v/>
      </c>
      <c r="DH494" s="261" t="str">
        <f t="shared" si="91"/>
        <v/>
      </c>
      <c r="DI494" s="261" t="str">
        <f t="shared" si="92"/>
        <v/>
      </c>
      <c r="DJ494" s="261" t="str">
        <f t="shared" si="93"/>
        <v/>
      </c>
      <c r="DK494" s="261" t="str">
        <f t="shared" si="94"/>
        <v/>
      </c>
      <c r="DL494" s="261" t="str">
        <f t="shared" si="95"/>
        <v/>
      </c>
      <c r="DM494" s="261" t="str">
        <f t="shared" si="96"/>
        <v/>
      </c>
      <c r="DN494" s="261" t="str">
        <f t="shared" si="97"/>
        <v/>
      </c>
      <c r="DO494" s="261" t="str">
        <f t="shared" si="98"/>
        <v/>
      </c>
      <c r="DP494" s="261" t="str">
        <f t="shared" si="99"/>
        <v/>
      </c>
      <c r="DQ494" s="261" t="str">
        <f t="shared" si="100"/>
        <v/>
      </c>
      <c r="DR494" s="261" t="str">
        <f t="shared" si="101"/>
        <v/>
      </c>
      <c r="DS494" s="261" t="str">
        <f t="shared" si="102"/>
        <v/>
      </c>
      <c r="DT494" s="261" t="str">
        <f t="shared" si="103"/>
        <v/>
      </c>
      <c r="DU494" s="261" t="str">
        <f t="shared" si="104"/>
        <v/>
      </c>
      <c r="DV494" s="261" t="str">
        <f t="shared" si="105"/>
        <v/>
      </c>
      <c r="DW494" s="261" t="str">
        <f t="shared" si="106"/>
        <v/>
      </c>
      <c r="DX494" s="261" t="str">
        <f t="shared" si="107"/>
        <v/>
      </c>
      <c r="DY494" s="261" t="str">
        <f t="shared" si="108"/>
        <v/>
      </c>
      <c r="DZ494" s="261" t="str">
        <f t="shared" si="109"/>
        <v/>
      </c>
      <c r="EA494" s="261" t="str">
        <f t="shared" si="110"/>
        <v/>
      </c>
      <c r="EB494" s="261" t="str">
        <f t="shared" si="111"/>
        <v/>
      </c>
      <c r="EC494" s="261" t="str">
        <f t="shared" si="112"/>
        <v/>
      </c>
      <c r="ED494" s="261" t="str">
        <f t="shared" si="113"/>
        <v/>
      </c>
      <c r="EE494" s="261" t="str">
        <f t="shared" si="114"/>
        <v/>
      </c>
      <c r="EF494" s="261" t="str">
        <f t="shared" si="115"/>
        <v/>
      </c>
      <c r="EG494" s="261" t="str">
        <f t="shared" si="116"/>
        <v/>
      </c>
      <c r="EH494" s="261" t="str">
        <f t="shared" si="117"/>
        <v/>
      </c>
      <c r="EI494" s="261" t="str">
        <f t="shared" si="118"/>
        <v/>
      </c>
      <c r="EJ494" s="261" t="str">
        <f t="shared" si="119"/>
        <v/>
      </c>
      <c r="EK494" s="261" t="str">
        <f t="shared" si="120"/>
        <v/>
      </c>
      <c r="EL494" s="261" t="str">
        <f t="shared" si="121"/>
        <v/>
      </c>
      <c r="EM494" s="261" t="str">
        <f t="shared" si="122"/>
        <v/>
      </c>
      <c r="EN494" s="261" t="str">
        <f t="shared" si="123"/>
        <v/>
      </c>
      <c r="EO494" s="261" t="str">
        <f t="shared" si="124"/>
        <v/>
      </c>
      <c r="EP494" s="261" t="str">
        <f t="shared" si="125"/>
        <v/>
      </c>
      <c r="EQ494" s="261" t="str">
        <f t="shared" si="126"/>
        <v/>
      </c>
      <c r="ER494" s="261" t="str">
        <f t="shared" si="127"/>
        <v/>
      </c>
      <c r="ES494" s="261" t="str">
        <f t="shared" si="128"/>
        <v/>
      </c>
      <c r="ET494" s="261" t="str">
        <f t="shared" si="129"/>
        <v/>
      </c>
      <c r="EU494" s="261" t="str">
        <f t="shared" si="130"/>
        <v/>
      </c>
      <c r="EV494" s="261" t="str">
        <f t="shared" si="131"/>
        <v/>
      </c>
      <c r="EW494" s="261" t="str">
        <f t="shared" si="132"/>
        <v/>
      </c>
      <c r="EX494" s="261" t="str">
        <f t="shared" si="133"/>
        <v/>
      </c>
      <c r="EY494" s="261" t="str">
        <f t="shared" si="134"/>
        <v/>
      </c>
      <c r="EZ494" s="261" t="str">
        <f t="shared" si="135"/>
        <v/>
      </c>
      <c r="FA494" s="261" t="str">
        <f t="shared" si="136"/>
        <v/>
      </c>
      <c r="FB494" s="261" t="str">
        <f t="shared" si="137"/>
        <v/>
      </c>
      <c r="FC494" s="261" t="str">
        <f t="shared" si="138"/>
        <v/>
      </c>
      <c r="FD494" s="261" t="str">
        <f t="shared" si="139"/>
        <v/>
      </c>
      <c r="FE494" s="261" t="str">
        <f t="shared" si="140"/>
        <v/>
      </c>
      <c r="FF494" s="261" t="str">
        <f t="shared" si="141"/>
        <v/>
      </c>
      <c r="FG494" s="261" t="str">
        <f t="shared" si="142"/>
        <v/>
      </c>
      <c r="FH494" s="261" t="str">
        <f t="shared" si="143"/>
        <v/>
      </c>
      <c r="FI494" s="261" t="str">
        <f t="shared" si="144"/>
        <v/>
      </c>
      <c r="FJ494" s="261" t="str">
        <f t="shared" si="145"/>
        <v/>
      </c>
      <c r="FK494" s="261" t="str">
        <f t="shared" si="146"/>
        <v/>
      </c>
      <c r="FL494" s="261" t="str">
        <f t="shared" si="147"/>
        <v/>
      </c>
      <c r="FM494" s="261" t="str">
        <f t="shared" si="148"/>
        <v/>
      </c>
      <c r="FN494" s="261" t="str">
        <f t="shared" si="149"/>
        <v/>
      </c>
      <c r="FO494" s="261" t="str">
        <f t="shared" si="150"/>
        <v/>
      </c>
      <c r="FP494" s="261" t="str">
        <f t="shared" si="151"/>
        <v/>
      </c>
      <c r="FQ494" s="261" t="str">
        <f t="shared" si="152"/>
        <v/>
      </c>
      <c r="FR494" s="261" t="str">
        <f t="shared" si="153"/>
        <v/>
      </c>
      <c r="FS494" s="261" t="str">
        <f t="shared" si="154"/>
        <v/>
      </c>
      <c r="FT494" s="261" t="str">
        <f t="shared" si="155"/>
        <v/>
      </c>
      <c r="FU494" s="261" t="str">
        <f t="shared" si="156"/>
        <v/>
      </c>
      <c r="FV494" s="261" t="str">
        <f t="shared" si="157"/>
        <v/>
      </c>
      <c r="FW494" s="261" t="str">
        <f t="shared" si="158"/>
        <v/>
      </c>
      <c r="FX494" s="261" t="str">
        <f t="shared" si="159"/>
        <v/>
      </c>
      <c r="FY494" s="261" t="str">
        <f t="shared" si="160"/>
        <v/>
      </c>
      <c r="FZ494" s="261" t="str">
        <f t="shared" si="161"/>
        <v/>
      </c>
      <c r="GA494" s="261" t="str">
        <f t="shared" si="162"/>
        <v/>
      </c>
      <c r="GB494" s="261" t="str">
        <f t="shared" si="163"/>
        <v/>
      </c>
      <c r="GC494" s="261" t="str">
        <f t="shared" si="164"/>
        <v/>
      </c>
      <c r="GD494" s="261" t="str">
        <f t="shared" si="165"/>
        <v/>
      </c>
      <c r="GE494" s="261" t="str">
        <f t="shared" si="166"/>
        <v/>
      </c>
      <c r="GF494" s="261" t="str">
        <f t="shared" si="167"/>
        <v/>
      </c>
      <c r="GG494" s="261" t="str">
        <f t="shared" si="168"/>
        <v/>
      </c>
      <c r="GH494" s="261" t="str">
        <f t="shared" si="169"/>
        <v/>
      </c>
      <c r="GI494" s="261" t="str">
        <f t="shared" si="170"/>
        <v/>
      </c>
      <c r="GJ494" s="261" t="str">
        <f t="shared" si="171"/>
        <v/>
      </c>
      <c r="GK494" s="261" t="str">
        <f t="shared" si="172"/>
        <v/>
      </c>
      <c r="GL494" s="261" t="str">
        <f t="shared" si="173"/>
        <v/>
      </c>
      <c r="GM494" s="261" t="str">
        <f t="shared" si="174"/>
        <v/>
      </c>
      <c r="GN494" s="261" t="str">
        <f t="shared" si="175"/>
        <v/>
      </c>
      <c r="GO494" s="261" t="str">
        <f t="shared" si="176"/>
        <v/>
      </c>
      <c r="GP494" s="261" t="str">
        <f t="shared" si="177"/>
        <v/>
      </c>
      <c r="GQ494" s="261" t="str">
        <f t="shared" si="178"/>
        <v/>
      </c>
      <c r="GR494" s="261" t="str">
        <f t="shared" si="179"/>
        <v/>
      </c>
      <c r="GS494" s="261" t="str">
        <f t="shared" si="180"/>
        <v/>
      </c>
      <c r="GT494" s="261" t="str">
        <f t="shared" si="181"/>
        <v/>
      </c>
      <c r="GU494" s="261" t="str">
        <f t="shared" si="182"/>
        <v/>
      </c>
      <c r="GV494" s="261" t="str">
        <f t="shared" si="183"/>
        <v/>
      </c>
      <c r="GW494" s="261" t="str">
        <f t="shared" si="184"/>
        <v/>
      </c>
      <c r="GX494" s="261" t="str">
        <f t="shared" si="185"/>
        <v/>
      </c>
      <c r="GY494" s="261" t="str">
        <f t="shared" si="186"/>
        <v/>
      </c>
      <c r="GZ494" s="261" t="str">
        <f t="shared" si="187"/>
        <v/>
      </c>
      <c r="HA494" s="261" t="str">
        <f t="shared" si="188"/>
        <v/>
      </c>
      <c r="HB494" s="261" t="str">
        <f t="shared" si="189"/>
        <v/>
      </c>
      <c r="HC494" s="261" t="str">
        <f t="shared" si="190"/>
        <v/>
      </c>
      <c r="HD494" s="261" t="str">
        <f t="shared" si="191"/>
        <v/>
      </c>
      <c r="HE494" s="261" t="str">
        <f t="shared" si="192"/>
        <v/>
      </c>
      <c r="HF494" s="261" t="str">
        <f t="shared" si="193"/>
        <v/>
      </c>
      <c r="HG494" s="261" t="str">
        <f t="shared" si="194"/>
        <v/>
      </c>
      <c r="HH494" s="261" t="str">
        <f t="shared" si="195"/>
        <v/>
      </c>
      <c r="HI494" s="261" t="str">
        <f t="shared" si="196"/>
        <v/>
      </c>
      <c r="HJ494" s="261" t="str">
        <f t="shared" si="197"/>
        <v/>
      </c>
      <c r="HK494" s="261" t="str">
        <f t="shared" si="198"/>
        <v/>
      </c>
      <c r="HL494" s="261" t="str">
        <f t="shared" si="199"/>
        <v/>
      </c>
      <c r="HM494" s="261" t="str">
        <f t="shared" si="200"/>
        <v/>
      </c>
      <c r="HN494" s="261" t="str">
        <f t="shared" si="201"/>
        <v/>
      </c>
      <c r="HO494" s="261" t="str">
        <f t="shared" si="202"/>
        <v/>
      </c>
      <c r="HP494" s="261" t="str">
        <f t="shared" si="203"/>
        <v/>
      </c>
      <c r="HQ494" s="261" t="str">
        <f t="shared" si="204"/>
        <v/>
      </c>
      <c r="HR494" s="261" t="str">
        <f t="shared" si="205"/>
        <v/>
      </c>
      <c r="HS494" s="261" t="str">
        <f t="shared" si="206"/>
        <v/>
      </c>
      <c r="HT494" s="261" t="str">
        <f t="shared" si="207"/>
        <v/>
      </c>
      <c r="HU494" s="261" t="str">
        <f t="shared" si="208"/>
        <v/>
      </c>
      <c r="HV494" s="261" t="str">
        <f t="shared" si="209"/>
        <v/>
      </c>
      <c r="HW494" s="261" t="str">
        <f t="shared" si="210"/>
        <v/>
      </c>
      <c r="HX494" s="261" t="str">
        <f t="shared" si="211"/>
        <v/>
      </c>
      <c r="HY494" s="261" t="str">
        <f t="shared" si="212"/>
        <v/>
      </c>
      <c r="HZ494" s="1575" t="str">
        <f t="shared" si="213"/>
        <v/>
      </c>
      <c r="IA494" s="1575" t="str">
        <f t="shared" si="214"/>
        <v/>
      </c>
      <c r="IB494" s="1575" t="str">
        <f t="shared" si="215"/>
        <v/>
      </c>
      <c r="IC494" s="1575" t="str">
        <f t="shared" si="216"/>
        <v/>
      </c>
      <c r="ID494" s="1575" t="str">
        <f t="shared" si="217"/>
        <v/>
      </c>
      <c r="IE494" s="1575" t="str">
        <f t="shared" si="218"/>
        <v/>
      </c>
      <c r="IF494" s="1575" t="str">
        <f t="shared" si="219"/>
        <v/>
      </c>
      <c r="IG494" s="1575" t="str">
        <f t="shared" si="220"/>
        <v/>
      </c>
      <c r="IH494" s="1575" t="str">
        <f t="shared" si="221"/>
        <v/>
      </c>
      <c r="II494" s="1575" t="str">
        <f t="shared" si="222"/>
        <v/>
      </c>
      <c r="IJ494" s="1575" t="str">
        <f t="shared" si="223"/>
        <v/>
      </c>
      <c r="IK494" s="1575" t="str">
        <f t="shared" si="224"/>
        <v/>
      </c>
      <c r="IL494" s="1575" t="str">
        <f t="shared" si="225"/>
        <v/>
      </c>
      <c r="IM494" s="1575" t="str">
        <f t="shared" si="226"/>
        <v/>
      </c>
      <c r="IN494" s="1575" t="str">
        <f t="shared" si="227"/>
        <v/>
      </c>
      <c r="IO494" s="1575" t="str">
        <f t="shared" si="228"/>
        <v/>
      </c>
      <c r="IP494" s="1575" t="str">
        <f t="shared" si="229"/>
        <v/>
      </c>
      <c r="IQ494" s="1575" t="str">
        <f t="shared" si="230"/>
        <v/>
      </c>
      <c r="IR494" s="1575" t="str">
        <f t="shared" si="231"/>
        <v/>
      </c>
      <c r="IS494" s="1575" t="str">
        <f t="shared" si="232"/>
        <v/>
      </c>
      <c r="IT494" s="1575" t="str">
        <f t="shared" si="233"/>
        <v/>
      </c>
      <c r="IU494" s="1575" t="str">
        <f t="shared" si="234"/>
        <v/>
      </c>
      <c r="IV494" s="1575" t="str">
        <f t="shared" si="235"/>
        <v/>
      </c>
      <c r="IW494" s="1575" t="str">
        <f t="shared" si="236"/>
        <v/>
      </c>
      <c r="IX494" s="1575" t="str">
        <f t="shared" si="237"/>
        <v/>
      </c>
      <c r="IY494" s="1575" t="str">
        <f t="shared" si="238"/>
        <v/>
      </c>
      <c r="IZ494" s="1575" t="str">
        <f t="shared" si="239"/>
        <v/>
      </c>
      <c r="JA494" s="1575" t="str">
        <f t="shared" si="240"/>
        <v/>
      </c>
      <c r="JB494" s="1575" t="str">
        <f t="shared" si="241"/>
        <v/>
      </c>
      <c r="JC494" s="1575" t="str">
        <f t="shared" si="242"/>
        <v/>
      </c>
      <c r="JD494" s="1575" t="str">
        <f t="shared" si="243"/>
        <v/>
      </c>
      <c r="JE494" s="1575" t="str">
        <f t="shared" si="244"/>
        <v/>
      </c>
      <c r="JF494" s="1575" t="str">
        <f t="shared" si="245"/>
        <v/>
      </c>
      <c r="JG494" s="1575" t="str">
        <f t="shared" si="246"/>
        <v/>
      </c>
      <c r="JH494" s="1575" t="str">
        <f t="shared" si="247"/>
        <v/>
      </c>
      <c r="JI494" s="1575" t="str">
        <f t="shared" si="248"/>
        <v/>
      </c>
      <c r="JJ494" s="1575" t="str">
        <f t="shared" si="249"/>
        <v/>
      </c>
      <c r="JK494" s="1575" t="str">
        <f t="shared" si="250"/>
        <v/>
      </c>
      <c r="JL494" s="1575" t="str">
        <f t="shared" si="251"/>
        <v/>
      </c>
      <c r="JM494" s="1575" t="str">
        <f t="shared" si="252"/>
        <v/>
      </c>
      <c r="JN494" s="1575" t="str">
        <f t="shared" si="253"/>
        <v/>
      </c>
      <c r="JO494" s="1575" t="str">
        <f t="shared" si="254"/>
        <v/>
      </c>
      <c r="JP494" s="1575" t="str">
        <f t="shared" si="255"/>
        <v/>
      </c>
      <c r="JQ494" s="1575" t="str">
        <f t="shared" si="256"/>
        <v/>
      </c>
      <c r="JR494" s="1575" t="str">
        <f t="shared" si="257"/>
        <v/>
      </c>
      <c r="JS494" s="1575" t="str">
        <f t="shared" si="258"/>
        <v/>
      </c>
      <c r="JT494" s="1575" t="str">
        <f t="shared" si="259"/>
        <v/>
      </c>
      <c r="JU494" s="1575" t="str">
        <f t="shared" si="260"/>
        <v/>
      </c>
      <c r="JV494" s="1575" t="str">
        <f t="shared" si="261"/>
        <v/>
      </c>
      <c r="JW494" s="1575" t="str">
        <f t="shared" si="262"/>
        <v/>
      </c>
      <c r="JX494" s="1575" t="str">
        <f t="shared" si="263"/>
        <v/>
      </c>
      <c r="JY494" s="1575" t="str">
        <f t="shared" si="264"/>
        <v/>
      </c>
      <c r="JZ494" s="1575" t="str">
        <f t="shared" si="265"/>
        <v/>
      </c>
      <c r="KA494" s="1575" t="str">
        <f t="shared" si="266"/>
        <v/>
      </c>
      <c r="KB494" s="1575" t="str">
        <f t="shared" si="267"/>
        <v/>
      </c>
      <c r="KC494" s="1575" t="str">
        <f t="shared" si="268"/>
        <v/>
      </c>
      <c r="KD494" s="1575" t="str">
        <f t="shared" si="269"/>
        <v/>
      </c>
      <c r="KE494" s="1575" t="str">
        <f t="shared" si="270"/>
        <v/>
      </c>
      <c r="KF494" s="1575" t="str">
        <f t="shared" si="271"/>
        <v/>
      </c>
      <c r="KG494" s="1575" t="str">
        <f t="shared" si="272"/>
        <v/>
      </c>
      <c r="KH494" s="1575" t="str">
        <f t="shared" si="273"/>
        <v/>
      </c>
      <c r="KI494" s="1575" t="str">
        <f t="shared" si="274"/>
        <v/>
      </c>
      <c r="KJ494" s="1575" t="str">
        <f t="shared" si="275"/>
        <v/>
      </c>
      <c r="KK494" s="1575" t="str">
        <f t="shared" si="276"/>
        <v/>
      </c>
      <c r="KL494" s="1575" t="str">
        <f t="shared" si="277"/>
        <v/>
      </c>
      <c r="KM494" s="1575" t="str">
        <f t="shared" si="278"/>
        <v/>
      </c>
      <c r="KN494" s="1575" t="str">
        <f t="shared" si="279"/>
        <v/>
      </c>
      <c r="KO494" s="1575" t="str">
        <f t="shared" si="280"/>
        <v/>
      </c>
      <c r="KP494" s="1575" t="str">
        <f t="shared" si="281"/>
        <v/>
      </c>
      <c r="KQ494" s="1575" t="str">
        <f t="shared" si="282"/>
        <v/>
      </c>
      <c r="KR494" s="1575" t="str">
        <f t="shared" si="283"/>
        <v/>
      </c>
      <c r="KS494" s="1575" t="str">
        <f t="shared" si="284"/>
        <v/>
      </c>
      <c r="KT494" s="1575" t="str">
        <f t="shared" si="285"/>
        <v/>
      </c>
      <c r="KU494" s="1575" t="str">
        <f t="shared" si="286"/>
        <v/>
      </c>
      <c r="KV494" s="1575" t="str">
        <f t="shared" si="287"/>
        <v/>
      </c>
      <c r="KW494" s="1575" t="str">
        <f t="shared" si="288"/>
        <v/>
      </c>
      <c r="KX494" s="1575" t="str">
        <f t="shared" si="289"/>
        <v/>
      </c>
      <c r="KY494" s="1575" t="str">
        <f t="shared" si="290"/>
        <v/>
      </c>
      <c r="KZ494" s="1575" t="str">
        <f t="shared" si="291"/>
        <v/>
      </c>
      <c r="LA494" s="1575" t="str">
        <f t="shared" si="292"/>
        <v/>
      </c>
      <c r="LB494" s="1575" t="str">
        <f t="shared" si="293"/>
        <v/>
      </c>
      <c r="LC494" s="1575" t="str">
        <f t="shared" si="294"/>
        <v/>
      </c>
      <c r="LD494" s="1575" t="str">
        <f t="shared" si="295"/>
        <v/>
      </c>
      <c r="LE494" s="1575" t="str">
        <f t="shared" si="296"/>
        <v/>
      </c>
      <c r="LF494" s="1575" t="str">
        <f t="shared" si="297"/>
        <v/>
      </c>
      <c r="LG494" s="1564" t="str">
        <f t="shared" si="298"/>
        <v/>
      </c>
      <c r="LH494" s="1564" t="str">
        <f t="shared" si="299"/>
        <v/>
      </c>
      <c r="LI494" s="1564" t="str">
        <f t="shared" si="300"/>
        <v/>
      </c>
      <c r="LJ494" s="1564" t="str">
        <f t="shared" si="301"/>
        <v/>
      </c>
      <c r="LK494" s="1564" t="str">
        <f t="shared" si="302"/>
        <v/>
      </c>
      <c r="LL494" s="261" t="str">
        <f t="shared" si="303"/>
        <v/>
      </c>
      <c r="LM494" s="261" t="str">
        <f t="shared" si="304"/>
        <v/>
      </c>
      <c r="LN494" s="261" t="str">
        <f t="shared" si="305"/>
        <v/>
      </c>
      <c r="LO494" s="261" t="str">
        <f t="shared" si="306"/>
        <v/>
      </c>
      <c r="LP494" s="261" t="str">
        <f t="shared" si="307"/>
        <v/>
      </c>
      <c r="LQ494" s="261" t="str">
        <f t="shared" si="308"/>
        <v/>
      </c>
      <c r="LR494" s="261" t="str">
        <f t="shared" si="309"/>
        <v/>
      </c>
      <c r="LS494" s="261" t="str">
        <f t="shared" si="310"/>
        <v/>
      </c>
      <c r="LT494" s="261" t="str">
        <f t="shared" si="311"/>
        <v/>
      </c>
      <c r="LU494" s="261" t="str">
        <f t="shared" si="312"/>
        <v/>
      </c>
      <c r="LV494" s="261" t="str">
        <f t="shared" si="313"/>
        <v/>
      </c>
      <c r="LW494" s="261" t="str">
        <f t="shared" si="314"/>
        <v/>
      </c>
      <c r="LX494" s="261" t="str">
        <f t="shared" si="315"/>
        <v/>
      </c>
      <c r="LY494" s="261" t="str">
        <f t="shared" si="316"/>
        <v/>
      </c>
      <c r="LZ494" s="261" t="str">
        <f t="shared" si="317"/>
        <v/>
      </c>
      <c r="MA494" s="261" t="str">
        <f t="shared" si="318"/>
        <v/>
      </c>
      <c r="MB494" s="261" t="str">
        <f t="shared" si="319"/>
        <v/>
      </c>
      <c r="MC494" s="261" t="str">
        <f t="shared" si="320"/>
        <v/>
      </c>
      <c r="MD494" s="261" t="str">
        <f t="shared" si="321"/>
        <v/>
      </c>
      <c r="ME494" s="261" t="str">
        <f t="shared" si="322"/>
        <v/>
      </c>
      <c r="MF494" s="1441">
        <f t="shared" si="323"/>
        <v>0</v>
      </c>
      <c r="MG494" s="1441">
        <f t="shared" si="324"/>
        <v>0</v>
      </c>
      <c r="MH494" s="1441">
        <f t="shared" si="325"/>
        <v>0</v>
      </c>
      <c r="MI494" s="1441">
        <f t="shared" si="326"/>
        <v>0</v>
      </c>
      <c r="MJ494" s="1441">
        <f t="shared" si="327"/>
        <v>0</v>
      </c>
      <c r="MK494" s="1441">
        <f t="shared" si="333"/>
        <v>0</v>
      </c>
      <c r="ML494" s="1441">
        <f t="shared" si="334"/>
        <v>0</v>
      </c>
      <c r="MM494" s="1441">
        <f t="shared" si="335"/>
        <v>0</v>
      </c>
      <c r="MN494" s="1441">
        <f t="shared" si="336"/>
        <v>0</v>
      </c>
      <c r="MO494" s="1441">
        <f t="shared" si="337"/>
        <v>0</v>
      </c>
      <c r="MP494" s="1441">
        <f t="shared" si="328"/>
        <v>0</v>
      </c>
      <c r="MQ494" s="1441">
        <f t="shared" si="329"/>
        <v>0</v>
      </c>
      <c r="MR494" s="1441">
        <f t="shared" si="330"/>
        <v>0</v>
      </c>
      <c r="MS494" s="1441">
        <f t="shared" si="331"/>
        <v>0</v>
      </c>
      <c r="MT494" s="1441">
        <f t="shared" si="332"/>
        <v>0</v>
      </c>
      <c r="NP494" s="261" t="s">
        <v>1148</v>
      </c>
    </row>
    <row r="495" spans="1:380" ht="13.9" customHeight="1">
      <c r="A495" s="2330" t="str">
        <f t="shared" si="0"/>
        <v/>
      </c>
      <c r="B495" s="2149">
        <f>'Part V-Revenues &amp; Expenses'!B48</f>
        <v>0</v>
      </c>
      <c r="C495" s="2150">
        <f>'Part V-Revenues &amp; Expenses'!C48</f>
        <v>0</v>
      </c>
      <c r="D495" s="2151">
        <f>'Part V-Revenues &amp; Expenses'!D48</f>
        <v>0</v>
      </c>
      <c r="E495" s="2152">
        <f>'Part V-Revenues &amp; Expenses'!E48</f>
        <v>0</v>
      </c>
      <c r="F495" s="2152">
        <f>'Part V-Revenues &amp; Expenses'!F48</f>
        <v>0</v>
      </c>
      <c r="G495" s="2152">
        <f>'Part V-Revenues &amp; Expenses'!G48</f>
        <v>0</v>
      </c>
      <c r="H495" s="2152">
        <f>'Part V-Revenues &amp; Expenses'!H48</f>
        <v>0</v>
      </c>
      <c r="I495" s="2152">
        <f>'Part V-Revenues &amp; Expenses'!I48</f>
        <v>0</v>
      </c>
      <c r="J495" s="2152">
        <f>'Part V-Revenues &amp; Expenses'!J48</f>
        <v>0</v>
      </c>
      <c r="K495" s="2153">
        <f>'Part V-Revenues &amp; Expenses'!K48</f>
        <v>0</v>
      </c>
      <c r="L495" s="2154">
        <f t="shared" si="1"/>
        <v>0</v>
      </c>
      <c r="M495" s="2154">
        <f t="shared" si="2"/>
        <v>0</v>
      </c>
      <c r="N495" s="2225">
        <f>'Part V-Revenues &amp; Expenses'!N48</f>
        <v>0</v>
      </c>
      <c r="O495" s="1065">
        <f>'Part V-Revenues &amp; Expenses'!O48</f>
        <v>0</v>
      </c>
      <c r="P495" s="2225">
        <f>'Part V-Revenues &amp; Expenses'!P48</f>
        <v>0</v>
      </c>
      <c r="Q495" s="1574">
        <f>'Part V-Revenues &amp; Expenses'!Q48</f>
        <v>0</v>
      </c>
      <c r="R495" s="2356"/>
      <c r="S495" s="2357"/>
      <c r="T495" s="2358"/>
      <c r="U495" s="2358"/>
      <c r="V495" s="2358"/>
      <c r="W495" s="2358"/>
      <c r="X495" s="261" t="str">
        <f t="shared" si="3"/>
        <v/>
      </c>
      <c r="Y495" s="261" t="str">
        <f t="shared" si="4"/>
        <v/>
      </c>
      <c r="Z495" s="261" t="str">
        <f t="shared" si="5"/>
        <v/>
      </c>
      <c r="AA495" s="261" t="str">
        <f t="shared" si="6"/>
        <v/>
      </c>
      <c r="AB495" s="261" t="str">
        <f t="shared" si="7"/>
        <v/>
      </c>
      <c r="AC495" s="261" t="str">
        <f t="shared" si="8"/>
        <v/>
      </c>
      <c r="AD495" s="261" t="str">
        <f t="shared" si="9"/>
        <v/>
      </c>
      <c r="AE495" s="261" t="str">
        <f t="shared" si="10"/>
        <v/>
      </c>
      <c r="AF495" s="261" t="str">
        <f t="shared" si="11"/>
        <v/>
      </c>
      <c r="AG495" s="261" t="str">
        <f t="shared" si="12"/>
        <v/>
      </c>
      <c r="AH495" s="261" t="str">
        <f t="shared" si="13"/>
        <v/>
      </c>
      <c r="AI495" s="261" t="str">
        <f t="shared" si="14"/>
        <v/>
      </c>
      <c r="AJ495" s="261" t="str">
        <f t="shared" si="15"/>
        <v/>
      </c>
      <c r="AK495" s="261" t="str">
        <f t="shared" si="16"/>
        <v/>
      </c>
      <c r="AL495" s="261" t="str">
        <f t="shared" si="17"/>
        <v/>
      </c>
      <c r="AM495" s="261" t="str">
        <f t="shared" si="18"/>
        <v/>
      </c>
      <c r="AN495" s="261" t="str">
        <f t="shared" si="19"/>
        <v/>
      </c>
      <c r="AO495" s="261" t="str">
        <f t="shared" si="20"/>
        <v/>
      </c>
      <c r="AP495" s="261" t="str">
        <f t="shared" si="21"/>
        <v/>
      </c>
      <c r="AQ495" s="261" t="str">
        <f t="shared" si="22"/>
        <v/>
      </c>
      <c r="AR495" s="261" t="str">
        <f t="shared" si="23"/>
        <v/>
      </c>
      <c r="AS495" s="261" t="str">
        <f t="shared" si="24"/>
        <v/>
      </c>
      <c r="AT495" s="261" t="str">
        <f t="shared" si="25"/>
        <v/>
      </c>
      <c r="AU495" s="261" t="str">
        <f t="shared" si="26"/>
        <v/>
      </c>
      <c r="AV495" s="261" t="str">
        <f t="shared" si="27"/>
        <v/>
      </c>
      <c r="AW495" s="261" t="str">
        <f t="shared" si="28"/>
        <v/>
      </c>
      <c r="AX495" s="261" t="str">
        <f t="shared" si="29"/>
        <v/>
      </c>
      <c r="AY495" s="261" t="str">
        <f t="shared" si="30"/>
        <v/>
      </c>
      <c r="AZ495" s="261" t="str">
        <f t="shared" si="31"/>
        <v/>
      </c>
      <c r="BA495" s="261" t="str">
        <f t="shared" si="32"/>
        <v/>
      </c>
      <c r="BB495" s="261" t="str">
        <f t="shared" si="33"/>
        <v/>
      </c>
      <c r="BC495" s="261" t="str">
        <f t="shared" si="34"/>
        <v/>
      </c>
      <c r="BD495" s="261" t="str">
        <f t="shared" si="35"/>
        <v/>
      </c>
      <c r="BE495" s="261" t="str">
        <f t="shared" si="36"/>
        <v/>
      </c>
      <c r="BF495" s="261" t="str">
        <f t="shared" si="37"/>
        <v/>
      </c>
      <c r="BG495" s="261" t="str">
        <f t="shared" si="38"/>
        <v/>
      </c>
      <c r="BH495" s="261" t="str">
        <f t="shared" si="39"/>
        <v/>
      </c>
      <c r="BI495" s="261" t="str">
        <f t="shared" si="40"/>
        <v/>
      </c>
      <c r="BJ495" s="261" t="str">
        <f t="shared" si="41"/>
        <v/>
      </c>
      <c r="BK495" s="261" t="str">
        <f t="shared" si="42"/>
        <v/>
      </c>
      <c r="BL495" s="261" t="str">
        <f t="shared" si="43"/>
        <v/>
      </c>
      <c r="BM495" s="261" t="str">
        <f t="shared" si="44"/>
        <v/>
      </c>
      <c r="BN495" s="261" t="str">
        <f t="shared" si="45"/>
        <v/>
      </c>
      <c r="BO495" s="261" t="str">
        <f t="shared" si="46"/>
        <v/>
      </c>
      <c r="BP495" s="261" t="str">
        <f t="shared" si="47"/>
        <v/>
      </c>
      <c r="BQ495" s="261" t="str">
        <f t="shared" si="48"/>
        <v/>
      </c>
      <c r="BR495" s="261" t="str">
        <f t="shared" si="49"/>
        <v/>
      </c>
      <c r="BS495" s="261" t="str">
        <f t="shared" si="50"/>
        <v/>
      </c>
      <c r="BT495" s="261" t="str">
        <f t="shared" si="51"/>
        <v/>
      </c>
      <c r="BU495" s="261" t="str">
        <f t="shared" si="52"/>
        <v/>
      </c>
      <c r="BV495" s="261" t="str">
        <f t="shared" si="53"/>
        <v/>
      </c>
      <c r="BW495" s="261" t="str">
        <f t="shared" si="54"/>
        <v/>
      </c>
      <c r="BX495" s="261" t="str">
        <f t="shared" si="55"/>
        <v/>
      </c>
      <c r="BY495" s="261" t="str">
        <f t="shared" si="56"/>
        <v/>
      </c>
      <c r="BZ495" s="261" t="str">
        <f t="shared" si="57"/>
        <v/>
      </c>
      <c r="CA495" s="261" t="str">
        <f t="shared" si="58"/>
        <v/>
      </c>
      <c r="CB495" s="261" t="str">
        <f t="shared" si="59"/>
        <v/>
      </c>
      <c r="CC495" s="261" t="str">
        <f t="shared" si="60"/>
        <v/>
      </c>
      <c r="CD495" s="261" t="str">
        <f t="shared" si="61"/>
        <v/>
      </c>
      <c r="CE495" s="261" t="str">
        <f t="shared" si="62"/>
        <v/>
      </c>
      <c r="CF495" s="261" t="str">
        <f t="shared" si="63"/>
        <v/>
      </c>
      <c r="CG495" s="261" t="str">
        <f t="shared" si="64"/>
        <v/>
      </c>
      <c r="CH495" s="261" t="str">
        <f t="shared" si="65"/>
        <v/>
      </c>
      <c r="CI495" s="261" t="str">
        <f t="shared" si="66"/>
        <v/>
      </c>
      <c r="CJ495" s="261" t="str">
        <f t="shared" si="67"/>
        <v/>
      </c>
      <c r="CK495" s="261" t="str">
        <f t="shared" si="68"/>
        <v/>
      </c>
      <c r="CL495" s="261" t="str">
        <f t="shared" si="69"/>
        <v/>
      </c>
      <c r="CM495" s="261" t="str">
        <f t="shared" si="70"/>
        <v/>
      </c>
      <c r="CN495" s="261" t="str">
        <f t="shared" si="71"/>
        <v/>
      </c>
      <c r="CO495" s="261" t="str">
        <f t="shared" si="72"/>
        <v/>
      </c>
      <c r="CP495" s="261" t="str">
        <f t="shared" si="73"/>
        <v/>
      </c>
      <c r="CQ495" s="261" t="str">
        <f t="shared" si="74"/>
        <v/>
      </c>
      <c r="CR495" s="261" t="str">
        <f t="shared" si="75"/>
        <v/>
      </c>
      <c r="CS495" s="261" t="str">
        <f t="shared" si="76"/>
        <v/>
      </c>
      <c r="CT495" s="261" t="str">
        <f t="shared" si="77"/>
        <v/>
      </c>
      <c r="CU495" s="261" t="str">
        <f t="shared" si="78"/>
        <v/>
      </c>
      <c r="CV495" s="261" t="str">
        <f t="shared" si="79"/>
        <v/>
      </c>
      <c r="CW495" s="261" t="str">
        <f t="shared" si="80"/>
        <v/>
      </c>
      <c r="CX495" s="261" t="str">
        <f t="shared" si="81"/>
        <v/>
      </c>
      <c r="CY495" s="261" t="str">
        <f t="shared" si="82"/>
        <v/>
      </c>
      <c r="CZ495" s="261" t="str">
        <f t="shared" si="83"/>
        <v/>
      </c>
      <c r="DA495" s="261" t="str">
        <f t="shared" si="84"/>
        <v/>
      </c>
      <c r="DB495" s="261" t="str">
        <f t="shared" si="85"/>
        <v/>
      </c>
      <c r="DC495" s="261" t="str">
        <f t="shared" si="86"/>
        <v/>
      </c>
      <c r="DD495" s="261" t="str">
        <f t="shared" si="87"/>
        <v/>
      </c>
      <c r="DE495" s="261" t="str">
        <f t="shared" si="88"/>
        <v/>
      </c>
      <c r="DF495" s="261" t="str">
        <f t="shared" si="89"/>
        <v/>
      </c>
      <c r="DG495" s="261" t="str">
        <f t="shared" si="90"/>
        <v/>
      </c>
      <c r="DH495" s="261" t="str">
        <f t="shared" si="91"/>
        <v/>
      </c>
      <c r="DI495" s="261" t="str">
        <f t="shared" si="92"/>
        <v/>
      </c>
      <c r="DJ495" s="261" t="str">
        <f t="shared" si="93"/>
        <v/>
      </c>
      <c r="DK495" s="261" t="str">
        <f t="shared" si="94"/>
        <v/>
      </c>
      <c r="DL495" s="261" t="str">
        <f t="shared" si="95"/>
        <v/>
      </c>
      <c r="DM495" s="261" t="str">
        <f t="shared" si="96"/>
        <v/>
      </c>
      <c r="DN495" s="261" t="str">
        <f t="shared" si="97"/>
        <v/>
      </c>
      <c r="DO495" s="261" t="str">
        <f t="shared" si="98"/>
        <v/>
      </c>
      <c r="DP495" s="261" t="str">
        <f t="shared" si="99"/>
        <v/>
      </c>
      <c r="DQ495" s="261" t="str">
        <f t="shared" si="100"/>
        <v/>
      </c>
      <c r="DR495" s="261" t="str">
        <f t="shared" si="101"/>
        <v/>
      </c>
      <c r="DS495" s="261" t="str">
        <f t="shared" si="102"/>
        <v/>
      </c>
      <c r="DT495" s="261" t="str">
        <f t="shared" si="103"/>
        <v/>
      </c>
      <c r="DU495" s="261" t="str">
        <f t="shared" si="104"/>
        <v/>
      </c>
      <c r="DV495" s="261" t="str">
        <f t="shared" si="105"/>
        <v/>
      </c>
      <c r="DW495" s="261" t="str">
        <f t="shared" si="106"/>
        <v/>
      </c>
      <c r="DX495" s="261" t="str">
        <f t="shared" si="107"/>
        <v/>
      </c>
      <c r="DY495" s="261" t="str">
        <f t="shared" si="108"/>
        <v/>
      </c>
      <c r="DZ495" s="261" t="str">
        <f t="shared" si="109"/>
        <v/>
      </c>
      <c r="EA495" s="261" t="str">
        <f t="shared" si="110"/>
        <v/>
      </c>
      <c r="EB495" s="261" t="str">
        <f t="shared" si="111"/>
        <v/>
      </c>
      <c r="EC495" s="261" t="str">
        <f t="shared" si="112"/>
        <v/>
      </c>
      <c r="ED495" s="261" t="str">
        <f t="shared" si="113"/>
        <v/>
      </c>
      <c r="EE495" s="261" t="str">
        <f t="shared" si="114"/>
        <v/>
      </c>
      <c r="EF495" s="261" t="str">
        <f t="shared" si="115"/>
        <v/>
      </c>
      <c r="EG495" s="261" t="str">
        <f t="shared" si="116"/>
        <v/>
      </c>
      <c r="EH495" s="261" t="str">
        <f t="shared" si="117"/>
        <v/>
      </c>
      <c r="EI495" s="261" t="str">
        <f t="shared" si="118"/>
        <v/>
      </c>
      <c r="EJ495" s="261" t="str">
        <f t="shared" si="119"/>
        <v/>
      </c>
      <c r="EK495" s="261" t="str">
        <f t="shared" si="120"/>
        <v/>
      </c>
      <c r="EL495" s="261" t="str">
        <f t="shared" si="121"/>
        <v/>
      </c>
      <c r="EM495" s="261" t="str">
        <f t="shared" si="122"/>
        <v/>
      </c>
      <c r="EN495" s="261" t="str">
        <f t="shared" si="123"/>
        <v/>
      </c>
      <c r="EO495" s="261" t="str">
        <f t="shared" si="124"/>
        <v/>
      </c>
      <c r="EP495" s="261" t="str">
        <f t="shared" si="125"/>
        <v/>
      </c>
      <c r="EQ495" s="261" t="str">
        <f t="shared" si="126"/>
        <v/>
      </c>
      <c r="ER495" s="261" t="str">
        <f t="shared" si="127"/>
        <v/>
      </c>
      <c r="ES495" s="261" t="str">
        <f t="shared" si="128"/>
        <v/>
      </c>
      <c r="ET495" s="261" t="str">
        <f t="shared" si="129"/>
        <v/>
      </c>
      <c r="EU495" s="261" t="str">
        <f t="shared" si="130"/>
        <v/>
      </c>
      <c r="EV495" s="261" t="str">
        <f t="shared" si="131"/>
        <v/>
      </c>
      <c r="EW495" s="261" t="str">
        <f t="shared" si="132"/>
        <v/>
      </c>
      <c r="EX495" s="261" t="str">
        <f t="shared" si="133"/>
        <v/>
      </c>
      <c r="EY495" s="261" t="str">
        <f t="shared" si="134"/>
        <v/>
      </c>
      <c r="EZ495" s="261" t="str">
        <f t="shared" si="135"/>
        <v/>
      </c>
      <c r="FA495" s="261" t="str">
        <f t="shared" si="136"/>
        <v/>
      </c>
      <c r="FB495" s="261" t="str">
        <f t="shared" si="137"/>
        <v/>
      </c>
      <c r="FC495" s="261" t="str">
        <f t="shared" si="138"/>
        <v/>
      </c>
      <c r="FD495" s="261" t="str">
        <f t="shared" si="139"/>
        <v/>
      </c>
      <c r="FE495" s="261" t="str">
        <f t="shared" si="140"/>
        <v/>
      </c>
      <c r="FF495" s="261" t="str">
        <f t="shared" si="141"/>
        <v/>
      </c>
      <c r="FG495" s="261" t="str">
        <f t="shared" si="142"/>
        <v/>
      </c>
      <c r="FH495" s="261" t="str">
        <f t="shared" si="143"/>
        <v/>
      </c>
      <c r="FI495" s="261" t="str">
        <f t="shared" si="144"/>
        <v/>
      </c>
      <c r="FJ495" s="261" t="str">
        <f t="shared" si="145"/>
        <v/>
      </c>
      <c r="FK495" s="261" t="str">
        <f t="shared" si="146"/>
        <v/>
      </c>
      <c r="FL495" s="261" t="str">
        <f t="shared" si="147"/>
        <v/>
      </c>
      <c r="FM495" s="261" t="str">
        <f t="shared" si="148"/>
        <v/>
      </c>
      <c r="FN495" s="261" t="str">
        <f t="shared" si="149"/>
        <v/>
      </c>
      <c r="FO495" s="261" t="str">
        <f t="shared" si="150"/>
        <v/>
      </c>
      <c r="FP495" s="261" t="str">
        <f t="shared" si="151"/>
        <v/>
      </c>
      <c r="FQ495" s="261" t="str">
        <f t="shared" si="152"/>
        <v/>
      </c>
      <c r="FR495" s="261" t="str">
        <f t="shared" si="153"/>
        <v/>
      </c>
      <c r="FS495" s="261" t="str">
        <f t="shared" si="154"/>
        <v/>
      </c>
      <c r="FT495" s="261" t="str">
        <f t="shared" si="155"/>
        <v/>
      </c>
      <c r="FU495" s="261" t="str">
        <f t="shared" si="156"/>
        <v/>
      </c>
      <c r="FV495" s="261" t="str">
        <f t="shared" si="157"/>
        <v/>
      </c>
      <c r="FW495" s="261" t="str">
        <f t="shared" si="158"/>
        <v/>
      </c>
      <c r="FX495" s="261" t="str">
        <f t="shared" si="159"/>
        <v/>
      </c>
      <c r="FY495" s="261" t="str">
        <f t="shared" si="160"/>
        <v/>
      </c>
      <c r="FZ495" s="261" t="str">
        <f t="shared" si="161"/>
        <v/>
      </c>
      <c r="GA495" s="261" t="str">
        <f t="shared" si="162"/>
        <v/>
      </c>
      <c r="GB495" s="261" t="str">
        <f t="shared" si="163"/>
        <v/>
      </c>
      <c r="GC495" s="261" t="str">
        <f t="shared" si="164"/>
        <v/>
      </c>
      <c r="GD495" s="261" t="str">
        <f t="shared" si="165"/>
        <v/>
      </c>
      <c r="GE495" s="261" t="str">
        <f t="shared" si="166"/>
        <v/>
      </c>
      <c r="GF495" s="261" t="str">
        <f t="shared" si="167"/>
        <v/>
      </c>
      <c r="GG495" s="261" t="str">
        <f t="shared" si="168"/>
        <v/>
      </c>
      <c r="GH495" s="261" t="str">
        <f t="shared" si="169"/>
        <v/>
      </c>
      <c r="GI495" s="261" t="str">
        <f t="shared" si="170"/>
        <v/>
      </c>
      <c r="GJ495" s="261" t="str">
        <f t="shared" si="171"/>
        <v/>
      </c>
      <c r="GK495" s="261" t="str">
        <f t="shared" si="172"/>
        <v/>
      </c>
      <c r="GL495" s="261" t="str">
        <f t="shared" si="173"/>
        <v/>
      </c>
      <c r="GM495" s="261" t="str">
        <f t="shared" si="174"/>
        <v/>
      </c>
      <c r="GN495" s="261" t="str">
        <f t="shared" si="175"/>
        <v/>
      </c>
      <c r="GO495" s="261" t="str">
        <f t="shared" si="176"/>
        <v/>
      </c>
      <c r="GP495" s="261" t="str">
        <f t="shared" si="177"/>
        <v/>
      </c>
      <c r="GQ495" s="261" t="str">
        <f t="shared" si="178"/>
        <v/>
      </c>
      <c r="GR495" s="261" t="str">
        <f t="shared" si="179"/>
        <v/>
      </c>
      <c r="GS495" s="261" t="str">
        <f t="shared" si="180"/>
        <v/>
      </c>
      <c r="GT495" s="261" t="str">
        <f t="shared" si="181"/>
        <v/>
      </c>
      <c r="GU495" s="261" t="str">
        <f t="shared" si="182"/>
        <v/>
      </c>
      <c r="GV495" s="261" t="str">
        <f t="shared" si="183"/>
        <v/>
      </c>
      <c r="GW495" s="261" t="str">
        <f t="shared" si="184"/>
        <v/>
      </c>
      <c r="GX495" s="261" t="str">
        <f t="shared" si="185"/>
        <v/>
      </c>
      <c r="GY495" s="261" t="str">
        <f t="shared" si="186"/>
        <v/>
      </c>
      <c r="GZ495" s="261" t="str">
        <f t="shared" si="187"/>
        <v/>
      </c>
      <c r="HA495" s="261" t="str">
        <f t="shared" si="188"/>
        <v/>
      </c>
      <c r="HB495" s="261" t="str">
        <f t="shared" si="189"/>
        <v/>
      </c>
      <c r="HC495" s="261" t="str">
        <f t="shared" si="190"/>
        <v/>
      </c>
      <c r="HD495" s="261" t="str">
        <f t="shared" si="191"/>
        <v/>
      </c>
      <c r="HE495" s="261" t="str">
        <f t="shared" si="192"/>
        <v/>
      </c>
      <c r="HF495" s="261" t="str">
        <f t="shared" si="193"/>
        <v/>
      </c>
      <c r="HG495" s="261" t="str">
        <f t="shared" si="194"/>
        <v/>
      </c>
      <c r="HH495" s="261" t="str">
        <f t="shared" si="195"/>
        <v/>
      </c>
      <c r="HI495" s="261" t="str">
        <f t="shared" si="196"/>
        <v/>
      </c>
      <c r="HJ495" s="261" t="str">
        <f t="shared" si="197"/>
        <v/>
      </c>
      <c r="HK495" s="261" t="str">
        <f t="shared" si="198"/>
        <v/>
      </c>
      <c r="HL495" s="261" t="str">
        <f t="shared" si="199"/>
        <v/>
      </c>
      <c r="HM495" s="261" t="str">
        <f t="shared" si="200"/>
        <v/>
      </c>
      <c r="HN495" s="261" t="str">
        <f t="shared" si="201"/>
        <v/>
      </c>
      <c r="HO495" s="261" t="str">
        <f t="shared" si="202"/>
        <v/>
      </c>
      <c r="HP495" s="261" t="str">
        <f t="shared" si="203"/>
        <v/>
      </c>
      <c r="HQ495" s="261" t="str">
        <f t="shared" si="204"/>
        <v/>
      </c>
      <c r="HR495" s="261" t="str">
        <f t="shared" si="205"/>
        <v/>
      </c>
      <c r="HS495" s="261" t="str">
        <f t="shared" si="206"/>
        <v/>
      </c>
      <c r="HT495" s="261" t="str">
        <f t="shared" si="207"/>
        <v/>
      </c>
      <c r="HU495" s="261" t="str">
        <f t="shared" si="208"/>
        <v/>
      </c>
      <c r="HV495" s="261" t="str">
        <f t="shared" si="209"/>
        <v/>
      </c>
      <c r="HW495" s="261" t="str">
        <f t="shared" si="210"/>
        <v/>
      </c>
      <c r="HX495" s="261" t="str">
        <f t="shared" si="211"/>
        <v/>
      </c>
      <c r="HY495" s="261" t="str">
        <f t="shared" si="212"/>
        <v/>
      </c>
      <c r="HZ495" s="1575" t="str">
        <f t="shared" si="213"/>
        <v/>
      </c>
      <c r="IA495" s="1575" t="str">
        <f t="shared" si="214"/>
        <v/>
      </c>
      <c r="IB495" s="1575" t="str">
        <f t="shared" si="215"/>
        <v/>
      </c>
      <c r="IC495" s="1575" t="str">
        <f t="shared" si="216"/>
        <v/>
      </c>
      <c r="ID495" s="1575" t="str">
        <f t="shared" si="217"/>
        <v/>
      </c>
      <c r="IE495" s="1575" t="str">
        <f t="shared" si="218"/>
        <v/>
      </c>
      <c r="IF495" s="1575" t="str">
        <f t="shared" si="219"/>
        <v/>
      </c>
      <c r="IG495" s="1575" t="str">
        <f t="shared" si="220"/>
        <v/>
      </c>
      <c r="IH495" s="1575" t="str">
        <f t="shared" si="221"/>
        <v/>
      </c>
      <c r="II495" s="1575" t="str">
        <f t="shared" si="222"/>
        <v/>
      </c>
      <c r="IJ495" s="1575" t="str">
        <f t="shared" si="223"/>
        <v/>
      </c>
      <c r="IK495" s="1575" t="str">
        <f t="shared" si="224"/>
        <v/>
      </c>
      <c r="IL495" s="1575" t="str">
        <f t="shared" si="225"/>
        <v/>
      </c>
      <c r="IM495" s="1575" t="str">
        <f t="shared" si="226"/>
        <v/>
      </c>
      <c r="IN495" s="1575" t="str">
        <f t="shared" si="227"/>
        <v/>
      </c>
      <c r="IO495" s="1575" t="str">
        <f t="shared" si="228"/>
        <v/>
      </c>
      <c r="IP495" s="1575" t="str">
        <f t="shared" si="229"/>
        <v/>
      </c>
      <c r="IQ495" s="1575" t="str">
        <f t="shared" si="230"/>
        <v/>
      </c>
      <c r="IR495" s="1575" t="str">
        <f t="shared" si="231"/>
        <v/>
      </c>
      <c r="IS495" s="1575" t="str">
        <f t="shared" si="232"/>
        <v/>
      </c>
      <c r="IT495" s="1575" t="str">
        <f t="shared" si="233"/>
        <v/>
      </c>
      <c r="IU495" s="1575" t="str">
        <f t="shared" si="234"/>
        <v/>
      </c>
      <c r="IV495" s="1575" t="str">
        <f t="shared" si="235"/>
        <v/>
      </c>
      <c r="IW495" s="1575" t="str">
        <f t="shared" si="236"/>
        <v/>
      </c>
      <c r="IX495" s="1575" t="str">
        <f t="shared" si="237"/>
        <v/>
      </c>
      <c r="IY495" s="1575" t="str">
        <f t="shared" si="238"/>
        <v/>
      </c>
      <c r="IZ495" s="1575" t="str">
        <f t="shared" si="239"/>
        <v/>
      </c>
      <c r="JA495" s="1575" t="str">
        <f t="shared" si="240"/>
        <v/>
      </c>
      <c r="JB495" s="1575" t="str">
        <f t="shared" si="241"/>
        <v/>
      </c>
      <c r="JC495" s="1575" t="str">
        <f t="shared" si="242"/>
        <v/>
      </c>
      <c r="JD495" s="1575" t="str">
        <f t="shared" si="243"/>
        <v/>
      </c>
      <c r="JE495" s="1575" t="str">
        <f t="shared" si="244"/>
        <v/>
      </c>
      <c r="JF495" s="1575" t="str">
        <f t="shared" si="245"/>
        <v/>
      </c>
      <c r="JG495" s="1575" t="str">
        <f t="shared" si="246"/>
        <v/>
      </c>
      <c r="JH495" s="1575" t="str">
        <f t="shared" si="247"/>
        <v/>
      </c>
      <c r="JI495" s="1575" t="str">
        <f t="shared" si="248"/>
        <v/>
      </c>
      <c r="JJ495" s="1575" t="str">
        <f t="shared" si="249"/>
        <v/>
      </c>
      <c r="JK495" s="1575" t="str">
        <f t="shared" si="250"/>
        <v/>
      </c>
      <c r="JL495" s="1575" t="str">
        <f t="shared" si="251"/>
        <v/>
      </c>
      <c r="JM495" s="1575" t="str">
        <f t="shared" si="252"/>
        <v/>
      </c>
      <c r="JN495" s="1575" t="str">
        <f t="shared" si="253"/>
        <v/>
      </c>
      <c r="JO495" s="1575" t="str">
        <f t="shared" si="254"/>
        <v/>
      </c>
      <c r="JP495" s="1575" t="str">
        <f t="shared" si="255"/>
        <v/>
      </c>
      <c r="JQ495" s="1575" t="str">
        <f t="shared" si="256"/>
        <v/>
      </c>
      <c r="JR495" s="1575" t="str">
        <f t="shared" si="257"/>
        <v/>
      </c>
      <c r="JS495" s="1575" t="str">
        <f t="shared" si="258"/>
        <v/>
      </c>
      <c r="JT495" s="1575" t="str">
        <f t="shared" si="259"/>
        <v/>
      </c>
      <c r="JU495" s="1575" t="str">
        <f t="shared" si="260"/>
        <v/>
      </c>
      <c r="JV495" s="1575" t="str">
        <f t="shared" si="261"/>
        <v/>
      </c>
      <c r="JW495" s="1575" t="str">
        <f t="shared" si="262"/>
        <v/>
      </c>
      <c r="JX495" s="1575" t="str">
        <f t="shared" si="263"/>
        <v/>
      </c>
      <c r="JY495" s="1575" t="str">
        <f t="shared" si="264"/>
        <v/>
      </c>
      <c r="JZ495" s="1575" t="str">
        <f t="shared" si="265"/>
        <v/>
      </c>
      <c r="KA495" s="1575" t="str">
        <f t="shared" si="266"/>
        <v/>
      </c>
      <c r="KB495" s="1575" t="str">
        <f t="shared" si="267"/>
        <v/>
      </c>
      <c r="KC495" s="1575" t="str">
        <f t="shared" si="268"/>
        <v/>
      </c>
      <c r="KD495" s="1575" t="str">
        <f t="shared" si="269"/>
        <v/>
      </c>
      <c r="KE495" s="1575" t="str">
        <f t="shared" si="270"/>
        <v/>
      </c>
      <c r="KF495" s="1575" t="str">
        <f t="shared" si="271"/>
        <v/>
      </c>
      <c r="KG495" s="1575" t="str">
        <f t="shared" si="272"/>
        <v/>
      </c>
      <c r="KH495" s="1575" t="str">
        <f t="shared" si="273"/>
        <v/>
      </c>
      <c r="KI495" s="1575" t="str">
        <f t="shared" si="274"/>
        <v/>
      </c>
      <c r="KJ495" s="1575" t="str">
        <f t="shared" si="275"/>
        <v/>
      </c>
      <c r="KK495" s="1575" t="str">
        <f t="shared" si="276"/>
        <v/>
      </c>
      <c r="KL495" s="1575" t="str">
        <f t="shared" si="277"/>
        <v/>
      </c>
      <c r="KM495" s="1575" t="str">
        <f t="shared" si="278"/>
        <v/>
      </c>
      <c r="KN495" s="1575" t="str">
        <f t="shared" si="279"/>
        <v/>
      </c>
      <c r="KO495" s="1575" t="str">
        <f t="shared" si="280"/>
        <v/>
      </c>
      <c r="KP495" s="1575" t="str">
        <f t="shared" si="281"/>
        <v/>
      </c>
      <c r="KQ495" s="1575" t="str">
        <f t="shared" si="282"/>
        <v/>
      </c>
      <c r="KR495" s="1575" t="str">
        <f t="shared" si="283"/>
        <v/>
      </c>
      <c r="KS495" s="1575" t="str">
        <f t="shared" si="284"/>
        <v/>
      </c>
      <c r="KT495" s="1575" t="str">
        <f t="shared" si="285"/>
        <v/>
      </c>
      <c r="KU495" s="1575" t="str">
        <f t="shared" si="286"/>
        <v/>
      </c>
      <c r="KV495" s="1575" t="str">
        <f t="shared" si="287"/>
        <v/>
      </c>
      <c r="KW495" s="1575" t="str">
        <f t="shared" si="288"/>
        <v/>
      </c>
      <c r="KX495" s="1575" t="str">
        <f t="shared" si="289"/>
        <v/>
      </c>
      <c r="KY495" s="1575" t="str">
        <f t="shared" si="290"/>
        <v/>
      </c>
      <c r="KZ495" s="1575" t="str">
        <f t="shared" si="291"/>
        <v/>
      </c>
      <c r="LA495" s="1575" t="str">
        <f t="shared" si="292"/>
        <v/>
      </c>
      <c r="LB495" s="1575" t="str">
        <f t="shared" si="293"/>
        <v/>
      </c>
      <c r="LC495" s="1575" t="str">
        <f t="shared" si="294"/>
        <v/>
      </c>
      <c r="LD495" s="1575" t="str">
        <f t="shared" si="295"/>
        <v/>
      </c>
      <c r="LE495" s="1575" t="str">
        <f t="shared" si="296"/>
        <v/>
      </c>
      <c r="LF495" s="1575" t="str">
        <f t="shared" si="297"/>
        <v/>
      </c>
      <c r="LG495" s="1564" t="str">
        <f t="shared" si="298"/>
        <v/>
      </c>
      <c r="LH495" s="1564" t="str">
        <f t="shared" si="299"/>
        <v/>
      </c>
      <c r="LI495" s="1564" t="str">
        <f t="shared" si="300"/>
        <v/>
      </c>
      <c r="LJ495" s="1564" t="str">
        <f t="shared" si="301"/>
        <v/>
      </c>
      <c r="LK495" s="1564" t="str">
        <f t="shared" si="302"/>
        <v/>
      </c>
      <c r="LL495" s="261" t="str">
        <f t="shared" si="303"/>
        <v/>
      </c>
      <c r="LM495" s="261" t="str">
        <f t="shared" si="304"/>
        <v/>
      </c>
      <c r="LN495" s="261" t="str">
        <f t="shared" si="305"/>
        <v/>
      </c>
      <c r="LO495" s="261" t="str">
        <f t="shared" si="306"/>
        <v/>
      </c>
      <c r="LP495" s="261" t="str">
        <f t="shared" si="307"/>
        <v/>
      </c>
      <c r="LQ495" s="261" t="str">
        <f t="shared" si="308"/>
        <v/>
      </c>
      <c r="LR495" s="261" t="str">
        <f t="shared" si="309"/>
        <v/>
      </c>
      <c r="LS495" s="261" t="str">
        <f t="shared" si="310"/>
        <v/>
      </c>
      <c r="LT495" s="261" t="str">
        <f t="shared" si="311"/>
        <v/>
      </c>
      <c r="LU495" s="261" t="str">
        <f t="shared" si="312"/>
        <v/>
      </c>
      <c r="LV495" s="261" t="str">
        <f t="shared" si="313"/>
        <v/>
      </c>
      <c r="LW495" s="261" t="str">
        <f t="shared" si="314"/>
        <v/>
      </c>
      <c r="LX495" s="261" t="str">
        <f t="shared" si="315"/>
        <v/>
      </c>
      <c r="LY495" s="261" t="str">
        <f t="shared" si="316"/>
        <v/>
      </c>
      <c r="LZ495" s="261" t="str">
        <f t="shared" si="317"/>
        <v/>
      </c>
      <c r="MA495" s="261" t="str">
        <f t="shared" si="318"/>
        <v/>
      </c>
      <c r="MB495" s="261" t="str">
        <f t="shared" si="319"/>
        <v/>
      </c>
      <c r="MC495" s="261" t="str">
        <f t="shared" si="320"/>
        <v/>
      </c>
      <c r="MD495" s="261" t="str">
        <f t="shared" si="321"/>
        <v/>
      </c>
      <c r="ME495" s="261" t="str">
        <f t="shared" si="322"/>
        <v/>
      </c>
      <c r="MF495" s="1441">
        <f t="shared" si="323"/>
        <v>0</v>
      </c>
      <c r="MG495" s="1441">
        <f t="shared" si="324"/>
        <v>0</v>
      </c>
      <c r="MH495" s="1441">
        <f t="shared" si="325"/>
        <v>0</v>
      </c>
      <c r="MI495" s="1441">
        <f t="shared" si="326"/>
        <v>0</v>
      </c>
      <c r="MJ495" s="1441">
        <f t="shared" si="327"/>
        <v>0</v>
      </c>
      <c r="MK495" s="1441">
        <f t="shared" si="333"/>
        <v>0</v>
      </c>
      <c r="ML495" s="1441">
        <f t="shared" si="334"/>
        <v>0</v>
      </c>
      <c r="MM495" s="1441">
        <f t="shared" si="335"/>
        <v>0</v>
      </c>
      <c r="MN495" s="1441">
        <f t="shared" si="336"/>
        <v>0</v>
      </c>
      <c r="MO495" s="1441">
        <f t="shared" si="337"/>
        <v>0</v>
      </c>
      <c r="MP495" s="1441">
        <f t="shared" si="328"/>
        <v>0</v>
      </c>
      <c r="MQ495" s="1441">
        <f t="shared" si="329"/>
        <v>0</v>
      </c>
      <c r="MR495" s="1441">
        <f t="shared" si="330"/>
        <v>0</v>
      </c>
      <c r="MS495" s="1441">
        <f t="shared" si="331"/>
        <v>0</v>
      </c>
      <c r="MT495" s="1441">
        <f t="shared" si="332"/>
        <v>0</v>
      </c>
      <c r="NP495" s="261" t="s">
        <v>1149</v>
      </c>
    </row>
    <row r="496" spans="1:380" ht="13.9" customHeight="1">
      <c r="A496" s="2330">
        <f>COUNT(A458,A459,A460,A461,A462,A463,A464,A465,A466,A467,A468,A469,A470,A471,A472,A473,A474,A475,A476,A477,A478,A479,A480,A481,A482,A483,A484,A485,A486,A487)</f>
        <v>0</v>
      </c>
      <c r="B496" s="2359" t="s">
        <v>1150</v>
      </c>
      <c r="C496" s="2359"/>
      <c r="D496" s="2360" t="s">
        <v>1151</v>
      </c>
      <c r="E496" s="2155">
        <f>SUM(E458:E495)</f>
        <v>199</v>
      </c>
      <c r="F496" s="2156">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206509</v>
      </c>
      <c r="H496" s="2157" t="s">
        <v>1152</v>
      </c>
      <c r="I496" s="2361" t="s">
        <v>1153</v>
      </c>
      <c r="J496" s="2158" t="str">
        <f>IF(P514=0,"",IF(SUM(P505:P509)/P514&gt;=0.4,"Pass","Fail"))</f>
        <v>Pass</v>
      </c>
      <c r="K496" s="267"/>
      <c r="L496" s="2362" t="s">
        <v>1154</v>
      </c>
      <c r="M496" s="2159">
        <f>SUM(M458:M495)</f>
        <v>256710</v>
      </c>
      <c r="N496" s="263"/>
      <c r="O496" s="263"/>
      <c r="P496" s="263"/>
      <c r="Q496" s="263"/>
      <c r="R496" s="263"/>
      <c r="S496" s="263"/>
      <c r="T496" s="263"/>
      <c r="U496" s="263"/>
      <c r="V496" s="2339"/>
      <c r="W496" s="1442"/>
      <c r="X496" s="1442">
        <f t="shared" ref="X496:FA496" si="338">SUM(X458:X495)</f>
        <v>0</v>
      </c>
      <c r="Y496" s="1442">
        <f t="shared" si="338"/>
        <v>0</v>
      </c>
      <c r="Z496" s="1442">
        <f t="shared" si="338"/>
        <v>0</v>
      </c>
      <c r="AA496" s="1442">
        <f t="shared" si="338"/>
        <v>0</v>
      </c>
      <c r="AB496" s="1442">
        <f t="shared" si="338"/>
        <v>0</v>
      </c>
      <c r="AC496" s="1442">
        <f t="shared" si="338"/>
        <v>0</v>
      </c>
      <c r="AD496" s="1442">
        <f t="shared" si="338"/>
        <v>0</v>
      </c>
      <c r="AE496" s="1442">
        <f t="shared" si="338"/>
        <v>0</v>
      </c>
      <c r="AF496" s="1442">
        <f t="shared" si="338"/>
        <v>0</v>
      </c>
      <c r="AG496" s="1442">
        <f t="shared" si="338"/>
        <v>0</v>
      </c>
      <c r="AH496" s="1442">
        <f t="shared" si="338"/>
        <v>0</v>
      </c>
      <c r="AI496" s="1442">
        <f t="shared" si="338"/>
        <v>38</v>
      </c>
      <c r="AJ496" s="1442">
        <f t="shared" si="338"/>
        <v>60</v>
      </c>
      <c r="AK496" s="1442">
        <f t="shared" si="338"/>
        <v>20</v>
      </c>
      <c r="AL496" s="1442">
        <f t="shared" si="338"/>
        <v>0</v>
      </c>
      <c r="AM496" s="1442">
        <f>SUM(AM458:AM495)</f>
        <v>0</v>
      </c>
      <c r="AN496" s="1442">
        <f>SUM(AN458:AN495)</f>
        <v>0</v>
      </c>
      <c r="AO496" s="1442">
        <f>SUM(AO458:AO495)</f>
        <v>0</v>
      </c>
      <c r="AP496" s="1442">
        <f>SUM(AP458:AP495)</f>
        <v>0</v>
      </c>
      <c r="AQ496" s="1442">
        <f>SUM(AQ458:AQ495)</f>
        <v>0</v>
      </c>
      <c r="AR496" s="1442">
        <f t="shared" si="338"/>
        <v>0</v>
      </c>
      <c r="AS496" s="1442">
        <f t="shared" si="338"/>
        <v>0</v>
      </c>
      <c r="AT496" s="1442">
        <f t="shared" si="338"/>
        <v>0</v>
      </c>
      <c r="AU496" s="1442">
        <f t="shared" si="338"/>
        <v>0</v>
      </c>
      <c r="AV496" s="1442">
        <f t="shared" si="338"/>
        <v>0</v>
      </c>
      <c r="AW496" s="1442">
        <f t="shared" si="338"/>
        <v>0</v>
      </c>
      <c r="AX496" s="1442">
        <f t="shared" si="338"/>
        <v>0</v>
      </c>
      <c r="AY496" s="1442">
        <f t="shared" si="338"/>
        <v>0</v>
      </c>
      <c r="AZ496" s="1442">
        <f t="shared" si="338"/>
        <v>0</v>
      </c>
      <c r="BA496" s="1442">
        <f t="shared" si="338"/>
        <v>0</v>
      </c>
      <c r="BB496" s="1442">
        <f>SUM(BB458:BB495)</f>
        <v>0</v>
      </c>
      <c r="BC496" s="1442">
        <f>SUM(BC458:BC495)</f>
        <v>0</v>
      </c>
      <c r="BD496" s="1442">
        <f>SUM(BD458:BD495)</f>
        <v>0</v>
      </c>
      <c r="BE496" s="1442">
        <f>SUM(BE458:BE495)</f>
        <v>0</v>
      </c>
      <c r="BF496" s="1442">
        <f>SUM(BF458:BF495)</f>
        <v>0</v>
      </c>
      <c r="BG496" s="1442">
        <f t="shared" si="338"/>
        <v>0</v>
      </c>
      <c r="BH496" s="1442">
        <f t="shared" si="338"/>
        <v>24</v>
      </c>
      <c r="BI496" s="1442">
        <f t="shared" si="338"/>
        <v>42</v>
      </c>
      <c r="BJ496" s="1442">
        <f t="shared" si="338"/>
        <v>15</v>
      </c>
      <c r="BK496" s="1442">
        <f t="shared" si="338"/>
        <v>0</v>
      </c>
      <c r="BL496" s="1442">
        <f>SUM(BL458:BL495)</f>
        <v>0</v>
      </c>
      <c r="BM496" s="1442">
        <f>SUM(BM458:BM495)</f>
        <v>0</v>
      </c>
      <c r="BN496" s="1442">
        <f>SUM(BN458:BN495)</f>
        <v>0</v>
      </c>
      <c r="BO496" s="1442">
        <f>SUM(BO458:BO495)</f>
        <v>0</v>
      </c>
      <c r="BP496" s="1442">
        <f>SUM(BP458:BP495)</f>
        <v>0</v>
      </c>
      <c r="BQ496" s="1442">
        <f t="shared" si="338"/>
        <v>0</v>
      </c>
      <c r="BR496" s="1442">
        <f t="shared" si="338"/>
        <v>0</v>
      </c>
      <c r="BS496" s="1442">
        <f t="shared" si="338"/>
        <v>0</v>
      </c>
      <c r="BT496" s="1442">
        <f t="shared" si="338"/>
        <v>0</v>
      </c>
      <c r="BU496" s="1442">
        <f t="shared" si="338"/>
        <v>0</v>
      </c>
      <c r="BV496" s="1442">
        <f>SUM(BV458:BV495)</f>
        <v>0</v>
      </c>
      <c r="BW496" s="1442">
        <f>SUM(BW458:BW495)</f>
        <v>0</v>
      </c>
      <c r="BX496" s="1442">
        <f>SUM(BX458:BX495)</f>
        <v>0</v>
      </c>
      <c r="BY496" s="1442">
        <f>SUM(BY458:BY495)</f>
        <v>0</v>
      </c>
      <c r="BZ496" s="1442">
        <f>SUM(BZ458:BZ495)</f>
        <v>0</v>
      </c>
      <c r="CA496" s="1442">
        <f t="shared" si="338"/>
        <v>0</v>
      </c>
      <c r="CB496" s="1442">
        <f t="shared" si="338"/>
        <v>0</v>
      </c>
      <c r="CC496" s="1442">
        <f t="shared" si="338"/>
        <v>0</v>
      </c>
      <c r="CD496" s="1442">
        <f t="shared" si="338"/>
        <v>0</v>
      </c>
      <c r="CE496" s="1442">
        <f t="shared" si="338"/>
        <v>0</v>
      </c>
      <c r="CF496" s="1442">
        <f t="shared" si="338"/>
        <v>0</v>
      </c>
      <c r="CG496" s="1442">
        <f t="shared" si="338"/>
        <v>16</v>
      </c>
      <c r="CH496" s="1442">
        <f t="shared" si="338"/>
        <v>46</v>
      </c>
      <c r="CI496" s="1442">
        <f t="shared" si="338"/>
        <v>16</v>
      </c>
      <c r="CJ496" s="1442">
        <f t="shared" si="338"/>
        <v>0</v>
      </c>
      <c r="CK496" s="1442">
        <f>SUM(CK458:CK495)</f>
        <v>0</v>
      </c>
      <c r="CL496" s="1442">
        <f>SUM(CL458:CL495)</f>
        <v>0</v>
      </c>
      <c r="CM496" s="1442">
        <f>SUM(CM458:CM495)</f>
        <v>0</v>
      </c>
      <c r="CN496" s="1442">
        <f>SUM(CN458:CN495)</f>
        <v>0</v>
      </c>
      <c r="CO496" s="1442">
        <f>SUM(CO458:CO495)</f>
        <v>0</v>
      </c>
      <c r="CP496" s="1442">
        <f t="shared" ref="CP496:CY496" si="339">SUM(CP458:CP495)</f>
        <v>0</v>
      </c>
      <c r="CQ496" s="1442">
        <f t="shared" si="339"/>
        <v>0</v>
      </c>
      <c r="CR496" s="1442">
        <f t="shared" si="339"/>
        <v>0</v>
      </c>
      <c r="CS496" s="1442">
        <f t="shared" si="339"/>
        <v>0</v>
      </c>
      <c r="CT496" s="1442">
        <f t="shared" si="339"/>
        <v>0</v>
      </c>
      <c r="CU496" s="1442">
        <f t="shared" si="339"/>
        <v>0</v>
      </c>
      <c r="CV496" s="1442">
        <f t="shared" si="339"/>
        <v>0</v>
      </c>
      <c r="CW496" s="1442">
        <f t="shared" si="339"/>
        <v>0</v>
      </c>
      <c r="CX496" s="1442">
        <f t="shared" si="339"/>
        <v>0</v>
      </c>
      <c r="CY496" s="1442">
        <f t="shared" si="339"/>
        <v>0</v>
      </c>
      <c r="CZ496" s="1442">
        <f t="shared" si="338"/>
        <v>0</v>
      </c>
      <c r="DA496" s="1442">
        <f t="shared" si="338"/>
        <v>0</v>
      </c>
      <c r="DB496" s="1442">
        <f t="shared" si="338"/>
        <v>0</v>
      </c>
      <c r="DC496" s="1442">
        <f t="shared" si="338"/>
        <v>0</v>
      </c>
      <c r="DD496" s="1442">
        <f t="shared" si="338"/>
        <v>0</v>
      </c>
      <c r="DE496" s="1442">
        <f t="shared" si="338"/>
        <v>0</v>
      </c>
      <c r="DF496" s="1442">
        <f t="shared" si="338"/>
        <v>0</v>
      </c>
      <c r="DG496" s="1442">
        <f t="shared" si="338"/>
        <v>0</v>
      </c>
      <c r="DH496" s="1442">
        <f t="shared" si="338"/>
        <v>0</v>
      </c>
      <c r="DI496" s="1442">
        <f t="shared" si="338"/>
        <v>0</v>
      </c>
      <c r="DJ496" s="1442">
        <f t="shared" si="338"/>
        <v>0</v>
      </c>
      <c r="DK496" s="1442">
        <f t="shared" si="338"/>
        <v>0</v>
      </c>
      <c r="DL496" s="1442">
        <f t="shared" si="338"/>
        <v>0</v>
      </c>
      <c r="DM496" s="1442">
        <f t="shared" si="338"/>
        <v>0</v>
      </c>
      <c r="DN496" s="1442">
        <f t="shared" si="338"/>
        <v>0</v>
      </c>
      <c r="DO496" s="1442">
        <f t="shared" si="338"/>
        <v>0</v>
      </c>
      <c r="DP496" s="1442">
        <f t="shared" si="338"/>
        <v>0</v>
      </c>
      <c r="DQ496" s="1442">
        <f t="shared" si="338"/>
        <v>0</v>
      </c>
      <c r="DR496" s="1442">
        <f t="shared" si="338"/>
        <v>0</v>
      </c>
      <c r="DS496" s="1442">
        <f t="shared" si="338"/>
        <v>0</v>
      </c>
      <c r="DT496" s="1442">
        <f t="shared" si="338"/>
        <v>0</v>
      </c>
      <c r="DU496" s="1442">
        <f t="shared" si="338"/>
        <v>0</v>
      </c>
      <c r="DV496" s="1442">
        <f t="shared" si="338"/>
        <v>0</v>
      </c>
      <c r="DW496" s="1442">
        <f t="shared" si="338"/>
        <v>0</v>
      </c>
      <c r="DX496" s="1442">
        <f t="shared" si="338"/>
        <v>0</v>
      </c>
      <c r="DY496" s="1442">
        <f t="shared" si="338"/>
        <v>0</v>
      </c>
      <c r="DZ496" s="1442">
        <f t="shared" si="338"/>
        <v>0</v>
      </c>
      <c r="EA496" s="1442">
        <f t="shared" si="338"/>
        <v>0</v>
      </c>
      <c r="EB496" s="1442">
        <f t="shared" si="338"/>
        <v>0</v>
      </c>
      <c r="EC496" s="1442">
        <f t="shared" si="338"/>
        <v>0</v>
      </c>
      <c r="ED496" s="1442">
        <f t="shared" si="338"/>
        <v>0</v>
      </c>
      <c r="EE496" s="1442">
        <f t="shared" si="338"/>
        <v>0</v>
      </c>
      <c r="EF496" s="1442">
        <f t="shared" si="338"/>
        <v>0</v>
      </c>
      <c r="EG496" s="1442">
        <f t="shared" si="338"/>
        <v>0</v>
      </c>
      <c r="EH496" s="1442">
        <f t="shared" si="338"/>
        <v>0</v>
      </c>
      <c r="EI496" s="1442">
        <f t="shared" si="338"/>
        <v>0</v>
      </c>
      <c r="EJ496" s="1442">
        <f t="shared" si="338"/>
        <v>0</v>
      </c>
      <c r="EK496" s="1442">
        <f t="shared" si="338"/>
        <v>0</v>
      </c>
      <c r="EL496" s="1442">
        <f t="shared" si="338"/>
        <v>0</v>
      </c>
      <c r="EM496" s="1442">
        <f t="shared" si="338"/>
        <v>0</v>
      </c>
      <c r="EN496" s="1442">
        <f t="shared" si="338"/>
        <v>0</v>
      </c>
      <c r="EO496" s="1442">
        <f t="shared" si="338"/>
        <v>0</v>
      </c>
      <c r="EP496" s="1442">
        <f t="shared" si="338"/>
        <v>0</v>
      </c>
      <c r="EQ496" s="1442">
        <f t="shared" si="338"/>
        <v>0</v>
      </c>
      <c r="ER496" s="1442">
        <f t="shared" si="338"/>
        <v>0</v>
      </c>
      <c r="ES496" s="1442">
        <f t="shared" si="338"/>
        <v>0</v>
      </c>
      <c r="ET496" s="1442">
        <f t="shared" si="338"/>
        <v>30591</v>
      </c>
      <c r="EU496" s="1442">
        <f t="shared" si="338"/>
        <v>65373</v>
      </c>
      <c r="EV496" s="1442">
        <f t="shared" si="338"/>
        <v>26286</v>
      </c>
      <c r="EW496" s="1442">
        <f t="shared" si="338"/>
        <v>0</v>
      </c>
      <c r="EX496" s="1442">
        <f t="shared" si="338"/>
        <v>0</v>
      </c>
      <c r="EY496" s="1442">
        <f t="shared" si="338"/>
        <v>0</v>
      </c>
      <c r="EZ496" s="1442">
        <f t="shared" si="338"/>
        <v>0</v>
      </c>
      <c r="FA496" s="1442">
        <f t="shared" si="338"/>
        <v>0</v>
      </c>
      <c r="FB496" s="1442">
        <f t="shared" ref="FB496:HW496" si="340">SUM(FB458:FB495)</f>
        <v>0</v>
      </c>
      <c r="FC496" s="1442">
        <f>SUM(FC458:FC495)</f>
        <v>0</v>
      </c>
      <c r="FD496" s="1442">
        <f>SUM(FD458:FD495)</f>
        <v>0</v>
      </c>
      <c r="FE496" s="1442">
        <f>SUM(FE458:FE495)</f>
        <v>0</v>
      </c>
      <c r="FF496" s="1442">
        <f>SUM(FF458:FF495)</f>
        <v>0</v>
      </c>
      <c r="FG496" s="1442">
        <f>SUM(FG458:FG495)</f>
        <v>0</v>
      </c>
      <c r="FH496" s="1442">
        <f t="shared" si="340"/>
        <v>0</v>
      </c>
      <c r="FI496" s="1442">
        <f t="shared" si="340"/>
        <v>0</v>
      </c>
      <c r="FJ496" s="1442">
        <f t="shared" si="340"/>
        <v>0</v>
      </c>
      <c r="FK496" s="1442">
        <f t="shared" si="340"/>
        <v>0</v>
      </c>
      <c r="FL496" s="1442">
        <f t="shared" si="340"/>
        <v>0</v>
      </c>
      <c r="FM496" s="1442">
        <f>SUM(FM458:FM495)</f>
        <v>0</v>
      </c>
      <c r="FN496" s="1442">
        <f>SUM(FN458:FN495)</f>
        <v>0</v>
      </c>
      <c r="FO496" s="1442">
        <f>SUM(FO458:FO495)</f>
        <v>0</v>
      </c>
      <c r="FP496" s="1442">
        <f>SUM(FP458:FP495)</f>
        <v>0</v>
      </c>
      <c r="FQ496" s="1442">
        <f>SUM(FQ458:FQ495)</f>
        <v>0</v>
      </c>
      <c r="FR496" s="1442">
        <f t="shared" si="340"/>
        <v>0</v>
      </c>
      <c r="FS496" s="1442">
        <f t="shared" si="340"/>
        <v>19248</v>
      </c>
      <c r="FT496" s="1442">
        <f t="shared" si="340"/>
        <v>44582</v>
      </c>
      <c r="FU496" s="1442">
        <f t="shared" si="340"/>
        <v>20429</v>
      </c>
      <c r="FV496" s="1442">
        <f t="shared" si="340"/>
        <v>0</v>
      </c>
      <c r="FW496" s="1442">
        <f t="shared" si="340"/>
        <v>0</v>
      </c>
      <c r="FX496" s="1442">
        <f t="shared" si="340"/>
        <v>13019</v>
      </c>
      <c r="FY496" s="1442">
        <f t="shared" si="340"/>
        <v>50011</v>
      </c>
      <c r="FZ496" s="1442">
        <f t="shared" si="340"/>
        <v>21231</v>
      </c>
      <c r="GA496" s="1442">
        <f t="shared" si="340"/>
        <v>0</v>
      </c>
      <c r="GB496" s="1442">
        <f t="shared" si="340"/>
        <v>0</v>
      </c>
      <c r="GC496" s="1442">
        <f t="shared" si="340"/>
        <v>0</v>
      </c>
      <c r="GD496" s="1442">
        <f t="shared" si="340"/>
        <v>0</v>
      </c>
      <c r="GE496" s="1442">
        <f t="shared" si="340"/>
        <v>0</v>
      </c>
      <c r="GF496" s="1442">
        <f t="shared" si="340"/>
        <v>0</v>
      </c>
      <c r="GG496" s="1442">
        <f t="shared" si="340"/>
        <v>0</v>
      </c>
      <c r="GH496" s="1442">
        <f t="shared" si="340"/>
        <v>0</v>
      </c>
      <c r="GI496" s="1442">
        <f t="shared" si="340"/>
        <v>0</v>
      </c>
      <c r="GJ496" s="1442">
        <f t="shared" si="340"/>
        <v>0</v>
      </c>
      <c r="GK496" s="1442">
        <f t="shared" si="340"/>
        <v>0</v>
      </c>
      <c r="GL496" s="1442">
        <f t="shared" si="340"/>
        <v>0</v>
      </c>
      <c r="GM496" s="1442">
        <f t="shared" si="340"/>
        <v>0</v>
      </c>
      <c r="GN496" s="1442">
        <f t="shared" si="340"/>
        <v>0</v>
      </c>
      <c r="GO496" s="1442">
        <f t="shared" si="340"/>
        <v>0</v>
      </c>
      <c r="GP496" s="1442">
        <f t="shared" si="340"/>
        <v>0</v>
      </c>
      <c r="GQ496" s="1442">
        <f t="shared" si="340"/>
        <v>0</v>
      </c>
      <c r="GR496" s="1442">
        <f t="shared" si="340"/>
        <v>0</v>
      </c>
      <c r="GS496" s="1442">
        <f t="shared" si="340"/>
        <v>0</v>
      </c>
      <c r="GT496" s="1442">
        <f t="shared" si="340"/>
        <v>0</v>
      </c>
      <c r="GU496" s="1442">
        <f t="shared" si="340"/>
        <v>0</v>
      </c>
      <c r="GV496" s="1442">
        <f t="shared" si="340"/>
        <v>0</v>
      </c>
      <c r="GW496" s="1442">
        <f t="shared" si="340"/>
        <v>38</v>
      </c>
      <c r="GX496" s="1442">
        <f t="shared" si="340"/>
        <v>60</v>
      </c>
      <c r="GY496" s="1442">
        <f t="shared" si="340"/>
        <v>20</v>
      </c>
      <c r="GZ496" s="1442">
        <f t="shared" si="340"/>
        <v>0</v>
      </c>
      <c r="HA496" s="1442">
        <f t="shared" si="340"/>
        <v>0</v>
      </c>
      <c r="HB496" s="1442">
        <f t="shared" si="340"/>
        <v>24</v>
      </c>
      <c r="HC496" s="1442">
        <f t="shared" si="340"/>
        <v>42</v>
      </c>
      <c r="HD496" s="1442">
        <f t="shared" si="340"/>
        <v>15</v>
      </c>
      <c r="HE496" s="1442">
        <f t="shared" si="340"/>
        <v>0</v>
      </c>
      <c r="HF496" s="1442">
        <f t="shared" si="340"/>
        <v>0</v>
      </c>
      <c r="HG496" s="1442">
        <f t="shared" si="340"/>
        <v>0</v>
      </c>
      <c r="HH496" s="1442">
        <f t="shared" si="340"/>
        <v>0</v>
      </c>
      <c r="HI496" s="1442">
        <f t="shared" si="340"/>
        <v>0</v>
      </c>
      <c r="HJ496" s="1442">
        <f t="shared" si="340"/>
        <v>0</v>
      </c>
      <c r="HK496" s="1442">
        <f t="shared" si="340"/>
        <v>0</v>
      </c>
      <c r="HL496" s="1442">
        <f t="shared" si="340"/>
        <v>0</v>
      </c>
      <c r="HM496" s="1442">
        <f t="shared" si="340"/>
        <v>0</v>
      </c>
      <c r="HN496" s="1442">
        <f t="shared" si="340"/>
        <v>0</v>
      </c>
      <c r="HO496" s="1442">
        <f t="shared" si="340"/>
        <v>0</v>
      </c>
      <c r="HP496" s="1442">
        <f t="shared" si="340"/>
        <v>0</v>
      </c>
      <c r="HQ496" s="1442">
        <f t="shared" si="340"/>
        <v>0</v>
      </c>
      <c r="HR496" s="1442">
        <f t="shared" si="340"/>
        <v>0</v>
      </c>
      <c r="HS496" s="1442">
        <f t="shared" si="340"/>
        <v>0</v>
      </c>
      <c r="HT496" s="1442">
        <f t="shared" si="340"/>
        <v>0</v>
      </c>
      <c r="HU496" s="1442">
        <f t="shared" si="340"/>
        <v>0</v>
      </c>
      <c r="HV496" s="1442">
        <f t="shared" si="340"/>
        <v>0</v>
      </c>
      <c r="HW496" s="1442">
        <f t="shared" si="340"/>
        <v>0</v>
      </c>
      <c r="HX496" s="1442">
        <f t="shared" ref="HX496:KG496" si="341">SUM(HX458:HX495)</f>
        <v>0</v>
      </c>
      <c r="HY496" s="1442">
        <f t="shared" si="341"/>
        <v>0</v>
      </c>
      <c r="HZ496" s="1442">
        <f t="shared" si="341"/>
        <v>0</v>
      </c>
      <c r="IA496" s="1442">
        <f t="shared" si="341"/>
        <v>62</v>
      </c>
      <c r="IB496" s="1442">
        <f t="shared" si="341"/>
        <v>64</v>
      </c>
      <c r="IC496" s="1442">
        <f t="shared" si="341"/>
        <v>31</v>
      </c>
      <c r="ID496" s="1442">
        <f t="shared" si="341"/>
        <v>0</v>
      </c>
      <c r="IE496" s="1442">
        <f t="shared" si="341"/>
        <v>0</v>
      </c>
      <c r="IF496" s="1442">
        <f t="shared" si="341"/>
        <v>0</v>
      </c>
      <c r="IG496" s="1442">
        <f t="shared" si="341"/>
        <v>0</v>
      </c>
      <c r="IH496" s="1442">
        <f t="shared" si="341"/>
        <v>0</v>
      </c>
      <c r="II496" s="1442">
        <f t="shared" si="341"/>
        <v>0</v>
      </c>
      <c r="IJ496" s="1442">
        <f t="shared" si="341"/>
        <v>0</v>
      </c>
      <c r="IK496" s="1442">
        <f t="shared" si="341"/>
        <v>0</v>
      </c>
      <c r="IL496" s="1442">
        <f t="shared" si="341"/>
        <v>0</v>
      </c>
      <c r="IM496" s="1442">
        <f t="shared" si="341"/>
        <v>0</v>
      </c>
      <c r="IN496" s="1442">
        <f t="shared" si="341"/>
        <v>0</v>
      </c>
      <c r="IO496" s="1442">
        <f t="shared" si="341"/>
        <v>0</v>
      </c>
      <c r="IP496" s="1442">
        <f t="shared" si="341"/>
        <v>0</v>
      </c>
      <c r="IQ496" s="1442">
        <f t="shared" si="341"/>
        <v>0</v>
      </c>
      <c r="IR496" s="1442">
        <f t="shared" si="341"/>
        <v>0</v>
      </c>
      <c r="IS496" s="1442">
        <f t="shared" si="341"/>
        <v>0</v>
      </c>
      <c r="IT496" s="1442">
        <f t="shared" si="341"/>
        <v>0</v>
      </c>
      <c r="IU496" s="1442">
        <f t="shared" si="341"/>
        <v>0</v>
      </c>
      <c r="IV496" s="1442">
        <f t="shared" si="341"/>
        <v>0</v>
      </c>
      <c r="IW496" s="1442">
        <f t="shared" si="341"/>
        <v>0</v>
      </c>
      <c r="IX496" s="1442">
        <f t="shared" si="341"/>
        <v>0</v>
      </c>
      <c r="IY496" s="1442">
        <f t="shared" si="341"/>
        <v>0</v>
      </c>
      <c r="IZ496" s="1442">
        <f t="shared" si="341"/>
        <v>0</v>
      </c>
      <c r="JA496" s="1442">
        <f t="shared" si="341"/>
        <v>0</v>
      </c>
      <c r="JB496" s="1442">
        <f t="shared" si="341"/>
        <v>0</v>
      </c>
      <c r="JC496" s="1442">
        <f t="shared" si="341"/>
        <v>0</v>
      </c>
      <c r="JD496" s="1442">
        <f t="shared" si="341"/>
        <v>0</v>
      </c>
      <c r="JE496" s="1442">
        <f t="shared" si="341"/>
        <v>0</v>
      </c>
      <c r="JF496" s="1442">
        <f t="shared" si="341"/>
        <v>0</v>
      </c>
      <c r="JG496" s="1442">
        <f t="shared" si="341"/>
        <v>0</v>
      </c>
      <c r="JH496" s="1442">
        <f t="shared" si="341"/>
        <v>0</v>
      </c>
      <c r="JI496" s="1442">
        <f t="shared" si="341"/>
        <v>0</v>
      </c>
      <c r="JJ496" s="1442">
        <f t="shared" si="341"/>
        <v>0</v>
      </c>
      <c r="JK496" s="1442">
        <f t="shared" si="341"/>
        <v>38</v>
      </c>
      <c r="JL496" s="1442">
        <f t="shared" si="341"/>
        <v>4</v>
      </c>
      <c r="JM496" s="1442">
        <f t="shared" si="341"/>
        <v>0</v>
      </c>
      <c r="JN496" s="1442">
        <f t="shared" si="341"/>
        <v>0</v>
      </c>
      <c r="JO496" s="1442">
        <f t="shared" si="341"/>
        <v>0</v>
      </c>
      <c r="JP496" s="1442">
        <f t="shared" si="341"/>
        <v>0</v>
      </c>
      <c r="JQ496" s="1442">
        <f t="shared" si="341"/>
        <v>0</v>
      </c>
      <c r="JR496" s="1442">
        <f t="shared" si="341"/>
        <v>0</v>
      </c>
      <c r="JS496" s="1442">
        <f t="shared" si="341"/>
        <v>0</v>
      </c>
      <c r="JT496" s="1442">
        <f t="shared" si="341"/>
        <v>62</v>
      </c>
      <c r="JU496" s="1442">
        <f t="shared" si="341"/>
        <v>64</v>
      </c>
      <c r="JV496" s="1442">
        <f t="shared" si="341"/>
        <v>31</v>
      </c>
      <c r="JW496" s="1442">
        <f t="shared" si="341"/>
        <v>0</v>
      </c>
      <c r="JX496" s="1442">
        <f>SUM(JX458:JX495)</f>
        <v>0</v>
      </c>
      <c r="JY496" s="1442">
        <f>SUM(JY458:JY495)</f>
        <v>0</v>
      </c>
      <c r="JZ496" s="1442">
        <f>SUM(JZ458:JZ495)</f>
        <v>0</v>
      </c>
      <c r="KA496" s="1442">
        <f>SUM(KA458:KA495)</f>
        <v>0</v>
      </c>
      <c r="KB496" s="1442">
        <f>SUM(KB458:KB495)</f>
        <v>0</v>
      </c>
      <c r="KC496" s="1442">
        <f t="shared" si="341"/>
        <v>0</v>
      </c>
      <c r="KD496" s="1442">
        <f t="shared" si="341"/>
        <v>0</v>
      </c>
      <c r="KE496" s="1442">
        <f t="shared" si="341"/>
        <v>0</v>
      </c>
      <c r="KF496" s="1442">
        <f t="shared" si="341"/>
        <v>0</v>
      </c>
      <c r="KG496" s="1442">
        <f t="shared" si="341"/>
        <v>0</v>
      </c>
      <c r="KH496" s="1442">
        <f>SUM(KH458:KH495)</f>
        <v>0</v>
      </c>
      <c r="KI496" s="1442">
        <f>SUM(KI458:KI495)</f>
        <v>0</v>
      </c>
      <c r="KJ496" s="1442">
        <f>SUM(KJ458:KJ495)</f>
        <v>0</v>
      </c>
      <c r="KK496" s="1442">
        <f>SUM(KK458:KK495)</f>
        <v>0</v>
      </c>
      <c r="KL496" s="1442">
        <f>SUM(KL458:KL495)</f>
        <v>0</v>
      </c>
      <c r="KM496" s="1442">
        <f t="shared" ref="KM496:LA496" si="342">SUM(KM458:KM495)</f>
        <v>0</v>
      </c>
      <c r="KN496" s="1442">
        <f t="shared" si="342"/>
        <v>0</v>
      </c>
      <c r="KO496" s="1442">
        <f t="shared" si="342"/>
        <v>0</v>
      </c>
      <c r="KP496" s="1442">
        <f t="shared" si="342"/>
        <v>0</v>
      </c>
      <c r="KQ496" s="1442">
        <f t="shared" si="342"/>
        <v>0</v>
      </c>
      <c r="KR496" s="1442">
        <f>SUM(KR458:KR495)</f>
        <v>0</v>
      </c>
      <c r="KS496" s="1442">
        <f>SUM(KS458:KS495)</f>
        <v>0</v>
      </c>
      <c r="KT496" s="1442">
        <f>SUM(KT458:KT495)</f>
        <v>0</v>
      </c>
      <c r="KU496" s="1442">
        <f>SUM(KU458:KU495)</f>
        <v>0</v>
      </c>
      <c r="KV496" s="1442">
        <f>SUM(KV458:KV495)</f>
        <v>0</v>
      </c>
      <c r="KW496" s="1442">
        <f t="shared" si="342"/>
        <v>0</v>
      </c>
      <c r="KX496" s="1442">
        <f t="shared" si="342"/>
        <v>0</v>
      </c>
      <c r="KY496" s="1442">
        <f t="shared" si="342"/>
        <v>0</v>
      </c>
      <c r="KZ496" s="1442">
        <f t="shared" si="342"/>
        <v>0</v>
      </c>
      <c r="LA496" s="1442">
        <f t="shared" si="342"/>
        <v>0</v>
      </c>
      <c r="LB496" s="1442">
        <f>SUM(LB458:LB495)</f>
        <v>0</v>
      </c>
      <c r="LC496" s="1442">
        <f>SUM(LC458:LC495)</f>
        <v>0</v>
      </c>
      <c r="LD496" s="1442">
        <f>SUM(LD458:LD495)</f>
        <v>0</v>
      </c>
      <c r="LE496" s="1442">
        <f>SUM(LE458:LE495)</f>
        <v>0</v>
      </c>
      <c r="LF496" s="1442">
        <f>SUM(LF458:LF495)</f>
        <v>0</v>
      </c>
      <c r="LG496" s="1442">
        <f t="shared" ref="LG496:MU496" si="343">SUM(LG458:LG495)</f>
        <v>0</v>
      </c>
      <c r="LH496" s="1442">
        <f t="shared" si="343"/>
        <v>0</v>
      </c>
      <c r="LI496" s="1442">
        <f t="shared" si="343"/>
        <v>0</v>
      </c>
      <c r="LJ496" s="1442">
        <f t="shared" si="343"/>
        <v>0</v>
      </c>
      <c r="LK496" s="1442">
        <f t="shared" si="343"/>
        <v>0</v>
      </c>
      <c r="LL496" s="1442">
        <f t="shared" si="343"/>
        <v>0</v>
      </c>
      <c r="LM496" s="1442">
        <f t="shared" si="343"/>
        <v>0</v>
      </c>
      <c r="LN496" s="1442">
        <f t="shared" si="343"/>
        <v>0</v>
      </c>
      <c r="LO496" s="1442">
        <f t="shared" si="343"/>
        <v>0</v>
      </c>
      <c r="LP496" s="1442">
        <f t="shared" si="343"/>
        <v>0</v>
      </c>
      <c r="LQ496" s="1442">
        <f t="shared" si="343"/>
        <v>0</v>
      </c>
      <c r="LR496" s="1442">
        <f t="shared" si="343"/>
        <v>0</v>
      </c>
      <c r="LS496" s="1442">
        <f t="shared" si="343"/>
        <v>0</v>
      </c>
      <c r="LT496" s="1442">
        <f t="shared" si="343"/>
        <v>0</v>
      </c>
      <c r="LU496" s="1442">
        <f t="shared" si="343"/>
        <v>0</v>
      </c>
      <c r="LV496" s="1442">
        <f t="shared" si="343"/>
        <v>0</v>
      </c>
      <c r="LW496" s="1442">
        <f t="shared" si="343"/>
        <v>0</v>
      </c>
      <c r="LX496" s="1442">
        <f t="shared" si="343"/>
        <v>0</v>
      </c>
      <c r="LY496" s="1442">
        <f t="shared" si="343"/>
        <v>0</v>
      </c>
      <c r="LZ496" s="1442">
        <f t="shared" si="343"/>
        <v>0</v>
      </c>
      <c r="MA496" s="1442">
        <f t="shared" si="343"/>
        <v>0</v>
      </c>
      <c r="MB496" s="1442">
        <f t="shared" si="343"/>
        <v>0</v>
      </c>
      <c r="MC496" s="1442">
        <f t="shared" si="343"/>
        <v>0</v>
      </c>
      <c r="MD496" s="1442">
        <f t="shared" si="343"/>
        <v>0</v>
      </c>
      <c r="ME496" s="1442">
        <f t="shared" si="343"/>
        <v>0</v>
      </c>
      <c r="MF496" s="1442">
        <f t="shared" si="343"/>
        <v>0</v>
      </c>
      <c r="MG496" s="1442">
        <f t="shared" si="343"/>
        <v>62</v>
      </c>
      <c r="MH496" s="1442">
        <f t="shared" si="343"/>
        <v>102</v>
      </c>
      <c r="MI496" s="1442">
        <f t="shared" si="343"/>
        <v>35</v>
      </c>
      <c r="MJ496" s="1442">
        <f t="shared" si="343"/>
        <v>0</v>
      </c>
      <c r="MK496" s="1442">
        <f t="shared" si="343"/>
        <v>0</v>
      </c>
      <c r="ML496" s="1442">
        <f t="shared" si="343"/>
        <v>0</v>
      </c>
      <c r="MM496" s="1442">
        <f t="shared" si="343"/>
        <v>0</v>
      </c>
      <c r="MN496" s="1442">
        <f t="shared" si="343"/>
        <v>0</v>
      </c>
      <c r="MO496" s="1442">
        <f t="shared" si="343"/>
        <v>0</v>
      </c>
      <c r="MP496" s="1442">
        <f t="shared" si="343"/>
        <v>0</v>
      </c>
      <c r="MQ496" s="1442">
        <f t="shared" si="343"/>
        <v>0</v>
      </c>
      <c r="MR496" s="1442">
        <f t="shared" si="343"/>
        <v>0</v>
      </c>
      <c r="MS496" s="1442">
        <f t="shared" si="343"/>
        <v>0</v>
      </c>
      <c r="MT496" s="1442">
        <f t="shared" si="343"/>
        <v>0</v>
      </c>
      <c r="MU496" s="1442">
        <f t="shared" si="343"/>
        <v>0</v>
      </c>
      <c r="NP496" s="261" t="s">
        <v>1155</v>
      </c>
    </row>
    <row r="497" spans="1:380" ht="13.9" customHeight="1">
      <c r="B497" s="2363">
        <f>'Part V-Revenues &amp; Expenses'!B50</f>
        <v>60</v>
      </c>
      <c r="C497" s="2363"/>
      <c r="D497" s="2330" t="s">
        <v>1156</v>
      </c>
      <c r="E497" s="2155">
        <f>SUM(E465:E495)</f>
        <v>118</v>
      </c>
      <c r="F497" s="2156">
        <f>(E465*F465+E466*F466+E467*F467+E468*F468+E469*F469+E470*F470+E471*F471+E472*F472+E473*F473+E474*F474+E475*F475+E476*F476+E477*F477+E478*F478+E479*F479+E480*F480+E481*F481+E482*F482+E483*F483+E484*F484+E485*F485+E486*F486+E487*F487+E488*F488+E489*F489+E490*F490+E491*F491+E492*F492+E493*F493+E494*F494+E495*F495)</f>
        <v>122250</v>
      </c>
      <c r="H497" s="2157"/>
      <c r="I497" s="2361" t="s">
        <v>1157</v>
      </c>
      <c r="J497" s="2158" t="str">
        <f>IF(P514=0,"",IF(SUM(P506:P509)/P514&gt;=0.2,"Pass","Fail"))</f>
        <v>Fail</v>
      </c>
      <c r="K497" s="267"/>
      <c r="L497" s="2360" t="s">
        <v>1158</v>
      </c>
      <c r="M497" s="2159">
        <f>M496*12</f>
        <v>3080520</v>
      </c>
      <c r="N497" s="263"/>
      <c r="O497" s="263"/>
      <c r="P497" s="263"/>
      <c r="Q497" s="263"/>
      <c r="R497" s="263"/>
      <c r="S497" s="263"/>
      <c r="T497" s="263"/>
      <c r="U497" s="263"/>
      <c r="V497" s="263"/>
      <c r="W497" s="1442"/>
      <c r="X497" s="1442"/>
      <c r="Y497" s="1442"/>
      <c r="Z497" s="1442"/>
      <c r="AA497" s="1442"/>
      <c r="AB497" s="1442"/>
      <c r="AC497" s="1442"/>
      <c r="AD497" s="1442"/>
      <c r="AE497" s="1442"/>
      <c r="AF497" s="1442"/>
      <c r="AG497" s="1442"/>
      <c r="AH497" s="1442"/>
      <c r="AI497" s="1442"/>
      <c r="AJ497" s="1442"/>
      <c r="AK497" s="1442"/>
      <c r="AL497" s="1442"/>
      <c r="AM497" s="1442"/>
      <c r="AN497" s="1442"/>
      <c r="AO497" s="1442"/>
      <c r="AP497" s="1442"/>
      <c r="AQ497" s="1442"/>
      <c r="AR497" s="1442"/>
      <c r="AS497" s="1442"/>
      <c r="AT497" s="1442"/>
      <c r="AU497" s="1442"/>
      <c r="AV497" s="1442"/>
      <c r="AW497" s="1442"/>
      <c r="AX497" s="1442"/>
      <c r="AY497" s="1442"/>
      <c r="AZ497" s="1442"/>
      <c r="BA497" s="1442"/>
      <c r="BB497" s="1442"/>
      <c r="BC497" s="1442"/>
      <c r="BD497" s="1442"/>
      <c r="BE497" s="1442"/>
      <c r="BF497" s="1442"/>
      <c r="BG497" s="1442"/>
      <c r="BH497" s="1442"/>
      <c r="BI497" s="1442"/>
      <c r="BJ497" s="1442"/>
      <c r="BK497" s="1442"/>
      <c r="BL497" s="1442"/>
      <c r="BM497" s="1442"/>
      <c r="BN497" s="1442"/>
      <c r="BO497" s="1442"/>
      <c r="BP497" s="1442"/>
      <c r="BQ497" s="1442"/>
      <c r="BR497" s="1442"/>
      <c r="BS497" s="1442"/>
      <c r="BT497" s="1442"/>
      <c r="BU497" s="1442"/>
      <c r="BV497" s="1442"/>
      <c r="BW497" s="1442"/>
      <c r="BX497" s="1442"/>
      <c r="BY497" s="1442"/>
      <c r="BZ497" s="1442"/>
      <c r="CA497" s="1442"/>
      <c r="CB497" s="1442"/>
      <c r="CC497" s="1442"/>
      <c r="CD497" s="1442"/>
      <c r="CE497" s="1442"/>
      <c r="CF497" s="1442"/>
      <c r="CG497" s="1442"/>
      <c r="CH497" s="1442"/>
      <c r="CI497" s="1442"/>
      <c r="CJ497" s="1442"/>
      <c r="CK497" s="1442"/>
      <c r="CL497" s="1442"/>
      <c r="CM497" s="1442"/>
      <c r="CN497" s="1442"/>
      <c r="CO497" s="1442"/>
      <c r="CP497" s="1442"/>
      <c r="CQ497" s="1442"/>
      <c r="CR497" s="1442"/>
      <c r="CS497" s="1442"/>
      <c r="CT497" s="1442"/>
      <c r="CU497" s="1442"/>
      <c r="CV497" s="1442"/>
      <c r="CW497" s="1442"/>
      <c r="CX497" s="1442"/>
      <c r="CY497" s="1442"/>
      <c r="CZ497" s="1442"/>
      <c r="DA497" s="1442"/>
      <c r="DB497" s="1442"/>
      <c r="DC497" s="1442"/>
      <c r="DD497" s="1442"/>
      <c r="DE497" s="1442"/>
      <c r="DF497" s="1442"/>
      <c r="DG497" s="1442"/>
      <c r="DH497" s="1442"/>
      <c r="DI497" s="1442"/>
      <c r="DJ497" s="1442"/>
      <c r="DK497" s="1442"/>
      <c r="DL497" s="1442"/>
      <c r="DM497" s="1442"/>
      <c r="DN497" s="1442"/>
      <c r="DO497" s="1442"/>
      <c r="DP497" s="1442"/>
      <c r="DQ497" s="1442"/>
      <c r="DR497" s="1442"/>
      <c r="DS497" s="1442"/>
      <c r="DT497" s="1442"/>
      <c r="DU497" s="1442"/>
      <c r="DV497" s="1442"/>
      <c r="DW497" s="1442"/>
      <c r="DX497" s="1442"/>
      <c r="DY497" s="1442"/>
      <c r="DZ497" s="1442"/>
      <c r="EA497" s="1442"/>
      <c r="EB497" s="1442"/>
      <c r="EC497" s="1442"/>
      <c r="ED497" s="1442"/>
      <c r="EE497" s="1442"/>
      <c r="EF497" s="1442"/>
      <c r="EG497" s="1442"/>
      <c r="EH497" s="1442"/>
      <c r="EI497" s="1442"/>
      <c r="EJ497" s="1442"/>
      <c r="EK497" s="1442"/>
      <c r="EL497" s="1442"/>
      <c r="EM497" s="1442"/>
      <c r="EN497" s="1442"/>
      <c r="EO497" s="1442"/>
      <c r="EP497" s="1442"/>
      <c r="EQ497" s="1442"/>
      <c r="ER497" s="1442"/>
      <c r="ES497" s="1442"/>
      <c r="ET497" s="1442"/>
      <c r="EU497" s="1442"/>
      <c r="EV497" s="1442"/>
      <c r="EW497" s="1442"/>
      <c r="EX497" s="1442"/>
      <c r="EY497" s="1442"/>
      <c r="EZ497" s="1442"/>
      <c r="FA497" s="1442"/>
      <c r="FB497" s="1442"/>
      <c r="FC497" s="1442"/>
      <c r="FD497" s="1442"/>
      <c r="FE497" s="1442"/>
      <c r="FF497" s="1442"/>
      <c r="FG497" s="1442"/>
      <c r="FH497" s="1442"/>
      <c r="FI497" s="1442"/>
      <c r="FJ497" s="1442"/>
      <c r="FK497" s="1442"/>
      <c r="FL497" s="1442"/>
      <c r="FM497" s="1442"/>
      <c r="FN497" s="1442"/>
      <c r="FO497" s="1442"/>
      <c r="FP497" s="1442"/>
      <c r="FQ497" s="1442"/>
      <c r="FR497" s="1442"/>
      <c r="FS497" s="1442"/>
      <c r="FT497" s="1442"/>
      <c r="FU497" s="1442"/>
      <c r="FV497" s="1442"/>
      <c r="FW497" s="1442"/>
      <c r="FX497" s="1442"/>
      <c r="FY497" s="1442"/>
      <c r="FZ497" s="1442"/>
      <c r="GA497" s="1442"/>
      <c r="GB497" s="1442"/>
      <c r="GC497" s="1442"/>
      <c r="GD497" s="1442"/>
      <c r="GE497" s="1442"/>
      <c r="GF497" s="1442"/>
      <c r="GG497" s="1442"/>
      <c r="GH497" s="1442"/>
      <c r="GI497" s="1442"/>
      <c r="GJ497" s="1442"/>
      <c r="GK497" s="1442"/>
      <c r="GL497" s="1442"/>
      <c r="GM497" s="1442"/>
      <c r="GN497" s="1442"/>
      <c r="GO497" s="1442"/>
      <c r="GP497" s="1442"/>
      <c r="GQ497" s="1442"/>
      <c r="GR497" s="1442"/>
      <c r="GS497" s="1442"/>
      <c r="GT497" s="1442"/>
      <c r="GU497" s="1442"/>
      <c r="GV497" s="1442"/>
      <c r="GW497" s="1442"/>
      <c r="GX497" s="1442"/>
      <c r="GY497" s="1442"/>
      <c r="GZ497" s="1442"/>
      <c r="HA497" s="1442"/>
      <c r="HB497" s="1442"/>
      <c r="HC497" s="1442"/>
      <c r="HD497" s="1442"/>
      <c r="HE497" s="1442"/>
      <c r="HF497" s="1442"/>
      <c r="HG497" s="1442"/>
      <c r="HH497" s="1442"/>
      <c r="HI497" s="1442"/>
      <c r="HJ497" s="1442"/>
      <c r="HK497" s="1442"/>
      <c r="HL497" s="1442"/>
      <c r="HM497" s="1442"/>
      <c r="HN497" s="1442"/>
      <c r="HO497" s="1442"/>
      <c r="HP497" s="1442"/>
      <c r="HQ497" s="1442"/>
      <c r="HR497" s="1442"/>
      <c r="HS497" s="1442"/>
      <c r="HT497" s="1442"/>
      <c r="HU497" s="1442"/>
      <c r="HV497" s="1442"/>
      <c r="HW497" s="1442"/>
      <c r="HX497" s="1442"/>
      <c r="HY497" s="1442"/>
      <c r="HZ497" s="1442"/>
      <c r="IA497" s="1442"/>
      <c r="IB497" s="1442"/>
      <c r="IC497" s="1442"/>
      <c r="ID497" s="1442"/>
      <c r="IE497" s="1442"/>
      <c r="IF497" s="1442"/>
      <c r="IG497" s="1442"/>
      <c r="IH497" s="1442"/>
      <c r="II497" s="1442"/>
      <c r="IJ497" s="1442"/>
      <c r="IK497" s="1442"/>
      <c r="IL497" s="1442"/>
      <c r="IM497" s="1442"/>
      <c r="IN497" s="1442"/>
      <c r="IO497" s="1442"/>
      <c r="IP497" s="1442"/>
      <c r="IQ497" s="1442"/>
      <c r="IR497" s="1442"/>
      <c r="IS497" s="1442"/>
      <c r="IT497" s="1442"/>
      <c r="IU497" s="1442"/>
      <c r="IV497" s="1442"/>
      <c r="IW497" s="1442"/>
      <c r="IX497" s="1442"/>
      <c r="IY497" s="1442"/>
      <c r="IZ497" s="1442"/>
      <c r="JA497" s="1442"/>
      <c r="JB497" s="1442"/>
      <c r="JC497" s="1442"/>
      <c r="JD497" s="1442"/>
      <c r="JE497" s="1442"/>
      <c r="JF497" s="1442"/>
      <c r="JG497" s="1442"/>
      <c r="JH497" s="1442"/>
      <c r="JI497" s="1442"/>
      <c r="JJ497" s="1442"/>
      <c r="JK497" s="1442"/>
      <c r="JL497" s="1442"/>
      <c r="JM497" s="1442"/>
      <c r="JN497" s="1442"/>
      <c r="JO497" s="1442"/>
      <c r="JP497" s="1442"/>
      <c r="JQ497" s="1442"/>
      <c r="JR497" s="1442"/>
      <c r="JS497" s="1442"/>
      <c r="JT497" s="1442"/>
      <c r="JU497" s="1442"/>
      <c r="JV497" s="1442"/>
      <c r="JW497" s="1442"/>
      <c r="JX497" s="1442"/>
      <c r="JY497" s="1442"/>
      <c r="JZ497" s="1442"/>
      <c r="KA497" s="1442"/>
      <c r="KB497" s="1442"/>
      <c r="KC497" s="1442"/>
      <c r="KD497" s="1442"/>
      <c r="KE497" s="1442"/>
      <c r="KF497" s="1442"/>
      <c r="KG497" s="1442"/>
      <c r="KH497" s="1442"/>
      <c r="KI497" s="1442"/>
      <c r="KJ497" s="1442"/>
      <c r="KK497" s="1442"/>
      <c r="KL497" s="1442"/>
      <c r="KM497" s="1442"/>
      <c r="KN497" s="1442"/>
      <c r="KO497" s="1442"/>
      <c r="KP497" s="1442"/>
      <c r="KQ497" s="1442"/>
      <c r="KR497" s="1442"/>
      <c r="KS497" s="1442"/>
      <c r="KT497" s="1442"/>
      <c r="KU497" s="1442"/>
      <c r="KV497" s="1442"/>
      <c r="KW497" s="1442"/>
      <c r="KX497" s="1442"/>
      <c r="KY497" s="1442"/>
      <c r="KZ497" s="1442"/>
      <c r="LA497" s="1442"/>
      <c r="LB497" s="1442"/>
      <c r="LC497" s="1442"/>
      <c r="LD497" s="1442"/>
      <c r="LE497" s="1442"/>
      <c r="LF497" s="1442"/>
      <c r="LG497" s="1442"/>
      <c r="LH497" s="1442"/>
      <c r="LI497" s="1442"/>
      <c r="LJ497" s="1442"/>
      <c r="LK497" s="1442"/>
      <c r="LL497" s="1442"/>
      <c r="LM497" s="1442"/>
      <c r="LN497" s="1442"/>
      <c r="LO497" s="1442"/>
      <c r="LP497" s="1442"/>
      <c r="LQ497" s="1442"/>
      <c r="LR497" s="1442"/>
      <c r="LS497" s="1442"/>
      <c r="LT497" s="1442"/>
      <c r="LU497" s="1442"/>
      <c r="LV497" s="1442"/>
      <c r="LW497" s="1442"/>
      <c r="LX497" s="1442"/>
      <c r="LY497" s="1442"/>
      <c r="LZ497" s="1442"/>
      <c r="MA497" s="1442"/>
      <c r="MB497" s="1442"/>
      <c r="MC497" s="1442"/>
      <c r="MD497" s="1442"/>
      <c r="ME497" s="1442"/>
      <c r="NP497" s="261" t="s">
        <v>1159</v>
      </c>
    </row>
    <row r="498" spans="1:380" ht="12" customHeight="1">
      <c r="A498" s="2364" t="s">
        <v>6989</v>
      </c>
      <c r="B498" s="2283"/>
      <c r="C498" s="2283"/>
      <c r="D498" s="2283"/>
      <c r="E498" s="2283"/>
      <c r="F498" s="2283"/>
      <c r="G498" s="2283"/>
      <c r="H498" s="2283"/>
      <c r="I498" s="2283"/>
      <c r="J498" s="2283"/>
      <c r="K498" s="2283"/>
      <c r="L498" s="2283"/>
      <c r="M498" s="2283"/>
      <c r="N498" s="2283"/>
      <c r="O498" s="2283"/>
      <c r="P498" s="2283"/>
      <c r="Q498" s="2283"/>
      <c r="R498" s="2365"/>
      <c r="S498" s="263"/>
      <c r="T498" s="263"/>
      <c r="U498" s="263"/>
      <c r="V498" s="263"/>
      <c r="W498" s="1442"/>
      <c r="X498" s="1442"/>
      <c r="Y498" s="1442"/>
      <c r="Z498" s="1442"/>
      <c r="AA498" s="1442"/>
      <c r="AB498" s="1442"/>
      <c r="AC498" s="1442"/>
      <c r="AD498" s="1442"/>
      <c r="AE498" s="1442"/>
      <c r="AF498" s="1442"/>
      <c r="AG498" s="1442"/>
      <c r="AH498" s="1442"/>
      <c r="AI498" s="1442"/>
      <c r="AJ498" s="1442"/>
      <c r="AK498" s="1442"/>
      <c r="AL498" s="1442"/>
      <c r="AM498" s="1442"/>
      <c r="AN498" s="1442"/>
      <c r="AO498" s="1442"/>
      <c r="AP498" s="1442"/>
      <c r="AQ498" s="1442"/>
      <c r="AR498" s="1442"/>
      <c r="AS498" s="1442"/>
      <c r="AT498" s="1442"/>
      <c r="AU498" s="1442"/>
      <c r="AV498" s="1442"/>
      <c r="AW498" s="1442"/>
      <c r="AX498" s="1442"/>
      <c r="AY498" s="1442"/>
      <c r="AZ498" s="1442"/>
      <c r="BA498" s="1442"/>
      <c r="BB498" s="1442"/>
      <c r="BC498" s="1442"/>
      <c r="BD498" s="1442"/>
      <c r="BE498" s="1442"/>
      <c r="BF498" s="1442"/>
      <c r="BG498" s="1442"/>
      <c r="BH498" s="1442"/>
      <c r="BI498" s="1442"/>
      <c r="BJ498" s="1442"/>
      <c r="BK498" s="1442"/>
      <c r="BL498" s="1442"/>
      <c r="BM498" s="1442"/>
      <c r="BN498" s="1442"/>
      <c r="BO498" s="1442"/>
      <c r="BP498" s="1442"/>
      <c r="BQ498" s="1442"/>
      <c r="BR498" s="1442"/>
      <c r="BS498" s="1442"/>
      <c r="BT498" s="1442"/>
      <c r="BU498" s="1442"/>
      <c r="BV498" s="1442"/>
      <c r="BW498" s="1442"/>
      <c r="BX498" s="1442"/>
      <c r="BY498" s="1442"/>
      <c r="BZ498" s="1442"/>
      <c r="CA498" s="1442"/>
      <c r="CB498" s="1442"/>
      <c r="CC498" s="1442"/>
      <c r="CD498" s="1442"/>
      <c r="CE498" s="1442"/>
      <c r="CF498" s="1442"/>
      <c r="CG498" s="1442"/>
      <c r="CH498" s="1442"/>
      <c r="CI498" s="1442"/>
      <c r="CJ498" s="1442"/>
      <c r="CK498" s="1442"/>
      <c r="CL498" s="1442"/>
      <c r="CM498" s="1442"/>
      <c r="CN498" s="1442"/>
      <c r="CO498" s="1442"/>
      <c r="CP498" s="1442"/>
      <c r="CQ498" s="1442"/>
      <c r="CR498" s="1442"/>
      <c r="CS498" s="1442"/>
      <c r="CT498" s="1442"/>
      <c r="CU498" s="1442"/>
      <c r="CV498" s="1442"/>
      <c r="CW498" s="1442"/>
      <c r="CX498" s="1442"/>
      <c r="CY498" s="1442"/>
      <c r="CZ498" s="1442"/>
      <c r="DA498" s="1442"/>
      <c r="DB498" s="1442"/>
      <c r="DC498" s="1442"/>
      <c r="DD498" s="1442"/>
      <c r="DE498" s="1442"/>
      <c r="DF498" s="1442"/>
      <c r="DG498" s="1442"/>
      <c r="DH498" s="1442"/>
      <c r="DI498" s="1442"/>
      <c r="DJ498" s="1442"/>
      <c r="DK498" s="1442"/>
      <c r="DL498" s="1442"/>
      <c r="DM498" s="1442"/>
      <c r="DN498" s="1442"/>
      <c r="DO498" s="1442"/>
      <c r="DP498" s="1442"/>
      <c r="DQ498" s="1442"/>
      <c r="DR498" s="1442"/>
      <c r="DS498" s="1442"/>
      <c r="DT498" s="1442"/>
      <c r="DU498" s="1442"/>
      <c r="DV498" s="1442"/>
      <c r="DW498" s="1442"/>
      <c r="DX498" s="1442"/>
      <c r="DY498" s="1442"/>
      <c r="DZ498" s="1442"/>
      <c r="EA498" s="1442"/>
      <c r="EB498" s="1442"/>
      <c r="EC498" s="1442"/>
      <c r="ED498" s="1442"/>
      <c r="EE498" s="1442"/>
      <c r="EF498" s="1442"/>
      <c r="EG498" s="1442"/>
      <c r="EH498" s="1442"/>
      <c r="EI498" s="1442"/>
      <c r="EJ498" s="1442"/>
      <c r="EK498" s="1442"/>
      <c r="EL498" s="1442"/>
      <c r="EM498" s="1442"/>
      <c r="EN498" s="1442"/>
      <c r="EO498" s="1442"/>
      <c r="EP498" s="1442"/>
      <c r="EQ498" s="1442"/>
      <c r="ER498" s="1442"/>
      <c r="ES498" s="1442"/>
      <c r="ET498" s="1442"/>
      <c r="EU498" s="1442"/>
      <c r="EV498" s="1442"/>
      <c r="EW498" s="1442"/>
      <c r="EX498" s="1442"/>
      <c r="EY498" s="1442"/>
      <c r="EZ498" s="1442"/>
      <c r="FA498" s="1442"/>
      <c r="FB498" s="1442"/>
      <c r="FC498" s="1442"/>
      <c r="FD498" s="1442"/>
      <c r="FE498" s="1442"/>
      <c r="FF498" s="1442"/>
      <c r="FG498" s="1442"/>
      <c r="FH498" s="1442"/>
      <c r="FI498" s="1442"/>
      <c r="FJ498" s="1442"/>
      <c r="FK498" s="1442"/>
      <c r="FL498" s="1442"/>
      <c r="FM498" s="1442"/>
      <c r="FN498" s="1442"/>
      <c r="FO498" s="1442"/>
      <c r="FP498" s="1442"/>
      <c r="FQ498" s="1442"/>
      <c r="FR498" s="1442"/>
      <c r="FS498" s="1442"/>
      <c r="FT498" s="1442"/>
      <c r="FU498" s="1442"/>
      <c r="FV498" s="1442"/>
      <c r="FW498" s="1442"/>
      <c r="FX498" s="1442"/>
      <c r="FY498" s="1442"/>
      <c r="FZ498" s="1442"/>
      <c r="GA498" s="1442"/>
      <c r="GB498" s="1442"/>
      <c r="GC498" s="1442"/>
      <c r="GD498" s="1442"/>
      <c r="GE498" s="1442"/>
      <c r="GF498" s="1442"/>
      <c r="GG498" s="1442"/>
      <c r="GH498" s="1442"/>
      <c r="GI498" s="1442"/>
      <c r="GJ498" s="1442"/>
      <c r="GK498" s="1442"/>
      <c r="GL498" s="1442"/>
      <c r="GM498" s="1442"/>
      <c r="GN498" s="1442"/>
      <c r="GO498" s="1442"/>
      <c r="GP498" s="1442"/>
      <c r="GQ498" s="1442"/>
      <c r="GR498" s="1442"/>
      <c r="GS498" s="1442"/>
      <c r="GT498" s="1442"/>
      <c r="GU498" s="1442"/>
      <c r="GV498" s="1442"/>
      <c r="GW498" s="1442"/>
      <c r="GX498" s="1442"/>
      <c r="GY498" s="1442"/>
      <c r="GZ498" s="1442"/>
      <c r="HA498" s="1442"/>
      <c r="HB498" s="1442"/>
      <c r="HC498" s="1442"/>
      <c r="HD498" s="1442"/>
      <c r="HE498" s="1442"/>
      <c r="HF498" s="1442"/>
      <c r="HG498" s="1442"/>
      <c r="HH498" s="1442"/>
      <c r="HI498" s="1442"/>
      <c r="HJ498" s="1442"/>
      <c r="HK498" s="1442"/>
      <c r="HL498" s="1442"/>
      <c r="HM498" s="1442"/>
      <c r="HN498" s="1442"/>
      <c r="HO498" s="1442"/>
      <c r="HP498" s="1442"/>
      <c r="HQ498" s="1442"/>
      <c r="HR498" s="1442"/>
      <c r="HS498" s="1442"/>
      <c r="HT498" s="1442"/>
      <c r="HU498" s="1442"/>
      <c r="HV498" s="1442"/>
      <c r="HW498" s="1442"/>
      <c r="HX498" s="1442"/>
      <c r="HY498" s="1442"/>
      <c r="HZ498" s="1442"/>
      <c r="IA498" s="1442"/>
      <c r="IB498" s="1442"/>
      <c r="IC498" s="1442"/>
      <c r="ID498" s="1442"/>
      <c r="IE498" s="1442"/>
      <c r="IF498" s="1442"/>
      <c r="IG498" s="1442"/>
      <c r="IH498" s="1442"/>
      <c r="II498" s="1442"/>
      <c r="IJ498" s="1442"/>
      <c r="IK498" s="1442"/>
      <c r="IL498" s="1442"/>
      <c r="IM498" s="1442"/>
      <c r="IN498" s="1442"/>
      <c r="IO498" s="1442"/>
      <c r="IP498" s="1442"/>
      <c r="IQ498" s="1442"/>
      <c r="IR498" s="1442"/>
      <c r="IS498" s="1442"/>
      <c r="IT498" s="1442"/>
      <c r="IU498" s="1442"/>
      <c r="IV498" s="1442"/>
      <c r="IW498" s="1442"/>
      <c r="IX498" s="1442"/>
      <c r="IY498" s="1442"/>
      <c r="IZ498" s="1442"/>
      <c r="JA498" s="1442"/>
      <c r="JB498" s="1442"/>
      <c r="JC498" s="1442"/>
      <c r="JD498" s="1442"/>
      <c r="JE498" s="1442"/>
      <c r="JF498" s="1442"/>
      <c r="JG498" s="1442"/>
      <c r="JH498" s="1442"/>
      <c r="JI498" s="1442"/>
      <c r="JJ498" s="1442"/>
      <c r="JK498" s="1442"/>
      <c r="JL498" s="1442"/>
      <c r="JM498" s="1442"/>
      <c r="JN498" s="1442"/>
      <c r="JO498" s="1442"/>
      <c r="JP498" s="1442"/>
      <c r="JQ498" s="1442"/>
      <c r="JR498" s="1442"/>
      <c r="JS498" s="1442"/>
      <c r="JT498" s="1442"/>
      <c r="JU498" s="1442"/>
      <c r="JV498" s="1442"/>
      <c r="JW498" s="1442"/>
      <c r="JX498" s="1442"/>
      <c r="JY498" s="1442"/>
      <c r="JZ498" s="1442"/>
      <c r="KA498" s="1442"/>
      <c r="KB498" s="1442"/>
      <c r="KC498" s="1442"/>
      <c r="KD498" s="1442"/>
      <c r="KE498" s="1442"/>
      <c r="KF498" s="1442"/>
      <c r="KG498" s="1442"/>
      <c r="KH498" s="1442"/>
      <c r="KI498" s="1442"/>
      <c r="KJ498" s="1442"/>
      <c r="KK498" s="1442"/>
      <c r="KL498" s="1442"/>
      <c r="KM498" s="1442"/>
      <c r="KN498" s="1442"/>
      <c r="KO498" s="1442"/>
      <c r="KP498" s="1442"/>
      <c r="KQ498" s="1442"/>
      <c r="KR498" s="1442"/>
      <c r="KS498" s="1442"/>
      <c r="KT498" s="1442"/>
      <c r="KU498" s="1442"/>
      <c r="KV498" s="1442"/>
      <c r="KW498" s="1442"/>
      <c r="KX498" s="1442"/>
      <c r="KY498" s="1442"/>
      <c r="KZ498" s="1442"/>
      <c r="LA498" s="1442"/>
      <c r="LB498" s="1442"/>
      <c r="LC498" s="1442"/>
      <c r="LD498" s="1442"/>
      <c r="LE498" s="1442"/>
      <c r="LF498" s="1442"/>
      <c r="LG498" s="1442"/>
      <c r="LH498" s="1442"/>
      <c r="LI498" s="1442"/>
      <c r="LJ498" s="1442"/>
      <c r="LK498" s="1442"/>
      <c r="LL498" s="1442"/>
      <c r="LM498" s="1442"/>
      <c r="LN498" s="1442"/>
      <c r="LO498" s="1442"/>
      <c r="LP498" s="1442"/>
      <c r="LQ498" s="1442"/>
      <c r="LR498" s="1442"/>
      <c r="LS498" s="1442"/>
      <c r="LT498" s="1442"/>
      <c r="LU498" s="1442"/>
      <c r="LV498" s="1442"/>
      <c r="LW498" s="1442"/>
      <c r="LX498" s="1442"/>
      <c r="LY498" s="1442"/>
      <c r="LZ498" s="1442"/>
      <c r="MA498" s="1442"/>
      <c r="MB498" s="1442"/>
      <c r="MC498" s="1442"/>
      <c r="MD498" s="1442"/>
      <c r="ME498" s="1442"/>
    </row>
    <row r="499" spans="1:380" ht="12" customHeight="1">
      <c r="A499" s="2283"/>
      <c r="B499" s="2283"/>
      <c r="C499" s="2283"/>
      <c r="D499" s="2283"/>
      <c r="E499" s="2283"/>
      <c r="F499" s="2283"/>
      <c r="G499" s="2283"/>
      <c r="H499" s="2283"/>
      <c r="I499" s="2283"/>
      <c r="J499" s="2283"/>
      <c r="K499" s="2283"/>
      <c r="L499" s="2283"/>
      <c r="M499" s="2283"/>
      <c r="N499" s="2283"/>
      <c r="O499" s="2283"/>
      <c r="P499" s="2283"/>
      <c r="Q499" s="2283"/>
      <c r="R499" s="2365"/>
      <c r="S499" s="263"/>
      <c r="T499" s="263"/>
      <c r="U499" s="263"/>
      <c r="V499" s="263"/>
      <c r="W499" s="1442"/>
      <c r="X499" s="1442"/>
      <c r="Y499" s="1442"/>
      <c r="Z499" s="1442"/>
      <c r="AA499" s="1442"/>
      <c r="AB499" s="1442"/>
      <c r="AC499" s="1442"/>
      <c r="AD499" s="1442"/>
      <c r="AE499" s="1442"/>
      <c r="AF499" s="1442"/>
      <c r="AG499" s="1442"/>
      <c r="AH499" s="1442"/>
      <c r="AI499" s="1442"/>
      <c r="AJ499" s="1442"/>
      <c r="AK499" s="1442"/>
      <c r="AL499" s="1442"/>
      <c r="AM499" s="1442"/>
      <c r="AN499" s="1442"/>
      <c r="AO499" s="1442"/>
      <c r="AP499" s="1442"/>
      <c r="AQ499" s="1442"/>
      <c r="AR499" s="1442"/>
      <c r="AS499" s="1442"/>
      <c r="AT499" s="1442"/>
      <c r="AU499" s="1442"/>
      <c r="AV499" s="1442"/>
      <c r="AW499" s="1442"/>
      <c r="AX499" s="1442"/>
      <c r="AY499" s="1442"/>
      <c r="AZ499" s="1442"/>
      <c r="BA499" s="1442"/>
      <c r="BB499" s="1442"/>
      <c r="BC499" s="1442"/>
      <c r="BD499" s="1442"/>
      <c r="BE499" s="1442"/>
      <c r="BF499" s="1442"/>
      <c r="BG499" s="1442"/>
      <c r="BH499" s="1442"/>
      <c r="BI499" s="1442"/>
      <c r="BJ499" s="1442"/>
      <c r="BK499" s="1442"/>
      <c r="BL499" s="1442"/>
      <c r="BM499" s="1442"/>
      <c r="BN499" s="1442"/>
      <c r="BO499" s="1442"/>
      <c r="BP499" s="1442"/>
      <c r="BQ499" s="1442"/>
      <c r="BR499" s="1442"/>
      <c r="BS499" s="1442"/>
      <c r="BT499" s="1442"/>
      <c r="BU499" s="1442"/>
      <c r="BV499" s="1442"/>
      <c r="BW499" s="1442"/>
      <c r="BX499" s="1442"/>
      <c r="BY499" s="1442"/>
      <c r="BZ499" s="1442"/>
      <c r="CA499" s="1442"/>
      <c r="CB499" s="1442"/>
      <c r="CC499" s="1442"/>
      <c r="CD499" s="1442"/>
      <c r="CE499" s="1442"/>
      <c r="CF499" s="1442"/>
      <c r="CG499" s="1442"/>
      <c r="CH499" s="1442"/>
      <c r="CI499" s="1442"/>
      <c r="CJ499" s="1442"/>
      <c r="CK499" s="1442"/>
      <c r="CL499" s="1442"/>
      <c r="CM499" s="1442"/>
      <c r="CN499" s="1442"/>
      <c r="CO499" s="1442"/>
      <c r="CP499" s="1442"/>
      <c r="CQ499" s="1442"/>
      <c r="CR499" s="1442"/>
      <c r="CS499" s="1442"/>
      <c r="CT499" s="1442"/>
      <c r="CU499" s="1442"/>
      <c r="CV499" s="1442"/>
      <c r="CW499" s="1442"/>
      <c r="CX499" s="1442"/>
      <c r="CY499" s="1442"/>
      <c r="CZ499" s="1442"/>
      <c r="DA499" s="1442"/>
      <c r="DB499" s="1442"/>
      <c r="DC499" s="1442"/>
      <c r="DD499" s="1442"/>
      <c r="DE499" s="1442"/>
      <c r="DF499" s="1442"/>
      <c r="DG499" s="1442"/>
      <c r="DH499" s="1442"/>
      <c r="DI499" s="1442"/>
      <c r="DJ499" s="1442"/>
      <c r="DK499" s="1442"/>
      <c r="DL499" s="1442"/>
      <c r="DM499" s="1442"/>
      <c r="DN499" s="1442"/>
      <c r="DO499" s="1442"/>
      <c r="DP499" s="1442"/>
      <c r="DQ499" s="1442"/>
      <c r="DR499" s="1442"/>
      <c r="DS499" s="1442"/>
      <c r="DT499" s="1442"/>
      <c r="DU499" s="1442"/>
      <c r="DV499" s="1442"/>
      <c r="DW499" s="1442"/>
      <c r="DX499" s="1442"/>
      <c r="DY499" s="1442"/>
      <c r="DZ499" s="1442"/>
      <c r="EA499" s="1442"/>
      <c r="EB499" s="1442"/>
      <c r="EC499" s="1442"/>
      <c r="ED499" s="1442"/>
      <c r="EE499" s="1442"/>
      <c r="EF499" s="1442"/>
      <c r="EG499" s="1442"/>
      <c r="EH499" s="1442"/>
      <c r="EI499" s="1442"/>
      <c r="EJ499" s="1442"/>
      <c r="EK499" s="1442"/>
      <c r="EL499" s="1442"/>
      <c r="EM499" s="1442"/>
      <c r="EN499" s="1442"/>
      <c r="EO499" s="1442"/>
      <c r="EP499" s="1442"/>
      <c r="EQ499" s="1442"/>
      <c r="ER499" s="1442"/>
      <c r="ES499" s="1442"/>
      <c r="ET499" s="1442"/>
      <c r="EU499" s="1442"/>
      <c r="EV499" s="1442"/>
      <c r="EW499" s="1442"/>
      <c r="EX499" s="1442"/>
      <c r="EY499" s="1442"/>
      <c r="EZ499" s="1442"/>
      <c r="FA499" s="1442"/>
      <c r="FB499" s="1442"/>
      <c r="FC499" s="1442"/>
      <c r="FD499" s="1442"/>
      <c r="FE499" s="1442"/>
      <c r="FF499" s="1442"/>
      <c r="FG499" s="1442"/>
      <c r="FH499" s="1442"/>
      <c r="FI499" s="1442"/>
      <c r="FJ499" s="1442"/>
      <c r="FK499" s="1442"/>
      <c r="FL499" s="1442"/>
      <c r="FM499" s="1442"/>
      <c r="FN499" s="1442"/>
      <c r="FO499" s="1442"/>
      <c r="FP499" s="1442"/>
      <c r="FQ499" s="1442"/>
      <c r="FR499" s="1442"/>
      <c r="FS499" s="1442"/>
      <c r="FT499" s="1442"/>
      <c r="FU499" s="1442"/>
      <c r="FV499" s="1442"/>
      <c r="FW499" s="1442"/>
      <c r="FX499" s="1442"/>
      <c r="FY499" s="1442"/>
      <c r="FZ499" s="1442"/>
      <c r="GA499" s="1442"/>
      <c r="GB499" s="1442"/>
      <c r="GC499" s="1442"/>
      <c r="GD499" s="1442"/>
      <c r="GE499" s="1442"/>
      <c r="GF499" s="1442"/>
      <c r="GG499" s="1442"/>
      <c r="GH499" s="1442"/>
      <c r="GI499" s="1442"/>
      <c r="GJ499" s="1442"/>
      <c r="GK499" s="1442"/>
      <c r="GL499" s="1442"/>
      <c r="GM499" s="1442"/>
      <c r="GN499" s="1442"/>
      <c r="GO499" s="1442"/>
      <c r="GP499" s="1442"/>
      <c r="GQ499" s="1442"/>
      <c r="GR499" s="1442"/>
      <c r="GS499" s="1442"/>
      <c r="GT499" s="1442"/>
      <c r="GU499" s="1442"/>
      <c r="GV499" s="1442"/>
      <c r="GW499" s="1442"/>
      <c r="GX499" s="1442"/>
      <c r="GY499" s="1442"/>
      <c r="GZ499" s="1442"/>
      <c r="HA499" s="1442"/>
      <c r="HB499" s="1442"/>
      <c r="HC499" s="1442"/>
      <c r="HD499" s="1442"/>
      <c r="HE499" s="1442"/>
      <c r="HF499" s="1442"/>
      <c r="HG499" s="1442"/>
      <c r="HH499" s="1442"/>
      <c r="HI499" s="1442"/>
      <c r="HJ499" s="1442"/>
      <c r="HK499" s="1442"/>
      <c r="HL499" s="1442"/>
      <c r="HM499" s="1442"/>
      <c r="HN499" s="1442"/>
      <c r="HO499" s="1442"/>
      <c r="HP499" s="1442"/>
      <c r="HQ499" s="1442"/>
      <c r="HR499" s="1442"/>
      <c r="HS499" s="1442"/>
      <c r="HT499" s="1442"/>
      <c r="HU499" s="1442"/>
      <c r="HV499" s="1442"/>
      <c r="HW499" s="1442"/>
      <c r="HX499" s="1442"/>
      <c r="HY499" s="1442"/>
      <c r="HZ499" s="1442"/>
      <c r="IA499" s="1442"/>
      <c r="IB499" s="1442"/>
      <c r="IC499" s="1442"/>
      <c r="ID499" s="1442"/>
      <c r="IE499" s="1442"/>
      <c r="IF499" s="1442"/>
      <c r="IG499" s="1442"/>
      <c r="IH499" s="1442"/>
      <c r="II499" s="1442"/>
      <c r="IJ499" s="1442"/>
      <c r="IK499" s="1442"/>
      <c r="IL499" s="1442"/>
      <c r="IM499" s="1442"/>
      <c r="IN499" s="1442"/>
      <c r="IO499" s="1442"/>
      <c r="IP499" s="1442"/>
      <c r="IQ499" s="1442"/>
      <c r="IR499" s="1442"/>
      <c r="IS499" s="1442"/>
      <c r="IT499" s="1442"/>
      <c r="IU499" s="1442"/>
      <c r="IV499" s="1442"/>
      <c r="IW499" s="1442"/>
      <c r="IX499" s="1442"/>
      <c r="IY499" s="1442"/>
      <c r="IZ499" s="1442"/>
      <c r="JA499" s="1442"/>
      <c r="JB499" s="1442"/>
      <c r="JC499" s="1442"/>
      <c r="JD499" s="1442"/>
      <c r="JE499" s="1442"/>
      <c r="JF499" s="1442"/>
      <c r="JG499" s="1442"/>
      <c r="JH499" s="1442"/>
      <c r="JI499" s="1442"/>
      <c r="JJ499" s="1442"/>
      <c r="JK499" s="1442"/>
      <c r="JL499" s="1442"/>
      <c r="JM499" s="1442"/>
      <c r="JN499" s="1442"/>
      <c r="JO499" s="1442"/>
      <c r="JP499" s="1442"/>
      <c r="JQ499" s="1442"/>
      <c r="JR499" s="1442"/>
      <c r="JS499" s="1442"/>
      <c r="JT499" s="1442"/>
      <c r="JU499" s="1442"/>
      <c r="JV499" s="1442"/>
      <c r="JW499" s="1442"/>
      <c r="JX499" s="1442"/>
      <c r="JY499" s="1442"/>
      <c r="JZ499" s="1442"/>
      <c r="KA499" s="1442"/>
      <c r="KB499" s="1442"/>
      <c r="KC499" s="1442"/>
      <c r="KD499" s="1442"/>
      <c r="KE499" s="1442"/>
      <c r="KF499" s="1442"/>
      <c r="KG499" s="1442"/>
      <c r="KH499" s="1442"/>
      <c r="KI499" s="1442"/>
      <c r="KJ499" s="1442"/>
      <c r="KK499" s="1442"/>
      <c r="KL499" s="1442"/>
      <c r="KM499" s="1442"/>
      <c r="KN499" s="1442"/>
      <c r="KO499" s="1442"/>
      <c r="KP499" s="1442"/>
      <c r="KQ499" s="1442"/>
      <c r="KR499" s="1442"/>
      <c r="KS499" s="1442"/>
      <c r="KT499" s="1442"/>
      <c r="KU499" s="1442"/>
      <c r="KV499" s="1442"/>
      <c r="KW499" s="1442"/>
      <c r="KX499" s="1442"/>
      <c r="KY499" s="1442"/>
      <c r="KZ499" s="1442"/>
      <c r="LA499" s="1442"/>
      <c r="LB499" s="1442"/>
      <c r="LC499" s="1442"/>
      <c r="LD499" s="1442"/>
      <c r="LE499" s="1442"/>
      <c r="LF499" s="1442"/>
      <c r="LG499" s="1442"/>
      <c r="LH499" s="1442"/>
      <c r="LI499" s="1442"/>
      <c r="LJ499" s="1442"/>
      <c r="LK499" s="1442"/>
      <c r="LL499" s="1442"/>
      <c r="LM499" s="1442"/>
      <c r="LN499" s="1442"/>
      <c r="LO499" s="1442"/>
      <c r="LP499" s="1442"/>
      <c r="LQ499" s="1442"/>
      <c r="LR499" s="1442"/>
      <c r="LS499" s="1442"/>
      <c r="LT499" s="1442"/>
      <c r="LU499" s="1442"/>
      <c r="LV499" s="1442"/>
      <c r="LW499" s="1442"/>
      <c r="LX499" s="1442"/>
      <c r="LY499" s="1442"/>
      <c r="LZ499" s="1442"/>
      <c r="MA499" s="1442"/>
      <c r="MB499" s="1442"/>
      <c r="MC499" s="1442"/>
      <c r="MD499" s="1442"/>
      <c r="ME499" s="1442"/>
    </row>
    <row r="500" spans="1:380" ht="14.65" customHeight="1">
      <c r="A500" s="265" t="s">
        <v>25</v>
      </c>
      <c r="B500" s="265" t="s">
        <v>1161</v>
      </c>
      <c r="K500" s="2366" t="s">
        <v>1162</v>
      </c>
      <c r="O500" s="2188" t="str">
        <f>'Part V-Revenues &amp; Expenses'!O53</f>
        <v>40% of Units at 60% of AMI</v>
      </c>
      <c r="P500" s="2188"/>
      <c r="S500" s="1440" t="str">
        <f>B500</f>
        <v>UNIT SUMMARY</v>
      </c>
      <c r="T500" s="1440"/>
      <c r="U500" s="1440"/>
      <c r="V500" s="1440"/>
      <c r="AY500" s="263"/>
      <c r="BD500" s="263"/>
      <c r="JW500" s="1441"/>
      <c r="KB500" s="1441"/>
      <c r="KG500" s="1441"/>
      <c r="KL500" s="1441"/>
      <c r="KM500" s="1441"/>
      <c r="KN500" s="1441"/>
      <c r="KO500" s="1441"/>
      <c r="KP500" s="1441"/>
      <c r="KQ500" s="1441"/>
      <c r="KR500" s="1441"/>
      <c r="KS500" s="1441"/>
      <c r="KT500" s="1441"/>
      <c r="KU500" s="1441"/>
      <c r="KV500" s="1441"/>
      <c r="KW500" s="1441"/>
      <c r="KX500" s="1441"/>
      <c r="KY500" s="1441"/>
      <c r="KZ500" s="1441"/>
      <c r="LA500" s="1441"/>
      <c r="LB500" s="1441"/>
      <c r="LC500" s="1441"/>
      <c r="LD500" s="1441"/>
      <c r="LE500" s="1441"/>
      <c r="LF500" s="1441"/>
      <c r="LG500" s="1441"/>
      <c r="LN500" s="265"/>
      <c r="LO500" s="265"/>
      <c r="ME500" s="265"/>
    </row>
    <row r="501" spans="1:380" ht="14.25" customHeight="1">
      <c r="A501" s="265"/>
      <c r="B501" s="265"/>
      <c r="K501" s="1499" t="s">
        <v>1163</v>
      </c>
      <c r="O501" s="2188" t="str">
        <f>'Part V-Revenues &amp; Expenses'!O54</f>
        <v>&lt;&lt; Select &gt;&gt;</v>
      </c>
      <c r="P501" s="2188"/>
      <c r="S501" s="265"/>
      <c r="T501" s="265"/>
      <c r="U501" s="2351"/>
      <c r="AY501" s="263"/>
      <c r="BD501" s="263"/>
      <c r="JW501" s="1441"/>
      <c r="KB501" s="1441"/>
      <c r="KG501" s="1441"/>
      <c r="KL501" s="1441"/>
      <c r="KM501" s="1441"/>
      <c r="KN501" s="1441"/>
      <c r="KO501" s="1441"/>
      <c r="KP501" s="1441"/>
      <c r="KQ501" s="1441"/>
      <c r="KR501" s="1441"/>
      <c r="KS501" s="1441"/>
      <c r="KT501" s="1441"/>
      <c r="KU501" s="1441"/>
      <c r="KV501" s="1441"/>
      <c r="KW501" s="1441"/>
      <c r="KX501" s="1441"/>
      <c r="KY501" s="1441"/>
      <c r="KZ501" s="1441"/>
      <c r="LA501" s="1441"/>
      <c r="LB501" s="1441"/>
      <c r="LC501" s="1441"/>
      <c r="LD501" s="1441"/>
      <c r="LE501" s="1441"/>
      <c r="LF501" s="1441"/>
      <c r="LG501" s="1441"/>
      <c r="LN501" s="265"/>
      <c r="LO501" s="265"/>
      <c r="ME501" s="265"/>
    </row>
    <row r="502" spans="1:380" ht="14.65" customHeight="1">
      <c r="A502" s="265"/>
      <c r="B502" s="265" t="s">
        <v>1164</v>
      </c>
      <c r="H502" s="261" t="s">
        <v>1165</v>
      </c>
      <c r="K502" s="2367" t="s">
        <v>763</v>
      </c>
      <c r="L502" s="1576" t="s">
        <v>1166</v>
      </c>
      <c r="M502" s="1576" t="s">
        <v>1167</v>
      </c>
      <c r="N502" s="1576" t="s">
        <v>1168</v>
      </c>
      <c r="O502" s="1576" t="s">
        <v>1169</v>
      </c>
      <c r="P502" s="1576" t="s">
        <v>296</v>
      </c>
      <c r="S502" s="265" t="s">
        <v>781</v>
      </c>
      <c r="T502" s="265"/>
      <c r="U502" s="2351"/>
      <c r="AR502" s="1576"/>
      <c r="AS502" s="1576"/>
      <c r="AT502" s="1576"/>
      <c r="AU502" s="1576"/>
      <c r="AV502" s="1576"/>
      <c r="AW502" s="1576"/>
      <c r="AY502" s="263"/>
      <c r="BB502" s="1576"/>
      <c r="BD502" s="263"/>
      <c r="JW502" s="1441"/>
      <c r="KB502" s="1441"/>
      <c r="KG502" s="1441"/>
      <c r="KL502" s="1441"/>
      <c r="KM502" s="1441"/>
      <c r="KN502" s="1441"/>
      <c r="KO502" s="1441"/>
      <c r="KP502" s="1441"/>
      <c r="KQ502" s="1441"/>
      <c r="KR502" s="1441"/>
      <c r="KS502" s="1441"/>
      <c r="KT502" s="1441"/>
      <c r="KU502" s="1441"/>
      <c r="KV502" s="1441"/>
      <c r="KW502" s="1441"/>
      <c r="KX502" s="1441"/>
      <c r="KY502" s="1441"/>
      <c r="KZ502" s="1441"/>
      <c r="LA502" s="1441"/>
      <c r="LB502" s="1441"/>
      <c r="LC502" s="1441"/>
      <c r="LD502" s="1441"/>
      <c r="LE502" s="1441"/>
      <c r="LF502" s="1441"/>
      <c r="LG502" s="1441"/>
      <c r="LN502" s="265"/>
      <c r="LO502" s="265"/>
      <c r="ME502" s="265"/>
    </row>
    <row r="503" spans="1:380" ht="15" customHeight="1">
      <c r="A503" s="2368" t="s">
        <v>1170</v>
      </c>
      <c r="B503" s="2368"/>
      <c r="C503" s="263" t="s">
        <v>1171</v>
      </c>
      <c r="D503" s="263"/>
      <c r="E503" s="263"/>
      <c r="F503" s="263"/>
      <c r="H503" s="1222" t="s">
        <v>1172</v>
      </c>
      <c r="I503" s="266"/>
      <c r="K503" s="2160">
        <f>X496</f>
        <v>0</v>
      </c>
      <c r="L503" s="2160">
        <f>Y496</f>
        <v>0</v>
      </c>
      <c r="M503" s="2160">
        <f>Z496</f>
        <v>0</v>
      </c>
      <c r="N503" s="2160">
        <f>AA496</f>
        <v>0</v>
      </c>
      <c r="O503" s="2160">
        <f>AB496</f>
        <v>0</v>
      </c>
      <c r="P503" s="2160">
        <f t="shared" ref="P503:P514" si="344">SUM(K503:O503)</f>
        <v>0</v>
      </c>
      <c r="Q503" s="2283" t="s">
        <v>1173</v>
      </c>
      <c r="R503" s="2369"/>
      <c r="S503" s="2358"/>
      <c r="T503" s="2358"/>
      <c r="U503" s="2358"/>
      <c r="V503" s="2358"/>
      <c r="W503" s="2358"/>
      <c r="X503" s="263"/>
      <c r="AA503" s="263"/>
      <c r="AB503" s="266"/>
      <c r="AC503" s="263"/>
      <c r="AF503" s="263"/>
      <c r="AG503" s="266"/>
      <c r="AH503" s="263"/>
      <c r="AK503" s="263"/>
      <c r="AL503" s="266"/>
      <c r="AM503" s="263"/>
      <c r="AP503" s="263"/>
      <c r="AQ503" s="266"/>
      <c r="AR503" s="267"/>
      <c r="AS503" s="267"/>
      <c r="AT503" s="267"/>
      <c r="AU503" s="267"/>
      <c r="AV503" s="267"/>
      <c r="AW503" s="267"/>
      <c r="AX503" s="266"/>
      <c r="AY503" s="263"/>
      <c r="BB503" s="267"/>
      <c r="BC503" s="266"/>
      <c r="BD503" s="263"/>
      <c r="JW503" s="1441"/>
      <c r="KB503" s="1441"/>
      <c r="KG503" s="1441"/>
      <c r="KL503" s="1441"/>
      <c r="KM503" s="1441"/>
      <c r="KN503" s="1441"/>
      <c r="KO503" s="1441"/>
      <c r="KP503" s="1441"/>
      <c r="KQ503" s="1441"/>
      <c r="KR503" s="1441"/>
      <c r="KS503" s="1441"/>
      <c r="KT503" s="1441"/>
      <c r="KU503" s="1441"/>
      <c r="KV503" s="1441"/>
      <c r="KW503" s="1441"/>
      <c r="KX503" s="1441"/>
      <c r="KY503" s="1441"/>
      <c r="KZ503" s="1441"/>
      <c r="LA503" s="1441"/>
      <c r="LB503" s="1441"/>
      <c r="LC503" s="1441"/>
      <c r="LD503" s="1441"/>
      <c r="LE503" s="1441"/>
      <c r="LF503" s="1441"/>
      <c r="LG503" s="1441"/>
      <c r="LN503" s="265"/>
      <c r="LO503" s="265"/>
      <c r="ME503" s="265"/>
    </row>
    <row r="504" spans="1:380" ht="15" customHeight="1">
      <c r="A504" s="2368"/>
      <c r="B504" s="2368"/>
      <c r="C504" s="263"/>
      <c r="D504" s="263"/>
      <c r="E504" s="263"/>
      <c r="F504" s="263"/>
      <c r="H504" s="1222" t="s">
        <v>1174</v>
      </c>
      <c r="I504" s="266"/>
      <c r="K504" s="2160">
        <f>AC496</f>
        <v>0</v>
      </c>
      <c r="L504" s="2160">
        <f>AD496</f>
        <v>0</v>
      </c>
      <c r="M504" s="2160">
        <f>AE496</f>
        <v>0</v>
      </c>
      <c r="N504" s="2160">
        <f>AF496</f>
        <v>0</v>
      </c>
      <c r="O504" s="2160">
        <f>AG496</f>
        <v>0</v>
      </c>
      <c r="P504" s="2160">
        <f t="shared" si="344"/>
        <v>0</v>
      </c>
      <c r="Q504" s="2283"/>
      <c r="R504" s="2369"/>
      <c r="S504" s="2358"/>
      <c r="T504" s="2358"/>
      <c r="U504" s="2358"/>
      <c r="V504" s="2358"/>
      <c r="W504" s="2358"/>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441"/>
      <c r="KB504" s="1441"/>
      <c r="KG504" s="1441"/>
      <c r="KL504" s="1441"/>
      <c r="KM504" s="1441"/>
      <c r="KN504" s="1441"/>
      <c r="KO504" s="1441"/>
      <c r="KP504" s="1441"/>
      <c r="KQ504" s="1441"/>
      <c r="KR504" s="1441"/>
      <c r="KS504" s="1441"/>
      <c r="KT504" s="1441"/>
      <c r="KU504" s="1441"/>
      <c r="KV504" s="1441"/>
      <c r="KW504" s="1441"/>
      <c r="KX504" s="1441"/>
      <c r="KY504" s="1441"/>
      <c r="KZ504" s="1441"/>
      <c r="LA504" s="1441"/>
      <c r="LB504" s="1441"/>
      <c r="LC504" s="1441"/>
      <c r="LD504" s="1441"/>
      <c r="LE504" s="1441"/>
      <c r="LF504" s="1441"/>
      <c r="LG504" s="1441"/>
      <c r="LN504" s="265"/>
      <c r="LO504" s="265"/>
      <c r="ME504" s="265"/>
    </row>
    <row r="505" spans="1:380" ht="15" customHeight="1">
      <c r="A505" s="2368"/>
      <c r="B505" s="2368"/>
      <c r="C505" s="263"/>
      <c r="D505" s="263"/>
      <c r="E505" s="263"/>
      <c r="F505" s="263"/>
      <c r="H505" s="1222" t="s">
        <v>1175</v>
      </c>
      <c r="I505" s="266"/>
      <c r="K505" s="2160">
        <f>AH496</f>
        <v>0</v>
      </c>
      <c r="L505" s="2160">
        <f>AI496</f>
        <v>38</v>
      </c>
      <c r="M505" s="2160">
        <f>AJ496</f>
        <v>60</v>
      </c>
      <c r="N505" s="2160">
        <f>AK496</f>
        <v>20</v>
      </c>
      <c r="O505" s="2160">
        <f>AL496</f>
        <v>0</v>
      </c>
      <c r="P505" s="2160">
        <f t="shared" si="344"/>
        <v>118</v>
      </c>
      <c r="Q505" s="2283"/>
      <c r="R505" s="2369"/>
      <c r="S505" s="2358"/>
      <c r="T505" s="2358"/>
      <c r="U505" s="2358"/>
      <c r="V505" s="2358"/>
      <c r="W505" s="2358"/>
      <c r="X505" s="263"/>
      <c r="AA505" s="263"/>
      <c r="AB505" s="266"/>
      <c r="AC505" s="263"/>
      <c r="AF505" s="263"/>
      <c r="AG505" s="266"/>
      <c r="AH505" s="263"/>
      <c r="AK505" s="263"/>
      <c r="AL505" s="266"/>
      <c r="AM505" s="263"/>
      <c r="AP505" s="263"/>
      <c r="AQ505" s="266"/>
      <c r="AR505" s="267"/>
      <c r="AS505" s="267"/>
      <c r="AT505" s="267"/>
      <c r="AU505" s="267"/>
      <c r="AV505" s="267"/>
      <c r="AW505" s="267"/>
      <c r="AX505" s="266"/>
      <c r="AY505" s="263"/>
      <c r="BB505" s="267"/>
      <c r="BC505" s="266"/>
      <c r="BD505" s="263"/>
      <c r="JW505" s="1441"/>
      <c r="KB505" s="1441"/>
      <c r="KG505" s="1441"/>
      <c r="KL505" s="1441"/>
      <c r="KM505" s="1441"/>
      <c r="KN505" s="1441"/>
      <c r="KO505" s="1441"/>
      <c r="KP505" s="1441"/>
      <c r="KQ505" s="1441"/>
      <c r="KR505" s="1441"/>
      <c r="KS505" s="1441"/>
      <c r="KT505" s="1441"/>
      <c r="KU505" s="1441"/>
      <c r="KV505" s="1441"/>
      <c r="KW505" s="1441"/>
      <c r="KX505" s="1441"/>
      <c r="KY505" s="1441"/>
      <c r="KZ505" s="1441"/>
      <c r="LA505" s="1441"/>
      <c r="LB505" s="1441"/>
      <c r="LC505" s="1441"/>
      <c r="LD505" s="1441"/>
      <c r="LE505" s="1441"/>
      <c r="LF505" s="1441"/>
      <c r="LG505" s="1441"/>
      <c r="LN505" s="265"/>
      <c r="LO505" s="265"/>
      <c r="ME505" s="265"/>
    </row>
    <row r="506" spans="1:380" ht="15" customHeight="1">
      <c r="A506" s="2368"/>
      <c r="B506" s="2368"/>
      <c r="C506" s="263"/>
      <c r="D506" s="263"/>
      <c r="E506" s="263"/>
      <c r="F506" s="263"/>
      <c r="H506" s="1222" t="s">
        <v>1176</v>
      </c>
      <c r="I506" s="266"/>
      <c r="K506" s="2160">
        <f>AM496</f>
        <v>0</v>
      </c>
      <c r="L506" s="2160">
        <f>AN496</f>
        <v>0</v>
      </c>
      <c r="M506" s="2160">
        <f>AO496</f>
        <v>0</v>
      </c>
      <c r="N506" s="2160">
        <f>AP496</f>
        <v>0</v>
      </c>
      <c r="O506" s="2160">
        <f>AQ496</f>
        <v>0</v>
      </c>
      <c r="P506" s="2160">
        <f t="shared" si="344"/>
        <v>0</v>
      </c>
      <c r="Q506" s="2283"/>
      <c r="R506" s="2369"/>
      <c r="S506" s="2358"/>
      <c r="T506" s="2358"/>
      <c r="U506" s="2358"/>
      <c r="V506" s="2358"/>
      <c r="W506" s="2358"/>
      <c r="X506" s="263"/>
      <c r="AA506" s="263"/>
      <c r="AB506" s="266"/>
      <c r="AC506" s="263"/>
      <c r="AF506" s="263"/>
      <c r="AG506" s="266"/>
      <c r="AH506" s="263"/>
      <c r="AK506" s="263"/>
      <c r="AL506" s="266"/>
      <c r="AM506" s="263"/>
      <c r="AP506" s="263"/>
      <c r="AQ506" s="266"/>
      <c r="AR506" s="267"/>
      <c r="AS506" s="267"/>
      <c r="AT506" s="267"/>
      <c r="AU506" s="267"/>
      <c r="AV506" s="267"/>
      <c r="AW506" s="267"/>
      <c r="AX506" s="266"/>
      <c r="AY506" s="263"/>
      <c r="BB506" s="267"/>
      <c r="BC506" s="266"/>
      <c r="BD506" s="263"/>
      <c r="JW506" s="1441"/>
      <c r="KB506" s="1441"/>
      <c r="KG506" s="1441"/>
      <c r="KL506" s="1441"/>
      <c r="KM506" s="1441"/>
      <c r="KN506" s="1441"/>
      <c r="KO506" s="1441"/>
      <c r="KP506" s="1441"/>
      <c r="KQ506" s="1441"/>
      <c r="KR506" s="1441"/>
      <c r="KS506" s="1441"/>
      <c r="KT506" s="1441"/>
      <c r="KU506" s="1441"/>
      <c r="KV506" s="1441"/>
      <c r="KW506" s="1441"/>
      <c r="KX506" s="1441"/>
      <c r="KY506" s="1441"/>
      <c r="KZ506" s="1441"/>
      <c r="LA506" s="1441"/>
      <c r="LB506" s="1441"/>
      <c r="LC506" s="1441"/>
      <c r="LD506" s="1441"/>
      <c r="LE506" s="1441"/>
      <c r="LF506" s="1441"/>
      <c r="LG506" s="1441"/>
      <c r="LN506" s="265"/>
      <c r="LO506" s="265"/>
      <c r="ME506" s="265"/>
    </row>
    <row r="507" spans="1:380" ht="15" customHeight="1">
      <c r="A507" s="2368"/>
      <c r="B507" s="2368"/>
      <c r="C507" s="263"/>
      <c r="D507" s="263"/>
      <c r="E507" s="263"/>
      <c r="F507" s="263"/>
      <c r="H507" s="1222" t="s">
        <v>1177</v>
      </c>
      <c r="I507" s="266"/>
      <c r="K507" s="2160">
        <f>AR496</f>
        <v>0</v>
      </c>
      <c r="L507" s="2160">
        <f>AS496</f>
        <v>0</v>
      </c>
      <c r="M507" s="2160">
        <f>AT496</f>
        <v>0</v>
      </c>
      <c r="N507" s="2160">
        <f>AU496</f>
        <v>0</v>
      </c>
      <c r="O507" s="2160">
        <f>AV496</f>
        <v>0</v>
      </c>
      <c r="P507" s="2160">
        <f t="shared" si="344"/>
        <v>0</v>
      </c>
      <c r="Q507" s="2283"/>
      <c r="R507" s="2369"/>
      <c r="S507" s="2358"/>
      <c r="T507" s="2358"/>
      <c r="U507" s="2358"/>
      <c r="V507" s="2358"/>
      <c r="W507" s="2358"/>
      <c r="X507" s="263"/>
      <c r="AA507" s="263"/>
      <c r="AB507" s="266"/>
      <c r="AC507" s="263"/>
      <c r="AF507" s="263"/>
      <c r="AG507" s="266"/>
      <c r="AH507" s="263"/>
      <c r="AK507" s="263"/>
      <c r="AL507" s="266"/>
      <c r="AM507" s="263"/>
      <c r="AP507" s="263"/>
      <c r="AQ507" s="266"/>
      <c r="AR507" s="267"/>
      <c r="AS507" s="267"/>
      <c r="AT507" s="267"/>
      <c r="AU507" s="267"/>
      <c r="AV507" s="267"/>
      <c r="AW507" s="267"/>
      <c r="AX507" s="266"/>
      <c r="AY507" s="263"/>
      <c r="BB507" s="267"/>
      <c r="BC507" s="266"/>
      <c r="BD507" s="263"/>
      <c r="JW507" s="1441"/>
      <c r="KB507" s="1441"/>
      <c r="KG507" s="1441"/>
      <c r="KL507" s="1441"/>
      <c r="KM507" s="1441"/>
      <c r="KN507" s="1441"/>
      <c r="KO507" s="1441"/>
      <c r="KP507" s="1441"/>
      <c r="KQ507" s="1441"/>
      <c r="KR507" s="1441"/>
      <c r="KS507" s="1441"/>
      <c r="KT507" s="1441"/>
      <c r="KU507" s="1441"/>
      <c r="KV507" s="1441"/>
      <c r="KW507" s="1441"/>
      <c r="KX507" s="1441"/>
      <c r="KY507" s="1441"/>
      <c r="KZ507" s="1441"/>
      <c r="LA507" s="1441"/>
      <c r="LB507" s="1441"/>
      <c r="LC507" s="1441"/>
      <c r="LD507" s="1441"/>
      <c r="LE507" s="1441"/>
      <c r="LF507" s="1441"/>
      <c r="LG507" s="1441"/>
      <c r="LN507" s="265"/>
      <c r="LO507" s="265"/>
      <c r="ME507" s="265"/>
    </row>
    <row r="508" spans="1:380" ht="15" customHeight="1">
      <c r="A508" s="2368"/>
      <c r="B508" s="2368"/>
      <c r="C508" s="263"/>
      <c r="D508" s="263"/>
      <c r="E508" s="263"/>
      <c r="F508" s="263"/>
      <c r="H508" s="1222" t="s">
        <v>1178</v>
      </c>
      <c r="I508" s="266"/>
      <c r="K508" s="2160">
        <f>AW496</f>
        <v>0</v>
      </c>
      <c r="L508" s="2160">
        <f>AX496</f>
        <v>0</v>
      </c>
      <c r="M508" s="2160">
        <f>AY496</f>
        <v>0</v>
      </c>
      <c r="N508" s="2160">
        <f>AZ496</f>
        <v>0</v>
      </c>
      <c r="O508" s="2160">
        <f>BA496</f>
        <v>0</v>
      </c>
      <c r="P508" s="2160">
        <f t="shared" si="344"/>
        <v>0</v>
      </c>
      <c r="Q508" s="2283"/>
      <c r="R508" s="2369"/>
      <c r="S508" s="2358"/>
      <c r="T508" s="2358"/>
      <c r="U508" s="2358"/>
      <c r="V508" s="2358"/>
      <c r="W508" s="2358"/>
      <c r="X508" s="263"/>
      <c r="AA508" s="263"/>
      <c r="AB508" s="266"/>
      <c r="AC508" s="263"/>
      <c r="AF508" s="263"/>
      <c r="AG508" s="266"/>
      <c r="AH508" s="263"/>
      <c r="AK508" s="263"/>
      <c r="AL508" s="266"/>
      <c r="AM508" s="263"/>
      <c r="AP508" s="263"/>
      <c r="AQ508" s="266"/>
      <c r="AR508" s="267"/>
      <c r="AS508" s="267"/>
      <c r="AT508" s="267"/>
      <c r="AU508" s="267"/>
      <c r="AV508" s="267"/>
      <c r="AW508" s="267"/>
      <c r="AX508" s="266"/>
      <c r="AY508" s="263"/>
      <c r="BB508" s="267"/>
      <c r="BC508" s="266"/>
      <c r="BD508" s="263"/>
      <c r="JW508" s="1441"/>
      <c r="KB508" s="1441"/>
      <c r="KG508" s="1441"/>
      <c r="KL508" s="1441"/>
      <c r="KM508" s="1441"/>
      <c r="KN508" s="1441"/>
      <c r="KO508" s="1441"/>
      <c r="KP508" s="1441"/>
      <c r="KQ508" s="1441"/>
      <c r="KR508" s="1441"/>
      <c r="KS508" s="1441"/>
      <c r="KT508" s="1441"/>
      <c r="KU508" s="1441"/>
      <c r="KV508" s="1441"/>
      <c r="KW508" s="1441"/>
      <c r="KX508" s="1441"/>
      <c r="KY508" s="1441"/>
      <c r="KZ508" s="1441"/>
      <c r="LA508" s="1441"/>
      <c r="LB508" s="1441"/>
      <c r="LC508" s="1441"/>
      <c r="LD508" s="1441"/>
      <c r="LE508" s="1441"/>
      <c r="LF508" s="1441"/>
      <c r="LG508" s="1441"/>
      <c r="LN508" s="265"/>
      <c r="LO508" s="265"/>
      <c r="ME508" s="265"/>
    </row>
    <row r="509" spans="1:380" ht="15" customHeight="1">
      <c r="A509" s="2368"/>
      <c r="B509" s="2368"/>
      <c r="C509" s="1440"/>
      <c r="D509" s="263"/>
      <c r="E509" s="263"/>
      <c r="F509" s="263"/>
      <c r="H509" s="1222" t="s">
        <v>1179</v>
      </c>
      <c r="I509" s="266"/>
      <c r="K509" s="2160">
        <f>BB496</f>
        <v>0</v>
      </c>
      <c r="L509" s="2160">
        <f>BC496</f>
        <v>0</v>
      </c>
      <c r="M509" s="2160">
        <f>BD496</f>
        <v>0</v>
      </c>
      <c r="N509" s="2160">
        <f>BE496</f>
        <v>0</v>
      </c>
      <c r="O509" s="2160">
        <f>BF496</f>
        <v>0</v>
      </c>
      <c r="P509" s="2160">
        <f t="shared" si="344"/>
        <v>0</v>
      </c>
      <c r="Q509" s="2283"/>
      <c r="R509" s="2369"/>
      <c r="S509" s="2358"/>
      <c r="T509" s="2358"/>
      <c r="U509" s="2358"/>
      <c r="V509" s="2358"/>
      <c r="W509" s="2358"/>
      <c r="X509" s="1440"/>
      <c r="AA509" s="263"/>
      <c r="AB509" s="266"/>
      <c r="AC509" s="1440"/>
      <c r="AF509" s="263"/>
      <c r="AG509" s="266"/>
      <c r="AH509" s="1440"/>
      <c r="AK509" s="263"/>
      <c r="AL509" s="266"/>
      <c r="AM509" s="1440"/>
      <c r="AP509" s="263"/>
      <c r="AQ509" s="266"/>
      <c r="AR509" s="267"/>
      <c r="AS509" s="267"/>
      <c r="AT509" s="267"/>
      <c r="AU509" s="267"/>
      <c r="AV509" s="267"/>
      <c r="AW509" s="267"/>
      <c r="AX509" s="266"/>
      <c r="AY509" s="263"/>
      <c r="BB509" s="267"/>
      <c r="BC509" s="266"/>
      <c r="BD509" s="263"/>
      <c r="JW509" s="1441"/>
      <c r="KB509" s="1441"/>
      <c r="KG509" s="1441"/>
      <c r="KL509" s="1441"/>
      <c r="KM509" s="1441"/>
      <c r="KN509" s="1441"/>
      <c r="KO509" s="1441"/>
      <c r="KP509" s="1441"/>
      <c r="KQ509" s="1441"/>
      <c r="KR509" s="1441"/>
      <c r="KS509" s="1441"/>
      <c r="KT509" s="1441"/>
      <c r="KU509" s="1441"/>
      <c r="KV509" s="1441"/>
      <c r="KW509" s="1441"/>
      <c r="KX509" s="1441"/>
      <c r="KY509" s="1441"/>
      <c r="KZ509" s="1441"/>
      <c r="LA509" s="1441"/>
      <c r="LB509" s="1441"/>
      <c r="LC509" s="1441"/>
      <c r="LD509" s="1441"/>
      <c r="LE509" s="1441"/>
      <c r="LF509" s="1441"/>
      <c r="LG509" s="1441"/>
      <c r="LN509" s="265"/>
      <c r="LO509" s="265"/>
      <c r="ME509" s="265"/>
    </row>
    <row r="510" spans="1:380" ht="15" customHeight="1">
      <c r="A510" s="2368"/>
      <c r="B510" s="2368"/>
      <c r="C510" s="1222" t="s">
        <v>1180</v>
      </c>
      <c r="D510" s="263"/>
      <c r="E510" s="263"/>
      <c r="F510" s="263"/>
      <c r="H510" s="264"/>
      <c r="I510" s="639"/>
      <c r="K510" s="2160">
        <f>SUM(K503:K509)</f>
        <v>0</v>
      </c>
      <c r="L510" s="2160">
        <f>SUM(L503:L509)</f>
        <v>38</v>
      </c>
      <c r="M510" s="2160">
        <f>SUM(M503:M509)</f>
        <v>60</v>
      </c>
      <c r="N510" s="2160">
        <f>SUM(N503:N509)</f>
        <v>20</v>
      </c>
      <c r="O510" s="2160">
        <f>SUM(O503:O509)</f>
        <v>0</v>
      </c>
      <c r="P510" s="2160">
        <f t="shared" si="344"/>
        <v>118</v>
      </c>
      <c r="Q510" s="2283"/>
      <c r="S510" s="2358"/>
      <c r="T510" s="2358"/>
      <c r="U510" s="2358"/>
      <c r="V510" s="2358"/>
      <c r="W510" s="2358"/>
      <c r="X510" s="1440"/>
      <c r="AA510" s="263"/>
      <c r="AB510" s="266"/>
      <c r="AC510" s="1440"/>
      <c r="AF510" s="263"/>
      <c r="AG510" s="266"/>
      <c r="AH510" s="1440"/>
      <c r="AK510" s="263"/>
      <c r="AL510" s="266"/>
      <c r="AM510" s="1440"/>
      <c r="AP510" s="263"/>
      <c r="AQ510" s="266"/>
      <c r="AR510" s="267"/>
      <c r="AS510" s="267"/>
      <c r="AT510" s="267"/>
      <c r="AU510" s="267"/>
      <c r="AV510" s="267"/>
      <c r="AW510" s="267"/>
      <c r="AX510" s="266"/>
      <c r="AY510" s="263"/>
      <c r="BB510" s="267"/>
      <c r="BC510" s="266"/>
      <c r="BD510" s="263"/>
      <c r="JW510" s="1441"/>
      <c r="KB510" s="1441"/>
      <c r="KG510" s="1441"/>
      <c r="KL510" s="1441"/>
      <c r="KM510" s="1441"/>
      <c r="KN510" s="1441"/>
      <c r="KO510" s="1441"/>
      <c r="KP510" s="1441"/>
      <c r="KQ510" s="1441"/>
      <c r="KR510" s="1441"/>
      <c r="KS510" s="1441"/>
      <c r="KT510" s="1441"/>
      <c r="KU510" s="1441"/>
      <c r="KV510" s="1441"/>
      <c r="KW510" s="1441"/>
      <c r="KX510" s="1441"/>
      <c r="KY510" s="1441"/>
      <c r="KZ510" s="1441"/>
      <c r="LA510" s="1441"/>
      <c r="LB510" s="1441"/>
      <c r="LC510" s="1441"/>
      <c r="LD510" s="1441"/>
      <c r="LE510" s="1441"/>
      <c r="LF510" s="1441"/>
      <c r="LG510" s="1441"/>
      <c r="LN510" s="265"/>
      <c r="LO510" s="265"/>
      <c r="ME510" s="265"/>
    </row>
    <row r="511" spans="1:380" ht="15" customHeight="1">
      <c r="A511" s="2368"/>
      <c r="B511" s="2368"/>
      <c r="D511" s="263"/>
      <c r="E511" s="263"/>
      <c r="F511" s="263"/>
      <c r="H511" s="1222" t="s">
        <v>1113</v>
      </c>
      <c r="I511" s="266"/>
      <c r="K511" s="2160">
        <f>BG496</f>
        <v>0</v>
      </c>
      <c r="L511" s="2160">
        <f>BH496</f>
        <v>24</v>
      </c>
      <c r="M511" s="2160">
        <f>BI496</f>
        <v>42</v>
      </c>
      <c r="N511" s="2160">
        <f>BJ496</f>
        <v>15</v>
      </c>
      <c r="O511" s="2160">
        <f>BK496</f>
        <v>0</v>
      </c>
      <c r="P511" s="2160">
        <f t="shared" si="344"/>
        <v>81</v>
      </c>
      <c r="S511" s="2358"/>
      <c r="T511" s="2358"/>
      <c r="U511" s="2358"/>
      <c r="V511" s="2358"/>
      <c r="W511" s="2358"/>
      <c r="X511" s="263"/>
      <c r="AA511" s="263"/>
      <c r="AB511" s="266"/>
      <c r="AC511" s="263"/>
      <c r="AF511" s="263"/>
      <c r="AG511" s="266"/>
      <c r="AH511" s="263"/>
      <c r="AK511" s="263"/>
      <c r="AL511" s="266"/>
      <c r="AM511" s="263"/>
      <c r="AP511" s="263"/>
      <c r="AQ511" s="266"/>
      <c r="AR511" s="267"/>
      <c r="AS511" s="267"/>
      <c r="AT511" s="267"/>
      <c r="AU511" s="267"/>
      <c r="AV511" s="267"/>
      <c r="AW511" s="267"/>
      <c r="AX511" s="639"/>
      <c r="AY511" s="263"/>
      <c r="BB511" s="267"/>
      <c r="BC511" s="639"/>
      <c r="BD511" s="263"/>
      <c r="JW511" s="1441"/>
      <c r="KB511" s="1441"/>
      <c r="KG511" s="1441"/>
      <c r="KL511" s="1441"/>
      <c r="KM511" s="1441"/>
      <c r="KN511" s="1441"/>
      <c r="KO511" s="1441"/>
      <c r="KP511" s="1441"/>
      <c r="KQ511" s="1441"/>
      <c r="KR511" s="1441"/>
      <c r="KS511" s="1441"/>
      <c r="KT511" s="1441"/>
      <c r="KU511" s="1441"/>
      <c r="KV511" s="1441"/>
      <c r="KW511" s="1441"/>
      <c r="KX511" s="1441"/>
      <c r="KY511" s="1441"/>
      <c r="KZ511" s="1441"/>
      <c r="LA511" s="1441"/>
      <c r="LB511" s="1441"/>
      <c r="LC511" s="1441"/>
      <c r="LD511" s="1441"/>
      <c r="LE511" s="1441"/>
      <c r="LF511" s="1441"/>
      <c r="LG511" s="1441"/>
      <c r="LN511" s="265"/>
      <c r="LO511" s="265"/>
      <c r="ME511" s="265"/>
    </row>
    <row r="512" spans="1:380" ht="15" customHeight="1">
      <c r="A512" s="2368"/>
      <c r="B512" s="2368"/>
      <c r="C512" s="2370" t="s">
        <v>1181</v>
      </c>
      <c r="D512" s="2370"/>
      <c r="E512" s="2370"/>
      <c r="F512" s="2370"/>
      <c r="G512" s="2371"/>
      <c r="H512" s="2372"/>
      <c r="I512" s="2373"/>
      <c r="J512" s="2371"/>
      <c r="K512" s="2161">
        <f>SUM(K510:K511)</f>
        <v>0</v>
      </c>
      <c r="L512" s="2161">
        <f>SUM(L510:L511)</f>
        <v>62</v>
      </c>
      <c r="M512" s="2161">
        <f>SUM(M510:M511)</f>
        <v>102</v>
      </c>
      <c r="N512" s="2161">
        <f>SUM(N510:N511)</f>
        <v>35</v>
      </c>
      <c r="O512" s="2161">
        <f>SUM(O510:O511)</f>
        <v>0</v>
      </c>
      <c r="P512" s="2161">
        <f t="shared" si="344"/>
        <v>199</v>
      </c>
      <c r="S512" s="2358"/>
      <c r="T512" s="2358"/>
      <c r="U512" s="2358"/>
      <c r="V512" s="2358"/>
      <c r="W512" s="2358"/>
      <c r="X512" s="263"/>
      <c r="AA512" s="263"/>
      <c r="AB512" s="266"/>
      <c r="AC512" s="263"/>
      <c r="AF512" s="263"/>
      <c r="AG512" s="266"/>
      <c r="AH512" s="263"/>
      <c r="AK512" s="263"/>
      <c r="AL512" s="266"/>
      <c r="AM512" s="263"/>
      <c r="AP512" s="263"/>
      <c r="AQ512" s="266"/>
      <c r="AR512" s="267"/>
      <c r="AS512" s="267"/>
      <c r="AT512" s="267"/>
      <c r="AU512" s="267"/>
      <c r="AV512" s="267"/>
      <c r="AW512" s="267"/>
      <c r="AX512" s="639"/>
      <c r="AY512" s="263"/>
      <c r="BB512" s="267"/>
      <c r="BC512" s="639"/>
      <c r="BD512" s="263"/>
      <c r="JW512" s="1441"/>
      <c r="KB512" s="1441"/>
      <c r="KG512" s="1441"/>
      <c r="KL512" s="1441"/>
      <c r="KM512" s="1441"/>
      <c r="KN512" s="1441"/>
      <c r="KO512" s="1441"/>
      <c r="KP512" s="1441"/>
      <c r="KQ512" s="1441"/>
      <c r="KR512" s="1441"/>
      <c r="KS512" s="1441"/>
      <c r="KT512" s="1441"/>
      <c r="KU512" s="1441"/>
      <c r="KV512" s="1441"/>
      <c r="KW512" s="1441"/>
      <c r="KX512" s="1441"/>
      <c r="KY512" s="1441"/>
      <c r="KZ512" s="1441"/>
      <c r="LA512" s="1441"/>
      <c r="LB512" s="1441"/>
      <c r="LC512" s="1441"/>
      <c r="LD512" s="1441"/>
      <c r="LE512" s="1441"/>
      <c r="LF512" s="1441"/>
      <c r="LG512" s="1441"/>
      <c r="LN512" s="265"/>
      <c r="LO512" s="265"/>
      <c r="ME512" s="265"/>
    </row>
    <row r="513" spans="1:343" ht="15" customHeight="1">
      <c r="A513" s="2368"/>
      <c r="B513" s="2368"/>
      <c r="D513" s="263"/>
      <c r="E513" s="263"/>
      <c r="F513" s="263"/>
      <c r="H513" s="1222" t="s">
        <v>1182</v>
      </c>
      <c r="I513" s="266"/>
      <c r="K513" s="2160">
        <f>ED496</f>
        <v>0</v>
      </c>
      <c r="L513" s="2160">
        <f>EE496</f>
        <v>0</v>
      </c>
      <c r="M513" s="2160">
        <f>EF496</f>
        <v>0</v>
      </c>
      <c r="N513" s="2160">
        <f>EG496</f>
        <v>0</v>
      </c>
      <c r="O513" s="2160">
        <f>EH496</f>
        <v>0</v>
      </c>
      <c r="P513" s="2160">
        <f t="shared" si="344"/>
        <v>0</v>
      </c>
      <c r="Q513" s="2196" t="s">
        <v>1183</v>
      </c>
      <c r="S513" s="2358"/>
      <c r="T513" s="2358"/>
      <c r="U513" s="2358"/>
      <c r="V513" s="2358"/>
      <c r="W513" s="2358"/>
      <c r="X513" s="263"/>
      <c r="AA513" s="263"/>
      <c r="AB513" s="266"/>
      <c r="AC513" s="263"/>
      <c r="AF513" s="263"/>
      <c r="AG513" s="266"/>
      <c r="AH513" s="263"/>
      <c r="AK513" s="263"/>
      <c r="AL513" s="266"/>
      <c r="AM513" s="263"/>
      <c r="AP513" s="263"/>
      <c r="AQ513" s="266"/>
      <c r="AR513" s="267"/>
      <c r="AS513" s="267"/>
      <c r="AT513" s="267"/>
      <c r="AU513" s="267"/>
      <c r="AV513" s="267"/>
      <c r="AW513" s="267"/>
      <c r="AX513" s="266"/>
      <c r="AY513" s="263"/>
      <c r="BB513" s="267"/>
      <c r="BC513" s="266"/>
      <c r="BD513" s="263"/>
      <c r="JW513" s="1441"/>
      <c r="KB513" s="1441"/>
      <c r="KG513" s="1441"/>
      <c r="KL513" s="1441"/>
      <c r="KM513" s="1441"/>
      <c r="KN513" s="1441"/>
      <c r="KO513" s="1441"/>
      <c r="KP513" s="1441"/>
      <c r="KQ513" s="1441"/>
      <c r="KR513" s="1441"/>
      <c r="KS513" s="1441"/>
      <c r="KT513" s="1441"/>
      <c r="KU513" s="1441"/>
      <c r="KV513" s="1441"/>
      <c r="KW513" s="1441"/>
      <c r="KX513" s="1441"/>
      <c r="KY513" s="1441"/>
      <c r="KZ513" s="1441"/>
      <c r="LA513" s="1441"/>
      <c r="LB513" s="1441"/>
      <c r="LC513" s="1441"/>
      <c r="LD513" s="1441"/>
      <c r="LE513" s="1441"/>
      <c r="LF513" s="1441"/>
      <c r="LG513" s="1441"/>
      <c r="LN513" s="265"/>
      <c r="LO513" s="265"/>
      <c r="ME513" s="265"/>
    </row>
    <row r="514" spans="1:343" ht="15" customHeight="1">
      <c r="A514" s="2368"/>
      <c r="B514" s="2368"/>
      <c r="C514" s="1440" t="s">
        <v>1184</v>
      </c>
      <c r="D514" s="263"/>
      <c r="E514" s="263"/>
      <c r="F514" s="263"/>
      <c r="H514" s="1222"/>
      <c r="I514" s="266"/>
      <c r="K514" s="2162">
        <f>SUM(K512:K513)</f>
        <v>0</v>
      </c>
      <c r="L514" s="2162">
        <f>SUM(L512:L513)</f>
        <v>62</v>
      </c>
      <c r="M514" s="2162">
        <f>SUM(M512:M513)</f>
        <v>102</v>
      </c>
      <c r="N514" s="2162">
        <f>SUM(N512:N513)</f>
        <v>35</v>
      </c>
      <c r="O514" s="2162">
        <f>SUM(O512:O513)</f>
        <v>0</v>
      </c>
      <c r="P514" s="2162">
        <f t="shared" si="344"/>
        <v>199</v>
      </c>
      <c r="S514" s="2358"/>
      <c r="T514" s="2358"/>
      <c r="U514" s="2358"/>
      <c r="V514" s="2358"/>
      <c r="W514" s="2358"/>
      <c r="X514" s="263"/>
      <c r="AA514" s="263"/>
      <c r="AB514" s="266"/>
      <c r="AC514" s="263"/>
      <c r="AF514" s="263"/>
      <c r="AG514" s="266"/>
      <c r="AH514" s="263"/>
      <c r="AK514" s="263"/>
      <c r="AL514" s="266"/>
      <c r="AM514" s="263"/>
      <c r="AP514" s="263"/>
      <c r="AQ514" s="266"/>
      <c r="AR514" s="267"/>
      <c r="AS514" s="267"/>
      <c r="AT514" s="267"/>
      <c r="AU514" s="267"/>
      <c r="AV514" s="267"/>
      <c r="AW514" s="267"/>
      <c r="AY514" s="263"/>
      <c r="BB514" s="267"/>
      <c r="BD514" s="263"/>
      <c r="JW514" s="1441"/>
      <c r="KB514" s="1441"/>
      <c r="KG514" s="1441"/>
      <c r="KL514" s="1441"/>
      <c r="KM514" s="1441"/>
      <c r="KN514" s="1441"/>
      <c r="KO514" s="1441"/>
      <c r="KP514" s="1441"/>
      <c r="KQ514" s="1441"/>
      <c r="KR514" s="1441"/>
      <c r="KS514" s="1441"/>
      <c r="KT514" s="1441"/>
      <c r="KU514" s="1441"/>
      <c r="KV514" s="1441"/>
      <c r="KW514" s="1441"/>
      <c r="KX514" s="1441"/>
      <c r="KY514" s="1441"/>
      <c r="KZ514" s="1441"/>
      <c r="LA514" s="1441"/>
      <c r="LB514" s="1441"/>
      <c r="LC514" s="1441"/>
      <c r="LD514" s="1441"/>
      <c r="LE514" s="1441"/>
      <c r="LF514" s="1441"/>
      <c r="LG514" s="1441"/>
      <c r="LN514" s="265"/>
      <c r="LO514" s="265"/>
      <c r="ME514" s="265"/>
    </row>
    <row r="515" spans="1:343" ht="16.149999999999999" customHeight="1">
      <c r="A515" s="2368"/>
      <c r="B515" s="2368"/>
      <c r="C515" s="2374"/>
      <c r="D515" s="2374"/>
      <c r="E515" s="2374"/>
      <c r="F515" s="2374"/>
      <c r="G515" s="2374"/>
      <c r="H515" s="2368"/>
      <c r="I515" s="2374"/>
      <c r="J515" s="2374"/>
      <c r="K515" s="2374"/>
      <c r="L515" s="2374"/>
      <c r="M515" s="2374"/>
      <c r="N515" s="2374"/>
      <c r="O515" s="2374"/>
      <c r="P515" s="2374"/>
      <c r="X515" s="263"/>
      <c r="AA515" s="263"/>
      <c r="AB515" s="266"/>
      <c r="AC515" s="263"/>
      <c r="AF515" s="263"/>
      <c r="AG515" s="266"/>
      <c r="AH515" s="263"/>
      <c r="AK515" s="263"/>
      <c r="AL515" s="266"/>
      <c r="AM515" s="263"/>
      <c r="AP515" s="263"/>
      <c r="AQ515" s="266"/>
      <c r="AR515" s="263"/>
      <c r="AS515" s="263"/>
      <c r="AT515" s="263"/>
      <c r="AU515" s="263"/>
      <c r="AV515" s="263"/>
      <c r="AW515" s="263"/>
      <c r="AY515" s="263"/>
      <c r="BB515" s="263"/>
      <c r="BD515" s="263"/>
      <c r="JW515" s="1441"/>
      <c r="KB515" s="1441"/>
      <c r="KG515" s="1441"/>
      <c r="KL515" s="1441"/>
      <c r="KM515" s="1441"/>
      <c r="KN515" s="1441"/>
      <c r="KO515" s="1441"/>
      <c r="KP515" s="1441"/>
      <c r="KQ515" s="1441"/>
      <c r="KR515" s="1441"/>
      <c r="KS515" s="1441"/>
      <c r="KT515" s="1441"/>
      <c r="KU515" s="1441"/>
      <c r="KV515" s="1441"/>
      <c r="KW515" s="1441"/>
      <c r="KX515" s="1441"/>
      <c r="KY515" s="1441"/>
      <c r="KZ515" s="1441"/>
      <c r="LA515" s="1441"/>
      <c r="LB515" s="1441"/>
      <c r="LC515" s="1441"/>
      <c r="LD515" s="1441"/>
      <c r="LE515" s="1441"/>
      <c r="LF515" s="1441"/>
      <c r="LG515" s="1441"/>
      <c r="LN515" s="265"/>
      <c r="LO515" s="265"/>
      <c r="ME515" s="265"/>
    </row>
    <row r="516" spans="1:343" ht="12" customHeight="1">
      <c r="A516" s="2368"/>
      <c r="B516" s="2368"/>
      <c r="C516" s="2374" t="s">
        <v>1185</v>
      </c>
      <c r="D516" s="2374"/>
      <c r="E516" s="2374"/>
      <c r="F516" s="2374"/>
      <c r="G516" s="2374"/>
      <c r="H516" s="2368"/>
      <c r="I516" s="2374"/>
      <c r="J516" s="2374"/>
      <c r="K516" s="2374"/>
      <c r="L516" s="2374"/>
      <c r="M516" s="2374"/>
      <c r="N516" s="2374"/>
      <c r="O516" s="2374"/>
      <c r="P516" s="2374"/>
      <c r="S516" s="2215" t="str">
        <f>C516</f>
        <v xml:space="preserve">Income Limit Distribution among Bedroom Sizes </v>
      </c>
      <c r="U516" s="2375"/>
      <c r="X516" s="263"/>
      <c r="AA516" s="263"/>
      <c r="AB516" s="266"/>
      <c r="AC516" s="263"/>
      <c r="AF516" s="263"/>
      <c r="AG516" s="266"/>
      <c r="AH516" s="263"/>
      <c r="AK516" s="263"/>
      <c r="AL516" s="266"/>
      <c r="AM516" s="263"/>
      <c r="AP516" s="263"/>
      <c r="AQ516" s="266"/>
      <c r="AR516" s="263"/>
      <c r="AS516" s="263"/>
      <c r="AT516" s="263"/>
      <c r="AU516" s="263"/>
      <c r="AV516" s="263"/>
      <c r="AW516" s="263"/>
      <c r="AY516" s="263"/>
      <c r="BB516" s="263"/>
      <c r="BD516" s="263"/>
      <c r="JW516" s="1441"/>
      <c r="KB516" s="1441"/>
      <c r="KG516" s="1441"/>
      <c r="KL516" s="1441"/>
      <c r="KM516" s="1441"/>
      <c r="KN516" s="1441"/>
      <c r="KO516" s="1441"/>
      <c r="KP516" s="1441"/>
      <c r="KQ516" s="1441"/>
      <c r="KR516" s="1441"/>
      <c r="KS516" s="1441"/>
      <c r="KT516" s="1441"/>
      <c r="KU516" s="1441"/>
      <c r="KV516" s="1441"/>
      <c r="KW516" s="1441"/>
      <c r="KX516" s="1441"/>
      <c r="KY516" s="1441"/>
      <c r="KZ516" s="1441"/>
      <c r="LA516" s="1441"/>
      <c r="LB516" s="1441"/>
      <c r="LC516" s="1441"/>
      <c r="LD516" s="1441"/>
      <c r="LE516" s="1441"/>
      <c r="LF516" s="1441"/>
      <c r="LG516" s="1441"/>
      <c r="LN516" s="265"/>
      <c r="LO516" s="265"/>
      <c r="ME516" s="265"/>
    </row>
    <row r="517" spans="1:343" ht="13.15" customHeight="1">
      <c r="A517" s="2368"/>
      <c r="B517" s="2368"/>
      <c r="C517" s="2374"/>
      <c r="D517" s="2374"/>
      <c r="E517" s="2374"/>
      <c r="F517" s="2374"/>
      <c r="H517" s="1222" t="s">
        <v>1172</v>
      </c>
      <c r="I517" s="266"/>
      <c r="J517" s="2376"/>
      <c r="K517" s="2377" t="str">
        <f t="shared" ref="K517:P517" si="345">IF(OR(K503=0,K514=0),"",K503/K514)</f>
        <v/>
      </c>
      <c r="L517" s="2377" t="str">
        <f t="shared" si="345"/>
        <v/>
      </c>
      <c r="M517" s="2377" t="str">
        <f t="shared" si="345"/>
        <v/>
      </c>
      <c r="N517" s="2377" t="str">
        <f t="shared" si="345"/>
        <v/>
      </c>
      <c r="O517" s="2377" t="str">
        <f t="shared" si="345"/>
        <v/>
      </c>
      <c r="P517" s="2377" t="str">
        <f t="shared" si="345"/>
        <v/>
      </c>
      <c r="Q517" s="1556" t="s">
        <v>1186</v>
      </c>
      <c r="S517" s="2358"/>
      <c r="T517" s="2358"/>
      <c r="U517" s="2358"/>
      <c r="V517" s="2358"/>
      <c r="W517" s="2358"/>
    </row>
    <row r="518" spans="1:343">
      <c r="A518" s="2368"/>
      <c r="B518" s="2368"/>
      <c r="C518" s="2195"/>
      <c r="H518" s="1222" t="s">
        <v>6990</v>
      </c>
      <c r="I518" s="266"/>
      <c r="J518" s="263"/>
      <c r="K518" s="2378" t="str">
        <f>IF(OR(K503=0,P517="",K514=0),"",P517*K514)</f>
        <v/>
      </c>
      <c r="L518" s="2378" t="str">
        <f>IF(OR(L503=0,P517="",L514=0),"",P517*L514)</f>
        <v/>
      </c>
      <c r="M518" s="2378" t="str">
        <f>IF(OR(M503=0,P517="",M514=0),"",P517*M514)</f>
        <v/>
      </c>
      <c r="N518" s="2378" t="str">
        <f>IF(OR(N503=0,P517="",N514=0),"",P517*N514)</f>
        <v/>
      </c>
      <c r="O518" s="2378" t="str">
        <f>IF(OR(O503=0,P517="",O514=0),"",P517*O514)</f>
        <v/>
      </c>
      <c r="P518" s="2378" t="str">
        <f>IF(OR(P517="",P514=0),"",P517*P514)</f>
        <v/>
      </c>
      <c r="S518" s="2358"/>
      <c r="T518" s="2358"/>
      <c r="U518" s="2358"/>
      <c r="V518" s="2358"/>
      <c r="W518" s="2358"/>
    </row>
    <row r="519" spans="1:343">
      <c r="A519" s="2368"/>
      <c r="B519" s="2368"/>
      <c r="C519" s="2195"/>
      <c r="G519" s="2361"/>
      <c r="H519" s="1222" t="s">
        <v>6991</v>
      </c>
      <c r="I519" s="266"/>
      <c r="J519" s="263"/>
      <c r="K519" s="2378" t="str">
        <f t="shared" ref="K519:P519" si="346">IF(OR(K518="",K503=0),"", K503-K518)</f>
        <v/>
      </c>
      <c r="L519" s="2378" t="str">
        <f t="shared" si="346"/>
        <v/>
      </c>
      <c r="M519" s="2378" t="str">
        <f t="shared" si="346"/>
        <v/>
      </c>
      <c r="N519" s="2378" t="str">
        <f t="shared" si="346"/>
        <v/>
      </c>
      <c r="O519" s="2378" t="str">
        <f t="shared" si="346"/>
        <v/>
      </c>
      <c r="P519" s="2378" t="str">
        <f t="shared" si="346"/>
        <v/>
      </c>
      <c r="S519" s="2358"/>
      <c r="T519" s="2358"/>
      <c r="U519" s="2358"/>
      <c r="V519" s="2358"/>
      <c r="W519" s="2358"/>
    </row>
    <row r="520" spans="1:343" ht="12.75" customHeight="1">
      <c r="A520" s="2368"/>
      <c r="B520" s="2368"/>
      <c r="C520" s="2195"/>
      <c r="D520" s="2195" t="s">
        <v>6992</v>
      </c>
      <c r="E520" s="2195"/>
      <c r="F520" s="2195"/>
      <c r="H520" s="1222" t="s">
        <v>1174</v>
      </c>
      <c r="I520" s="266"/>
      <c r="J520" s="263"/>
      <c r="K520" s="2377" t="str">
        <f t="shared" ref="K520:P520" si="347">IF(OR(K504=0,K514=0),"",K504/K514)</f>
        <v/>
      </c>
      <c r="L520" s="2377" t="str">
        <f t="shared" si="347"/>
        <v/>
      </c>
      <c r="M520" s="2377" t="str">
        <f t="shared" si="347"/>
        <v/>
      </c>
      <c r="N520" s="2377" t="str">
        <f t="shared" si="347"/>
        <v/>
      </c>
      <c r="O520" s="2377" t="str">
        <f t="shared" si="347"/>
        <v/>
      </c>
      <c r="P520" s="2377" t="str">
        <f t="shared" si="347"/>
        <v/>
      </c>
      <c r="S520" s="2358"/>
      <c r="T520" s="2358"/>
      <c r="U520" s="2358"/>
      <c r="V520" s="2358"/>
      <c r="W520" s="2358"/>
    </row>
    <row r="521" spans="1:343">
      <c r="C521" s="2195"/>
      <c r="D521" s="2195"/>
      <c r="E521" s="2195"/>
      <c r="F521" s="2195"/>
      <c r="H521" s="1222" t="s">
        <v>6990</v>
      </c>
      <c r="I521" s="266"/>
      <c r="J521" s="263"/>
      <c r="K521" s="2378" t="str">
        <f>IF(OR(K504=0,P520="",K514=0),"",P520*K514)</f>
        <v/>
      </c>
      <c r="L521" s="2378" t="str">
        <f>IF(OR(L504=0,P520="",L514=0),"",P520*L514)</f>
        <v/>
      </c>
      <c r="M521" s="2378" t="str">
        <f>IF(OR(M504=0,P520="",M514=0),"",P520*M514)</f>
        <v/>
      </c>
      <c r="N521" s="2378" t="str">
        <f>IF(OR(N504=0,P520="",N514=0),"",P520*N514)</f>
        <v/>
      </c>
      <c r="O521" s="2378" t="str">
        <f>IF(OR(O504=0,P520="",O514=0),"",P520*O514)</f>
        <v/>
      </c>
      <c r="P521" s="2378" t="str">
        <f>IF(OR(P520="",P514=0),"",P520*P514)</f>
        <v/>
      </c>
      <c r="S521" s="2358"/>
      <c r="T521" s="2358"/>
      <c r="U521" s="2358"/>
      <c r="V521" s="2358"/>
      <c r="W521" s="2358"/>
    </row>
    <row r="522" spans="1:343">
      <c r="C522" s="2195"/>
      <c r="D522" s="2195"/>
      <c r="E522" s="2195"/>
      <c r="F522" s="2195"/>
      <c r="G522" s="2361"/>
      <c r="H522" s="1222" t="s">
        <v>6991</v>
      </c>
      <c r="I522" s="266"/>
      <c r="J522" s="263"/>
      <c r="K522" s="2378" t="str">
        <f t="shared" ref="K522:P522" si="348">IF(OR(K521="",K504=0),"", K504-K521)</f>
        <v/>
      </c>
      <c r="L522" s="2378" t="str">
        <f t="shared" si="348"/>
        <v/>
      </c>
      <c r="M522" s="2378" t="str">
        <f t="shared" si="348"/>
        <v/>
      </c>
      <c r="N522" s="2378" t="str">
        <f t="shared" si="348"/>
        <v/>
      </c>
      <c r="O522" s="2378" t="str">
        <f t="shared" si="348"/>
        <v/>
      </c>
      <c r="P522" s="2378" t="str">
        <f t="shared" si="348"/>
        <v/>
      </c>
      <c r="S522" s="2358"/>
      <c r="T522" s="2358"/>
      <c r="U522" s="2358"/>
      <c r="V522" s="2358"/>
      <c r="W522" s="2358"/>
    </row>
    <row r="523" spans="1:343">
      <c r="C523" s="2379" t="s">
        <v>1190</v>
      </c>
      <c r="D523" s="2195"/>
      <c r="E523" s="2195"/>
      <c r="F523" s="2195"/>
      <c r="H523" s="1222" t="s">
        <v>1175</v>
      </c>
      <c r="I523" s="266"/>
      <c r="J523" s="263"/>
      <c r="K523" s="2377" t="str">
        <f t="shared" ref="K523:P523" si="349">IF(OR(K505=0,K514=0),"",K505/K514)</f>
        <v/>
      </c>
      <c r="L523" s="2377">
        <f t="shared" si="349"/>
        <v>0.61290322580645162</v>
      </c>
      <c r="M523" s="2377">
        <f t="shared" si="349"/>
        <v>0.58823529411764708</v>
      </c>
      <c r="N523" s="2377">
        <f t="shared" si="349"/>
        <v>0.5714285714285714</v>
      </c>
      <c r="O523" s="2377" t="str">
        <f t="shared" si="349"/>
        <v/>
      </c>
      <c r="P523" s="2377">
        <f t="shared" si="349"/>
        <v>0.59296482412060303</v>
      </c>
      <c r="S523" s="2358"/>
      <c r="T523" s="2358"/>
      <c r="U523" s="2358"/>
      <c r="V523" s="2358"/>
      <c r="W523" s="2358"/>
    </row>
    <row r="524" spans="1:343" ht="15.75" customHeight="1">
      <c r="C524" s="2379"/>
      <c r="D524" s="2195"/>
      <c r="E524" s="2195"/>
      <c r="F524" s="2195"/>
      <c r="H524" s="1222" t="s">
        <v>6990</v>
      </c>
      <c r="I524" s="266"/>
      <c r="J524" s="263"/>
      <c r="K524" s="2378" t="str">
        <f>IF(OR(K505=0,P523="",K514=0),"",P523*K514)</f>
        <v/>
      </c>
      <c r="L524" s="2378">
        <f>IF(OR(L505=0,P523="",L514=0),"",P523*L514)</f>
        <v>36.763819095477388</v>
      </c>
      <c r="M524" s="2378">
        <f>IF(OR(M505=0,P523="",M514=0),"",P523*M514)</f>
        <v>60.482412060301506</v>
      </c>
      <c r="N524" s="2378">
        <f>IF(OR(N505=0,P523="",N514=0),"",P523*N514)</f>
        <v>20.753768844221106</v>
      </c>
      <c r="O524" s="2378" t="str">
        <f>IF(OR(O505=0,P523="",O514=0),"",P523*O514)</f>
        <v/>
      </c>
      <c r="P524" s="2378">
        <f>IF(OR(P523="",P514=0),"",P523*P514)</f>
        <v>118</v>
      </c>
      <c r="S524" s="2358"/>
      <c r="T524" s="2358"/>
      <c r="U524" s="2358"/>
      <c r="V524" s="2358"/>
      <c r="W524" s="2358"/>
    </row>
    <row r="525" spans="1:343" ht="15.75" customHeight="1">
      <c r="C525" s="2379"/>
      <c r="D525" s="2195"/>
      <c r="E525" s="2195"/>
      <c r="F525" s="2195"/>
      <c r="G525" s="2361"/>
      <c r="H525" s="1222" t="s">
        <v>6991</v>
      </c>
      <c r="I525" s="266"/>
      <c r="J525" s="263"/>
      <c r="K525" s="2378" t="str">
        <f t="shared" ref="K525:P525" si="350">IF(OR(K524="",K505=0),"", K505-K524)</f>
        <v/>
      </c>
      <c r="L525" s="2378">
        <f t="shared" si="350"/>
        <v>1.2361809045226124</v>
      </c>
      <c r="M525" s="2378">
        <f t="shared" si="350"/>
        <v>-0.48241206030150607</v>
      </c>
      <c r="N525" s="2378">
        <f t="shared" si="350"/>
        <v>-0.75376884422110635</v>
      </c>
      <c r="O525" s="2378" t="str">
        <f t="shared" si="350"/>
        <v/>
      </c>
      <c r="P525" s="2378">
        <f t="shared" si="350"/>
        <v>0</v>
      </c>
    </row>
    <row r="526" spans="1:343">
      <c r="C526" s="2379" t="s">
        <v>1190</v>
      </c>
      <c r="D526" s="2379"/>
      <c r="E526" s="2379"/>
      <c r="H526" s="1222" t="s">
        <v>1176</v>
      </c>
      <c r="I526" s="266"/>
      <c r="J526" s="263"/>
      <c r="K526" s="2377" t="str">
        <f t="shared" ref="K526:P526" si="351">IF(OR(K506=0,K514=0),"",K506/K514)</f>
        <v/>
      </c>
      <c r="L526" s="2377" t="str">
        <f t="shared" si="351"/>
        <v/>
      </c>
      <c r="M526" s="2377" t="str">
        <f t="shared" si="351"/>
        <v/>
      </c>
      <c r="N526" s="2377" t="str">
        <f t="shared" si="351"/>
        <v/>
      </c>
      <c r="O526" s="2377" t="str">
        <f t="shared" si="351"/>
        <v/>
      </c>
      <c r="P526" s="2377" t="str">
        <f t="shared" si="351"/>
        <v/>
      </c>
    </row>
    <row r="527" spans="1:343">
      <c r="C527" s="2379"/>
      <c r="D527" s="2379"/>
      <c r="E527" s="2379"/>
      <c r="H527" s="1222" t="s">
        <v>6990</v>
      </c>
      <c r="I527" s="266"/>
      <c r="J527" s="263"/>
      <c r="K527" s="2378" t="str">
        <f>IF(OR(K506=0,P526="",K514=0),"",P526*K514)</f>
        <v/>
      </c>
      <c r="L527" s="2378" t="str">
        <f>IF(OR(L506=0,P526="",L514=0),"",P526*L514)</f>
        <v/>
      </c>
      <c r="M527" s="2378" t="str">
        <f>IF(OR(M506=0,P526="",M514=0),"",P526*M514)</f>
        <v/>
      </c>
      <c r="N527" s="2378" t="str">
        <f>IF(OR(N506=0,P526="",N514=0),"",P526*N514)</f>
        <v/>
      </c>
      <c r="O527" s="2378" t="str">
        <f>IF(OR(O506=0,P526="",O514=0),"",P526*O514)</f>
        <v/>
      </c>
      <c r="P527" s="2378" t="str">
        <f>IF(OR(P526="",P514=0),"",P526*P514)</f>
        <v/>
      </c>
    </row>
    <row r="528" spans="1:343">
      <c r="C528" s="2379"/>
      <c r="D528" s="2379"/>
      <c r="E528" s="2379"/>
      <c r="G528" s="2361"/>
      <c r="H528" s="1222" t="s">
        <v>6991</v>
      </c>
      <c r="I528" s="266"/>
      <c r="J528" s="263"/>
      <c r="K528" s="2378" t="str">
        <f t="shared" ref="K528:P528" si="352">IF(OR(K527="",K506=0),"", K506-K527)</f>
        <v/>
      </c>
      <c r="L528" s="2378" t="str">
        <f t="shared" si="352"/>
        <v/>
      </c>
      <c r="M528" s="2378" t="str">
        <f t="shared" si="352"/>
        <v/>
      </c>
      <c r="N528" s="2378" t="str">
        <f t="shared" si="352"/>
        <v/>
      </c>
      <c r="O528" s="2378" t="str">
        <f t="shared" si="352"/>
        <v/>
      </c>
      <c r="P528" s="2378" t="str">
        <f t="shared" si="352"/>
        <v/>
      </c>
    </row>
    <row r="529" spans="1:343">
      <c r="C529" s="2379" t="s">
        <v>1190</v>
      </c>
      <c r="D529" s="2379"/>
      <c r="E529" s="2379"/>
      <c r="H529" s="1222" t="s">
        <v>1177</v>
      </c>
      <c r="I529" s="266"/>
      <c r="J529" s="263"/>
      <c r="K529" s="2377" t="str">
        <f t="shared" ref="K529:P529" si="353">IF(OR(K507=0,K514=0),"",K507/K514)</f>
        <v/>
      </c>
      <c r="L529" s="2377" t="str">
        <f t="shared" si="353"/>
        <v/>
      </c>
      <c r="M529" s="2377" t="str">
        <f t="shared" si="353"/>
        <v/>
      </c>
      <c r="N529" s="2377" t="str">
        <f t="shared" si="353"/>
        <v/>
      </c>
      <c r="O529" s="2377" t="str">
        <f t="shared" si="353"/>
        <v/>
      </c>
      <c r="P529" s="2377" t="str">
        <f t="shared" si="353"/>
        <v/>
      </c>
    </row>
    <row r="530" spans="1:343">
      <c r="C530" s="2379"/>
      <c r="H530" s="1222" t="s">
        <v>6990</v>
      </c>
      <c r="I530" s="266"/>
      <c r="J530" s="263"/>
      <c r="K530" s="2378" t="str">
        <f>IF(OR(K507=0,P529="",K514=0),"",P529*K514)</f>
        <v/>
      </c>
      <c r="L530" s="2378" t="str">
        <f>IF(OR(L507=0,P529="",L514=0),"",P529*L514)</f>
        <v/>
      </c>
      <c r="M530" s="2378" t="str">
        <f>IF(OR(M507=0,P529="",M514=0),"",P529*M514)</f>
        <v/>
      </c>
      <c r="N530" s="2378" t="str">
        <f>IF(OR(N507=0,P529="",N514=0),"",P529*N514)</f>
        <v/>
      </c>
      <c r="O530" s="2378" t="str">
        <f>IF(OR(O507=0,P529="",O514=0),"",P529*O514)</f>
        <v/>
      </c>
      <c r="P530" s="2378" t="str">
        <f>IF(OR(P529="",P514=0),"",P529*P514)</f>
        <v/>
      </c>
    </row>
    <row r="531" spans="1:343">
      <c r="C531" s="2379"/>
      <c r="G531" s="2361"/>
      <c r="H531" s="1222" t="s">
        <v>6991</v>
      </c>
      <c r="I531" s="266"/>
      <c r="J531" s="263"/>
      <c r="K531" s="2378" t="str">
        <f t="shared" ref="K531:P531" si="354">IF(OR(K530="",K507=0),"", K507-K530)</f>
        <v/>
      </c>
      <c r="L531" s="2378" t="str">
        <f t="shared" si="354"/>
        <v/>
      </c>
      <c r="M531" s="2378" t="str">
        <f t="shared" si="354"/>
        <v/>
      </c>
      <c r="N531" s="2378" t="str">
        <f t="shared" si="354"/>
        <v/>
      </c>
      <c r="O531" s="2378" t="str">
        <f t="shared" si="354"/>
        <v/>
      </c>
      <c r="P531" s="2378" t="str">
        <f t="shared" si="354"/>
        <v/>
      </c>
    </row>
    <row r="532" spans="1:343">
      <c r="C532" s="2379" t="s">
        <v>1190</v>
      </c>
      <c r="H532" s="1222" t="s">
        <v>1178</v>
      </c>
      <c r="I532" s="266"/>
      <c r="J532" s="263"/>
      <c r="K532" s="2377" t="str">
        <f t="shared" ref="K532:P532" si="355">IF(OR(K508=0,K514=0),"",K508/K514)</f>
        <v/>
      </c>
      <c r="L532" s="2377" t="str">
        <f t="shared" si="355"/>
        <v/>
      </c>
      <c r="M532" s="2377" t="str">
        <f t="shared" si="355"/>
        <v/>
      </c>
      <c r="N532" s="2377" t="str">
        <f t="shared" si="355"/>
        <v/>
      </c>
      <c r="O532" s="2377" t="str">
        <f t="shared" si="355"/>
        <v/>
      </c>
      <c r="P532" s="2377" t="str">
        <f t="shared" si="355"/>
        <v/>
      </c>
    </row>
    <row r="533" spans="1:343">
      <c r="C533" s="2379"/>
      <c r="H533" s="1222" t="s">
        <v>6990</v>
      </c>
      <c r="I533" s="266"/>
      <c r="J533" s="263"/>
      <c r="K533" s="2378" t="str">
        <f>IF(OR(K508=0,P532="",K514=0),"",P532*K514)</f>
        <v/>
      </c>
      <c r="L533" s="2378" t="str">
        <f>IF(OR(L508=0,P532="",L514=0),"",P532*L514)</f>
        <v/>
      </c>
      <c r="M533" s="2378" t="str">
        <f>IF(OR(M508=0,P532="",M514=0),"",P532*M514)</f>
        <v/>
      </c>
      <c r="N533" s="2378" t="str">
        <f>IF(OR(N508=0,P532="",N514=0),"",P532*N514)</f>
        <v/>
      </c>
      <c r="O533" s="2378" t="str">
        <f>IF(OR(O508=0,P532="",O514=0),"",P532*O514)</f>
        <v/>
      </c>
      <c r="P533" s="2378" t="str">
        <f>IF(OR(P532="",P514=0),"",P532*P514)</f>
        <v/>
      </c>
    </row>
    <row r="534" spans="1:343">
      <c r="C534" s="2379"/>
      <c r="G534" s="2361"/>
      <c r="H534" s="1222" t="s">
        <v>6991</v>
      </c>
      <c r="I534" s="266"/>
      <c r="J534" s="263"/>
      <c r="K534" s="2378" t="str">
        <f t="shared" ref="K534:P534" si="356">IF(OR(K533="",K508=0),"", K508-K533)</f>
        <v/>
      </c>
      <c r="L534" s="2378" t="str">
        <f t="shared" si="356"/>
        <v/>
      </c>
      <c r="M534" s="2378" t="str">
        <f t="shared" si="356"/>
        <v/>
      </c>
      <c r="N534" s="2378" t="str">
        <f t="shared" si="356"/>
        <v/>
      </c>
      <c r="O534" s="2378" t="str">
        <f t="shared" si="356"/>
        <v/>
      </c>
      <c r="P534" s="2378" t="str">
        <f t="shared" si="356"/>
        <v/>
      </c>
    </row>
    <row r="535" spans="1:343">
      <c r="C535" s="2379" t="s">
        <v>1190</v>
      </c>
      <c r="H535" s="1222" t="s">
        <v>1179</v>
      </c>
      <c r="I535" s="266"/>
      <c r="J535" s="263"/>
      <c r="K535" s="2377" t="str">
        <f t="shared" ref="K535:P535" si="357">IF(OR(K509=0,K514=0),"",K509/K514)</f>
        <v/>
      </c>
      <c r="L535" s="2377" t="str">
        <f t="shared" si="357"/>
        <v/>
      </c>
      <c r="M535" s="2377" t="str">
        <f t="shared" si="357"/>
        <v/>
      </c>
      <c r="N535" s="2377" t="str">
        <f t="shared" si="357"/>
        <v/>
      </c>
      <c r="O535" s="2377" t="str">
        <f t="shared" si="357"/>
        <v/>
      </c>
      <c r="P535" s="2377" t="str">
        <f t="shared" si="357"/>
        <v/>
      </c>
    </row>
    <row r="536" spans="1:343">
      <c r="C536" s="2379"/>
      <c r="D536" s="2379"/>
      <c r="E536" s="2379"/>
      <c r="H536" s="1222" t="s">
        <v>6990</v>
      </c>
      <c r="I536" s="266"/>
      <c r="J536" s="263"/>
      <c r="K536" s="2378" t="str">
        <f>IF(OR(K509=0,P535="",K514=0),"",P535*K514)</f>
        <v/>
      </c>
      <c r="L536" s="2378" t="str">
        <f>IF(OR(L509=0,P535="",L514=0),"",P535*L514)</f>
        <v/>
      </c>
      <c r="M536" s="2378" t="str">
        <f>IF(OR(M509=0,P535="",M514=0),"",P535*M514)</f>
        <v/>
      </c>
      <c r="N536" s="2378" t="str">
        <f>IF(OR(N509=0,P535="",N514=0),"",P535*N514)</f>
        <v/>
      </c>
      <c r="O536" s="2378" t="str">
        <f>IF(OR(O509=0,P535="",O514=0),"",P535*O514)</f>
        <v/>
      </c>
      <c r="P536" s="2378" t="str">
        <f>IF(OR(P535="",P514=0),"",P535*P514)</f>
        <v/>
      </c>
    </row>
    <row r="537" spans="1:343">
      <c r="C537" s="2379"/>
      <c r="D537" s="2379"/>
      <c r="E537" s="2379"/>
      <c r="G537" s="2361"/>
      <c r="H537" s="1222" t="s">
        <v>6991</v>
      </c>
      <c r="I537" s="266"/>
      <c r="J537" s="263"/>
      <c r="K537" s="2378" t="str">
        <f t="shared" ref="K537:P537" si="358">IF(OR(K536="",K509=0),"", K509-K536)</f>
        <v/>
      </c>
      <c r="L537" s="2378" t="str">
        <f t="shared" si="358"/>
        <v/>
      </c>
      <c r="M537" s="2378" t="str">
        <f t="shared" si="358"/>
        <v/>
      </c>
      <c r="N537" s="2378" t="str">
        <f t="shared" si="358"/>
        <v/>
      </c>
      <c r="O537" s="2378" t="str">
        <f t="shared" si="358"/>
        <v/>
      </c>
      <c r="P537" s="2378" t="str">
        <f t="shared" si="358"/>
        <v/>
      </c>
    </row>
    <row r="538" spans="1:343" ht="12" customHeight="1">
      <c r="A538" s="2368"/>
      <c r="B538" s="2368"/>
      <c r="C538" s="263"/>
      <c r="D538" s="263"/>
      <c r="E538" s="263"/>
      <c r="F538" s="263"/>
      <c r="H538" s="1222"/>
      <c r="I538" s="266"/>
      <c r="K538" s="2380"/>
      <c r="L538" s="2380"/>
      <c r="M538" s="2380"/>
      <c r="N538" s="2380"/>
      <c r="O538" s="2380"/>
      <c r="P538" s="2380"/>
      <c r="U538" s="2375"/>
      <c r="X538" s="263"/>
      <c r="AA538" s="263"/>
      <c r="AB538" s="266"/>
      <c r="AC538" s="263"/>
      <c r="AF538" s="263"/>
      <c r="AG538" s="266"/>
      <c r="AH538" s="263"/>
      <c r="AK538" s="263"/>
      <c r="AL538" s="266"/>
      <c r="AM538" s="263"/>
      <c r="AP538" s="263"/>
      <c r="AQ538" s="266"/>
      <c r="AR538" s="263"/>
      <c r="AS538" s="263"/>
      <c r="AT538" s="263"/>
      <c r="AU538" s="263"/>
      <c r="AV538" s="263"/>
      <c r="AW538" s="263"/>
      <c r="AY538" s="263"/>
      <c r="BB538" s="263"/>
      <c r="BD538" s="263"/>
      <c r="JW538" s="1441"/>
      <c r="KB538" s="1441"/>
      <c r="KG538" s="1441"/>
      <c r="KL538" s="1441"/>
      <c r="KM538" s="1441"/>
      <c r="KN538" s="1441"/>
      <c r="KO538" s="1441"/>
      <c r="KP538" s="1441"/>
      <c r="KQ538" s="1441"/>
      <c r="KR538" s="1441"/>
      <c r="KS538" s="1441"/>
      <c r="KT538" s="1441"/>
      <c r="KU538" s="1441"/>
      <c r="KV538" s="1441"/>
      <c r="KW538" s="1441"/>
      <c r="KX538" s="1441"/>
      <c r="KY538" s="1441"/>
      <c r="KZ538" s="1441"/>
      <c r="LA538" s="1441"/>
      <c r="LB538" s="1441"/>
      <c r="LC538" s="1441"/>
      <c r="LD538" s="1441"/>
      <c r="LE538" s="1441"/>
      <c r="LF538" s="1441"/>
      <c r="LG538" s="1441"/>
      <c r="LN538" s="265"/>
      <c r="LO538" s="265"/>
      <c r="ME538" s="265"/>
    </row>
    <row r="539" spans="1:343" ht="9" customHeight="1">
      <c r="A539" s="2368"/>
      <c r="B539" s="2368"/>
      <c r="C539" s="263"/>
      <c r="D539" s="263"/>
      <c r="E539" s="263"/>
      <c r="F539" s="263"/>
      <c r="H539" s="1222"/>
      <c r="I539" s="266"/>
      <c r="K539" s="2380"/>
      <c r="L539" s="2380"/>
      <c r="M539" s="2380"/>
      <c r="N539" s="2380"/>
      <c r="O539" s="2380"/>
      <c r="P539" s="2380"/>
      <c r="S539" s="2215" t="str">
        <f>C540</f>
        <v>PBRA-Assisted</v>
      </c>
      <c r="U539" s="2375"/>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441"/>
      <c r="KB539" s="1441"/>
      <c r="KG539" s="1441"/>
      <c r="KL539" s="1441"/>
      <c r="KM539" s="1441"/>
      <c r="KN539" s="1441"/>
      <c r="KO539" s="1441"/>
      <c r="KP539" s="1441"/>
      <c r="KQ539" s="1441"/>
      <c r="KR539" s="1441"/>
      <c r="KS539" s="1441"/>
      <c r="KT539" s="1441"/>
      <c r="KU539" s="1441"/>
      <c r="KV539" s="1441"/>
      <c r="KW539" s="1441"/>
      <c r="KX539" s="1441"/>
      <c r="KY539" s="1441"/>
      <c r="KZ539" s="1441"/>
      <c r="LA539" s="1441"/>
      <c r="LB539" s="1441"/>
      <c r="LC539" s="1441"/>
      <c r="LD539" s="1441"/>
      <c r="LE539" s="1441"/>
      <c r="LF539" s="1441"/>
      <c r="LG539" s="1441"/>
      <c r="LN539" s="265"/>
      <c r="LO539" s="265"/>
      <c r="ME539" s="265"/>
    </row>
    <row r="540" spans="1:343" ht="15" customHeight="1">
      <c r="A540" s="2368"/>
      <c r="B540" s="2368"/>
      <c r="C540" s="263" t="s">
        <v>1191</v>
      </c>
      <c r="D540" s="263"/>
      <c r="E540" s="1222"/>
      <c r="F540" s="263"/>
      <c r="H540" s="1222" t="s">
        <v>1172</v>
      </c>
      <c r="I540" s="266"/>
      <c r="K540" s="2381">
        <f>CP496</f>
        <v>0</v>
      </c>
      <c r="L540" s="2381">
        <f>CQ496</f>
        <v>0</v>
      </c>
      <c r="M540" s="2381">
        <f>CR496</f>
        <v>0</v>
      </c>
      <c r="N540" s="2381">
        <f>CS496</f>
        <v>0</v>
      </c>
      <c r="O540" s="2381">
        <f>CT496</f>
        <v>0</v>
      </c>
      <c r="P540" s="2160">
        <f t="shared" ref="P540:P547" si="359">SUM(K540:O540)</f>
        <v>0</v>
      </c>
      <c r="S540" s="2358"/>
      <c r="T540" s="2358"/>
      <c r="U540" s="2358"/>
      <c r="V540" s="2358"/>
      <c r="W540" s="2358"/>
      <c r="X540" s="263"/>
      <c r="AA540" s="263"/>
      <c r="AB540" s="266"/>
      <c r="AC540" s="263"/>
      <c r="AF540" s="263"/>
      <c r="AG540" s="266"/>
      <c r="AH540" s="263"/>
      <c r="AK540" s="263"/>
      <c r="AL540" s="266"/>
      <c r="AM540" s="263"/>
      <c r="AP540" s="263"/>
      <c r="AQ540" s="266"/>
      <c r="AR540" s="267"/>
      <c r="AS540" s="267"/>
      <c r="AT540" s="267"/>
      <c r="AU540" s="267"/>
      <c r="AV540" s="267"/>
      <c r="AW540" s="267"/>
      <c r="AX540" s="266"/>
      <c r="AY540" s="263"/>
      <c r="BB540" s="267"/>
      <c r="BC540" s="266"/>
      <c r="BD540" s="263"/>
      <c r="JW540" s="1441"/>
      <c r="KB540" s="1441"/>
      <c r="KG540" s="1441"/>
      <c r="KL540" s="1441"/>
      <c r="KM540" s="1441"/>
      <c r="KN540" s="1441"/>
      <c r="KO540" s="1441"/>
      <c r="KP540" s="1441"/>
      <c r="KQ540" s="1441"/>
      <c r="KR540" s="1441"/>
      <c r="KS540" s="1441"/>
      <c r="KT540" s="1441"/>
      <c r="KU540" s="1441"/>
      <c r="KV540" s="1441"/>
      <c r="KW540" s="1441"/>
      <c r="KX540" s="1441"/>
      <c r="KY540" s="1441"/>
      <c r="KZ540" s="1441"/>
      <c r="LA540" s="1441"/>
      <c r="LB540" s="1441"/>
      <c r="LC540" s="1441"/>
      <c r="LD540" s="1441"/>
      <c r="LE540" s="1441"/>
      <c r="LF540" s="1441"/>
      <c r="LG540" s="1441"/>
      <c r="LN540" s="265"/>
      <c r="LO540" s="265"/>
      <c r="ME540" s="265"/>
    </row>
    <row r="541" spans="1:343" ht="15" customHeight="1">
      <c r="A541" s="2368"/>
      <c r="B541" s="2368"/>
      <c r="C541" s="266" t="s">
        <v>1192</v>
      </c>
      <c r="D541" s="263"/>
      <c r="E541" s="1222"/>
      <c r="F541" s="263"/>
      <c r="H541" s="1222" t="s">
        <v>1174</v>
      </c>
      <c r="I541" s="266"/>
      <c r="K541" s="2160">
        <f>CK496</f>
        <v>0</v>
      </c>
      <c r="L541" s="2160">
        <f>CL496</f>
        <v>0</v>
      </c>
      <c r="M541" s="2160">
        <f>CM496</f>
        <v>0</v>
      </c>
      <c r="N541" s="2160">
        <f>CN496</f>
        <v>0</v>
      </c>
      <c r="O541" s="2160">
        <f>CO496</f>
        <v>0</v>
      </c>
      <c r="P541" s="2160">
        <f t="shared" si="359"/>
        <v>0</v>
      </c>
      <c r="S541" s="2358"/>
      <c r="T541" s="2358"/>
      <c r="U541" s="2358"/>
      <c r="V541" s="2358"/>
      <c r="W541" s="2358"/>
      <c r="X541" s="263"/>
      <c r="AA541" s="263"/>
      <c r="AB541" s="266"/>
      <c r="AC541" s="263"/>
      <c r="AF541" s="263"/>
      <c r="AG541" s="266"/>
      <c r="AH541" s="263"/>
      <c r="AK541" s="263"/>
      <c r="AL541" s="266"/>
      <c r="AM541" s="263"/>
      <c r="AP541" s="263"/>
      <c r="AQ541" s="266"/>
      <c r="AR541" s="267"/>
      <c r="AS541" s="267"/>
      <c r="AT541" s="267"/>
      <c r="AU541" s="267"/>
      <c r="AV541" s="267"/>
      <c r="AW541" s="267"/>
      <c r="AX541" s="266"/>
      <c r="AY541" s="263"/>
      <c r="BB541" s="267"/>
      <c r="BC541" s="266"/>
      <c r="BD541" s="263"/>
      <c r="JW541" s="1441"/>
      <c r="KB541" s="1441"/>
      <c r="KG541" s="1441"/>
      <c r="KL541" s="1441"/>
      <c r="KM541" s="1441"/>
      <c r="KN541" s="1441"/>
      <c r="KO541" s="1441"/>
      <c r="KP541" s="1441"/>
      <c r="KQ541" s="1441"/>
      <c r="KR541" s="1441"/>
      <c r="KS541" s="1441"/>
      <c r="KT541" s="1441"/>
      <c r="KU541" s="1441"/>
      <c r="KV541" s="1441"/>
      <c r="KW541" s="1441"/>
      <c r="KX541" s="1441"/>
      <c r="KY541" s="1441"/>
      <c r="KZ541" s="1441"/>
      <c r="LA541" s="1441"/>
      <c r="LB541" s="1441"/>
      <c r="LC541" s="1441"/>
      <c r="LD541" s="1441"/>
      <c r="LE541" s="1441"/>
      <c r="LF541" s="1441"/>
      <c r="LG541" s="1441"/>
      <c r="LN541" s="265"/>
      <c r="LO541" s="265"/>
      <c r="ME541" s="265"/>
    </row>
    <row r="542" spans="1:343" ht="15" customHeight="1">
      <c r="A542" s="2368"/>
      <c r="B542" s="2368"/>
      <c r="C542" s="263"/>
      <c r="D542" s="263"/>
      <c r="E542" s="1222"/>
      <c r="F542" s="263"/>
      <c r="H542" s="1222" t="s">
        <v>1175</v>
      </c>
      <c r="I542" s="266"/>
      <c r="K542" s="2160">
        <f>CF496</f>
        <v>0</v>
      </c>
      <c r="L542" s="2160">
        <f>CG496</f>
        <v>16</v>
      </c>
      <c r="M542" s="2160">
        <f>CH496</f>
        <v>46</v>
      </c>
      <c r="N542" s="2160">
        <f>CI496</f>
        <v>16</v>
      </c>
      <c r="O542" s="2160">
        <f>CJ496</f>
        <v>0</v>
      </c>
      <c r="P542" s="2160">
        <f t="shared" si="359"/>
        <v>78</v>
      </c>
      <c r="S542" s="2358"/>
      <c r="T542" s="2358"/>
      <c r="U542" s="2358"/>
      <c r="V542" s="2358"/>
      <c r="W542" s="2358"/>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441"/>
      <c r="KB542" s="1441"/>
      <c r="KG542" s="1441"/>
      <c r="KL542" s="1441"/>
      <c r="KM542" s="1441"/>
      <c r="KN542" s="1441"/>
      <c r="KO542" s="1441"/>
      <c r="KP542" s="1441"/>
      <c r="KQ542" s="1441"/>
      <c r="KR542" s="1441"/>
      <c r="KS542" s="1441"/>
      <c r="KT542" s="1441"/>
      <c r="KU542" s="1441"/>
      <c r="KV542" s="1441"/>
      <c r="KW542" s="1441"/>
      <c r="KX542" s="1441"/>
      <c r="KY542" s="1441"/>
      <c r="KZ542" s="1441"/>
      <c r="LA542" s="1441"/>
      <c r="LB542" s="1441"/>
      <c r="LC542" s="1441"/>
      <c r="LD542" s="1441"/>
      <c r="LE542" s="1441"/>
      <c r="LF542" s="1441"/>
      <c r="LG542" s="1441"/>
      <c r="LN542" s="265"/>
      <c r="LO542" s="265"/>
      <c r="ME542" s="265"/>
    </row>
    <row r="543" spans="1:343" ht="15" customHeight="1">
      <c r="A543" s="2368"/>
      <c r="B543" s="2368"/>
      <c r="C543" s="263"/>
      <c r="D543" s="263"/>
      <c r="E543" s="1222"/>
      <c r="F543" s="263"/>
      <c r="H543" s="1222" t="s">
        <v>1176</v>
      </c>
      <c r="I543" s="266"/>
      <c r="K543" s="2160">
        <f>CA496</f>
        <v>0</v>
      </c>
      <c r="L543" s="2160">
        <f>CB496</f>
        <v>0</v>
      </c>
      <c r="M543" s="2160">
        <f>CC496</f>
        <v>0</v>
      </c>
      <c r="N543" s="2160">
        <f>CD496</f>
        <v>0</v>
      </c>
      <c r="O543" s="2160">
        <f>CE496</f>
        <v>0</v>
      </c>
      <c r="P543" s="2160">
        <f t="shared" si="359"/>
        <v>0</v>
      </c>
      <c r="S543" s="2358"/>
      <c r="T543" s="2358"/>
      <c r="U543" s="2358"/>
      <c r="V543" s="2358"/>
      <c r="W543" s="2358"/>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441"/>
      <c r="KB543" s="1441"/>
      <c r="KG543" s="1441"/>
      <c r="KL543" s="1441"/>
      <c r="KM543" s="1441"/>
      <c r="KN543" s="1441"/>
      <c r="KO543" s="1441"/>
      <c r="KP543" s="1441"/>
      <c r="KQ543" s="1441"/>
      <c r="KR543" s="1441"/>
      <c r="KS543" s="1441"/>
      <c r="KT543" s="1441"/>
      <c r="KU543" s="1441"/>
      <c r="KV543" s="1441"/>
      <c r="KW543" s="1441"/>
      <c r="KX543" s="1441"/>
      <c r="KY543" s="1441"/>
      <c r="KZ543" s="1441"/>
      <c r="LA543" s="1441"/>
      <c r="LB543" s="1441"/>
      <c r="LC543" s="1441"/>
      <c r="LD543" s="1441"/>
      <c r="LE543" s="1441"/>
      <c r="LF543" s="1441"/>
      <c r="LG543" s="1441"/>
      <c r="LN543" s="265"/>
      <c r="LO543" s="265"/>
      <c r="ME543" s="265"/>
    </row>
    <row r="544" spans="1:343" ht="15" customHeight="1">
      <c r="A544" s="2368"/>
      <c r="B544" s="2368"/>
      <c r="C544" s="263"/>
      <c r="D544" s="263"/>
      <c r="E544" s="1222"/>
      <c r="F544" s="263"/>
      <c r="H544" s="1222" t="s">
        <v>1177</v>
      </c>
      <c r="I544" s="266"/>
      <c r="K544" s="2160">
        <f>BV496</f>
        <v>0</v>
      </c>
      <c r="L544" s="2160">
        <f>BW496</f>
        <v>0</v>
      </c>
      <c r="M544" s="2160">
        <f>BX496</f>
        <v>0</v>
      </c>
      <c r="N544" s="2160">
        <f>BY496</f>
        <v>0</v>
      </c>
      <c r="O544" s="2160">
        <f>BZ496</f>
        <v>0</v>
      </c>
      <c r="P544" s="2160">
        <f t="shared" si="359"/>
        <v>0</v>
      </c>
      <c r="S544" s="2358"/>
      <c r="T544" s="2358"/>
      <c r="U544" s="2358"/>
      <c r="V544" s="2358"/>
      <c r="W544" s="2358"/>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441"/>
      <c r="KB544" s="1441"/>
      <c r="KG544" s="1441"/>
      <c r="KL544" s="1441"/>
      <c r="KM544" s="1441"/>
      <c r="KN544" s="1441"/>
      <c r="KO544" s="1441"/>
      <c r="KP544" s="1441"/>
      <c r="KQ544" s="1441"/>
      <c r="KR544" s="1441"/>
      <c r="KS544" s="1441"/>
      <c r="KT544" s="1441"/>
      <c r="KU544" s="1441"/>
      <c r="KV544" s="1441"/>
      <c r="KW544" s="1441"/>
      <c r="KX544" s="1441"/>
      <c r="KY544" s="1441"/>
      <c r="KZ544" s="1441"/>
      <c r="LA544" s="1441"/>
      <c r="LB544" s="1441"/>
      <c r="LC544" s="1441"/>
      <c r="LD544" s="1441"/>
      <c r="LE544" s="1441"/>
      <c r="LF544" s="1441"/>
      <c r="LG544" s="1441"/>
      <c r="LN544" s="265"/>
      <c r="LO544" s="265"/>
      <c r="ME544" s="265"/>
    </row>
    <row r="545" spans="1:343" ht="15" customHeight="1">
      <c r="A545" s="2345"/>
      <c r="B545" s="2345"/>
      <c r="C545" s="263"/>
      <c r="D545" s="263"/>
      <c r="E545" s="1222"/>
      <c r="F545" s="263"/>
      <c r="H545" s="1222" t="s">
        <v>1178</v>
      </c>
      <c r="I545" s="266"/>
      <c r="K545" s="2160">
        <f>BQ496</f>
        <v>0</v>
      </c>
      <c r="L545" s="2160">
        <f>BR496</f>
        <v>0</v>
      </c>
      <c r="M545" s="2160">
        <f>BS496</f>
        <v>0</v>
      </c>
      <c r="N545" s="2160">
        <f>BT496</f>
        <v>0</v>
      </c>
      <c r="O545" s="2160">
        <f>BU496</f>
        <v>0</v>
      </c>
      <c r="P545" s="2160">
        <f t="shared" si="359"/>
        <v>0</v>
      </c>
      <c r="S545" s="2358"/>
      <c r="T545" s="2358"/>
      <c r="U545" s="2358"/>
      <c r="V545" s="2358"/>
      <c r="W545" s="2358"/>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441"/>
      <c r="KB545" s="1441"/>
      <c r="KG545" s="1441"/>
      <c r="KL545" s="1441"/>
      <c r="KM545" s="1441"/>
      <c r="KN545" s="1441"/>
      <c r="KO545" s="1441"/>
      <c r="KP545" s="1441"/>
      <c r="KQ545" s="1441"/>
      <c r="KR545" s="1441"/>
      <c r="KS545" s="1441"/>
      <c r="KT545" s="1441"/>
      <c r="KU545" s="1441"/>
      <c r="KV545" s="1441"/>
      <c r="KW545" s="1441"/>
      <c r="KX545" s="1441"/>
      <c r="KY545" s="1441"/>
      <c r="KZ545" s="1441"/>
      <c r="LA545" s="1441"/>
      <c r="LB545" s="1441"/>
      <c r="LC545" s="1441"/>
      <c r="LD545" s="1441"/>
      <c r="LE545" s="1441"/>
      <c r="LF545" s="1441"/>
      <c r="LG545" s="1441"/>
      <c r="LN545" s="265"/>
      <c r="LO545" s="265"/>
      <c r="ME545" s="265"/>
    </row>
    <row r="546" spans="1:343" ht="15" customHeight="1">
      <c r="A546" s="2345"/>
      <c r="B546" s="2345"/>
      <c r="D546" s="263"/>
      <c r="E546" s="1222"/>
      <c r="F546" s="263"/>
      <c r="H546" s="1222" t="s">
        <v>1179</v>
      </c>
      <c r="I546" s="266"/>
      <c r="K546" s="2381">
        <f>BL496</f>
        <v>0</v>
      </c>
      <c r="L546" s="2381">
        <f>BM496</f>
        <v>0</v>
      </c>
      <c r="M546" s="2381">
        <f>BN496</f>
        <v>0</v>
      </c>
      <c r="N546" s="2381">
        <f>BO496</f>
        <v>0</v>
      </c>
      <c r="O546" s="2381">
        <f>BP496</f>
        <v>0</v>
      </c>
      <c r="P546" s="2160">
        <f t="shared" si="359"/>
        <v>0</v>
      </c>
      <c r="S546" s="2358"/>
      <c r="T546" s="2358"/>
      <c r="U546" s="2358"/>
      <c r="V546" s="2358"/>
      <c r="W546" s="2358"/>
      <c r="X546" s="266"/>
      <c r="AA546" s="263"/>
      <c r="AB546" s="266"/>
      <c r="AC546" s="266"/>
      <c r="AF546" s="263"/>
      <c r="AG546" s="266"/>
      <c r="AH546" s="266"/>
      <c r="AK546" s="263"/>
      <c r="AL546" s="266"/>
      <c r="AM546" s="266"/>
      <c r="AP546" s="263"/>
      <c r="AQ546" s="266"/>
      <c r="AR546" s="267"/>
      <c r="AS546" s="267"/>
      <c r="AT546" s="267"/>
      <c r="AU546" s="267"/>
      <c r="AV546" s="267"/>
      <c r="AW546" s="267"/>
      <c r="AX546" s="266"/>
      <c r="AY546" s="263"/>
      <c r="BB546" s="267"/>
      <c r="BC546" s="266"/>
      <c r="BD546" s="263"/>
      <c r="JW546" s="1441"/>
      <c r="KB546" s="1441"/>
      <c r="KG546" s="1441"/>
      <c r="KL546" s="1441"/>
      <c r="KM546" s="1441"/>
      <c r="KN546" s="1441"/>
      <c r="KO546" s="1441"/>
      <c r="KP546" s="1441"/>
      <c r="KQ546" s="1441"/>
      <c r="KR546" s="1441"/>
      <c r="KS546" s="1441"/>
      <c r="KT546" s="1441"/>
      <c r="KU546" s="1441"/>
      <c r="KV546" s="1441"/>
      <c r="KW546" s="1441"/>
      <c r="KX546" s="1441"/>
      <c r="KY546" s="1441"/>
      <c r="KZ546" s="1441"/>
      <c r="LA546" s="1441"/>
      <c r="LB546" s="1441"/>
      <c r="LC546" s="1441"/>
      <c r="LD546" s="1441"/>
      <c r="LE546" s="1441"/>
      <c r="LF546" s="1441"/>
      <c r="LG546" s="1441"/>
      <c r="LN546" s="265"/>
      <c r="LO546" s="265"/>
      <c r="ME546" s="265"/>
    </row>
    <row r="547" spans="1:343" ht="15" customHeight="1">
      <c r="A547" s="2345"/>
      <c r="B547" s="2345"/>
      <c r="C547" s="1440"/>
      <c r="D547" s="263"/>
      <c r="E547" s="1222"/>
      <c r="F547" s="263"/>
      <c r="H547" s="1336" t="s">
        <v>296</v>
      </c>
      <c r="I547" s="2359"/>
      <c r="K547" s="2162">
        <f>SUM(K540:K546)</f>
        <v>0</v>
      </c>
      <c r="L547" s="2162">
        <f>SUM(L540:L546)</f>
        <v>16</v>
      </c>
      <c r="M547" s="2162">
        <f>SUM(M540:M546)</f>
        <v>46</v>
      </c>
      <c r="N547" s="2162">
        <f>SUM(N540:N546)</f>
        <v>16</v>
      </c>
      <c r="O547" s="2162">
        <f>SUM(O540:O546)</f>
        <v>0</v>
      </c>
      <c r="P547" s="2162">
        <f t="shared" si="359"/>
        <v>78</v>
      </c>
      <c r="S547" s="2358"/>
      <c r="T547" s="2358"/>
      <c r="U547" s="2358"/>
      <c r="V547" s="2358"/>
      <c r="W547" s="2358"/>
      <c r="X547" s="1440"/>
      <c r="AA547" s="263"/>
      <c r="AB547" s="266"/>
      <c r="AC547" s="1440"/>
      <c r="AF547" s="263"/>
      <c r="AG547" s="266"/>
      <c r="AH547" s="1440"/>
      <c r="AK547" s="263"/>
      <c r="AL547" s="266"/>
      <c r="AM547" s="1440"/>
      <c r="AP547" s="263"/>
      <c r="AQ547" s="266"/>
      <c r="AR547" s="267"/>
      <c r="AS547" s="267"/>
      <c r="AT547" s="267"/>
      <c r="AU547" s="267"/>
      <c r="AV547" s="267"/>
      <c r="AW547" s="267"/>
      <c r="AX547" s="266"/>
      <c r="AY547" s="263"/>
      <c r="BB547" s="267"/>
      <c r="BC547" s="266"/>
      <c r="BD547" s="263"/>
      <c r="JW547" s="1441"/>
      <c r="KB547" s="1441"/>
      <c r="KG547" s="1441"/>
      <c r="KL547" s="1441"/>
      <c r="KM547" s="1441"/>
      <c r="KN547" s="1441"/>
      <c r="KO547" s="1441"/>
      <c r="KP547" s="1441"/>
      <c r="KQ547" s="1441"/>
      <c r="KR547" s="1441"/>
      <c r="KS547" s="1441"/>
      <c r="KT547" s="1441"/>
      <c r="KU547" s="1441"/>
      <c r="KV547" s="1441"/>
      <c r="KW547" s="1441"/>
      <c r="KX547" s="1441"/>
      <c r="KY547" s="1441"/>
      <c r="KZ547" s="1441"/>
      <c r="LA547" s="1441"/>
      <c r="LB547" s="1441"/>
      <c r="LC547" s="1441"/>
      <c r="LD547" s="1441"/>
      <c r="LE547" s="1441"/>
      <c r="LF547" s="1441"/>
      <c r="LG547" s="1441"/>
      <c r="LN547" s="265"/>
      <c r="LO547" s="265"/>
      <c r="ME547" s="265"/>
    </row>
    <row r="548" spans="1:343" ht="9" customHeight="1">
      <c r="A548" s="2345"/>
      <c r="B548" s="2345"/>
      <c r="C548" s="263"/>
      <c r="D548" s="263"/>
      <c r="E548" s="263"/>
      <c r="F548" s="263"/>
      <c r="H548" s="1222"/>
      <c r="I548" s="266"/>
      <c r="K548" s="2380"/>
      <c r="L548" s="2380"/>
      <c r="M548" s="2380"/>
      <c r="N548" s="2380"/>
      <c r="O548" s="2380"/>
      <c r="P548" s="2380"/>
      <c r="U548" s="2375"/>
      <c r="X548" s="263"/>
      <c r="AA548" s="263"/>
      <c r="AB548" s="266"/>
      <c r="AC548" s="263"/>
      <c r="AF548" s="263"/>
      <c r="AG548" s="266"/>
      <c r="AH548" s="263"/>
      <c r="AK548" s="263"/>
      <c r="AL548" s="266"/>
      <c r="AM548" s="263"/>
      <c r="AP548" s="263"/>
      <c r="AQ548" s="266"/>
      <c r="AR548" s="263"/>
      <c r="AS548" s="263"/>
      <c r="AT548" s="263"/>
      <c r="AU548" s="263"/>
      <c r="AV548" s="263"/>
      <c r="AW548" s="263"/>
      <c r="AY548" s="263"/>
      <c r="BB548" s="263"/>
      <c r="BD548" s="263"/>
      <c r="JW548" s="1441"/>
      <c r="KB548" s="1441"/>
      <c r="KG548" s="1441"/>
      <c r="KL548" s="1441"/>
      <c r="KM548" s="1441"/>
      <c r="KN548" s="1441"/>
      <c r="KO548" s="1441"/>
      <c r="KP548" s="1441"/>
      <c r="KQ548" s="1441"/>
      <c r="KR548" s="1441"/>
      <c r="KS548" s="1441"/>
      <c r="KT548" s="1441"/>
      <c r="KU548" s="1441"/>
      <c r="KV548" s="1441"/>
      <c r="KW548" s="1441"/>
      <c r="KX548" s="1441"/>
      <c r="KY548" s="1441"/>
      <c r="KZ548" s="1441"/>
      <c r="LA548" s="1441"/>
      <c r="LB548" s="1441"/>
      <c r="LC548" s="1441"/>
      <c r="LD548" s="1441"/>
      <c r="LE548" s="1441"/>
      <c r="LF548" s="1441"/>
      <c r="LG548" s="1441"/>
      <c r="LN548" s="265"/>
      <c r="LO548" s="265"/>
      <c r="ME548" s="265"/>
    </row>
    <row r="549" spans="1:343" ht="14.65" customHeight="1">
      <c r="A549" s="265" t="s">
        <v>25</v>
      </c>
      <c r="B549" s="265" t="s">
        <v>6993</v>
      </c>
      <c r="H549" s="264"/>
      <c r="L549" s="2272">
        <f>$O$49</f>
        <v>0</v>
      </c>
      <c r="M549" s="2272"/>
      <c r="N549" s="2272"/>
      <c r="O549" s="2272"/>
      <c r="S549" s="1440" t="str">
        <f>B549</f>
        <v>UNIT SUMMARY (Continued)</v>
      </c>
      <c r="T549" s="1440"/>
      <c r="U549" s="1440"/>
      <c r="V549" s="1440"/>
      <c r="AY549" s="263"/>
      <c r="BD549" s="263"/>
      <c r="JW549" s="1441"/>
      <c r="KB549" s="1441"/>
      <c r="KG549" s="1441"/>
      <c r="KL549" s="1441"/>
      <c r="KM549" s="1441"/>
      <c r="KN549" s="1441"/>
      <c r="KO549" s="1441"/>
      <c r="KP549" s="1441"/>
      <c r="KQ549" s="1441"/>
      <c r="KR549" s="1441"/>
      <c r="KS549" s="1441"/>
      <c r="KT549" s="1441"/>
      <c r="KU549" s="1441"/>
      <c r="KV549" s="1441"/>
      <c r="KW549" s="1441"/>
      <c r="KX549" s="1441"/>
      <c r="KY549" s="1441"/>
      <c r="KZ549" s="1441"/>
      <c r="LA549" s="1441"/>
      <c r="LB549" s="1441"/>
      <c r="LC549" s="1441"/>
      <c r="LD549" s="1441"/>
      <c r="LE549" s="1441"/>
      <c r="LF549" s="1441"/>
      <c r="LG549" s="1441"/>
      <c r="LN549" s="265"/>
      <c r="LO549" s="265"/>
      <c r="ME549" s="265"/>
    </row>
    <row r="550" spans="1:343" ht="9" customHeight="1">
      <c r="A550" s="265"/>
      <c r="B550" s="265"/>
      <c r="H550" s="264"/>
      <c r="S550" s="2215" t="str">
        <f>C551</f>
        <v>PHA Operating Subsidy-Assisted</v>
      </c>
      <c r="T550" s="265"/>
      <c r="U550" s="2351"/>
      <c r="AY550" s="263"/>
      <c r="BD550" s="263"/>
      <c r="JW550" s="1441"/>
      <c r="KB550" s="1441"/>
      <c r="KG550" s="1441"/>
      <c r="KL550" s="1441"/>
      <c r="KM550" s="1441"/>
      <c r="KN550" s="1441"/>
      <c r="KO550" s="1441"/>
      <c r="KP550" s="1441"/>
      <c r="KQ550" s="1441"/>
      <c r="KR550" s="1441"/>
      <c r="KS550" s="1441"/>
      <c r="KT550" s="1441"/>
      <c r="KU550" s="1441"/>
      <c r="KV550" s="1441"/>
      <c r="KW550" s="1441"/>
      <c r="KX550" s="1441"/>
      <c r="KY550" s="1441"/>
      <c r="KZ550" s="1441"/>
      <c r="LA550" s="1441"/>
      <c r="LB550" s="1441"/>
      <c r="LC550" s="1441"/>
      <c r="LD550" s="1441"/>
      <c r="LE550" s="1441"/>
      <c r="LF550" s="1441"/>
      <c r="LG550" s="1441"/>
      <c r="LN550" s="265"/>
      <c r="LO550" s="265"/>
      <c r="ME550" s="265"/>
    </row>
    <row r="551" spans="1:343" ht="15" customHeight="1">
      <c r="A551" s="2345"/>
      <c r="B551" s="2345"/>
      <c r="C551" s="2382" t="s">
        <v>1194</v>
      </c>
      <c r="D551" s="2382"/>
      <c r="E551" s="2382"/>
      <c r="F551" s="263"/>
      <c r="H551" s="1222" t="s">
        <v>1172</v>
      </c>
      <c r="I551" s="266"/>
      <c r="K551" s="2381">
        <f>DY496</f>
        <v>0</v>
      </c>
      <c r="L551" s="2381">
        <f>DZ496</f>
        <v>0</v>
      </c>
      <c r="M551" s="2381">
        <f>EA496</f>
        <v>0</v>
      </c>
      <c r="N551" s="2381">
        <f>EB496</f>
        <v>0</v>
      </c>
      <c r="O551" s="2381">
        <f>EC496</f>
        <v>0</v>
      </c>
      <c r="P551" s="2160">
        <f t="shared" ref="P551:P558" si="360">SUM(K551:O551)</f>
        <v>0</v>
      </c>
      <c r="S551" s="2358"/>
      <c r="T551" s="2358"/>
      <c r="U551" s="2358"/>
      <c r="V551" s="2358"/>
      <c r="W551" s="2358"/>
      <c r="X551" s="263"/>
      <c r="AA551" s="263"/>
      <c r="AB551" s="266"/>
      <c r="AC551" s="263"/>
      <c r="AF551" s="263"/>
      <c r="AG551" s="266"/>
      <c r="AH551" s="263"/>
      <c r="AK551" s="263"/>
      <c r="AL551" s="266"/>
      <c r="AM551" s="263"/>
      <c r="AP551" s="263"/>
      <c r="AQ551" s="266"/>
      <c r="AR551" s="267"/>
      <c r="AS551" s="267"/>
      <c r="AT551" s="267"/>
      <c r="AU551" s="267"/>
      <c r="AV551" s="267"/>
      <c r="AW551" s="267"/>
      <c r="AX551" s="266"/>
      <c r="AY551" s="263"/>
      <c r="BB551" s="267"/>
      <c r="BC551" s="266"/>
      <c r="BD551" s="263"/>
      <c r="JW551" s="1441"/>
      <c r="KB551" s="1441"/>
      <c r="KG551" s="1441"/>
      <c r="KL551" s="1441"/>
      <c r="KM551" s="1441"/>
      <c r="KN551" s="1441"/>
      <c r="KO551" s="1441"/>
      <c r="KP551" s="1441"/>
      <c r="KQ551" s="1441"/>
      <c r="KR551" s="1441"/>
      <c r="KS551" s="1441"/>
      <c r="KT551" s="1441"/>
      <c r="KU551" s="1441"/>
      <c r="KV551" s="1441"/>
      <c r="KW551" s="1441"/>
      <c r="KX551" s="1441"/>
      <c r="KY551" s="1441"/>
      <c r="KZ551" s="1441"/>
      <c r="LA551" s="1441"/>
      <c r="LB551" s="1441"/>
      <c r="LC551" s="1441"/>
      <c r="LD551" s="1441"/>
      <c r="LE551" s="1441"/>
      <c r="LF551" s="1441"/>
      <c r="LG551" s="1441"/>
      <c r="LN551" s="265"/>
      <c r="LO551" s="265"/>
      <c r="ME551" s="265"/>
    </row>
    <row r="552" spans="1:343" ht="15" customHeight="1">
      <c r="A552" s="2345"/>
      <c r="B552" s="2345"/>
      <c r="C552" s="266" t="s">
        <v>1192</v>
      </c>
      <c r="D552" s="2382"/>
      <c r="E552" s="2382"/>
      <c r="F552" s="263"/>
      <c r="H552" s="1222" t="s">
        <v>1174</v>
      </c>
      <c r="I552" s="266"/>
      <c r="K552" s="2160">
        <f>DT496</f>
        <v>0</v>
      </c>
      <c r="L552" s="2160">
        <f>DU496</f>
        <v>0</v>
      </c>
      <c r="M552" s="2160">
        <f>DV496</f>
        <v>0</v>
      </c>
      <c r="N552" s="2160">
        <f>DW496</f>
        <v>0</v>
      </c>
      <c r="O552" s="2160">
        <f>DX496</f>
        <v>0</v>
      </c>
      <c r="P552" s="2160">
        <f t="shared" si="360"/>
        <v>0</v>
      </c>
      <c r="S552" s="2358"/>
      <c r="T552" s="2358"/>
      <c r="U552" s="2358"/>
      <c r="V552" s="2358"/>
      <c r="W552" s="2358"/>
      <c r="X552" s="263"/>
      <c r="AA552" s="263"/>
      <c r="AB552" s="266"/>
      <c r="AC552" s="263"/>
      <c r="AF552" s="263"/>
      <c r="AG552" s="266"/>
      <c r="AH552" s="263"/>
      <c r="AK552" s="263"/>
      <c r="AL552" s="266"/>
      <c r="AM552" s="263"/>
      <c r="AP552" s="263"/>
      <c r="AQ552" s="266"/>
      <c r="AR552" s="267"/>
      <c r="AS552" s="267"/>
      <c r="AT552" s="267"/>
      <c r="AU552" s="267"/>
      <c r="AV552" s="267"/>
      <c r="AW552" s="267"/>
      <c r="AX552" s="266"/>
      <c r="AY552" s="263"/>
      <c r="BB552" s="267"/>
      <c r="BC552" s="266"/>
      <c r="BD552" s="263"/>
      <c r="JW552" s="1441"/>
      <c r="KB552" s="1441"/>
      <c r="KG552" s="1441"/>
      <c r="KL552" s="1441"/>
      <c r="KM552" s="1441"/>
      <c r="KN552" s="1441"/>
      <c r="KO552" s="1441"/>
      <c r="KP552" s="1441"/>
      <c r="KQ552" s="1441"/>
      <c r="KR552" s="1441"/>
      <c r="KS552" s="1441"/>
      <c r="KT552" s="1441"/>
      <c r="KU552" s="1441"/>
      <c r="KV552" s="1441"/>
      <c r="KW552" s="1441"/>
      <c r="KX552" s="1441"/>
      <c r="KY552" s="1441"/>
      <c r="KZ552" s="1441"/>
      <c r="LA552" s="1441"/>
      <c r="LB552" s="1441"/>
      <c r="LC552" s="1441"/>
      <c r="LD552" s="1441"/>
      <c r="LE552" s="1441"/>
      <c r="LF552" s="1441"/>
      <c r="LG552" s="1441"/>
      <c r="LN552" s="265"/>
      <c r="LO552" s="265"/>
      <c r="ME552" s="265"/>
    </row>
    <row r="553" spans="1:343" ht="15" customHeight="1">
      <c r="A553" s="2345"/>
      <c r="B553" s="2345"/>
      <c r="C553" s="2382"/>
      <c r="D553" s="2382"/>
      <c r="E553" s="2382"/>
      <c r="F553" s="263"/>
      <c r="H553" s="1222" t="s">
        <v>1175</v>
      </c>
      <c r="I553" s="266"/>
      <c r="K553" s="2160">
        <f>DO496</f>
        <v>0</v>
      </c>
      <c r="L553" s="2160">
        <f>DP496</f>
        <v>0</v>
      </c>
      <c r="M553" s="2160">
        <f>DQ496</f>
        <v>0</v>
      </c>
      <c r="N553" s="2160">
        <f>DR496</f>
        <v>0</v>
      </c>
      <c r="O553" s="2160">
        <f>DS496</f>
        <v>0</v>
      </c>
      <c r="P553" s="2160">
        <f t="shared" si="360"/>
        <v>0</v>
      </c>
      <c r="S553" s="2358"/>
      <c r="T553" s="2358"/>
      <c r="U553" s="2358"/>
      <c r="V553" s="2358"/>
      <c r="W553" s="2358"/>
      <c r="X553" s="263"/>
      <c r="AA553" s="263"/>
      <c r="AB553" s="266"/>
      <c r="AC553" s="263"/>
      <c r="AF553" s="263"/>
      <c r="AG553" s="266"/>
      <c r="AH553" s="263"/>
      <c r="AK553" s="263"/>
      <c r="AL553" s="266"/>
      <c r="AM553" s="263"/>
      <c r="AP553" s="263"/>
      <c r="AQ553" s="266"/>
      <c r="AR553" s="267"/>
      <c r="AS553" s="267"/>
      <c r="AT553" s="267"/>
      <c r="AU553" s="267"/>
      <c r="AV553" s="267"/>
      <c r="AW553" s="267"/>
      <c r="AX553" s="266"/>
      <c r="AY553" s="263"/>
      <c r="BB553" s="267"/>
      <c r="BC553" s="266"/>
      <c r="BD553" s="263"/>
      <c r="JW553" s="1441"/>
      <c r="KB553" s="1441"/>
      <c r="KG553" s="1441"/>
      <c r="KL553" s="1441"/>
      <c r="KM553" s="1441"/>
      <c r="KN553" s="1441"/>
      <c r="KO553" s="1441"/>
      <c r="KP553" s="1441"/>
      <c r="KQ553" s="1441"/>
      <c r="KR553" s="1441"/>
      <c r="KS553" s="1441"/>
      <c r="KT553" s="1441"/>
      <c r="KU553" s="1441"/>
      <c r="KV553" s="1441"/>
      <c r="KW553" s="1441"/>
      <c r="KX553" s="1441"/>
      <c r="KY553" s="1441"/>
      <c r="KZ553" s="1441"/>
      <c r="LA553" s="1441"/>
      <c r="LB553" s="1441"/>
      <c r="LC553" s="1441"/>
      <c r="LD553" s="1441"/>
      <c r="LE553" s="1441"/>
      <c r="LF553" s="1441"/>
      <c r="LG553" s="1441"/>
      <c r="LN553" s="265"/>
      <c r="LO553" s="265"/>
      <c r="ME553" s="265"/>
    </row>
    <row r="554" spans="1:343" ht="15" customHeight="1">
      <c r="A554" s="2345"/>
      <c r="B554" s="2345"/>
      <c r="C554" s="2382"/>
      <c r="D554" s="2382"/>
      <c r="E554" s="2382"/>
      <c r="F554" s="263"/>
      <c r="H554" s="1222" t="s">
        <v>1176</v>
      </c>
      <c r="I554" s="266"/>
      <c r="K554" s="2160">
        <f>DJ496</f>
        <v>0</v>
      </c>
      <c r="L554" s="2160">
        <f>DK496</f>
        <v>0</v>
      </c>
      <c r="M554" s="2160">
        <f>DL496</f>
        <v>0</v>
      </c>
      <c r="N554" s="2160">
        <f>DM496</f>
        <v>0</v>
      </c>
      <c r="O554" s="2160">
        <f>DN496</f>
        <v>0</v>
      </c>
      <c r="P554" s="2160">
        <f t="shared" si="360"/>
        <v>0</v>
      </c>
      <c r="S554" s="2358"/>
      <c r="T554" s="2358"/>
      <c r="U554" s="2358"/>
      <c r="V554" s="2358"/>
      <c r="W554" s="2358"/>
      <c r="X554" s="263"/>
      <c r="AA554" s="263"/>
      <c r="AB554" s="266"/>
      <c r="AC554" s="263"/>
      <c r="AF554" s="263"/>
      <c r="AG554" s="266"/>
      <c r="AH554" s="263"/>
      <c r="AK554" s="263"/>
      <c r="AL554" s="266"/>
      <c r="AM554" s="263"/>
      <c r="AP554" s="263"/>
      <c r="AQ554" s="266"/>
      <c r="AR554" s="267"/>
      <c r="AS554" s="267"/>
      <c r="AT554" s="267"/>
      <c r="AU554" s="267"/>
      <c r="AV554" s="267"/>
      <c r="AW554" s="267"/>
      <c r="AX554" s="266"/>
      <c r="AY554" s="263"/>
      <c r="BB554" s="267"/>
      <c r="BC554" s="266"/>
      <c r="BD554" s="263"/>
      <c r="JW554" s="1441"/>
      <c r="KB554" s="1441"/>
      <c r="KG554" s="1441"/>
      <c r="KL554" s="1441"/>
      <c r="KM554" s="1441"/>
      <c r="KN554" s="1441"/>
      <c r="KO554" s="1441"/>
      <c r="KP554" s="1441"/>
      <c r="KQ554" s="1441"/>
      <c r="KR554" s="1441"/>
      <c r="KS554" s="1441"/>
      <c r="KT554" s="1441"/>
      <c r="KU554" s="1441"/>
      <c r="KV554" s="1441"/>
      <c r="KW554" s="1441"/>
      <c r="KX554" s="1441"/>
      <c r="KY554" s="1441"/>
      <c r="KZ554" s="1441"/>
      <c r="LA554" s="1441"/>
      <c r="LB554" s="1441"/>
      <c r="LC554" s="1441"/>
      <c r="LD554" s="1441"/>
      <c r="LE554" s="1441"/>
      <c r="LF554" s="1441"/>
      <c r="LG554" s="1441"/>
      <c r="LN554" s="265"/>
      <c r="LO554" s="265"/>
      <c r="ME554" s="265"/>
    </row>
    <row r="555" spans="1:343" ht="15" customHeight="1">
      <c r="A555" s="2345"/>
      <c r="B555" s="2345"/>
      <c r="C555" s="2382"/>
      <c r="D555" s="2382"/>
      <c r="E555" s="2382"/>
      <c r="F555" s="263"/>
      <c r="H555" s="1222" t="s">
        <v>1177</v>
      </c>
      <c r="I555" s="266"/>
      <c r="K555" s="2160">
        <f>DE496</f>
        <v>0</v>
      </c>
      <c r="L555" s="2160">
        <f>DF496</f>
        <v>0</v>
      </c>
      <c r="M555" s="2160">
        <f>DG496</f>
        <v>0</v>
      </c>
      <c r="N555" s="2160">
        <f>DH496</f>
        <v>0</v>
      </c>
      <c r="O555" s="2160">
        <f>DI496</f>
        <v>0</v>
      </c>
      <c r="P555" s="2160">
        <f t="shared" si="360"/>
        <v>0</v>
      </c>
      <c r="S555" s="2358"/>
      <c r="T555" s="2358"/>
      <c r="U555" s="2358"/>
      <c r="V555" s="2358"/>
      <c r="W555" s="2358"/>
      <c r="X555" s="263"/>
      <c r="AA555" s="263"/>
      <c r="AB555" s="266"/>
      <c r="AC555" s="263"/>
      <c r="AF555" s="263"/>
      <c r="AG555" s="266"/>
      <c r="AH555" s="263"/>
      <c r="AK555" s="263"/>
      <c r="AL555" s="266"/>
      <c r="AM555" s="263"/>
      <c r="AP555" s="263"/>
      <c r="AQ555" s="266"/>
      <c r="AR555" s="267"/>
      <c r="AS555" s="267"/>
      <c r="AT555" s="267"/>
      <c r="AU555" s="267"/>
      <c r="AV555" s="267"/>
      <c r="AW555" s="267"/>
      <c r="AX555" s="266"/>
      <c r="AY555" s="263"/>
      <c r="BB555" s="267"/>
      <c r="BC555" s="266"/>
      <c r="BD555" s="263"/>
      <c r="JW555" s="1441"/>
      <c r="KB555" s="1441"/>
      <c r="KG555" s="1441"/>
      <c r="KL555" s="1441"/>
      <c r="KM555" s="1441"/>
      <c r="KN555" s="1441"/>
      <c r="KO555" s="1441"/>
      <c r="KP555" s="1441"/>
      <c r="KQ555" s="1441"/>
      <c r="KR555" s="1441"/>
      <c r="KS555" s="1441"/>
      <c r="KT555" s="1441"/>
      <c r="KU555" s="1441"/>
      <c r="KV555" s="1441"/>
      <c r="KW555" s="1441"/>
      <c r="KX555" s="1441"/>
      <c r="KY555" s="1441"/>
      <c r="KZ555" s="1441"/>
      <c r="LA555" s="1441"/>
      <c r="LB555" s="1441"/>
      <c r="LC555" s="1441"/>
      <c r="LD555" s="1441"/>
      <c r="LE555" s="1441"/>
      <c r="LF555" s="1441"/>
      <c r="LG555" s="1441"/>
      <c r="LN555" s="265"/>
      <c r="LO555" s="265"/>
      <c r="ME555" s="265"/>
    </row>
    <row r="556" spans="1:343" ht="15" customHeight="1">
      <c r="A556" s="2345"/>
      <c r="B556" s="2345"/>
      <c r="C556" s="2382"/>
      <c r="D556" s="2382"/>
      <c r="E556" s="2382"/>
      <c r="F556" s="263"/>
      <c r="H556" s="1222" t="s">
        <v>1178</v>
      </c>
      <c r="I556" s="266"/>
      <c r="K556" s="2160">
        <f>CZ496</f>
        <v>0</v>
      </c>
      <c r="L556" s="2160">
        <f>DA496</f>
        <v>0</v>
      </c>
      <c r="M556" s="2160">
        <f>DB496</f>
        <v>0</v>
      </c>
      <c r="N556" s="2160">
        <f>DC496</f>
        <v>0</v>
      </c>
      <c r="O556" s="2160">
        <f>DD496</f>
        <v>0</v>
      </c>
      <c r="P556" s="2160">
        <f t="shared" si="360"/>
        <v>0</v>
      </c>
      <c r="S556" s="2358"/>
      <c r="T556" s="2358"/>
      <c r="U556" s="2358"/>
      <c r="V556" s="2358"/>
      <c r="W556" s="2358"/>
      <c r="X556" s="263"/>
      <c r="AA556" s="263"/>
      <c r="AB556" s="266"/>
      <c r="AC556" s="263"/>
      <c r="AF556" s="263"/>
      <c r="AG556" s="266"/>
      <c r="AH556" s="263"/>
      <c r="AK556" s="263"/>
      <c r="AL556" s="266"/>
      <c r="AM556" s="263"/>
      <c r="AP556" s="263"/>
      <c r="AQ556" s="266"/>
      <c r="AR556" s="267"/>
      <c r="AS556" s="267"/>
      <c r="AT556" s="267"/>
      <c r="AU556" s="267"/>
      <c r="AV556" s="267"/>
      <c r="AW556" s="267"/>
      <c r="AX556" s="266"/>
      <c r="AY556" s="263"/>
      <c r="BB556" s="267"/>
      <c r="BC556" s="266"/>
      <c r="BD556" s="263"/>
      <c r="JW556" s="1441"/>
      <c r="KB556" s="1441"/>
      <c r="KG556" s="1441"/>
      <c r="KL556" s="1441"/>
      <c r="KM556" s="1441"/>
      <c r="KN556" s="1441"/>
      <c r="KO556" s="1441"/>
      <c r="KP556" s="1441"/>
      <c r="KQ556" s="1441"/>
      <c r="KR556" s="1441"/>
      <c r="KS556" s="1441"/>
      <c r="KT556" s="1441"/>
      <c r="KU556" s="1441"/>
      <c r="KV556" s="1441"/>
      <c r="KW556" s="1441"/>
      <c r="KX556" s="1441"/>
      <c r="KY556" s="1441"/>
      <c r="KZ556" s="1441"/>
      <c r="LA556" s="1441"/>
      <c r="LB556" s="1441"/>
      <c r="LC556" s="1441"/>
      <c r="LD556" s="1441"/>
      <c r="LE556" s="1441"/>
      <c r="LF556" s="1441"/>
      <c r="LG556" s="1441"/>
      <c r="LN556" s="265"/>
      <c r="LO556" s="265"/>
      <c r="ME556" s="265"/>
    </row>
    <row r="557" spans="1:343" ht="15" customHeight="1">
      <c r="A557" s="2345"/>
      <c r="B557" s="2345"/>
      <c r="C557" s="2382"/>
      <c r="D557" s="2382"/>
      <c r="E557" s="2382"/>
      <c r="F557" s="263"/>
      <c r="H557" s="1222" t="s">
        <v>1179</v>
      </c>
      <c r="I557" s="266"/>
      <c r="K557" s="2381">
        <f>CU496</f>
        <v>0</v>
      </c>
      <c r="L557" s="2381">
        <f>CV496</f>
        <v>0</v>
      </c>
      <c r="M557" s="2381">
        <f>CW496</f>
        <v>0</v>
      </c>
      <c r="N557" s="2381">
        <f>CX496</f>
        <v>0</v>
      </c>
      <c r="O557" s="2381">
        <f>CY496</f>
        <v>0</v>
      </c>
      <c r="P557" s="2160">
        <f t="shared" si="360"/>
        <v>0</v>
      </c>
      <c r="S557" s="2358"/>
      <c r="T557" s="2358"/>
      <c r="U557" s="2358"/>
      <c r="V557" s="2358"/>
      <c r="W557" s="2358"/>
      <c r="X557" s="266"/>
      <c r="AA557" s="263"/>
      <c r="AB557" s="266"/>
      <c r="AC557" s="266"/>
      <c r="AF557" s="263"/>
      <c r="AG557" s="266"/>
      <c r="AH557" s="266"/>
      <c r="AK557" s="263"/>
      <c r="AL557" s="266"/>
      <c r="AM557" s="266"/>
      <c r="AP557" s="263"/>
      <c r="AQ557" s="266"/>
      <c r="AR557" s="267"/>
      <c r="AS557" s="267"/>
      <c r="AT557" s="267"/>
      <c r="AU557" s="267"/>
      <c r="AV557" s="267"/>
      <c r="AW557" s="267"/>
      <c r="AX557" s="266"/>
      <c r="AY557" s="263"/>
      <c r="BB557" s="267"/>
      <c r="BC557" s="266"/>
      <c r="BD557" s="263"/>
      <c r="JW557" s="1441"/>
      <c r="KB557" s="1441"/>
      <c r="KG557" s="1441"/>
      <c r="KL557" s="1441"/>
      <c r="KM557" s="1441"/>
      <c r="KN557" s="1441"/>
      <c r="KO557" s="1441"/>
      <c r="KP557" s="1441"/>
      <c r="KQ557" s="1441"/>
      <c r="KR557" s="1441"/>
      <c r="KS557" s="1441"/>
      <c r="KT557" s="1441"/>
      <c r="KU557" s="1441"/>
      <c r="KV557" s="1441"/>
      <c r="KW557" s="1441"/>
      <c r="KX557" s="1441"/>
      <c r="KY557" s="1441"/>
      <c r="KZ557" s="1441"/>
      <c r="LA557" s="1441"/>
      <c r="LB557" s="1441"/>
      <c r="LC557" s="1441"/>
      <c r="LD557" s="1441"/>
      <c r="LE557" s="1441"/>
      <c r="LF557" s="1441"/>
      <c r="LG557" s="1441"/>
      <c r="LN557" s="265"/>
      <c r="LO557" s="265"/>
      <c r="ME557" s="265"/>
    </row>
    <row r="558" spans="1:343" ht="15" customHeight="1">
      <c r="A558" s="2345"/>
      <c r="B558" s="2345"/>
      <c r="D558" s="263"/>
      <c r="E558" s="1222"/>
      <c r="F558" s="263"/>
      <c r="H558" s="1336" t="s">
        <v>296</v>
      </c>
      <c r="I558" s="2359"/>
      <c r="K558" s="2162">
        <f>SUM(K551:K557)</f>
        <v>0</v>
      </c>
      <c r="L558" s="2162">
        <f>SUM(L551:L557)</f>
        <v>0</v>
      </c>
      <c r="M558" s="2162">
        <f>SUM(M551:M557)</f>
        <v>0</v>
      </c>
      <c r="N558" s="2162">
        <f>SUM(N551:N557)</f>
        <v>0</v>
      </c>
      <c r="O558" s="2162">
        <f>SUM(O551:O557)</f>
        <v>0</v>
      </c>
      <c r="P558" s="2162">
        <f t="shared" si="360"/>
        <v>0</v>
      </c>
      <c r="S558" s="2358"/>
      <c r="T558" s="2358"/>
      <c r="U558" s="2358"/>
      <c r="V558" s="2358"/>
      <c r="W558" s="2358"/>
      <c r="X558" s="1440"/>
      <c r="AA558" s="263"/>
      <c r="AB558" s="266"/>
      <c r="AC558" s="1440"/>
      <c r="AF558" s="263"/>
      <c r="AG558" s="266"/>
      <c r="AH558" s="1440"/>
      <c r="AK558" s="263"/>
      <c r="AL558" s="266"/>
      <c r="AM558" s="1440"/>
      <c r="AP558" s="263"/>
      <c r="AQ558" s="266"/>
      <c r="AR558" s="267"/>
      <c r="AS558" s="267"/>
      <c r="AT558" s="267"/>
      <c r="AU558" s="267"/>
      <c r="AV558" s="267"/>
      <c r="AW558" s="267"/>
      <c r="AX558" s="266"/>
      <c r="AY558" s="263"/>
      <c r="BB558" s="267"/>
      <c r="BC558" s="266"/>
      <c r="BD558" s="263"/>
      <c r="JW558" s="1441"/>
      <c r="KB558" s="1441"/>
      <c r="KG558" s="1441"/>
      <c r="KL558" s="1441"/>
      <c r="KM558" s="1441"/>
      <c r="KN558" s="1441"/>
      <c r="KO558" s="1441"/>
      <c r="KP558" s="1441"/>
      <c r="KQ558" s="1441"/>
      <c r="KR558" s="1441"/>
      <c r="KS558" s="1441"/>
      <c r="KT558" s="1441"/>
      <c r="KU558" s="1441"/>
      <c r="KV558" s="1441"/>
      <c r="KW558" s="1441"/>
      <c r="KX558" s="1441"/>
      <c r="KY558" s="1441"/>
      <c r="KZ558" s="1441"/>
      <c r="LA558" s="1441"/>
      <c r="LB558" s="1441"/>
      <c r="LC558" s="1441"/>
      <c r="LD558" s="1441"/>
      <c r="LE558" s="1441"/>
      <c r="LF558" s="1441"/>
      <c r="LG558" s="1441"/>
      <c r="LN558" s="265"/>
      <c r="LO558" s="265"/>
      <c r="ME558" s="265"/>
    </row>
    <row r="559" spans="1:343" ht="9" customHeight="1">
      <c r="A559" s="2345"/>
      <c r="B559" s="2345"/>
      <c r="D559" s="2195"/>
      <c r="E559" s="1222"/>
      <c r="F559" s="263"/>
      <c r="H559" s="1222"/>
      <c r="I559" s="266"/>
      <c r="K559" s="2380"/>
      <c r="L559" s="2380"/>
      <c r="M559" s="2380"/>
      <c r="N559" s="2380"/>
      <c r="O559" s="2380"/>
      <c r="P559" s="2380"/>
      <c r="S559" s="2215" t="str">
        <f>C560</f>
        <v>Type of Construction Activity</v>
      </c>
      <c r="U559" s="2375"/>
      <c r="X559" s="263"/>
      <c r="AA559" s="263"/>
      <c r="AB559" s="266"/>
      <c r="AC559" s="263"/>
      <c r="AF559" s="263"/>
      <c r="AG559" s="266"/>
      <c r="AH559" s="263"/>
      <c r="AK559" s="263"/>
      <c r="AL559" s="266"/>
      <c r="AM559" s="263"/>
      <c r="AP559" s="263"/>
      <c r="AQ559" s="266"/>
      <c r="AR559" s="263"/>
      <c r="AS559" s="263"/>
      <c r="AT559" s="263"/>
      <c r="AU559" s="263"/>
      <c r="AV559" s="263"/>
      <c r="AW559" s="263"/>
      <c r="AY559" s="263"/>
      <c r="BB559" s="263"/>
      <c r="BD559" s="263"/>
      <c r="JW559" s="1441"/>
      <c r="KB559" s="1441"/>
      <c r="KG559" s="1441"/>
      <c r="KL559" s="1441"/>
      <c r="KM559" s="1441"/>
      <c r="KN559" s="1441"/>
      <c r="KO559" s="1441"/>
      <c r="KP559" s="1441"/>
      <c r="KQ559" s="1441"/>
      <c r="KR559" s="1441"/>
      <c r="KS559" s="1441"/>
      <c r="KT559" s="1441"/>
      <c r="KU559" s="1441"/>
      <c r="KV559" s="1441"/>
      <c r="KW559" s="1441"/>
      <c r="KX559" s="1441"/>
      <c r="KY559" s="1441"/>
      <c r="KZ559" s="1441"/>
      <c r="LA559" s="1441"/>
      <c r="LB559" s="1441"/>
      <c r="LC559" s="1441"/>
      <c r="LD559" s="1441"/>
      <c r="LE559" s="1441"/>
      <c r="LF559" s="1441"/>
      <c r="LG559" s="1441"/>
      <c r="LN559" s="265"/>
      <c r="LO559" s="265"/>
      <c r="ME559" s="265"/>
    </row>
    <row r="560" spans="1:343" ht="14.25" customHeight="1">
      <c r="A560" s="2345"/>
      <c r="B560" s="2345"/>
      <c r="C560" s="2358" t="s">
        <v>1195</v>
      </c>
      <c r="D560" s="2358"/>
      <c r="E560" s="1222" t="s">
        <v>1196</v>
      </c>
      <c r="F560" s="263"/>
      <c r="H560" s="1222" t="s">
        <v>1197</v>
      </c>
      <c r="I560" s="266"/>
      <c r="K560" s="2160">
        <f>GG496</f>
        <v>0</v>
      </c>
      <c r="L560" s="2160">
        <f>GH496</f>
        <v>0</v>
      </c>
      <c r="M560" s="2160">
        <f>GI496</f>
        <v>0</v>
      </c>
      <c r="N560" s="2160">
        <f>GJ496</f>
        <v>0</v>
      </c>
      <c r="O560" s="2160">
        <f>GK496</f>
        <v>0</v>
      </c>
      <c r="P560" s="2160">
        <f t="shared" ref="P560:P570" si="361">SUM(K560:O560)</f>
        <v>0</v>
      </c>
      <c r="S560" s="2358"/>
      <c r="T560" s="2358"/>
      <c r="U560" s="2358"/>
      <c r="V560" s="2358"/>
      <c r="W560" s="2358"/>
      <c r="X560" s="263"/>
      <c r="AA560" s="263"/>
      <c r="AB560" s="266"/>
      <c r="AC560" s="263"/>
      <c r="AF560" s="263"/>
      <c r="AG560" s="266"/>
      <c r="AH560" s="263"/>
      <c r="AK560" s="263"/>
      <c r="AL560" s="266"/>
      <c r="AM560" s="263"/>
      <c r="AP560" s="263"/>
      <c r="AQ560" s="266"/>
      <c r="AR560" s="267"/>
      <c r="AS560" s="267"/>
      <c r="AT560" s="267"/>
      <c r="AU560" s="267"/>
      <c r="AV560" s="267"/>
      <c r="AW560" s="267"/>
      <c r="BB560" s="267"/>
      <c r="LN560" s="265"/>
      <c r="LO560" s="265"/>
      <c r="ME560" s="265"/>
    </row>
    <row r="561" spans="1:343" ht="14.25" customHeight="1">
      <c r="A561" s="2345"/>
      <c r="B561" s="2345"/>
      <c r="C561" s="2358"/>
      <c r="D561" s="2358"/>
      <c r="E561" s="1222"/>
      <c r="F561" s="263"/>
      <c r="H561" s="1222" t="s">
        <v>1113</v>
      </c>
      <c r="I561" s="266"/>
      <c r="K561" s="2160">
        <f>GL496</f>
        <v>0</v>
      </c>
      <c r="L561" s="2160">
        <f>GM496</f>
        <v>0</v>
      </c>
      <c r="M561" s="2160">
        <f>GN496</f>
        <v>0</v>
      </c>
      <c r="N561" s="2160">
        <f>GO496</f>
        <v>0</v>
      </c>
      <c r="O561" s="2160">
        <f>GP496</f>
        <v>0</v>
      </c>
      <c r="P561" s="2160">
        <f t="shared" si="361"/>
        <v>0</v>
      </c>
      <c r="S561" s="2358"/>
      <c r="T561" s="2358"/>
      <c r="U561" s="2358"/>
      <c r="V561" s="2358"/>
      <c r="W561" s="2358"/>
      <c r="X561" s="263"/>
      <c r="AA561" s="263"/>
      <c r="AB561" s="266"/>
      <c r="AC561" s="263"/>
      <c r="AF561" s="263"/>
      <c r="AG561" s="266"/>
      <c r="AH561" s="263"/>
      <c r="AK561" s="263"/>
      <c r="AL561" s="266"/>
      <c r="AM561" s="263"/>
      <c r="AP561" s="263"/>
      <c r="AQ561" s="266"/>
      <c r="AR561" s="267"/>
      <c r="AS561" s="267"/>
      <c r="AT561" s="267"/>
      <c r="AU561" s="267"/>
      <c r="AV561" s="267"/>
      <c r="AW561" s="267"/>
      <c r="AX561" s="639"/>
      <c r="AY561" s="263"/>
      <c r="BB561" s="267"/>
      <c r="BC561" s="639"/>
      <c r="BD561" s="263"/>
      <c r="JW561" s="1441"/>
      <c r="KB561" s="1441"/>
      <c r="KG561" s="1441"/>
      <c r="KL561" s="1441"/>
      <c r="KM561" s="1441"/>
      <c r="KN561" s="1441"/>
      <c r="KO561" s="1441"/>
      <c r="KP561" s="1441"/>
      <c r="KQ561" s="1441"/>
      <c r="KR561" s="1441"/>
      <c r="KS561" s="1441"/>
      <c r="KT561" s="1441"/>
      <c r="KU561" s="1441"/>
      <c r="KV561" s="1441"/>
      <c r="KW561" s="1441"/>
      <c r="KX561" s="1441"/>
      <c r="KY561" s="1441"/>
      <c r="KZ561" s="1441"/>
      <c r="LA561" s="1441"/>
      <c r="LB561" s="1441"/>
      <c r="LC561" s="1441"/>
      <c r="LD561" s="1441"/>
      <c r="LE561" s="1441"/>
      <c r="LF561" s="1441"/>
      <c r="LG561" s="1441"/>
      <c r="LN561" s="265"/>
      <c r="LO561" s="265"/>
      <c r="ME561" s="265"/>
    </row>
    <row r="562" spans="1:343" ht="14.25" customHeight="1">
      <c r="A562" s="2345"/>
      <c r="B562" s="2345"/>
      <c r="C562" s="2358"/>
      <c r="D562" s="2358"/>
      <c r="E562" s="1222"/>
      <c r="F562" s="263"/>
      <c r="H562" s="1336" t="s">
        <v>1198</v>
      </c>
      <c r="I562" s="2359"/>
      <c r="K562" s="2162">
        <f>SUM(K560:K561)+GQ496</f>
        <v>0</v>
      </c>
      <c r="L562" s="2162">
        <f>SUM(L560:L561)+GR496</f>
        <v>0</v>
      </c>
      <c r="M562" s="2162">
        <f>SUM(M560:M561)+GS496</f>
        <v>0</v>
      </c>
      <c r="N562" s="2162">
        <f>SUM(N560:N561)+GT496</f>
        <v>0</v>
      </c>
      <c r="O562" s="2162">
        <f>SUM(O560:O561)+GU496</f>
        <v>0</v>
      </c>
      <c r="P562" s="2162">
        <f t="shared" si="361"/>
        <v>0</v>
      </c>
      <c r="S562" s="2358"/>
      <c r="T562" s="2358"/>
      <c r="U562" s="2358"/>
      <c r="V562" s="2358"/>
      <c r="W562" s="2358"/>
      <c r="X562" s="1440"/>
      <c r="AA562" s="263"/>
      <c r="AB562" s="266"/>
      <c r="AC562" s="1440"/>
      <c r="AF562" s="263"/>
      <c r="AG562" s="266"/>
      <c r="AH562" s="1440"/>
      <c r="AK562" s="263"/>
      <c r="AL562" s="266"/>
      <c r="AM562" s="1440"/>
      <c r="AP562" s="263"/>
      <c r="AQ562" s="266"/>
      <c r="AR562" s="267"/>
      <c r="AS562" s="267"/>
      <c r="AT562" s="267"/>
      <c r="AU562" s="267"/>
      <c r="AV562" s="267"/>
      <c r="AW562" s="267"/>
      <c r="AX562" s="266"/>
      <c r="AY562" s="263"/>
      <c r="BB562" s="267"/>
      <c r="BC562" s="266"/>
      <c r="BD562" s="263"/>
      <c r="JW562" s="1441"/>
      <c r="KB562" s="1441"/>
      <c r="KG562" s="1441"/>
      <c r="KL562" s="1441"/>
      <c r="KM562" s="1441"/>
      <c r="KN562" s="1441"/>
      <c r="KO562" s="1441"/>
      <c r="KP562" s="1441"/>
      <c r="KQ562" s="1441"/>
      <c r="KR562" s="1441"/>
      <c r="KS562" s="1441"/>
      <c r="KT562" s="1441"/>
      <c r="KU562" s="1441"/>
      <c r="KV562" s="1441"/>
      <c r="KW562" s="1441"/>
      <c r="KX562" s="1441"/>
      <c r="KY562" s="1441"/>
      <c r="KZ562" s="1441"/>
      <c r="LA562" s="1441"/>
      <c r="LB562" s="1441"/>
      <c r="LC562" s="1441"/>
      <c r="LD562" s="1441"/>
      <c r="LE562" s="1441"/>
      <c r="LF562" s="1441"/>
      <c r="LG562" s="1441"/>
      <c r="LN562" s="265"/>
      <c r="LO562" s="265"/>
      <c r="ME562" s="265"/>
    </row>
    <row r="563" spans="1:343" ht="14.25" customHeight="1">
      <c r="A563" s="2345"/>
      <c r="B563" s="2345"/>
      <c r="C563" s="2358"/>
      <c r="D563" s="2358"/>
      <c r="E563" s="1222" t="s">
        <v>1199</v>
      </c>
      <c r="F563" s="263"/>
      <c r="H563" s="1222" t="s">
        <v>1197</v>
      </c>
      <c r="I563" s="266"/>
      <c r="K563" s="2160">
        <f>GV496</f>
        <v>0</v>
      </c>
      <c r="L563" s="2160">
        <f>GW496</f>
        <v>38</v>
      </c>
      <c r="M563" s="2160">
        <f>GX496</f>
        <v>60</v>
      </c>
      <c r="N563" s="2160">
        <f>GY496</f>
        <v>20</v>
      </c>
      <c r="O563" s="2160">
        <f>GZ496</f>
        <v>0</v>
      </c>
      <c r="P563" s="2160">
        <f t="shared" si="361"/>
        <v>118</v>
      </c>
      <c r="S563" s="2358"/>
      <c r="T563" s="2358"/>
      <c r="U563" s="2358"/>
      <c r="V563" s="2358"/>
      <c r="W563" s="2358"/>
      <c r="X563" s="263"/>
      <c r="AA563" s="263"/>
      <c r="AB563" s="266"/>
      <c r="AC563" s="263"/>
      <c r="AF563" s="263"/>
      <c r="AG563" s="266"/>
      <c r="AH563" s="263"/>
      <c r="AK563" s="263"/>
      <c r="AL563" s="266"/>
      <c r="AM563" s="263"/>
      <c r="AP563" s="263"/>
      <c r="AQ563" s="266"/>
      <c r="AR563" s="267"/>
      <c r="AS563" s="267"/>
      <c r="AT563" s="267"/>
      <c r="AU563" s="267"/>
      <c r="AV563" s="267"/>
      <c r="AW563" s="267"/>
      <c r="BB563" s="267"/>
      <c r="LN563" s="265"/>
      <c r="LO563" s="265"/>
      <c r="ME563" s="265"/>
    </row>
    <row r="564" spans="1:343" ht="14.25" customHeight="1">
      <c r="A564" s="2345"/>
      <c r="B564" s="2345"/>
      <c r="C564" s="2358"/>
      <c r="D564" s="2358"/>
      <c r="E564" s="1222"/>
      <c r="F564" s="263"/>
      <c r="H564" s="1222" t="s">
        <v>1113</v>
      </c>
      <c r="I564" s="266"/>
      <c r="K564" s="2160">
        <f>HA496</f>
        <v>0</v>
      </c>
      <c r="L564" s="2160">
        <f>HB496</f>
        <v>24</v>
      </c>
      <c r="M564" s="2160">
        <f>HC496</f>
        <v>42</v>
      </c>
      <c r="N564" s="2160">
        <f>HD496</f>
        <v>15</v>
      </c>
      <c r="O564" s="2160">
        <f>HE496</f>
        <v>0</v>
      </c>
      <c r="P564" s="2160">
        <f t="shared" si="361"/>
        <v>81</v>
      </c>
      <c r="S564" s="2358"/>
      <c r="T564" s="2358"/>
      <c r="U564" s="2358"/>
      <c r="V564" s="2358"/>
      <c r="W564" s="2358"/>
      <c r="X564" s="263"/>
      <c r="AA564" s="263"/>
      <c r="AB564" s="266"/>
      <c r="AC564" s="263"/>
      <c r="AF564" s="263"/>
      <c r="AG564" s="266"/>
      <c r="AH564" s="263"/>
      <c r="AK564" s="263"/>
      <c r="AL564" s="266"/>
      <c r="AM564" s="263"/>
      <c r="AP564" s="263"/>
      <c r="AQ564" s="266"/>
      <c r="AR564" s="267"/>
      <c r="AS564" s="267"/>
      <c r="AT564" s="267"/>
      <c r="AU564" s="267"/>
      <c r="AV564" s="267"/>
      <c r="AW564" s="267"/>
      <c r="AX564" s="639"/>
      <c r="AY564" s="263"/>
      <c r="BB564" s="267"/>
      <c r="BC564" s="639"/>
      <c r="BD564" s="263"/>
      <c r="JW564" s="1441"/>
      <c r="KB564" s="1441"/>
      <c r="KG564" s="1441"/>
      <c r="KL564" s="1441"/>
      <c r="KM564" s="1441"/>
      <c r="KN564" s="1441"/>
      <c r="KO564" s="1441"/>
      <c r="KP564" s="1441"/>
      <c r="KQ564" s="1441"/>
      <c r="KR564" s="1441"/>
      <c r="KS564" s="1441"/>
      <c r="KT564" s="1441"/>
      <c r="KU564" s="1441"/>
      <c r="KV564" s="1441"/>
      <c r="KW564" s="1441"/>
      <c r="KX564" s="1441"/>
      <c r="KY564" s="1441"/>
      <c r="KZ564" s="1441"/>
      <c r="LA564" s="1441"/>
      <c r="LB564" s="1441"/>
      <c r="LC564" s="1441"/>
      <c r="LD564" s="1441"/>
      <c r="LE564" s="1441"/>
      <c r="LF564" s="1441"/>
      <c r="LG564" s="1441"/>
      <c r="LN564" s="265"/>
      <c r="LO564" s="265"/>
      <c r="ME564" s="265"/>
    </row>
    <row r="565" spans="1:343" ht="14.25" customHeight="1">
      <c r="A565" s="2345"/>
      <c r="B565" s="2345"/>
      <c r="C565" s="2358"/>
      <c r="D565" s="2358"/>
      <c r="E565" s="1222"/>
      <c r="F565" s="263"/>
      <c r="H565" s="1336" t="s">
        <v>1198</v>
      </c>
      <c r="I565" s="2359"/>
      <c r="K565" s="2162">
        <f>SUM(K563:K564)+HF496</f>
        <v>0</v>
      </c>
      <c r="L565" s="2162">
        <f>SUM(L563:L564)+HG496</f>
        <v>62</v>
      </c>
      <c r="M565" s="2162">
        <f>SUM(M563:M564)+HH496</f>
        <v>102</v>
      </c>
      <c r="N565" s="2162">
        <f>SUM(N563:N564)+HI496</f>
        <v>35</v>
      </c>
      <c r="O565" s="2162">
        <f>SUM(O563:O564)+HJ496</f>
        <v>0</v>
      </c>
      <c r="P565" s="2162">
        <f t="shared" si="361"/>
        <v>199</v>
      </c>
      <c r="S565" s="2358"/>
      <c r="T565" s="2358"/>
      <c r="U565" s="2358"/>
      <c r="V565" s="2358"/>
      <c r="W565" s="2358"/>
      <c r="X565" s="1440"/>
      <c r="AA565" s="263"/>
      <c r="AB565" s="266"/>
      <c r="AC565" s="1440"/>
      <c r="AF565" s="263"/>
      <c r="AG565" s="266"/>
      <c r="AH565" s="1440"/>
      <c r="AK565" s="263"/>
      <c r="AL565" s="266"/>
      <c r="AM565" s="1440"/>
      <c r="AP565" s="263"/>
      <c r="AQ565" s="266"/>
      <c r="AR565" s="267"/>
      <c r="AS565" s="267"/>
      <c r="AT565" s="267"/>
      <c r="AU565" s="267"/>
      <c r="AV565" s="267"/>
      <c r="AW565" s="267"/>
      <c r="AX565" s="266"/>
      <c r="AY565" s="263"/>
      <c r="BB565" s="267"/>
      <c r="BC565" s="266"/>
      <c r="BD565" s="263"/>
      <c r="JW565" s="1441"/>
      <c r="KB565" s="1441"/>
      <c r="KG565" s="1441"/>
      <c r="KL565" s="1441"/>
      <c r="KM565" s="1441"/>
      <c r="KN565" s="1441"/>
      <c r="KO565" s="1441"/>
      <c r="KP565" s="1441"/>
      <c r="KQ565" s="1441"/>
      <c r="KR565" s="1441"/>
      <c r="KS565" s="1441"/>
      <c r="KT565" s="1441"/>
      <c r="KU565" s="1441"/>
      <c r="KV565" s="1441"/>
      <c r="KW565" s="1441"/>
      <c r="KX565" s="1441"/>
      <c r="KY565" s="1441"/>
      <c r="KZ565" s="1441"/>
      <c r="LA565" s="1441"/>
      <c r="LB565" s="1441"/>
      <c r="LC565" s="1441"/>
      <c r="LD565" s="1441"/>
      <c r="LE565" s="1441"/>
      <c r="LF565" s="1441"/>
      <c r="LG565" s="1441"/>
      <c r="LN565" s="265"/>
      <c r="LO565" s="265"/>
      <c r="ME565" s="265"/>
    </row>
    <row r="566" spans="1:343" ht="14.25" customHeight="1">
      <c r="A566" s="2345"/>
      <c r="B566" s="2345"/>
      <c r="C566" s="2331"/>
      <c r="D566" s="263"/>
      <c r="E566" s="2331" t="s">
        <v>1200</v>
      </c>
      <c r="F566" s="2331"/>
      <c r="H566" s="1222" t="s">
        <v>1197</v>
      </c>
      <c r="I566" s="266"/>
      <c r="K566" s="2160">
        <f>HK496</f>
        <v>0</v>
      </c>
      <c r="L566" s="2160">
        <f>HL496</f>
        <v>0</v>
      </c>
      <c r="M566" s="2160">
        <f>HM496</f>
        <v>0</v>
      </c>
      <c r="N566" s="2160">
        <f>HN496</f>
        <v>0</v>
      </c>
      <c r="O566" s="2160">
        <f>HO496</f>
        <v>0</v>
      </c>
      <c r="P566" s="2160">
        <f t="shared" si="361"/>
        <v>0</v>
      </c>
      <c r="S566" s="2358"/>
      <c r="T566" s="2358"/>
      <c r="U566" s="2358"/>
      <c r="V566" s="2358"/>
      <c r="W566" s="2358"/>
      <c r="X566" s="263"/>
      <c r="AA566" s="263"/>
      <c r="AB566" s="266"/>
      <c r="AC566" s="263"/>
      <c r="AF566" s="263"/>
      <c r="AG566" s="266"/>
      <c r="AH566" s="263"/>
      <c r="AK566" s="263"/>
      <c r="AL566" s="266"/>
      <c r="AM566" s="263"/>
      <c r="AP566" s="263"/>
      <c r="AQ566" s="266"/>
      <c r="AR566" s="267"/>
      <c r="AS566" s="267"/>
      <c r="AT566" s="267"/>
      <c r="AU566" s="267"/>
      <c r="AV566" s="267"/>
      <c r="AW566" s="267"/>
      <c r="BB566" s="267"/>
      <c r="LN566" s="265"/>
      <c r="LO566" s="265"/>
      <c r="ME566" s="265"/>
    </row>
    <row r="567" spans="1:343" ht="14.25" customHeight="1">
      <c r="A567" s="2345"/>
      <c r="B567" s="2345"/>
      <c r="C567" s="2331"/>
      <c r="D567" s="263"/>
      <c r="E567" s="2331"/>
      <c r="F567" s="2331"/>
      <c r="H567" s="1222" t="s">
        <v>1113</v>
      </c>
      <c r="I567" s="266"/>
      <c r="K567" s="2160">
        <f>HP496</f>
        <v>0</v>
      </c>
      <c r="L567" s="2160">
        <f>HQ496</f>
        <v>0</v>
      </c>
      <c r="M567" s="2160">
        <f>HR496</f>
        <v>0</v>
      </c>
      <c r="N567" s="2160">
        <f>HS496</f>
        <v>0</v>
      </c>
      <c r="O567" s="2160">
        <f>HT496</f>
        <v>0</v>
      </c>
      <c r="P567" s="2160">
        <f t="shared" si="361"/>
        <v>0</v>
      </c>
      <c r="S567" s="2358"/>
      <c r="T567" s="2358"/>
      <c r="U567" s="2358"/>
      <c r="V567" s="2358"/>
      <c r="W567" s="2358"/>
      <c r="X567" s="263"/>
      <c r="AA567" s="263"/>
      <c r="AB567" s="266"/>
      <c r="AC567" s="263"/>
      <c r="AF567" s="263"/>
      <c r="AG567" s="266"/>
      <c r="AH567" s="263"/>
      <c r="AK567" s="263"/>
      <c r="AL567" s="266"/>
      <c r="AM567" s="263"/>
      <c r="AP567" s="263"/>
      <c r="AQ567" s="266"/>
      <c r="AR567" s="267"/>
      <c r="AS567" s="267"/>
      <c r="AT567" s="267"/>
      <c r="AU567" s="267"/>
      <c r="AV567" s="267"/>
      <c r="AW567" s="267"/>
      <c r="AX567" s="639"/>
      <c r="AY567" s="263"/>
      <c r="BB567" s="267"/>
      <c r="BC567" s="639"/>
      <c r="BD567" s="263"/>
      <c r="JW567" s="1441"/>
      <c r="KB567" s="1441"/>
      <c r="KG567" s="1441"/>
      <c r="KL567" s="1441"/>
      <c r="KM567" s="1441"/>
      <c r="KN567" s="1441"/>
      <c r="KO567" s="1441"/>
      <c r="KP567" s="1441"/>
      <c r="KQ567" s="1441"/>
      <c r="KR567" s="1441"/>
      <c r="KS567" s="1441"/>
      <c r="KT567" s="1441"/>
      <c r="KU567" s="1441"/>
      <c r="KV567" s="1441"/>
      <c r="KW567" s="1441"/>
      <c r="KX567" s="1441"/>
      <c r="KY567" s="1441"/>
      <c r="KZ567" s="1441"/>
      <c r="LA567" s="1441"/>
      <c r="LB567" s="1441"/>
      <c r="LC567" s="1441"/>
      <c r="LD567" s="1441"/>
      <c r="LE567" s="1441"/>
      <c r="LF567" s="1441"/>
      <c r="LG567" s="1441"/>
      <c r="LN567" s="265"/>
      <c r="LO567" s="265"/>
      <c r="ME567" s="265"/>
    </row>
    <row r="568" spans="1:343" ht="14.25" customHeight="1">
      <c r="A568" s="2345"/>
      <c r="B568" s="2345"/>
      <c r="C568" s="2331"/>
      <c r="D568" s="263"/>
      <c r="E568" s="1222"/>
      <c r="F568" s="263"/>
      <c r="H568" s="1336" t="s">
        <v>1198</v>
      </c>
      <c r="I568" s="2359"/>
      <c r="K568" s="2162">
        <f>SUM(K566:K567)+HU496</f>
        <v>0</v>
      </c>
      <c r="L568" s="2162">
        <f>SUM(L566:L567)+HV496</f>
        <v>0</v>
      </c>
      <c r="M568" s="2162">
        <f>SUM(M566:M567)+HW496</f>
        <v>0</v>
      </c>
      <c r="N568" s="2162">
        <f>SUM(N566:N567)+HX496</f>
        <v>0</v>
      </c>
      <c r="O568" s="2162">
        <f>SUM(O566:O567)+HY496</f>
        <v>0</v>
      </c>
      <c r="P568" s="2162">
        <f t="shared" si="361"/>
        <v>0</v>
      </c>
      <c r="S568" s="2358"/>
      <c r="T568" s="2358"/>
      <c r="U568" s="2358"/>
      <c r="V568" s="2358"/>
      <c r="W568" s="2358"/>
      <c r="X568" s="1440"/>
      <c r="AA568" s="263"/>
      <c r="AB568" s="266"/>
      <c r="AC568" s="1440"/>
      <c r="AF568" s="263"/>
      <c r="AG568" s="266"/>
      <c r="AH568" s="1440"/>
      <c r="AK568" s="263"/>
      <c r="AL568" s="266"/>
      <c r="AM568" s="1440"/>
      <c r="AP568" s="263"/>
      <c r="AQ568" s="266"/>
      <c r="AR568" s="267"/>
      <c r="AS568" s="267"/>
      <c r="AT568" s="267"/>
      <c r="AU568" s="267"/>
      <c r="AV568" s="267"/>
      <c r="AW568" s="267"/>
      <c r="AX568" s="266"/>
      <c r="AY568" s="263"/>
      <c r="BB568" s="267"/>
      <c r="BC568" s="266"/>
      <c r="BD568" s="263"/>
      <c r="JW568" s="1441"/>
      <c r="KB568" s="1441"/>
      <c r="KG568" s="1441"/>
      <c r="KL568" s="1441"/>
      <c r="KM568" s="1441"/>
      <c r="KN568" s="1441"/>
      <c r="KO568" s="1441"/>
      <c r="KP568" s="1441"/>
      <c r="KQ568" s="1441"/>
      <c r="KR568" s="1441"/>
      <c r="KS568" s="1441"/>
      <c r="KT568" s="1441"/>
      <c r="KU568" s="1441"/>
      <c r="KV568" s="1441"/>
      <c r="KW568" s="1441"/>
      <c r="KX568" s="1441"/>
      <c r="KY568" s="1441"/>
      <c r="KZ568" s="1441"/>
      <c r="LA568" s="1441"/>
      <c r="LB568" s="1441"/>
      <c r="LC568" s="1441"/>
      <c r="LD568" s="1441"/>
      <c r="LE568" s="1441"/>
      <c r="LF568" s="1441"/>
      <c r="LG568" s="1441"/>
      <c r="LN568" s="265"/>
      <c r="LO568" s="265"/>
      <c r="ME568" s="265"/>
    </row>
    <row r="569" spans="1:343" ht="14.25" customHeight="1">
      <c r="A569" s="2345"/>
      <c r="B569" s="2345"/>
      <c r="C569" s="2331"/>
      <c r="D569" s="263"/>
      <c r="E569" s="1222" t="s">
        <v>1201</v>
      </c>
      <c r="F569" s="263"/>
      <c r="G569" s="2196"/>
      <c r="H569" s="264"/>
      <c r="K569" s="2160">
        <f>'Part V-Revenues &amp; Expenses'!K122</f>
        <v>0</v>
      </c>
      <c r="L569" s="2160">
        <f>'Part V-Revenues &amp; Expenses'!L122</f>
        <v>0</v>
      </c>
      <c r="M569" s="2160">
        <f>'Part V-Revenues &amp; Expenses'!M122</f>
        <v>0</v>
      </c>
      <c r="N569" s="2160">
        <f>'Part V-Revenues &amp; Expenses'!N122</f>
        <v>0</v>
      </c>
      <c r="O569" s="2160">
        <f>'Part V-Revenues &amp; Expenses'!O122</f>
        <v>0</v>
      </c>
      <c r="P569" s="2160">
        <f t="shared" si="361"/>
        <v>0</v>
      </c>
      <c r="S569" s="2358"/>
      <c r="T569" s="2358"/>
      <c r="U569" s="2358"/>
      <c r="V569" s="2358"/>
      <c r="W569" s="2358"/>
      <c r="X569" s="263"/>
      <c r="AA569" s="263"/>
      <c r="AB569" s="266"/>
      <c r="AC569" s="263"/>
      <c r="AF569" s="263"/>
      <c r="AG569" s="266"/>
      <c r="AH569" s="263"/>
      <c r="AK569" s="263"/>
      <c r="AL569" s="266"/>
      <c r="AM569" s="263"/>
      <c r="AP569" s="263"/>
      <c r="AQ569" s="266"/>
      <c r="AR569" s="267"/>
      <c r="AS569" s="267"/>
      <c r="AT569" s="267"/>
      <c r="AU569" s="267"/>
      <c r="AV569" s="267"/>
      <c r="AW569" s="267"/>
      <c r="AX569" s="639"/>
      <c r="AY569" s="263"/>
      <c r="BB569" s="267"/>
      <c r="BC569" s="639"/>
      <c r="BD569" s="263"/>
      <c r="JW569" s="1441"/>
      <c r="KB569" s="1441"/>
      <c r="KG569" s="1441"/>
      <c r="KL569" s="1441"/>
      <c r="KM569" s="1441"/>
      <c r="KN569" s="1441"/>
      <c r="KO569" s="1441"/>
      <c r="KP569" s="1441"/>
      <c r="KQ569" s="1441"/>
      <c r="KR569" s="1441"/>
      <c r="KS569" s="1441"/>
      <c r="KT569" s="1441"/>
      <c r="KU569" s="1441"/>
      <c r="KV569" s="1441"/>
      <c r="KW569" s="1441"/>
      <c r="KX569" s="1441"/>
      <c r="KY569" s="1441"/>
      <c r="KZ569" s="1441"/>
      <c r="LA569" s="1441"/>
      <c r="LB569" s="1441"/>
      <c r="LC569" s="1441"/>
      <c r="LD569" s="1441"/>
      <c r="LE569" s="1441"/>
      <c r="LF569" s="1441"/>
      <c r="LG569" s="1441"/>
      <c r="LN569" s="265"/>
      <c r="LO569" s="265"/>
      <c r="ME569" s="265"/>
    </row>
    <row r="570" spans="1:343" ht="14.25" customHeight="1">
      <c r="A570" s="2355" t="str">
        <f>IF(AND('Part III-A-Uses of Funds'!$T$179="Yes",'Part VIII Scoring Criteria'!$O$312&gt;0,P570&lt;1),"SHOW HISTORIC UNITS HERE &gt;&gt;&gt;&gt;","")</f>
        <v/>
      </c>
      <c r="B570" s="2355"/>
      <c r="C570" s="2355"/>
      <c r="D570" s="2355"/>
      <c r="E570" s="1222" t="s">
        <v>6994</v>
      </c>
      <c r="F570" s="263"/>
      <c r="G570" s="2196"/>
      <c r="H570" s="264"/>
      <c r="K570" s="2160">
        <f>'Part V-Revenues &amp; Expenses'!K123</f>
        <v>0</v>
      </c>
      <c r="L570" s="2160">
        <f>'Part V-Revenues &amp; Expenses'!L123</f>
        <v>0</v>
      </c>
      <c r="M570" s="2160">
        <f>'Part V-Revenues &amp; Expenses'!M123</f>
        <v>0</v>
      </c>
      <c r="N570" s="2160">
        <f>'Part V-Revenues &amp; Expenses'!N123</f>
        <v>0</v>
      </c>
      <c r="O570" s="2160">
        <f>'Part V-Revenues &amp; Expenses'!O123</f>
        <v>0</v>
      </c>
      <c r="P570" s="2160">
        <f t="shared" si="361"/>
        <v>0</v>
      </c>
      <c r="S570" s="2358"/>
      <c r="T570" s="2358"/>
      <c r="U570" s="2358"/>
      <c r="V570" s="2358"/>
      <c r="W570" s="2358"/>
      <c r="X570" s="263"/>
      <c r="AA570" s="263"/>
      <c r="AB570" s="266"/>
      <c r="AC570" s="263"/>
      <c r="AF570" s="263"/>
      <c r="AG570" s="266"/>
      <c r="AH570" s="263"/>
      <c r="AK570" s="263"/>
      <c r="AL570" s="266"/>
      <c r="AM570" s="263"/>
      <c r="AP570" s="263"/>
      <c r="AQ570" s="266"/>
      <c r="AR570" s="267"/>
      <c r="AS570" s="267"/>
      <c r="AT570" s="267"/>
      <c r="AU570" s="267"/>
      <c r="AV570" s="267"/>
      <c r="AW570" s="267"/>
      <c r="AX570" s="639"/>
      <c r="AY570" s="263"/>
      <c r="BB570" s="267"/>
      <c r="BC570" s="639"/>
      <c r="BD570" s="263"/>
      <c r="JW570" s="1441"/>
      <c r="KB570" s="1441"/>
      <c r="KG570" s="1441"/>
      <c r="KL570" s="1441"/>
      <c r="KM570" s="1441"/>
      <c r="KN570" s="1441"/>
      <c r="KO570" s="1441"/>
      <c r="KP570" s="1441"/>
      <c r="KQ570" s="1441"/>
      <c r="KR570" s="1441"/>
      <c r="KS570" s="1441"/>
      <c r="KT570" s="1441"/>
      <c r="KU570" s="1441"/>
      <c r="KV570" s="1441"/>
      <c r="KW570" s="1441"/>
      <c r="KX570" s="1441"/>
      <c r="KY570" s="1441"/>
      <c r="KZ570" s="1441"/>
      <c r="LA570" s="1441"/>
      <c r="LB570" s="1441"/>
      <c r="LC570" s="1441"/>
      <c r="LD570" s="1441"/>
      <c r="LE570" s="1441"/>
      <c r="LF570" s="1441"/>
      <c r="LG570" s="1441"/>
      <c r="LN570" s="265"/>
      <c r="LO570" s="265"/>
      <c r="ME570" s="265"/>
    </row>
    <row r="571" spans="1:343" ht="9" customHeight="1">
      <c r="A571" s="2383"/>
      <c r="B571" s="2383"/>
      <c r="C571" s="2383"/>
      <c r="D571" s="2383"/>
      <c r="E571" s="1222"/>
      <c r="F571" s="263"/>
      <c r="G571" s="2196"/>
      <c r="H571" s="264"/>
      <c r="K571" s="266"/>
      <c r="L571" s="266"/>
      <c r="M571" s="266"/>
      <c r="N571" s="266"/>
      <c r="O571" s="266"/>
      <c r="P571" s="266"/>
      <c r="S571" s="2358"/>
      <c r="T571" s="2358"/>
      <c r="U571" s="2358"/>
      <c r="V571" s="2358"/>
      <c r="W571" s="2358"/>
      <c r="X571" s="263"/>
      <c r="AA571" s="263"/>
      <c r="AB571" s="266"/>
      <c r="AC571" s="263"/>
      <c r="AF571" s="263"/>
      <c r="AG571" s="266"/>
      <c r="AH571" s="263"/>
      <c r="AK571" s="263"/>
      <c r="AL571" s="266"/>
      <c r="AM571" s="263"/>
      <c r="AP571" s="263"/>
      <c r="AQ571" s="266"/>
      <c r="AR571" s="267"/>
      <c r="AS571" s="267"/>
      <c r="AT571" s="267"/>
      <c r="AU571" s="267"/>
      <c r="AV571" s="267"/>
      <c r="AW571" s="267"/>
      <c r="AX571" s="639"/>
      <c r="AY571" s="263"/>
      <c r="BB571" s="267"/>
      <c r="BC571" s="639"/>
      <c r="BD571" s="263"/>
      <c r="JW571" s="1441"/>
      <c r="KB571" s="1441"/>
      <c r="KG571" s="1441"/>
      <c r="KL571" s="1441"/>
      <c r="KM571" s="1441"/>
      <c r="KN571" s="1441"/>
      <c r="KO571" s="1441"/>
      <c r="KP571" s="1441"/>
      <c r="KQ571" s="1441"/>
      <c r="KR571" s="1441"/>
      <c r="KS571" s="1441"/>
      <c r="KT571" s="1441"/>
      <c r="KU571" s="1441"/>
      <c r="KV571" s="1441"/>
      <c r="KW571" s="1441"/>
      <c r="KX571" s="1441"/>
      <c r="KY571" s="1441"/>
      <c r="KZ571" s="1441"/>
      <c r="LA571" s="1441"/>
      <c r="LB571" s="1441"/>
      <c r="LC571" s="1441"/>
      <c r="LD571" s="1441"/>
      <c r="LE571" s="1441"/>
      <c r="LF571" s="1441"/>
      <c r="LG571" s="1441"/>
      <c r="LN571" s="265"/>
      <c r="LO571" s="265"/>
      <c r="ME571" s="265"/>
    </row>
    <row r="572" spans="1:343" ht="14.25" customHeight="1">
      <c r="A572" s="2383"/>
      <c r="B572" s="2383"/>
      <c r="C572" s="2383"/>
      <c r="D572" s="2383"/>
      <c r="E572" s="1222" t="s">
        <v>1203</v>
      </c>
      <c r="F572" s="263"/>
      <c r="G572" s="2196"/>
      <c r="H572" s="264"/>
      <c r="K572" s="2160">
        <f>K576+K580+K584+K586+K588+K590</f>
        <v>0</v>
      </c>
      <c r="L572" s="2160">
        <f>L576+L580+L584+L586+L588+L590</f>
        <v>0</v>
      </c>
      <c r="M572" s="2160">
        <f>M576+M580+M584+M586+M588+M590</f>
        <v>0</v>
      </c>
      <c r="N572" s="2160">
        <f>N576+N580+N584+N586+N588+N590</f>
        <v>0</v>
      </c>
      <c r="O572" s="2160">
        <f>O576+O580+O584+O586+O588+O590</f>
        <v>0</v>
      </c>
      <c r="P572" s="2160">
        <f>SUM(K572:O572)</f>
        <v>0</v>
      </c>
      <c r="S572" s="2358"/>
      <c r="T572" s="2358"/>
      <c r="U572" s="2358"/>
      <c r="V572" s="2358"/>
      <c r="W572" s="2358"/>
      <c r="X572" s="263"/>
      <c r="AA572" s="263"/>
      <c r="AB572" s="266"/>
      <c r="AC572" s="263"/>
      <c r="AF572" s="263"/>
      <c r="AG572" s="266"/>
      <c r="AH572" s="263"/>
      <c r="AK572" s="263"/>
      <c r="AL572" s="266"/>
      <c r="AM572" s="263"/>
      <c r="AP572" s="263"/>
      <c r="AQ572" s="266"/>
      <c r="AR572" s="267"/>
      <c r="AS572" s="267"/>
      <c r="AT572" s="267"/>
      <c r="AU572" s="267"/>
      <c r="AV572" s="267"/>
      <c r="AW572" s="267"/>
      <c r="AX572" s="639"/>
      <c r="AY572" s="263"/>
      <c r="BB572" s="267"/>
      <c r="BC572" s="639"/>
      <c r="BD572" s="263"/>
      <c r="JW572" s="1441"/>
      <c r="KB572" s="1441"/>
      <c r="KG572" s="1441"/>
      <c r="KL572" s="1441"/>
      <c r="KM572" s="1441"/>
      <c r="KN572" s="1441"/>
      <c r="KO572" s="1441"/>
      <c r="KP572" s="1441"/>
      <c r="KQ572" s="1441"/>
      <c r="KR572" s="1441"/>
      <c r="KS572" s="1441"/>
      <c r="KT572" s="1441"/>
      <c r="KU572" s="1441"/>
      <c r="KV572" s="1441"/>
      <c r="KW572" s="1441"/>
      <c r="KX572" s="1441"/>
      <c r="KY572" s="1441"/>
      <c r="KZ572" s="1441"/>
      <c r="LA572" s="1441"/>
      <c r="LB572" s="1441"/>
      <c r="LC572" s="1441"/>
      <c r="LD572" s="1441"/>
      <c r="LE572" s="1441"/>
      <c r="LF572" s="1441"/>
      <c r="LG572" s="1441"/>
      <c r="LN572" s="265"/>
      <c r="LO572" s="265"/>
      <c r="ME572" s="265"/>
    </row>
    <row r="573" spans="1:343" ht="21" customHeight="1">
      <c r="D573" s="263"/>
      <c r="E573" s="1222"/>
      <c r="F573" s="263"/>
      <c r="G573" s="2196"/>
      <c r="H573" s="264"/>
      <c r="K573" s="2380"/>
      <c r="L573" s="2380"/>
      <c r="M573" s="2380"/>
      <c r="N573" s="2380"/>
      <c r="O573" s="2380"/>
      <c r="P573" s="2380"/>
      <c r="S573" s="2215" t="str">
        <f>C574</f>
        <v xml:space="preserve">Building Type: (for Utility Allowance, Monitoring Fees, etc)
</v>
      </c>
      <c r="U573" s="2375"/>
      <c r="X573" s="263"/>
      <c r="AA573" s="263"/>
      <c r="AB573" s="266"/>
      <c r="AC573" s="263"/>
      <c r="AF573" s="263"/>
      <c r="AG573" s="266"/>
      <c r="AH573" s="263"/>
      <c r="AK573" s="263"/>
      <c r="AL573" s="266"/>
      <c r="AM573" s="263"/>
      <c r="AP573" s="263"/>
      <c r="AQ573" s="266"/>
      <c r="AR573" s="263"/>
      <c r="AS573" s="263"/>
      <c r="AT573" s="263"/>
      <c r="AU573" s="263"/>
      <c r="AV573" s="263"/>
      <c r="AW573" s="263"/>
      <c r="AY573" s="263"/>
      <c r="BB573" s="263"/>
      <c r="BD573" s="263"/>
      <c r="JW573" s="1441"/>
      <c r="KB573" s="1441"/>
      <c r="KG573" s="1441"/>
      <c r="KL573" s="1441"/>
      <c r="KM573" s="1441"/>
      <c r="KN573" s="1441"/>
      <c r="KO573" s="1441"/>
      <c r="KP573" s="1441"/>
      <c r="KQ573" s="1441"/>
      <c r="KR573" s="1441"/>
      <c r="KS573" s="1441"/>
      <c r="KT573" s="1441"/>
      <c r="KU573" s="1441"/>
      <c r="KV573" s="1441"/>
      <c r="KW573" s="1441"/>
      <c r="KX573" s="1441"/>
      <c r="KY573" s="1441"/>
      <c r="KZ573" s="1441"/>
      <c r="LA573" s="1441"/>
      <c r="LB573" s="1441"/>
      <c r="LC573" s="1441"/>
      <c r="LD573" s="1441"/>
      <c r="LE573" s="1441"/>
      <c r="LF573" s="1441"/>
      <c r="LG573" s="1441"/>
      <c r="LN573" s="265"/>
      <c r="LO573" s="265"/>
      <c r="ME573" s="265"/>
    </row>
    <row r="574" spans="1:343" ht="14.25" customHeight="1">
      <c r="C574" s="2358" t="s">
        <v>6995</v>
      </c>
      <c r="D574" s="2358"/>
      <c r="E574" s="1222" t="s">
        <v>652</v>
      </c>
      <c r="F574" s="263"/>
      <c r="G574" s="2196"/>
      <c r="H574" s="264"/>
      <c r="K574" s="2162">
        <f t="shared" ref="K574:P574" si="362">SUM(K575:K582)</f>
        <v>0</v>
      </c>
      <c r="L574" s="2162">
        <f t="shared" si="362"/>
        <v>62</v>
      </c>
      <c r="M574" s="2162">
        <f t="shared" si="362"/>
        <v>64</v>
      </c>
      <c r="N574" s="2162">
        <f t="shared" si="362"/>
        <v>31</v>
      </c>
      <c r="O574" s="2162">
        <f t="shared" si="362"/>
        <v>0</v>
      </c>
      <c r="P574" s="2162">
        <f t="shared" si="362"/>
        <v>157</v>
      </c>
      <c r="S574" s="2358"/>
      <c r="T574" s="2358"/>
      <c r="U574" s="2358"/>
      <c r="V574" s="2358"/>
      <c r="W574" s="2358"/>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c r="ME574" s="265"/>
    </row>
    <row r="575" spans="1:343" ht="14.25" customHeight="1">
      <c r="C575" s="2358"/>
      <c r="D575" s="2358"/>
      <c r="E575" s="1222"/>
      <c r="F575" s="263"/>
      <c r="H575" s="2384" t="s">
        <v>1205</v>
      </c>
      <c r="I575" s="1556"/>
      <c r="K575" s="2160">
        <f>JS496</f>
        <v>0</v>
      </c>
      <c r="L575" s="2160">
        <f>JT496</f>
        <v>62</v>
      </c>
      <c r="M575" s="2160">
        <f>JU496</f>
        <v>64</v>
      </c>
      <c r="N575" s="2160">
        <f>JV496</f>
        <v>31</v>
      </c>
      <c r="O575" s="2160">
        <f>JW496</f>
        <v>0</v>
      </c>
      <c r="P575" s="2160">
        <f t="shared" ref="P575:P590" si="363">SUM(K575:O575)</f>
        <v>157</v>
      </c>
      <c r="S575" s="2358"/>
      <c r="T575" s="2358"/>
      <c r="U575" s="2358"/>
      <c r="V575" s="2358"/>
      <c r="W575" s="2358"/>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c r="ME575" s="265"/>
    </row>
    <row r="576" spans="1:343" ht="14.25" customHeight="1">
      <c r="C576" s="2358"/>
      <c r="D576" s="2358"/>
      <c r="E576" s="1222"/>
      <c r="F576" s="263"/>
      <c r="H576" s="2385" t="s">
        <v>1203</v>
      </c>
      <c r="I576" s="2386"/>
      <c r="K576" s="2161">
        <f>KC496</f>
        <v>0</v>
      </c>
      <c r="L576" s="2161">
        <f>KD496</f>
        <v>0</v>
      </c>
      <c r="M576" s="2161">
        <f>KE496</f>
        <v>0</v>
      </c>
      <c r="N576" s="2161">
        <f>KF496</f>
        <v>0</v>
      </c>
      <c r="O576" s="2161">
        <f>KG496</f>
        <v>0</v>
      </c>
      <c r="P576" s="2161">
        <f t="shared" si="363"/>
        <v>0</v>
      </c>
      <c r="S576" s="2358"/>
      <c r="T576" s="2358"/>
      <c r="U576" s="2358"/>
      <c r="V576" s="2358"/>
      <c r="W576" s="2358"/>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c r="ME576" s="265"/>
    </row>
    <row r="577" spans="1:343" ht="14.25" customHeight="1">
      <c r="C577" s="2358"/>
      <c r="D577" s="2358"/>
      <c r="E577" s="1222"/>
      <c r="F577" s="263"/>
      <c r="H577" s="2384" t="s">
        <v>1206</v>
      </c>
      <c r="I577" s="1556"/>
      <c r="K577" s="2160">
        <f>JX496</f>
        <v>0</v>
      </c>
      <c r="L577" s="2160">
        <f>JY496</f>
        <v>0</v>
      </c>
      <c r="M577" s="2160">
        <f>JZ496</f>
        <v>0</v>
      </c>
      <c r="N577" s="2160">
        <f>KA496</f>
        <v>0</v>
      </c>
      <c r="O577" s="2160">
        <f>KB496</f>
        <v>0</v>
      </c>
      <c r="P577" s="2160">
        <f t="shared" si="363"/>
        <v>0</v>
      </c>
      <c r="S577" s="2358"/>
      <c r="T577" s="2358"/>
      <c r="U577" s="2358"/>
      <c r="V577" s="2358"/>
      <c r="W577" s="2358"/>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c r="ME577" s="265"/>
    </row>
    <row r="578" spans="1:343" ht="14.25" customHeight="1">
      <c r="C578" s="2358"/>
      <c r="D578" s="2358"/>
      <c r="E578" s="1222"/>
      <c r="F578" s="263"/>
      <c r="H578" s="2385" t="s">
        <v>1203</v>
      </c>
      <c r="I578" s="2386"/>
      <c r="K578" s="2161">
        <f>KH496</f>
        <v>0</v>
      </c>
      <c r="L578" s="2161">
        <f>KI496</f>
        <v>0</v>
      </c>
      <c r="M578" s="2161">
        <f>KJ496</f>
        <v>0</v>
      </c>
      <c r="N578" s="2161">
        <f>KK496</f>
        <v>0</v>
      </c>
      <c r="O578" s="2161">
        <f>KL496</f>
        <v>0</v>
      </c>
      <c r="P578" s="2161">
        <f t="shared" si="363"/>
        <v>0</v>
      </c>
      <c r="S578" s="2358"/>
      <c r="T578" s="2358"/>
      <c r="U578" s="2358"/>
      <c r="V578" s="2358"/>
      <c r="W578" s="2358"/>
      <c r="X578" s="263"/>
      <c r="AA578" s="263"/>
      <c r="AB578" s="266"/>
      <c r="AC578" s="263"/>
      <c r="AF578" s="263"/>
      <c r="AG578" s="266"/>
      <c r="AH578" s="263"/>
      <c r="AK578" s="263"/>
      <c r="AL578" s="266"/>
      <c r="AM578" s="263"/>
      <c r="AP578" s="263"/>
      <c r="AQ578" s="266"/>
      <c r="AR578" s="267"/>
      <c r="AS578" s="267"/>
      <c r="AT578" s="267"/>
      <c r="AU578" s="267"/>
      <c r="AV578" s="267"/>
      <c r="AW578" s="267"/>
      <c r="BB578" s="267"/>
      <c r="LN578" s="265"/>
      <c r="LO578" s="265"/>
      <c r="ME578" s="265"/>
    </row>
    <row r="579" spans="1:343" ht="14.25" customHeight="1">
      <c r="C579" s="2358"/>
      <c r="D579" s="2358"/>
      <c r="E579" s="1222"/>
      <c r="F579" s="263"/>
      <c r="H579" s="2384" t="s">
        <v>1207</v>
      </c>
      <c r="I579" s="1556"/>
      <c r="K579" s="2160">
        <f>KM496</f>
        <v>0</v>
      </c>
      <c r="L579" s="2160">
        <f>KN496</f>
        <v>0</v>
      </c>
      <c r="M579" s="2160">
        <f>KO496</f>
        <v>0</v>
      </c>
      <c r="N579" s="2160">
        <f>KP496</f>
        <v>0</v>
      </c>
      <c r="O579" s="2160">
        <f>KQ496</f>
        <v>0</v>
      </c>
      <c r="P579" s="2160">
        <f t="shared" si="363"/>
        <v>0</v>
      </c>
      <c r="S579" s="2358"/>
      <c r="T579" s="2358"/>
      <c r="U579" s="2358"/>
      <c r="V579" s="2358"/>
      <c r="W579" s="2358"/>
      <c r="X579" s="263"/>
      <c r="AA579" s="263"/>
      <c r="AB579" s="266"/>
      <c r="AC579" s="263"/>
      <c r="AF579" s="263"/>
      <c r="AG579" s="266"/>
      <c r="AH579" s="263"/>
      <c r="AK579" s="263"/>
      <c r="AL579" s="266"/>
      <c r="AM579" s="263"/>
      <c r="AP579" s="263"/>
      <c r="AQ579" s="266"/>
      <c r="AR579" s="267"/>
      <c r="AS579" s="267"/>
      <c r="AT579" s="267"/>
      <c r="AU579" s="267"/>
      <c r="AV579" s="267"/>
      <c r="AW579" s="267"/>
      <c r="BB579" s="267"/>
      <c r="LN579" s="265"/>
      <c r="LO579" s="265"/>
    </row>
    <row r="580" spans="1:343" ht="14.25" customHeight="1">
      <c r="C580" s="2358"/>
      <c r="D580" s="2358"/>
      <c r="E580" s="1222"/>
      <c r="F580" s="263"/>
      <c r="H580" s="2385" t="s">
        <v>1203</v>
      </c>
      <c r="I580" s="2386"/>
      <c r="K580" s="2161">
        <f>KW496</f>
        <v>0</v>
      </c>
      <c r="L580" s="2161">
        <f>KX496</f>
        <v>0</v>
      </c>
      <c r="M580" s="2161">
        <f>KY496</f>
        <v>0</v>
      </c>
      <c r="N580" s="2161">
        <f>KZ496</f>
        <v>0</v>
      </c>
      <c r="O580" s="2161">
        <f>LA496</f>
        <v>0</v>
      </c>
      <c r="P580" s="2161">
        <f t="shared" si="363"/>
        <v>0</v>
      </c>
      <c r="S580" s="2358"/>
      <c r="T580" s="2358"/>
      <c r="U580" s="2358"/>
      <c r="V580" s="2358"/>
      <c r="W580" s="2358"/>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3" ht="14.25" customHeight="1">
      <c r="C581" s="2358"/>
      <c r="D581" s="2358"/>
      <c r="E581" s="1222"/>
      <c r="F581" s="263"/>
      <c r="H581" s="2384" t="s">
        <v>1208</v>
      </c>
      <c r="I581" s="1556"/>
      <c r="K581" s="2160">
        <f>KR496</f>
        <v>0</v>
      </c>
      <c r="L581" s="2160">
        <f>KS496</f>
        <v>0</v>
      </c>
      <c r="M581" s="2160">
        <f>KT496</f>
        <v>0</v>
      </c>
      <c r="N581" s="2160">
        <f>KU496</f>
        <v>0</v>
      </c>
      <c r="O581" s="2160">
        <f>KV496</f>
        <v>0</v>
      </c>
      <c r="P581" s="2160">
        <f t="shared" si="363"/>
        <v>0</v>
      </c>
      <c r="S581" s="2358"/>
      <c r="T581" s="2358"/>
      <c r="U581" s="2358"/>
      <c r="V581" s="2358"/>
      <c r="W581" s="2358"/>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3" ht="14.25" customHeight="1">
      <c r="C582" s="2358"/>
      <c r="D582" s="2358"/>
      <c r="E582" s="1222"/>
      <c r="F582" s="263"/>
      <c r="H582" s="2385" t="s">
        <v>1203</v>
      </c>
      <c r="I582" s="2386"/>
      <c r="K582" s="2161">
        <f>LB496</f>
        <v>0</v>
      </c>
      <c r="L582" s="2161">
        <f>LC496</f>
        <v>0</v>
      </c>
      <c r="M582" s="2161">
        <f>LD496</f>
        <v>0</v>
      </c>
      <c r="N582" s="2161">
        <f>LE496</f>
        <v>0</v>
      </c>
      <c r="O582" s="2161">
        <f>LF496</f>
        <v>0</v>
      </c>
      <c r="P582" s="2161">
        <f t="shared" si="363"/>
        <v>0</v>
      </c>
      <c r="S582" s="2358"/>
      <c r="T582" s="2358"/>
      <c r="U582" s="2358"/>
      <c r="V582" s="2358"/>
      <c r="W582" s="2358"/>
      <c r="X582" s="263"/>
      <c r="AA582" s="263"/>
      <c r="AB582" s="266"/>
      <c r="AC582" s="263"/>
      <c r="AF582" s="263"/>
      <c r="AG582" s="266"/>
      <c r="AH582" s="263"/>
      <c r="AK582" s="263"/>
      <c r="AL582" s="266"/>
      <c r="AM582" s="263"/>
      <c r="AP582" s="263"/>
      <c r="AQ582" s="266"/>
      <c r="AR582" s="267"/>
      <c r="AS582" s="267"/>
      <c r="AT582" s="267"/>
      <c r="AU582" s="267"/>
      <c r="AV582" s="267"/>
      <c r="AW582" s="267"/>
      <c r="BB582" s="267"/>
      <c r="LN582" s="265"/>
      <c r="LO582" s="265"/>
    </row>
    <row r="583" spans="1:343" ht="14.25" customHeight="1">
      <c r="C583" s="2358"/>
      <c r="D583" s="2358"/>
      <c r="E583" s="1222" t="s">
        <v>1209</v>
      </c>
      <c r="F583" s="263"/>
      <c r="H583" s="2384"/>
      <c r="I583" s="1556"/>
      <c r="K583" s="2160">
        <f>IE496</f>
        <v>0</v>
      </c>
      <c r="L583" s="2160">
        <f>IF496</f>
        <v>0</v>
      </c>
      <c r="M583" s="2160">
        <f>IG496</f>
        <v>0</v>
      </c>
      <c r="N583" s="2160">
        <f>IH496</f>
        <v>0</v>
      </c>
      <c r="O583" s="2160">
        <f>II496</f>
        <v>0</v>
      </c>
      <c r="P583" s="2162">
        <f t="shared" si="363"/>
        <v>0</v>
      </c>
      <c r="S583" s="2358"/>
      <c r="T583" s="2358"/>
      <c r="U583" s="2358"/>
      <c r="V583" s="2358"/>
      <c r="W583" s="2358"/>
      <c r="X583" s="263"/>
      <c r="AA583" s="263"/>
      <c r="AB583" s="266"/>
      <c r="AC583" s="263"/>
      <c r="AF583" s="263"/>
      <c r="AG583" s="266"/>
      <c r="AH583" s="263"/>
      <c r="AK583" s="263"/>
      <c r="AL583" s="266"/>
      <c r="AM583" s="263"/>
      <c r="AP583" s="263"/>
      <c r="AQ583" s="266"/>
      <c r="AR583" s="267"/>
      <c r="AS583" s="267"/>
      <c r="AT583" s="267"/>
      <c r="AU583" s="267"/>
      <c r="AV583" s="267"/>
      <c r="AW583" s="267"/>
      <c r="AX583" s="639"/>
      <c r="AY583" s="263"/>
      <c r="BB583" s="267"/>
      <c r="BC583" s="639"/>
      <c r="BD583" s="263"/>
      <c r="JW583" s="1441"/>
      <c r="KB583" s="1441"/>
      <c r="KG583" s="1441"/>
      <c r="KL583" s="1441"/>
      <c r="KM583" s="1441"/>
      <c r="KN583" s="1441"/>
      <c r="KO583" s="1441"/>
      <c r="KP583" s="1441"/>
      <c r="KQ583" s="1441"/>
      <c r="KR583" s="1441"/>
      <c r="KS583" s="1441"/>
      <c r="KT583" s="1441"/>
      <c r="KU583" s="1441"/>
      <c r="KV583" s="1441"/>
      <c r="KW583" s="1441"/>
      <c r="KX583" s="1441"/>
      <c r="KY583" s="1441"/>
      <c r="KZ583" s="1441"/>
      <c r="LA583" s="1441"/>
      <c r="LB583" s="1441"/>
      <c r="LC583" s="1441"/>
      <c r="LD583" s="1441"/>
      <c r="LE583" s="1441"/>
      <c r="LF583" s="1441"/>
      <c r="LG583" s="1441"/>
      <c r="LN583" s="265"/>
      <c r="LO583" s="265"/>
    </row>
    <row r="584" spans="1:343" ht="14.25" customHeight="1">
      <c r="C584" s="2358"/>
      <c r="D584" s="2358"/>
      <c r="E584" s="1222"/>
      <c r="F584" s="263"/>
      <c r="H584" s="2385" t="s">
        <v>1203</v>
      </c>
      <c r="I584" s="2386"/>
      <c r="K584" s="2161">
        <f>IJ496</f>
        <v>0</v>
      </c>
      <c r="L584" s="2161">
        <f>IK496</f>
        <v>0</v>
      </c>
      <c r="M584" s="2161">
        <f>IL496</f>
        <v>0</v>
      </c>
      <c r="N584" s="2161">
        <f>IM496</f>
        <v>0</v>
      </c>
      <c r="O584" s="2161">
        <f>IN496</f>
        <v>0</v>
      </c>
      <c r="P584" s="2163">
        <f t="shared" si="363"/>
        <v>0</v>
      </c>
      <c r="S584" s="2358"/>
      <c r="T584" s="2358"/>
      <c r="U584" s="2358"/>
      <c r="V584" s="2358"/>
      <c r="W584" s="2358"/>
      <c r="X584" s="263"/>
      <c r="AA584" s="263"/>
      <c r="AB584" s="266"/>
      <c r="AC584" s="263"/>
      <c r="AF584" s="263"/>
      <c r="AG584" s="266"/>
      <c r="AH584" s="263"/>
      <c r="AK584" s="263"/>
      <c r="AL584" s="266"/>
      <c r="AM584" s="263"/>
      <c r="AP584" s="263"/>
      <c r="AQ584" s="266"/>
      <c r="AR584" s="267"/>
      <c r="AS584" s="267"/>
      <c r="AT584" s="267"/>
      <c r="AU584" s="267"/>
      <c r="AV584" s="267"/>
      <c r="AW584" s="267"/>
      <c r="AX584" s="639"/>
      <c r="AY584" s="263"/>
      <c r="BB584" s="267"/>
      <c r="BC584" s="639"/>
      <c r="BD584" s="263"/>
      <c r="JW584" s="1441"/>
      <c r="KB584" s="1441"/>
      <c r="KG584" s="1441"/>
      <c r="KL584" s="1441"/>
      <c r="KM584" s="1441"/>
      <c r="KN584" s="1441"/>
      <c r="KO584" s="1441"/>
      <c r="KP584" s="1441"/>
      <c r="KQ584" s="1441"/>
      <c r="KR584" s="1441"/>
      <c r="KS584" s="1441"/>
      <c r="KT584" s="1441"/>
      <c r="KU584" s="1441"/>
      <c r="KV584" s="1441"/>
      <c r="KW584" s="1441"/>
      <c r="KX584" s="1441"/>
      <c r="KY584" s="1441"/>
      <c r="KZ584" s="1441"/>
      <c r="LA584" s="1441"/>
      <c r="LB584" s="1441"/>
      <c r="LC584" s="1441"/>
      <c r="LD584" s="1441"/>
      <c r="LE584" s="1441"/>
      <c r="LF584" s="1441"/>
      <c r="LG584" s="1441"/>
      <c r="LN584" s="265"/>
      <c r="LO584" s="265"/>
    </row>
    <row r="585" spans="1:343" ht="14.25" customHeight="1">
      <c r="C585" s="2358"/>
      <c r="D585" s="2358"/>
      <c r="E585" s="1222" t="s">
        <v>654</v>
      </c>
      <c r="F585" s="263"/>
      <c r="H585" s="2384"/>
      <c r="I585" s="1556"/>
      <c r="K585" s="2160">
        <f>JI496</f>
        <v>0</v>
      </c>
      <c r="L585" s="2160">
        <f>JJ496</f>
        <v>0</v>
      </c>
      <c r="M585" s="2160">
        <f>JK496</f>
        <v>38</v>
      </c>
      <c r="N585" s="2160">
        <f>JL496</f>
        <v>4</v>
      </c>
      <c r="O585" s="2160">
        <f>JM496</f>
        <v>0</v>
      </c>
      <c r="P585" s="2162">
        <f t="shared" si="363"/>
        <v>42</v>
      </c>
      <c r="S585" s="2358"/>
      <c r="T585" s="2358"/>
      <c r="U585" s="2358"/>
      <c r="V585" s="2358"/>
      <c r="W585" s="2358"/>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3" ht="14.25" customHeight="1">
      <c r="C586" s="2358"/>
      <c r="D586" s="2358"/>
      <c r="E586" s="1222"/>
      <c r="F586" s="263"/>
      <c r="H586" s="2385" t="s">
        <v>1203</v>
      </c>
      <c r="I586" s="2386"/>
      <c r="K586" s="2161">
        <f>JN496</f>
        <v>0</v>
      </c>
      <c r="L586" s="2161">
        <f>JO496</f>
        <v>0</v>
      </c>
      <c r="M586" s="2161">
        <f>JP496</f>
        <v>0</v>
      </c>
      <c r="N586" s="2161">
        <f>JQ496</f>
        <v>0</v>
      </c>
      <c r="O586" s="2161">
        <f>JR496</f>
        <v>0</v>
      </c>
      <c r="P586" s="2163">
        <f t="shared" si="363"/>
        <v>0</v>
      </c>
      <c r="S586" s="2358"/>
      <c r="T586" s="2358"/>
      <c r="U586" s="2358"/>
      <c r="V586" s="2358"/>
      <c r="W586" s="2358"/>
      <c r="X586" s="263"/>
      <c r="AA586" s="263"/>
      <c r="AB586" s="266"/>
      <c r="AC586" s="263"/>
      <c r="AF586" s="263"/>
      <c r="AG586" s="266"/>
      <c r="AH586" s="263"/>
      <c r="AK586" s="263"/>
      <c r="AL586" s="266"/>
      <c r="AM586" s="263"/>
      <c r="AP586" s="263"/>
      <c r="AQ586" s="266"/>
      <c r="AR586" s="267"/>
      <c r="AS586" s="267"/>
      <c r="AT586" s="267"/>
      <c r="AU586" s="267"/>
      <c r="AV586" s="267"/>
      <c r="AW586" s="267"/>
      <c r="BB586" s="267"/>
      <c r="LN586" s="265"/>
      <c r="LO586" s="265"/>
    </row>
    <row r="587" spans="1:343" ht="14.25" customHeight="1">
      <c r="C587" s="2358"/>
      <c r="D587" s="2358"/>
      <c r="E587" s="1222" t="s">
        <v>645</v>
      </c>
      <c r="F587" s="263"/>
      <c r="H587" s="2384"/>
      <c r="I587" s="1556"/>
      <c r="K587" s="2160">
        <f>IY496</f>
        <v>0</v>
      </c>
      <c r="L587" s="2160">
        <f>IZ496</f>
        <v>0</v>
      </c>
      <c r="M587" s="2160">
        <f>JA496</f>
        <v>0</v>
      </c>
      <c r="N587" s="2160">
        <f>JB496</f>
        <v>0</v>
      </c>
      <c r="O587" s="2160">
        <f>JC496</f>
        <v>0</v>
      </c>
      <c r="P587" s="2162">
        <f t="shared" si="363"/>
        <v>0</v>
      </c>
      <c r="S587" s="2358"/>
      <c r="T587" s="2358"/>
      <c r="U587" s="2358"/>
      <c r="V587" s="2358"/>
      <c r="W587" s="2358"/>
      <c r="X587" s="263"/>
      <c r="AA587" s="263"/>
      <c r="AB587" s="266"/>
      <c r="AC587" s="263"/>
      <c r="AF587" s="263"/>
      <c r="AG587" s="266"/>
      <c r="AH587" s="263"/>
      <c r="AK587" s="263"/>
      <c r="AL587" s="266"/>
      <c r="AM587" s="263"/>
      <c r="AP587" s="263"/>
      <c r="AQ587" s="266"/>
      <c r="AR587" s="267"/>
      <c r="AS587" s="267"/>
      <c r="AT587" s="267"/>
      <c r="AU587" s="267"/>
      <c r="AV587" s="267"/>
      <c r="AW587" s="267"/>
      <c r="AX587" s="639"/>
      <c r="AY587" s="263"/>
      <c r="BB587" s="267"/>
      <c r="BC587" s="639"/>
      <c r="BD587" s="263"/>
      <c r="JW587" s="1441"/>
      <c r="KB587" s="1441"/>
      <c r="KG587" s="1441"/>
      <c r="KL587" s="1441"/>
      <c r="KM587" s="1441"/>
      <c r="KN587" s="1441"/>
      <c r="KO587" s="1441"/>
      <c r="KP587" s="1441"/>
      <c r="KQ587" s="1441"/>
      <c r="KR587" s="1441"/>
      <c r="KS587" s="1441"/>
      <c r="KT587" s="1441"/>
      <c r="KU587" s="1441"/>
      <c r="KV587" s="1441"/>
      <c r="KW587" s="1441"/>
      <c r="KX587" s="1441"/>
      <c r="KY587" s="1441"/>
      <c r="KZ587" s="1441"/>
      <c r="LA587" s="1441"/>
      <c r="LB587" s="1441"/>
      <c r="LC587" s="1441"/>
      <c r="LD587" s="1441"/>
      <c r="LE587" s="1441"/>
      <c r="LF587" s="1441"/>
      <c r="LG587" s="1441"/>
      <c r="LN587" s="265"/>
      <c r="LO587" s="265"/>
    </row>
    <row r="588" spans="1:343" ht="14.25" customHeight="1">
      <c r="C588" s="2358"/>
      <c r="D588" s="2358"/>
      <c r="E588" s="1222"/>
      <c r="F588" s="263"/>
      <c r="H588" s="2385" t="s">
        <v>1203</v>
      </c>
      <c r="I588" s="2386"/>
      <c r="K588" s="2161">
        <f>JD496</f>
        <v>0</v>
      </c>
      <c r="L588" s="2161">
        <f>JE496</f>
        <v>0</v>
      </c>
      <c r="M588" s="2161">
        <f>JF496</f>
        <v>0</v>
      </c>
      <c r="N588" s="2161">
        <f>JG496</f>
        <v>0</v>
      </c>
      <c r="O588" s="2161">
        <f>JH496</f>
        <v>0</v>
      </c>
      <c r="P588" s="2163">
        <f t="shared" si="363"/>
        <v>0</v>
      </c>
      <c r="S588" s="2358"/>
      <c r="T588" s="2358"/>
      <c r="U588" s="2358"/>
      <c r="V588" s="2358"/>
      <c r="W588" s="2358"/>
      <c r="X588" s="263"/>
      <c r="AA588" s="263"/>
      <c r="AB588" s="266"/>
      <c r="AC588" s="263"/>
      <c r="AF588" s="263"/>
      <c r="AG588" s="266"/>
      <c r="AH588" s="263"/>
      <c r="AK588" s="263"/>
      <c r="AL588" s="266"/>
      <c r="AM588" s="263"/>
      <c r="AP588" s="263"/>
      <c r="AQ588" s="266"/>
      <c r="AR588" s="267"/>
      <c r="AS588" s="267"/>
      <c r="AT588" s="267"/>
      <c r="AU588" s="267"/>
      <c r="AV588" s="267"/>
      <c r="AW588" s="267"/>
      <c r="AX588" s="639"/>
      <c r="AY588" s="263"/>
      <c r="BB588" s="267"/>
      <c r="BC588" s="639"/>
      <c r="BD588" s="263"/>
      <c r="JW588" s="1441"/>
      <c r="KB588" s="1441"/>
      <c r="KG588" s="1441"/>
      <c r="KL588" s="1441"/>
      <c r="KM588" s="1441"/>
      <c r="KN588" s="1441"/>
      <c r="KO588" s="1441"/>
      <c r="KP588" s="1441"/>
      <c r="KQ588" s="1441"/>
      <c r="KR588" s="1441"/>
      <c r="KS588" s="1441"/>
      <c r="KT588" s="1441"/>
      <c r="KU588" s="1441"/>
      <c r="KV588" s="1441"/>
      <c r="KW588" s="1441"/>
      <c r="KX588" s="1441"/>
      <c r="KY588" s="1441"/>
      <c r="KZ588" s="1441"/>
      <c r="LA588" s="1441"/>
      <c r="LB588" s="1441"/>
      <c r="LC588" s="1441"/>
      <c r="LD588" s="1441"/>
      <c r="LE588" s="1441"/>
      <c r="LF588" s="1441"/>
      <c r="LG588" s="1441"/>
      <c r="LN588" s="265"/>
      <c r="LO588" s="265"/>
    </row>
    <row r="589" spans="1:343" ht="14.25" customHeight="1">
      <c r="C589" s="2358"/>
      <c r="D589" s="2358"/>
      <c r="E589" s="264" t="s">
        <v>1210</v>
      </c>
      <c r="F589" s="263"/>
      <c r="H589" s="2384"/>
      <c r="I589" s="1556"/>
      <c r="K589" s="2160">
        <f>IO496</f>
        <v>0</v>
      </c>
      <c r="L589" s="2160">
        <f>IP496</f>
        <v>0</v>
      </c>
      <c r="M589" s="2160">
        <f>IQ496</f>
        <v>0</v>
      </c>
      <c r="N589" s="2160">
        <f>IR496</f>
        <v>0</v>
      </c>
      <c r="O589" s="2160">
        <f>IS496</f>
        <v>0</v>
      </c>
      <c r="P589" s="2162">
        <f t="shared" si="363"/>
        <v>0</v>
      </c>
      <c r="S589" s="2358"/>
      <c r="T589" s="2358"/>
      <c r="U589" s="2358"/>
      <c r="V589" s="2358"/>
      <c r="W589" s="2358"/>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3" ht="14.25" customHeight="1">
      <c r="C590" s="2358"/>
      <c r="D590" s="2358"/>
      <c r="E590" s="264"/>
      <c r="F590" s="263"/>
      <c r="H590" s="2385" t="s">
        <v>1203</v>
      </c>
      <c r="I590" s="2386"/>
      <c r="K590" s="2161">
        <f>IT496</f>
        <v>0</v>
      </c>
      <c r="L590" s="2161">
        <f>IU496</f>
        <v>0</v>
      </c>
      <c r="M590" s="2161">
        <f>IV496</f>
        <v>0</v>
      </c>
      <c r="N590" s="2161">
        <f>IW496</f>
        <v>0</v>
      </c>
      <c r="O590" s="2161">
        <f>IX496</f>
        <v>0</v>
      </c>
      <c r="P590" s="2163">
        <f t="shared" si="363"/>
        <v>0</v>
      </c>
      <c r="S590" s="2358"/>
      <c r="T590" s="2358"/>
      <c r="U590" s="2358"/>
      <c r="V590" s="2358"/>
      <c r="W590" s="2358"/>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3" ht="10.5" customHeight="1">
      <c r="C591" s="263"/>
      <c r="H591" s="2387"/>
      <c r="I591" s="2388"/>
      <c r="K591" s="2381"/>
      <c r="L591" s="2381"/>
      <c r="M591" s="2381"/>
      <c r="N591" s="2381"/>
      <c r="O591" s="2381"/>
      <c r="P591" s="2381"/>
      <c r="JW591" s="1441"/>
      <c r="KB591" s="1441"/>
      <c r="KG591" s="1441"/>
      <c r="KL591" s="1441"/>
      <c r="KM591" s="1441"/>
      <c r="KN591" s="1441"/>
      <c r="KO591" s="1441"/>
      <c r="KP591" s="1441"/>
      <c r="KQ591" s="1441"/>
      <c r="KR591" s="1441"/>
      <c r="KS591" s="1441"/>
      <c r="KT591" s="1441"/>
      <c r="KU591" s="1441"/>
      <c r="KV591" s="1441"/>
      <c r="KW591" s="1441"/>
      <c r="KX591" s="1441"/>
      <c r="KY591" s="1441"/>
      <c r="KZ591" s="1441"/>
      <c r="LA591" s="1441"/>
      <c r="LB591" s="1441"/>
      <c r="LC591" s="1441"/>
      <c r="LD591" s="1441"/>
      <c r="LE591" s="1441"/>
      <c r="LF591" s="1441"/>
      <c r="LG591" s="1441"/>
      <c r="LN591" s="265"/>
      <c r="MD591" s="265"/>
    </row>
    <row r="592" spans="1:343" ht="14.65" customHeight="1">
      <c r="A592" s="265" t="s">
        <v>25</v>
      </c>
      <c r="B592" s="265" t="s">
        <v>6993</v>
      </c>
      <c r="H592" s="264"/>
      <c r="L592" s="2272">
        <f>$O$49</f>
        <v>0</v>
      </c>
      <c r="M592" s="2272"/>
      <c r="N592" s="2272"/>
      <c r="O592" s="2272"/>
      <c r="S592" s="1440" t="str">
        <f>B592</f>
        <v>UNIT SUMMARY (Continued)</v>
      </c>
      <c r="T592" s="1440"/>
      <c r="U592" s="1440"/>
      <c r="V592" s="1440"/>
      <c r="AY592" s="263"/>
      <c r="BD592" s="263"/>
      <c r="JW592" s="1441"/>
      <c r="KB592" s="1441"/>
      <c r="KG592" s="1441"/>
      <c r="KL592" s="1441"/>
      <c r="KM592" s="1441"/>
      <c r="KN592" s="1441"/>
      <c r="KO592" s="1441"/>
      <c r="KP592" s="1441"/>
      <c r="KQ592" s="1441"/>
      <c r="KR592" s="1441"/>
      <c r="KS592" s="1441"/>
      <c r="KT592" s="1441"/>
      <c r="KU592" s="1441"/>
      <c r="KV592" s="1441"/>
      <c r="KW592" s="1441"/>
      <c r="KX592" s="1441"/>
      <c r="KY592" s="1441"/>
      <c r="KZ592" s="1441"/>
      <c r="LA592" s="1441"/>
      <c r="LB592" s="1441"/>
      <c r="LC592" s="1441"/>
      <c r="LD592" s="1441"/>
      <c r="LE592" s="1441"/>
      <c r="LF592" s="1441"/>
      <c r="LG592" s="1441"/>
      <c r="LN592" s="265"/>
      <c r="LO592" s="265"/>
    </row>
    <row r="593" spans="1:327" ht="9" customHeight="1">
      <c r="A593" s="265"/>
      <c r="B593" s="265"/>
      <c r="H593" s="264"/>
      <c r="Q593" s="2195"/>
      <c r="S593" s="1499" t="str">
        <f>C594</f>
        <v>Building Type:
(for Cost Limit purposes only - see Application Instructions for further detail)</v>
      </c>
      <c r="T593" s="265"/>
      <c r="U593" s="2351"/>
      <c r="AY593" s="263"/>
      <c r="BD593" s="263"/>
      <c r="JW593" s="1441"/>
      <c r="KB593" s="1441"/>
      <c r="KG593" s="1441"/>
      <c r="KL593" s="1441"/>
      <c r="KM593" s="1441"/>
      <c r="KN593" s="1441"/>
      <c r="KO593" s="1441"/>
      <c r="KP593" s="1441"/>
      <c r="KQ593" s="1441"/>
      <c r="KR593" s="1441"/>
      <c r="KS593" s="1441"/>
      <c r="KT593" s="1441"/>
      <c r="KU593" s="1441"/>
      <c r="KV593" s="1441"/>
      <c r="KW593" s="1441"/>
      <c r="KX593" s="1441"/>
      <c r="KY593" s="1441"/>
      <c r="KZ593" s="1441"/>
      <c r="LA593" s="1441"/>
      <c r="LB593" s="1441"/>
      <c r="LC593" s="1441"/>
      <c r="LD593" s="1441"/>
      <c r="LE593" s="1441"/>
      <c r="LF593" s="1441"/>
      <c r="LG593" s="1441"/>
      <c r="LN593" s="265"/>
      <c r="LO593" s="265"/>
    </row>
    <row r="594" spans="1:327" ht="14.25" customHeight="1">
      <c r="C594" s="2358" t="s">
        <v>6996</v>
      </c>
      <c r="D594" s="2358"/>
      <c r="E594" s="1222" t="s">
        <v>1212</v>
      </c>
      <c r="F594" s="2196"/>
      <c r="H594" s="2384"/>
      <c r="I594" s="1556"/>
      <c r="K594" s="2160">
        <f t="shared" ref="K594:O595" si="364">K583+K587+K589</f>
        <v>0</v>
      </c>
      <c r="L594" s="2160">
        <f>L583+L587+L589</f>
        <v>0</v>
      </c>
      <c r="M594" s="2160">
        <f t="shared" si="364"/>
        <v>0</v>
      </c>
      <c r="N594" s="2160">
        <f t="shared" si="364"/>
        <v>0</v>
      </c>
      <c r="O594" s="2160">
        <f t="shared" si="364"/>
        <v>0</v>
      </c>
      <c r="P594" s="2162">
        <f t="shared" ref="P594:P601" si="365">SUM(K594:O594)</f>
        <v>0</v>
      </c>
      <c r="S594" s="2358"/>
      <c r="T594" s="2358"/>
      <c r="U594" s="2358"/>
      <c r="V594" s="2358"/>
      <c r="W594" s="2358"/>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27" ht="14.25" customHeight="1">
      <c r="C595" s="2358"/>
      <c r="D595" s="2358"/>
      <c r="E595" s="1222"/>
      <c r="F595" s="2196"/>
      <c r="H595" s="2385" t="s">
        <v>1203</v>
      </c>
      <c r="I595" s="2386"/>
      <c r="K595" s="2161">
        <f t="shared" si="364"/>
        <v>0</v>
      </c>
      <c r="L595" s="2161">
        <f t="shared" si="364"/>
        <v>0</v>
      </c>
      <c r="M595" s="2161">
        <f t="shared" si="364"/>
        <v>0</v>
      </c>
      <c r="N595" s="2161">
        <f t="shared" si="364"/>
        <v>0</v>
      </c>
      <c r="O595" s="2161">
        <f t="shared" si="364"/>
        <v>0</v>
      </c>
      <c r="P595" s="2163">
        <f t="shared" si="365"/>
        <v>0</v>
      </c>
      <c r="S595" s="2358"/>
      <c r="T595" s="2358"/>
      <c r="U595" s="2358"/>
      <c r="V595" s="2358"/>
      <c r="W595" s="2358"/>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27" ht="14.25" customHeight="1">
      <c r="C596" s="2358"/>
      <c r="D596" s="2358"/>
      <c r="E596" s="1222" t="s">
        <v>1213</v>
      </c>
      <c r="F596" s="2196"/>
      <c r="H596" s="2215"/>
      <c r="I596" s="2196"/>
      <c r="K596" s="2160">
        <f t="shared" ref="K596:O597" si="366">K585</f>
        <v>0</v>
      </c>
      <c r="L596" s="2160">
        <f t="shared" si="366"/>
        <v>0</v>
      </c>
      <c r="M596" s="2160">
        <f t="shared" si="366"/>
        <v>38</v>
      </c>
      <c r="N596" s="2160">
        <f t="shared" si="366"/>
        <v>4</v>
      </c>
      <c r="O596" s="2160">
        <f t="shared" si="366"/>
        <v>0</v>
      </c>
      <c r="P596" s="2162">
        <f t="shared" si="365"/>
        <v>42</v>
      </c>
      <c r="S596" s="2358"/>
      <c r="T596" s="2358"/>
      <c r="U596" s="2358"/>
      <c r="V596" s="2358"/>
      <c r="W596" s="2358"/>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27" ht="14.25" customHeight="1">
      <c r="C597" s="2358"/>
      <c r="D597" s="2358"/>
      <c r="E597" s="1222"/>
      <c r="F597" s="2196"/>
      <c r="H597" s="2385" t="s">
        <v>1203</v>
      </c>
      <c r="I597" s="2386"/>
      <c r="K597" s="2161">
        <f t="shared" si="366"/>
        <v>0</v>
      </c>
      <c r="L597" s="2161">
        <f t="shared" si="366"/>
        <v>0</v>
      </c>
      <c r="M597" s="2161">
        <f t="shared" si="366"/>
        <v>0</v>
      </c>
      <c r="N597" s="2161">
        <f t="shared" si="366"/>
        <v>0</v>
      </c>
      <c r="O597" s="2161">
        <f t="shared" si="366"/>
        <v>0</v>
      </c>
      <c r="P597" s="2163">
        <f t="shared" si="365"/>
        <v>0</v>
      </c>
      <c r="S597" s="2358"/>
      <c r="T597" s="2358"/>
      <c r="U597" s="2358"/>
      <c r="V597" s="2358"/>
      <c r="W597" s="2358"/>
      <c r="X597" s="263"/>
      <c r="AA597" s="263"/>
      <c r="AB597" s="266"/>
      <c r="AC597" s="263"/>
      <c r="AF597" s="263"/>
      <c r="AG597" s="266"/>
      <c r="AH597" s="263"/>
      <c r="AK597" s="263"/>
      <c r="AL597" s="266"/>
      <c r="AM597" s="263"/>
      <c r="AP597" s="263"/>
      <c r="AQ597" s="266"/>
      <c r="AR597" s="267"/>
      <c r="AS597" s="267"/>
      <c r="AT597" s="267"/>
      <c r="AU597" s="267"/>
      <c r="AV597" s="267"/>
      <c r="AW597" s="267"/>
      <c r="BB597" s="267"/>
      <c r="LN597" s="265"/>
      <c r="LO597" s="265"/>
    </row>
    <row r="598" spans="1:327" ht="14.25" customHeight="1">
      <c r="C598" s="2358"/>
      <c r="D598" s="2358"/>
      <c r="E598" s="1222" t="s">
        <v>1214</v>
      </c>
      <c r="F598" s="2196"/>
      <c r="H598" s="2384"/>
      <c r="I598" s="1556"/>
      <c r="K598" s="2160">
        <f t="shared" ref="K598:O601" si="367">K575+K579</f>
        <v>0</v>
      </c>
      <c r="L598" s="2160">
        <f t="shared" si="367"/>
        <v>62</v>
      </c>
      <c r="M598" s="2160">
        <f t="shared" si="367"/>
        <v>64</v>
      </c>
      <c r="N598" s="2160">
        <f t="shared" si="367"/>
        <v>31</v>
      </c>
      <c r="O598" s="2160">
        <f t="shared" si="367"/>
        <v>0</v>
      </c>
      <c r="P598" s="2162">
        <f t="shared" si="365"/>
        <v>157</v>
      </c>
      <c r="S598" s="2358"/>
      <c r="T598" s="2358"/>
      <c r="U598" s="2358"/>
      <c r="V598" s="2358"/>
      <c r="W598" s="2358"/>
      <c r="X598" s="263"/>
      <c r="AA598" s="263"/>
      <c r="AB598" s="266"/>
      <c r="AC598" s="263"/>
      <c r="AF598" s="263"/>
      <c r="AG598" s="266"/>
      <c r="AH598" s="263"/>
      <c r="AK598" s="263"/>
      <c r="AL598" s="266"/>
      <c r="AM598" s="263"/>
      <c r="AP598" s="263"/>
      <c r="AQ598" s="266"/>
      <c r="AR598" s="267"/>
      <c r="AS598" s="267"/>
      <c r="AT598" s="267"/>
      <c r="AU598" s="267"/>
      <c r="AV598" s="267"/>
      <c r="AW598" s="267"/>
      <c r="BB598" s="267"/>
      <c r="LN598" s="265"/>
      <c r="LO598" s="265"/>
    </row>
    <row r="599" spans="1:327" ht="14.25" customHeight="1">
      <c r="C599" s="2358"/>
      <c r="D599" s="2358"/>
      <c r="E599" s="1222"/>
      <c r="F599" s="2196"/>
      <c r="H599" s="2385" t="s">
        <v>1203</v>
      </c>
      <c r="I599" s="2386"/>
      <c r="K599" s="2161">
        <f t="shared" si="367"/>
        <v>0</v>
      </c>
      <c r="L599" s="2161">
        <f t="shared" si="367"/>
        <v>0</v>
      </c>
      <c r="M599" s="2161">
        <f t="shared" si="367"/>
        <v>0</v>
      </c>
      <c r="N599" s="2161">
        <f t="shared" si="367"/>
        <v>0</v>
      </c>
      <c r="O599" s="2161">
        <f t="shared" si="367"/>
        <v>0</v>
      </c>
      <c r="P599" s="2163">
        <f t="shared" si="365"/>
        <v>0</v>
      </c>
      <c r="S599" s="2358"/>
      <c r="T599" s="2358"/>
      <c r="U599" s="2358"/>
      <c r="V599" s="2358"/>
      <c r="W599" s="2358"/>
      <c r="X599" s="263"/>
      <c r="AA599" s="263"/>
      <c r="AB599" s="266"/>
      <c r="AC599" s="263"/>
      <c r="AF599" s="263"/>
      <c r="AG599" s="266"/>
      <c r="AH599" s="263"/>
      <c r="AK599" s="263"/>
      <c r="AL599" s="266"/>
      <c r="AM599" s="263"/>
      <c r="AP599" s="263"/>
      <c r="AQ599" s="266"/>
      <c r="AR599" s="267"/>
      <c r="AS599" s="267"/>
      <c r="AT599" s="267"/>
      <c r="AU599" s="267"/>
      <c r="AV599" s="267"/>
      <c r="AW599" s="267"/>
      <c r="BB599" s="267"/>
      <c r="LN599" s="265"/>
      <c r="LO599" s="265"/>
    </row>
    <row r="600" spans="1:327" ht="14.25" customHeight="1">
      <c r="C600" s="2358"/>
      <c r="D600" s="2358"/>
      <c r="E600" s="1222" t="s">
        <v>1215</v>
      </c>
      <c r="F600" s="2196"/>
      <c r="H600" s="2384"/>
      <c r="I600" s="1556"/>
      <c r="K600" s="2160">
        <f t="shared" si="367"/>
        <v>0</v>
      </c>
      <c r="L600" s="2160">
        <f t="shared" si="367"/>
        <v>0</v>
      </c>
      <c r="M600" s="2160">
        <f t="shared" si="367"/>
        <v>0</v>
      </c>
      <c r="N600" s="2160">
        <f t="shared" si="367"/>
        <v>0</v>
      </c>
      <c r="O600" s="2160">
        <f t="shared" si="367"/>
        <v>0</v>
      </c>
      <c r="P600" s="2162">
        <f t="shared" si="365"/>
        <v>0</v>
      </c>
      <c r="S600" s="2358"/>
      <c r="T600" s="2358"/>
      <c r="U600" s="2358"/>
      <c r="V600" s="2358"/>
      <c r="W600" s="2358"/>
      <c r="X600" s="263"/>
      <c r="AA600" s="263"/>
      <c r="AB600" s="266"/>
      <c r="AC600" s="263"/>
      <c r="AF600" s="263"/>
      <c r="AG600" s="266"/>
      <c r="AH600" s="263"/>
      <c r="AK600" s="263"/>
      <c r="AL600" s="266"/>
      <c r="AM600" s="263"/>
      <c r="AP600" s="263"/>
      <c r="AQ600" s="266"/>
      <c r="AR600" s="267"/>
      <c r="AS600" s="267"/>
      <c r="AT600" s="267"/>
      <c r="AU600" s="267"/>
      <c r="AV600" s="267"/>
      <c r="AW600" s="267"/>
      <c r="BB600" s="267"/>
      <c r="LN600" s="265"/>
      <c r="LO600" s="265"/>
    </row>
    <row r="601" spans="1:327" ht="14.25" customHeight="1">
      <c r="C601" s="263"/>
      <c r="D601" s="263"/>
      <c r="E601" s="301"/>
      <c r="F601" s="2196"/>
      <c r="H601" s="2385" t="s">
        <v>1203</v>
      </c>
      <c r="I601" s="2386"/>
      <c r="K601" s="2161">
        <f t="shared" si="367"/>
        <v>0</v>
      </c>
      <c r="L601" s="2161">
        <f t="shared" si="367"/>
        <v>0</v>
      </c>
      <c r="M601" s="2161">
        <f t="shared" si="367"/>
        <v>0</v>
      </c>
      <c r="N601" s="2161">
        <f t="shared" si="367"/>
        <v>0</v>
      </c>
      <c r="O601" s="2161">
        <f t="shared" si="367"/>
        <v>0</v>
      </c>
      <c r="P601" s="2163">
        <f t="shared" si="365"/>
        <v>0</v>
      </c>
      <c r="Q601" s="2389" t="s">
        <v>6997</v>
      </c>
      <c r="S601" s="2358"/>
      <c r="T601" s="2358"/>
      <c r="U601" s="2358"/>
      <c r="V601" s="2358"/>
      <c r="W601" s="2358"/>
      <c r="X601" s="263"/>
      <c r="AA601" s="263"/>
      <c r="AB601" s="266"/>
      <c r="AC601" s="263"/>
      <c r="AF601" s="263"/>
      <c r="AG601" s="266"/>
      <c r="AH601" s="263"/>
      <c r="AK601" s="263"/>
      <c r="AL601" s="266"/>
      <c r="AM601" s="263"/>
      <c r="AP601" s="263"/>
      <c r="AQ601" s="266"/>
      <c r="AR601" s="267"/>
      <c r="AS601" s="267"/>
      <c r="AT601" s="267"/>
      <c r="AU601" s="267"/>
      <c r="AV601" s="267"/>
      <c r="AW601" s="267"/>
      <c r="BB601" s="267"/>
      <c r="LN601" s="265"/>
      <c r="LO601" s="265"/>
    </row>
    <row r="602" spans="1:327" ht="27.75" customHeight="1">
      <c r="A602" s="2345"/>
      <c r="B602" s="2345"/>
      <c r="D602" s="2195"/>
      <c r="E602" s="1222"/>
      <c r="F602" s="263"/>
      <c r="H602" s="266"/>
      <c r="I602" s="266"/>
      <c r="K602" s="2380"/>
      <c r="L602" s="2380"/>
      <c r="M602" s="2380"/>
      <c r="N602" s="2380"/>
      <c r="O602" s="2380"/>
      <c r="P602" s="2380"/>
      <c r="Q602" s="2389"/>
      <c r="S602" s="281"/>
      <c r="U602" s="2375"/>
      <c r="X602" s="263"/>
      <c r="AA602" s="263"/>
      <c r="AB602" s="266"/>
      <c r="AC602" s="263"/>
      <c r="AF602" s="263"/>
      <c r="AG602" s="266"/>
      <c r="AH602" s="263"/>
      <c r="AK602" s="263"/>
      <c r="AL602" s="266"/>
      <c r="AM602" s="263"/>
      <c r="AP602" s="263"/>
      <c r="AQ602" s="266"/>
      <c r="AR602" s="263"/>
      <c r="AS602" s="263"/>
      <c r="AT602" s="263"/>
      <c r="AU602" s="263"/>
      <c r="AV602" s="263"/>
      <c r="AW602" s="263"/>
      <c r="AY602" s="263"/>
      <c r="BB602" s="263"/>
      <c r="BD602" s="263"/>
      <c r="JW602" s="1441"/>
      <c r="KB602" s="1441"/>
      <c r="KG602" s="1441"/>
      <c r="KL602" s="1441"/>
      <c r="KM602" s="1441"/>
      <c r="KN602" s="1441"/>
      <c r="KO602" s="1441"/>
      <c r="KP602" s="1441"/>
      <c r="KQ602" s="1441"/>
      <c r="KR602" s="1441"/>
      <c r="KS602" s="1441"/>
      <c r="KT602" s="1441"/>
      <c r="KU602" s="1441"/>
      <c r="KV602" s="1441"/>
      <c r="KW602" s="1441"/>
      <c r="KX602" s="1441"/>
      <c r="KY602" s="1441"/>
      <c r="KZ602" s="1441"/>
      <c r="LA602" s="1441"/>
      <c r="LB602" s="1441"/>
      <c r="LC602" s="1441"/>
      <c r="LD602" s="1441"/>
      <c r="LE602" s="1441"/>
      <c r="LF602" s="1441"/>
      <c r="LG602" s="1441"/>
      <c r="LN602" s="265"/>
      <c r="LO602" s="265"/>
    </row>
    <row r="603" spans="1:327" ht="12" customHeight="1">
      <c r="A603" s="265"/>
      <c r="B603" s="265" t="s">
        <v>1217</v>
      </c>
      <c r="C603" s="263"/>
      <c r="D603" s="263"/>
      <c r="E603" s="263"/>
      <c r="F603" s="263"/>
      <c r="H603" s="1556"/>
      <c r="I603" s="1556"/>
      <c r="K603" s="2390"/>
      <c r="L603" s="2390"/>
      <c r="M603" s="2390"/>
      <c r="N603" s="2390"/>
      <c r="O603" s="2390"/>
      <c r="P603" s="2390"/>
      <c r="Q603" s="2389"/>
      <c r="S603" s="1499" t="str">
        <f>B603</f>
        <v>UNIT SQUARE FOOTAGE</v>
      </c>
      <c r="T603" s="1499"/>
      <c r="U603" s="1499"/>
      <c r="X603" s="263"/>
      <c r="AA603" s="263"/>
      <c r="AB603" s="266"/>
      <c r="AC603" s="263"/>
      <c r="AF603" s="263"/>
      <c r="AG603" s="266"/>
      <c r="AH603" s="263"/>
      <c r="AK603" s="263"/>
      <c r="AL603" s="266"/>
      <c r="AM603" s="263"/>
      <c r="AP603" s="263"/>
      <c r="AQ603" s="266"/>
      <c r="AR603" s="263"/>
      <c r="AS603" s="263"/>
      <c r="AT603" s="263"/>
      <c r="AU603" s="263"/>
      <c r="AV603" s="263"/>
      <c r="AW603" s="263"/>
      <c r="AY603" s="263"/>
      <c r="BB603" s="263"/>
      <c r="BD603" s="263"/>
      <c r="JW603" s="1441"/>
      <c r="KB603" s="1441"/>
      <c r="KG603" s="1441"/>
      <c r="KL603" s="1441"/>
      <c r="KM603" s="1441"/>
      <c r="KN603" s="1441"/>
      <c r="KO603" s="1441"/>
      <c r="KP603" s="1441"/>
      <c r="KQ603" s="1441"/>
      <c r="KR603" s="1441"/>
      <c r="KS603" s="1441"/>
      <c r="KT603" s="1441"/>
      <c r="KU603" s="1441"/>
      <c r="KV603" s="1441"/>
      <c r="KW603" s="1441"/>
      <c r="KX603" s="1441"/>
      <c r="KY603" s="1441"/>
      <c r="KZ603" s="1441"/>
      <c r="LA603" s="1441"/>
      <c r="LB603" s="1441"/>
      <c r="LC603" s="1441"/>
      <c r="LD603" s="1441"/>
      <c r="LE603" s="1441"/>
      <c r="LF603" s="1441"/>
      <c r="LG603" s="1441"/>
      <c r="LN603" s="265"/>
      <c r="LO603" s="265"/>
    </row>
    <row r="604" spans="1:327" ht="14.25" customHeight="1">
      <c r="C604" s="263" t="s">
        <v>1218</v>
      </c>
      <c r="D604" s="263"/>
      <c r="E604" s="263"/>
      <c r="F604" s="263"/>
      <c r="H604" s="264" t="s">
        <v>1172</v>
      </c>
      <c r="I604" s="639"/>
      <c r="K604" s="2381">
        <f>EI496</f>
        <v>0</v>
      </c>
      <c r="L604" s="2381">
        <f>EJ496</f>
        <v>0</v>
      </c>
      <c r="M604" s="2381">
        <f>EK496</f>
        <v>0</v>
      </c>
      <c r="N604" s="2381">
        <f>EL496</f>
        <v>0</v>
      </c>
      <c r="O604" s="2381">
        <f>EM496</f>
        <v>0</v>
      </c>
      <c r="P604" s="2164">
        <f t="shared" ref="P604:P610" si="368">SUM(K604:O604)</f>
        <v>0</v>
      </c>
      <c r="Q604" s="2378" t="str">
        <f t="shared" ref="Q604:Q610" si="369">IF(OR(P503=0,P503=""),"",P604/P503)</f>
        <v/>
      </c>
      <c r="S604" s="2358"/>
      <c r="T604" s="2358"/>
      <c r="U604" s="2358"/>
      <c r="V604" s="2358"/>
      <c r="W604" s="2358"/>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441"/>
      <c r="KB604" s="1441"/>
      <c r="KG604" s="1441"/>
      <c r="KL604" s="1441"/>
      <c r="KM604" s="1441"/>
      <c r="KN604" s="1441"/>
      <c r="KO604" s="1441"/>
      <c r="KP604" s="1441"/>
      <c r="KQ604" s="1441"/>
      <c r="KR604" s="1441"/>
      <c r="KS604" s="1441"/>
      <c r="KT604" s="1441"/>
      <c r="KU604" s="1441"/>
      <c r="KV604" s="1441"/>
      <c r="KW604" s="1441"/>
      <c r="KX604" s="1441"/>
      <c r="KY604" s="1441"/>
      <c r="KZ604" s="1441"/>
      <c r="LA604" s="1441"/>
      <c r="LB604" s="1441"/>
      <c r="LC604" s="1441"/>
      <c r="LD604" s="1441"/>
      <c r="LE604" s="1441"/>
      <c r="LF604" s="1441"/>
      <c r="LG604" s="1441"/>
      <c r="LN604" s="265"/>
      <c r="LO604" s="265"/>
    </row>
    <row r="605" spans="1:327" ht="14.25" customHeight="1">
      <c r="C605" s="263"/>
      <c r="D605" s="263"/>
      <c r="E605" s="263"/>
      <c r="F605" s="263"/>
      <c r="H605" s="2384" t="s">
        <v>1174</v>
      </c>
      <c r="I605" s="1556"/>
      <c r="K605" s="2164">
        <f>EN496</f>
        <v>0</v>
      </c>
      <c r="L605" s="2164">
        <f>EO496</f>
        <v>0</v>
      </c>
      <c r="M605" s="2164">
        <f>EP496</f>
        <v>0</v>
      </c>
      <c r="N605" s="2164">
        <f>EQ496</f>
        <v>0</v>
      </c>
      <c r="O605" s="2164">
        <f>ER496</f>
        <v>0</v>
      </c>
      <c r="P605" s="2164">
        <f t="shared" si="368"/>
        <v>0</v>
      </c>
      <c r="Q605" s="2378" t="str">
        <f t="shared" si="369"/>
        <v/>
      </c>
      <c r="S605" s="2358"/>
      <c r="T605" s="2358"/>
      <c r="U605" s="2358"/>
      <c r="V605" s="2358"/>
      <c r="W605" s="2358"/>
      <c r="X605" s="263"/>
      <c r="AA605" s="263"/>
      <c r="AB605" s="266"/>
      <c r="AC605" s="263"/>
      <c r="AF605" s="263"/>
      <c r="AG605" s="266"/>
      <c r="AH605" s="263"/>
      <c r="AK605" s="263"/>
      <c r="AL605" s="266"/>
      <c r="AM605" s="263"/>
      <c r="AP605" s="263"/>
      <c r="AQ605" s="266"/>
      <c r="AR605" s="267"/>
      <c r="AS605" s="267"/>
      <c r="AT605" s="267"/>
      <c r="AU605" s="267"/>
      <c r="AV605" s="267"/>
      <c r="AW605" s="267"/>
      <c r="AY605" s="263"/>
      <c r="BB605" s="267"/>
      <c r="BD605" s="263"/>
      <c r="JW605" s="1441"/>
      <c r="KB605" s="1441"/>
      <c r="KG605" s="1441"/>
      <c r="KL605" s="1441"/>
      <c r="KM605" s="1441"/>
      <c r="KN605" s="1441"/>
      <c r="KO605" s="1441"/>
      <c r="KP605" s="1441"/>
      <c r="KQ605" s="1441"/>
      <c r="KR605" s="1441"/>
      <c r="KS605" s="1441"/>
      <c r="KT605" s="1441"/>
      <c r="KU605" s="1441"/>
      <c r="KV605" s="1441"/>
      <c r="KW605" s="1441"/>
      <c r="KX605" s="1441"/>
      <c r="KY605" s="1441"/>
      <c r="KZ605" s="1441"/>
      <c r="LA605" s="1441"/>
      <c r="LB605" s="1441"/>
      <c r="LC605" s="1441"/>
      <c r="LD605" s="1441"/>
      <c r="LE605" s="1441"/>
      <c r="LF605" s="1441"/>
      <c r="LG605" s="1441"/>
      <c r="LN605" s="265"/>
      <c r="LO605" s="265"/>
    </row>
    <row r="606" spans="1:327" ht="14.25" customHeight="1">
      <c r="C606" s="263"/>
      <c r="D606" s="263"/>
      <c r="E606" s="263"/>
      <c r="F606" s="263"/>
      <c r="H606" s="2384" t="s">
        <v>1175</v>
      </c>
      <c r="I606" s="1556"/>
      <c r="K606" s="2164">
        <f>ES496</f>
        <v>0</v>
      </c>
      <c r="L606" s="2164">
        <f>ET496</f>
        <v>30591</v>
      </c>
      <c r="M606" s="2164">
        <f>EU496</f>
        <v>65373</v>
      </c>
      <c r="N606" s="2164">
        <f>EV496</f>
        <v>26286</v>
      </c>
      <c r="O606" s="2164">
        <f>EW496</f>
        <v>0</v>
      </c>
      <c r="P606" s="2164">
        <f t="shared" si="368"/>
        <v>122250</v>
      </c>
      <c r="Q606" s="2378">
        <f t="shared" si="369"/>
        <v>1036.0169491525423</v>
      </c>
      <c r="S606" s="2358"/>
      <c r="T606" s="2358"/>
      <c r="U606" s="2358"/>
      <c r="V606" s="2358"/>
      <c r="W606" s="2358"/>
      <c r="X606" s="263"/>
      <c r="AA606" s="263"/>
      <c r="AB606" s="266"/>
      <c r="AC606" s="263"/>
      <c r="AF606" s="263"/>
      <c r="AG606" s="266"/>
      <c r="AH606" s="263"/>
      <c r="AK606" s="263"/>
      <c r="AL606" s="266"/>
      <c r="AM606" s="263"/>
      <c r="AP606" s="263"/>
      <c r="AQ606" s="266"/>
      <c r="AR606" s="267"/>
      <c r="AS606" s="267"/>
      <c r="AT606" s="267"/>
      <c r="AU606" s="267"/>
      <c r="AV606" s="267"/>
      <c r="AW606" s="267"/>
      <c r="AY606" s="263"/>
      <c r="BB606" s="267"/>
      <c r="BD606" s="263"/>
      <c r="JW606" s="1441"/>
      <c r="KB606" s="1441"/>
      <c r="KG606" s="1441"/>
      <c r="KL606" s="1441"/>
      <c r="KM606" s="1441"/>
      <c r="KN606" s="1441"/>
      <c r="KO606" s="1441"/>
      <c r="KP606" s="1441"/>
      <c r="KQ606" s="1441"/>
      <c r="KR606" s="1441"/>
      <c r="KS606" s="1441"/>
      <c r="KT606" s="1441"/>
      <c r="KU606" s="1441"/>
      <c r="KV606" s="1441"/>
      <c r="KW606" s="1441"/>
      <c r="KX606" s="1441"/>
      <c r="KY606" s="1441"/>
      <c r="KZ606" s="1441"/>
      <c r="LA606" s="1441"/>
      <c r="LB606" s="1441"/>
      <c r="LC606" s="1441"/>
      <c r="LD606" s="1441"/>
      <c r="LE606" s="1441"/>
      <c r="LF606" s="1441"/>
      <c r="LG606" s="1441"/>
      <c r="LN606" s="265"/>
      <c r="LO606" s="265"/>
    </row>
    <row r="607" spans="1:327" ht="14.25" customHeight="1">
      <c r="C607" s="263"/>
      <c r="D607" s="263"/>
      <c r="E607" s="263"/>
      <c r="F607" s="263"/>
      <c r="H607" s="2384" t="s">
        <v>1176</v>
      </c>
      <c r="I607" s="1556"/>
      <c r="K607" s="2164">
        <f>EX496</f>
        <v>0</v>
      </c>
      <c r="L607" s="2164">
        <f>EY496</f>
        <v>0</v>
      </c>
      <c r="M607" s="2164">
        <f>EZ496</f>
        <v>0</v>
      </c>
      <c r="N607" s="2164">
        <f>FA496</f>
        <v>0</v>
      </c>
      <c r="O607" s="2164">
        <f>FB496</f>
        <v>0</v>
      </c>
      <c r="P607" s="2164">
        <f t="shared" si="368"/>
        <v>0</v>
      </c>
      <c r="Q607" s="2378" t="str">
        <f t="shared" si="369"/>
        <v/>
      </c>
      <c r="S607" s="2358"/>
      <c r="T607" s="2358"/>
      <c r="U607" s="2358"/>
      <c r="V607" s="2358"/>
      <c r="W607" s="2358"/>
      <c r="X607" s="263"/>
      <c r="AA607" s="263"/>
      <c r="AB607" s="266"/>
      <c r="AC607" s="263"/>
      <c r="AF607" s="263"/>
      <c r="AG607" s="266"/>
      <c r="AH607" s="263"/>
      <c r="AK607" s="263"/>
      <c r="AL607" s="266"/>
      <c r="AM607" s="263"/>
      <c r="AP607" s="263"/>
      <c r="AQ607" s="266"/>
      <c r="AR607" s="267"/>
      <c r="AS607" s="267"/>
      <c r="AT607" s="267"/>
      <c r="AU607" s="267"/>
      <c r="AV607" s="267"/>
      <c r="AW607" s="267"/>
      <c r="AY607" s="263"/>
      <c r="BB607" s="267"/>
      <c r="BD607" s="263"/>
      <c r="JW607" s="1441"/>
      <c r="KB607" s="1441"/>
      <c r="KG607" s="1441"/>
      <c r="KL607" s="1441"/>
      <c r="KM607" s="1441"/>
      <c r="KN607" s="1441"/>
      <c r="KO607" s="1441"/>
      <c r="KP607" s="1441"/>
      <c r="KQ607" s="1441"/>
      <c r="KR607" s="1441"/>
      <c r="KS607" s="1441"/>
      <c r="KT607" s="1441"/>
      <c r="KU607" s="1441"/>
      <c r="KV607" s="1441"/>
      <c r="KW607" s="1441"/>
      <c r="KX607" s="1441"/>
      <c r="KY607" s="1441"/>
      <c r="KZ607" s="1441"/>
      <c r="LA607" s="1441"/>
      <c r="LB607" s="1441"/>
      <c r="LC607" s="1441"/>
      <c r="LD607" s="1441"/>
      <c r="LE607" s="1441"/>
      <c r="LF607" s="1441"/>
      <c r="LG607" s="1441"/>
      <c r="LN607" s="265"/>
      <c r="LO607" s="265"/>
    </row>
    <row r="608" spans="1:327" ht="14.25" customHeight="1">
      <c r="C608" s="263"/>
      <c r="D608" s="263"/>
      <c r="E608" s="263"/>
      <c r="F608" s="263"/>
      <c r="H608" s="2384" t="s">
        <v>1177</v>
      </c>
      <c r="I608" s="1556"/>
      <c r="K608" s="2164">
        <f>FC496</f>
        <v>0</v>
      </c>
      <c r="L608" s="2164">
        <f>FD496</f>
        <v>0</v>
      </c>
      <c r="M608" s="2164">
        <f>FE496</f>
        <v>0</v>
      </c>
      <c r="N608" s="2164">
        <f>FF496</f>
        <v>0</v>
      </c>
      <c r="O608" s="2164">
        <f>FG496</f>
        <v>0</v>
      </c>
      <c r="P608" s="2164">
        <f t="shared" si="368"/>
        <v>0</v>
      </c>
      <c r="Q608" s="2378" t="str">
        <f t="shared" si="369"/>
        <v/>
      </c>
      <c r="S608" s="2358"/>
      <c r="T608" s="2358"/>
      <c r="U608" s="2358"/>
      <c r="V608" s="2358"/>
      <c r="W608" s="2358"/>
      <c r="X608" s="263"/>
      <c r="AA608" s="263"/>
      <c r="AB608" s="266"/>
      <c r="AC608" s="263"/>
      <c r="AF608" s="263"/>
      <c r="AG608" s="266"/>
      <c r="AH608" s="263"/>
      <c r="AK608" s="263"/>
      <c r="AL608" s="266"/>
      <c r="AM608" s="263"/>
      <c r="AP608" s="263"/>
      <c r="AQ608" s="266"/>
      <c r="AR608" s="267"/>
      <c r="AS608" s="267"/>
      <c r="AT608" s="267"/>
      <c r="AU608" s="267"/>
      <c r="AV608" s="267"/>
      <c r="AW608" s="267"/>
      <c r="AY608" s="263"/>
      <c r="BB608" s="267"/>
      <c r="BD608" s="263"/>
      <c r="JW608" s="1441"/>
      <c r="KB608" s="1441"/>
      <c r="KG608" s="1441"/>
      <c r="KL608" s="1441"/>
      <c r="KM608" s="1441"/>
      <c r="KN608" s="1441"/>
      <c r="KO608" s="1441"/>
      <c r="KP608" s="1441"/>
      <c r="KQ608" s="1441"/>
      <c r="KR608" s="1441"/>
      <c r="KS608" s="1441"/>
      <c r="KT608" s="1441"/>
      <c r="KU608" s="1441"/>
      <c r="KV608" s="1441"/>
      <c r="KW608" s="1441"/>
      <c r="KX608" s="1441"/>
      <c r="KY608" s="1441"/>
      <c r="KZ608" s="1441"/>
      <c r="LA608" s="1441"/>
      <c r="LB608" s="1441"/>
      <c r="LC608" s="1441"/>
      <c r="LD608" s="1441"/>
      <c r="LE608" s="1441"/>
      <c r="LF608" s="1441"/>
      <c r="LG608" s="1441"/>
      <c r="LN608" s="265"/>
      <c r="LO608" s="265"/>
    </row>
    <row r="609" spans="1:380" ht="14.25" customHeight="1">
      <c r="C609" s="263"/>
      <c r="D609" s="263"/>
      <c r="E609" s="263"/>
      <c r="F609" s="263"/>
      <c r="H609" s="2384" t="s">
        <v>1178</v>
      </c>
      <c r="I609" s="1556"/>
      <c r="K609" s="2164">
        <f>FH496</f>
        <v>0</v>
      </c>
      <c r="L609" s="2164">
        <f>FI496</f>
        <v>0</v>
      </c>
      <c r="M609" s="2164">
        <f>FJ496</f>
        <v>0</v>
      </c>
      <c r="N609" s="2164">
        <f>FK496</f>
        <v>0</v>
      </c>
      <c r="O609" s="2164">
        <f>FL496</f>
        <v>0</v>
      </c>
      <c r="P609" s="2164">
        <f t="shared" si="368"/>
        <v>0</v>
      </c>
      <c r="Q609" s="2378" t="str">
        <f t="shared" si="369"/>
        <v/>
      </c>
      <c r="S609" s="2358"/>
      <c r="T609" s="2358"/>
      <c r="U609" s="2358"/>
      <c r="V609" s="2358"/>
      <c r="W609" s="2358"/>
      <c r="X609" s="263"/>
      <c r="AA609" s="263"/>
      <c r="AB609" s="266"/>
      <c r="AC609" s="263"/>
      <c r="AF609" s="263"/>
      <c r="AG609" s="266"/>
      <c r="AH609" s="263"/>
      <c r="AK609" s="263"/>
      <c r="AL609" s="266"/>
      <c r="AM609" s="263"/>
      <c r="AP609" s="263"/>
      <c r="AQ609" s="266"/>
      <c r="AR609" s="267"/>
      <c r="AS609" s="267"/>
      <c r="AT609" s="267"/>
      <c r="AU609" s="267"/>
      <c r="AV609" s="267"/>
      <c r="AW609" s="267"/>
      <c r="AY609" s="263"/>
      <c r="BB609" s="267"/>
      <c r="BD609" s="263"/>
      <c r="JW609" s="1441"/>
      <c r="KB609" s="1441"/>
      <c r="KG609" s="1441"/>
      <c r="KL609" s="1441"/>
      <c r="KM609" s="1441"/>
      <c r="KN609" s="1441"/>
      <c r="KO609" s="1441"/>
      <c r="KP609" s="1441"/>
      <c r="KQ609" s="1441"/>
      <c r="KR609" s="1441"/>
      <c r="KS609" s="1441"/>
      <c r="KT609" s="1441"/>
      <c r="KU609" s="1441"/>
      <c r="KV609" s="1441"/>
      <c r="KW609" s="1441"/>
      <c r="KX609" s="1441"/>
      <c r="KY609" s="1441"/>
      <c r="KZ609" s="1441"/>
      <c r="LA609" s="1441"/>
      <c r="LB609" s="1441"/>
      <c r="LC609" s="1441"/>
      <c r="LD609" s="1441"/>
      <c r="LE609" s="1441"/>
      <c r="LF609" s="1441"/>
      <c r="LG609" s="1441"/>
      <c r="LN609" s="265"/>
      <c r="LO609" s="265"/>
    </row>
    <row r="610" spans="1:380" ht="14.25" customHeight="1">
      <c r="C610" s="1440"/>
      <c r="D610" s="263"/>
      <c r="E610" s="263"/>
      <c r="F610" s="263"/>
      <c r="H610" s="264" t="s">
        <v>1179</v>
      </c>
      <c r="I610" s="639"/>
      <c r="K610" s="2381">
        <f>FM496</f>
        <v>0</v>
      </c>
      <c r="L610" s="2381">
        <f>FN496</f>
        <v>0</v>
      </c>
      <c r="M610" s="2381">
        <f>FO496</f>
        <v>0</v>
      </c>
      <c r="N610" s="2381">
        <f>FP496</f>
        <v>0</v>
      </c>
      <c r="O610" s="2381">
        <f>FQ496</f>
        <v>0</v>
      </c>
      <c r="P610" s="2164">
        <f t="shared" si="368"/>
        <v>0</v>
      </c>
      <c r="Q610" s="2378" t="str">
        <f t="shared" si="369"/>
        <v/>
      </c>
      <c r="S610" s="2358"/>
      <c r="T610" s="2358"/>
      <c r="U610" s="2358"/>
      <c r="V610" s="2358"/>
      <c r="W610" s="2358"/>
      <c r="X610" s="1440"/>
      <c r="AA610" s="263"/>
      <c r="AB610" s="266"/>
      <c r="AC610" s="1440"/>
      <c r="AF610" s="263"/>
      <c r="AG610" s="266"/>
      <c r="AH610" s="1440"/>
      <c r="AK610" s="263"/>
      <c r="AL610" s="266"/>
      <c r="AM610" s="1440"/>
      <c r="AP610" s="263"/>
      <c r="AQ610" s="266"/>
      <c r="AR610" s="267"/>
      <c r="AS610" s="267"/>
      <c r="AT610" s="267"/>
      <c r="AU610" s="267"/>
      <c r="AV610" s="267"/>
      <c r="AW610" s="267"/>
      <c r="AX610" s="263"/>
      <c r="AY610" s="263"/>
      <c r="BB610" s="267"/>
      <c r="BC610" s="263"/>
      <c r="BD610" s="263"/>
      <c r="JW610" s="1441"/>
      <c r="KB610" s="1441"/>
      <c r="KG610" s="1441"/>
      <c r="KL610" s="1441"/>
      <c r="KM610" s="1441"/>
      <c r="KN610" s="1441"/>
      <c r="KO610" s="1441"/>
      <c r="KP610" s="1441"/>
      <c r="KQ610" s="1441"/>
      <c r="KR610" s="1441"/>
      <c r="KS610" s="1441"/>
      <c r="KT610" s="1441"/>
      <c r="KU610" s="1441"/>
      <c r="KV610" s="1441"/>
      <c r="KW610" s="1441"/>
      <c r="KX610" s="1441"/>
      <c r="KY610" s="1441"/>
      <c r="KZ610" s="1441"/>
      <c r="LA610" s="1441"/>
      <c r="LB610" s="1441"/>
      <c r="LC610" s="1441"/>
      <c r="LD610" s="1441"/>
      <c r="LE610" s="1441"/>
      <c r="LF610" s="1441"/>
      <c r="LG610" s="1441"/>
      <c r="LN610" s="265"/>
      <c r="LO610" s="265"/>
    </row>
    <row r="611" spans="1:380" ht="14.25" customHeight="1">
      <c r="C611" s="1440"/>
      <c r="D611" s="263"/>
      <c r="E611" s="263"/>
      <c r="F611" s="263"/>
      <c r="H611" s="2385" t="s">
        <v>1219</v>
      </c>
      <c r="I611" s="2386"/>
      <c r="J611" s="2371"/>
      <c r="K611" s="2165">
        <f>SUM(K604:K610)</f>
        <v>0</v>
      </c>
      <c r="L611" s="2165">
        <f>SUM(L604:L610)</f>
        <v>30591</v>
      </c>
      <c r="M611" s="2165">
        <f>SUM(M604:M610)</f>
        <v>65373</v>
      </c>
      <c r="N611" s="2165">
        <f>SUM(N604:N610)</f>
        <v>26286</v>
      </c>
      <c r="O611" s="2165">
        <f>SUM(O604:O610)</f>
        <v>0</v>
      </c>
      <c r="P611" s="2165">
        <f>SUM(K611:O611)</f>
        <v>122250</v>
      </c>
      <c r="S611" s="2358"/>
      <c r="T611" s="2358"/>
      <c r="U611" s="2358"/>
      <c r="V611" s="2358"/>
      <c r="W611" s="2358"/>
      <c r="X611" s="1440"/>
      <c r="AA611" s="263"/>
      <c r="AB611" s="266"/>
      <c r="AC611" s="1440"/>
      <c r="AF611" s="263"/>
      <c r="AG611" s="266"/>
      <c r="AH611" s="1440"/>
      <c r="AK611" s="263"/>
      <c r="AL611" s="266"/>
      <c r="AM611" s="1440"/>
      <c r="AP611" s="263"/>
      <c r="AQ611" s="266"/>
      <c r="AR611" s="267"/>
      <c r="AS611" s="267"/>
      <c r="AT611" s="267"/>
      <c r="AU611" s="267"/>
      <c r="AV611" s="267"/>
      <c r="AW611" s="267"/>
      <c r="AX611" s="263"/>
      <c r="AY611" s="263"/>
      <c r="BB611" s="267"/>
      <c r="BC611" s="263"/>
      <c r="BD611" s="263"/>
      <c r="JW611" s="1441"/>
      <c r="KB611" s="1441"/>
      <c r="KG611" s="1441"/>
      <c r="KL611" s="1441"/>
      <c r="KM611" s="1441"/>
      <c r="KN611" s="1441"/>
      <c r="KO611" s="1441"/>
      <c r="KP611" s="1441"/>
      <c r="KQ611" s="1441"/>
      <c r="KR611" s="1441"/>
      <c r="KS611" s="1441"/>
      <c r="KT611" s="1441"/>
      <c r="KU611" s="1441"/>
      <c r="KV611" s="1441"/>
      <c r="KW611" s="1441"/>
      <c r="KX611" s="1441"/>
      <c r="KY611" s="1441"/>
      <c r="KZ611" s="1441"/>
      <c r="LA611" s="1441"/>
      <c r="LB611" s="1441"/>
      <c r="LC611" s="1441"/>
      <c r="LD611" s="1441"/>
      <c r="LE611" s="1441"/>
      <c r="LF611" s="1441"/>
      <c r="LG611" s="1441"/>
      <c r="LN611" s="265"/>
      <c r="LO611" s="265"/>
    </row>
    <row r="612" spans="1:380" ht="14.25" customHeight="1">
      <c r="C612" s="263" t="s">
        <v>1113</v>
      </c>
      <c r="D612" s="263"/>
      <c r="E612" s="263"/>
      <c r="F612" s="263"/>
      <c r="G612" s="263"/>
      <c r="K612" s="2164">
        <f>FR496</f>
        <v>0</v>
      </c>
      <c r="L612" s="2164">
        <f>FS496</f>
        <v>19248</v>
      </c>
      <c r="M612" s="2164">
        <f>FT496</f>
        <v>44582</v>
      </c>
      <c r="N612" s="2164">
        <f>FU496</f>
        <v>20429</v>
      </c>
      <c r="O612" s="2164">
        <f>FV496</f>
        <v>0</v>
      </c>
      <c r="P612" s="2164">
        <f>SUM(K612:O612)</f>
        <v>84259</v>
      </c>
      <c r="Q612" s="2378">
        <f>IF(OR(P511=0,P511=""),"",P612/P511)</f>
        <v>1040.2345679012346</v>
      </c>
      <c r="S612" s="2358"/>
      <c r="T612" s="2358"/>
      <c r="U612" s="2358"/>
      <c r="V612" s="2358"/>
      <c r="W612" s="2358"/>
      <c r="X612" s="263"/>
      <c r="AA612" s="263"/>
      <c r="AB612" s="263"/>
      <c r="AC612" s="263"/>
      <c r="AF612" s="263"/>
      <c r="AG612" s="263"/>
      <c r="AH612" s="263"/>
      <c r="AK612" s="263"/>
      <c r="AL612" s="263"/>
      <c r="AM612" s="263"/>
      <c r="AP612" s="263"/>
      <c r="AQ612" s="263"/>
      <c r="AR612" s="267"/>
      <c r="AS612" s="267"/>
      <c r="AT612" s="267"/>
      <c r="AU612" s="267"/>
      <c r="AV612" s="267"/>
      <c r="AW612" s="267"/>
      <c r="AY612" s="263"/>
      <c r="BB612" s="267"/>
      <c r="BD612" s="263"/>
      <c r="JW612" s="1441"/>
      <c r="KB612" s="1441"/>
      <c r="KG612" s="1441"/>
      <c r="KL612" s="1441"/>
      <c r="KM612" s="1441"/>
      <c r="KN612" s="1441"/>
      <c r="KO612" s="1441"/>
      <c r="KP612" s="1441"/>
      <c r="KQ612" s="1441"/>
      <c r="KR612" s="1441"/>
      <c r="KS612" s="1441"/>
      <c r="KT612" s="1441"/>
      <c r="KU612" s="1441"/>
      <c r="KV612" s="1441"/>
      <c r="KW612" s="1441"/>
      <c r="KX612" s="1441"/>
      <c r="KY612" s="1441"/>
      <c r="KZ612" s="1441"/>
      <c r="LA612" s="1441"/>
      <c r="LB612" s="1441"/>
      <c r="LC612" s="1441"/>
      <c r="LD612" s="1441"/>
      <c r="LE612" s="1441"/>
      <c r="LF612" s="1441"/>
      <c r="LG612" s="1441"/>
      <c r="LN612" s="265"/>
      <c r="LO612" s="265"/>
    </row>
    <row r="613" spans="1:380" ht="14.25" customHeight="1">
      <c r="C613" s="2391" t="s">
        <v>1181</v>
      </c>
      <c r="D613" s="2370"/>
      <c r="E613" s="2370"/>
      <c r="F613" s="2370"/>
      <c r="G613" s="2370"/>
      <c r="H613" s="2371"/>
      <c r="I613" s="2371"/>
      <c r="J613" s="2371"/>
      <c r="K613" s="2166">
        <f>SUM(K611:K612)</f>
        <v>0</v>
      </c>
      <c r="L613" s="2166">
        <f>SUM(L611:L612)</f>
        <v>49839</v>
      </c>
      <c r="M613" s="2166">
        <f>SUM(M611:M612)</f>
        <v>109955</v>
      </c>
      <c r="N613" s="2166">
        <f>SUM(N611:N612)</f>
        <v>46715</v>
      </c>
      <c r="O613" s="2166">
        <f>SUM(O611:O612)</f>
        <v>0</v>
      </c>
      <c r="P613" s="2166">
        <f>SUM(K613:O613)</f>
        <v>206509</v>
      </c>
      <c r="S613" s="2358"/>
      <c r="T613" s="2358"/>
      <c r="U613" s="2358"/>
      <c r="V613" s="2358"/>
      <c r="W613" s="2358"/>
      <c r="X613" s="263"/>
      <c r="AA613" s="263"/>
      <c r="AB613" s="263"/>
      <c r="AC613" s="263"/>
      <c r="AF613" s="263"/>
      <c r="AG613" s="263"/>
      <c r="AH613" s="263"/>
      <c r="AK613" s="263"/>
      <c r="AL613" s="263"/>
      <c r="AM613" s="263"/>
      <c r="AP613" s="263"/>
      <c r="AQ613" s="263"/>
      <c r="AR613" s="267"/>
      <c r="AS613" s="267"/>
      <c r="AT613" s="267"/>
      <c r="AU613" s="267"/>
      <c r="AV613" s="267"/>
      <c r="AW613" s="267"/>
      <c r="AY613" s="263"/>
      <c r="BB613" s="267"/>
      <c r="BD613" s="263"/>
      <c r="JW613" s="1441"/>
      <c r="KB613" s="1441"/>
      <c r="KG613" s="1441"/>
      <c r="KL613" s="1441"/>
      <c r="KM613" s="1441"/>
      <c r="KN613" s="1441"/>
      <c r="KO613" s="1441"/>
      <c r="KP613" s="1441"/>
      <c r="KQ613" s="1441"/>
      <c r="KR613" s="1441"/>
      <c r="KS613" s="1441"/>
      <c r="KT613" s="1441"/>
      <c r="KU613" s="1441"/>
      <c r="KV613" s="1441"/>
      <c r="KW613" s="1441"/>
      <c r="KX613" s="1441"/>
      <c r="KY613" s="1441"/>
      <c r="KZ613" s="1441"/>
      <c r="LA613" s="1441"/>
      <c r="LB613" s="1441"/>
      <c r="LC613" s="1441"/>
      <c r="LD613" s="1441"/>
      <c r="LE613" s="1441"/>
      <c r="LF613" s="1441"/>
      <c r="LG613" s="1441"/>
      <c r="LN613" s="265"/>
      <c r="LO613" s="265"/>
      <c r="ME613" s="265"/>
    </row>
    <row r="614" spans="1:380" ht="14.25" customHeight="1">
      <c r="C614" s="263" t="s">
        <v>1182</v>
      </c>
      <c r="D614" s="263"/>
      <c r="E614" s="263"/>
      <c r="F614" s="263"/>
      <c r="G614" s="263"/>
      <c r="K614" s="2164">
        <f>GB496</f>
        <v>0</v>
      </c>
      <c r="L614" s="2164">
        <f>GC496</f>
        <v>0</v>
      </c>
      <c r="M614" s="2164">
        <f>GD496</f>
        <v>0</v>
      </c>
      <c r="N614" s="2164">
        <f>GE496</f>
        <v>0</v>
      </c>
      <c r="O614" s="2164">
        <f>GF496</f>
        <v>0</v>
      </c>
      <c r="P614" s="2164">
        <f>SUM(K614:O614)</f>
        <v>0</v>
      </c>
      <c r="Q614" s="2378" t="str">
        <f>IF(OR(P513=0,P513=""),"",P614/P513)</f>
        <v/>
      </c>
      <c r="S614" s="2358"/>
      <c r="T614" s="2358"/>
      <c r="U614" s="2358"/>
      <c r="V614" s="2358"/>
      <c r="W614" s="2358"/>
      <c r="X614" s="263"/>
      <c r="AA614" s="263"/>
      <c r="AB614" s="263"/>
      <c r="AC614" s="263"/>
      <c r="AF614" s="263"/>
      <c r="AG614" s="263"/>
      <c r="AH614" s="263"/>
      <c r="AK614" s="263"/>
      <c r="AL614" s="263"/>
      <c r="AM614" s="263"/>
      <c r="AP614" s="263"/>
      <c r="AQ614" s="263"/>
      <c r="AR614" s="267"/>
      <c r="AS614" s="267"/>
      <c r="AT614" s="267"/>
      <c r="AU614" s="267"/>
      <c r="AV614" s="267"/>
      <c r="AW614" s="267"/>
      <c r="AY614" s="263"/>
      <c r="BB614" s="267"/>
      <c r="BD614" s="263"/>
      <c r="JW614" s="1441"/>
      <c r="KB614" s="1441"/>
      <c r="KG614" s="1441"/>
      <c r="KL614" s="1441"/>
      <c r="KM614" s="1441"/>
      <c r="KN614" s="1441"/>
      <c r="KO614" s="1441"/>
      <c r="KP614" s="1441"/>
      <c r="KQ614" s="1441"/>
      <c r="KR614" s="1441"/>
      <c r="KS614" s="1441"/>
      <c r="KT614" s="1441"/>
      <c r="KU614" s="1441"/>
      <c r="KV614" s="1441"/>
      <c r="KW614" s="1441"/>
      <c r="KX614" s="1441"/>
      <c r="KY614" s="1441"/>
      <c r="KZ614" s="1441"/>
      <c r="LA614" s="1441"/>
      <c r="LB614" s="1441"/>
      <c r="LC614" s="1441"/>
      <c r="LD614" s="1441"/>
      <c r="LE614" s="1441"/>
      <c r="LF614" s="1441"/>
      <c r="LG614" s="1441"/>
      <c r="LN614" s="265"/>
      <c r="LO614" s="265"/>
      <c r="ME614" s="265"/>
    </row>
    <row r="615" spans="1:380" ht="14.25" customHeight="1">
      <c r="C615" s="1440" t="s">
        <v>296</v>
      </c>
      <c r="D615" s="263"/>
      <c r="E615" s="263"/>
      <c r="F615" s="263"/>
      <c r="G615" s="263"/>
      <c r="K615" s="2167">
        <f>SUM(K613:K614)</f>
        <v>0</v>
      </c>
      <c r="L615" s="2167">
        <f>SUM(L613:L614)</f>
        <v>49839</v>
      </c>
      <c r="M615" s="2167">
        <f>SUM(M613:M614)</f>
        <v>109955</v>
      </c>
      <c r="N615" s="2167">
        <f>SUM(N613:N614)</f>
        <v>46715</v>
      </c>
      <c r="O615" s="2167">
        <f>SUM(O613:O614)</f>
        <v>0</v>
      </c>
      <c r="P615" s="2167">
        <f>SUM(K615:O615)</f>
        <v>206509</v>
      </c>
      <c r="S615" s="2358"/>
      <c r="T615" s="2358"/>
      <c r="U615" s="2358"/>
      <c r="V615" s="2358"/>
      <c r="W615" s="2358"/>
      <c r="X615" s="263"/>
      <c r="AA615" s="263"/>
      <c r="AB615" s="263"/>
      <c r="AC615" s="263"/>
      <c r="AF615" s="263"/>
      <c r="AG615" s="263"/>
      <c r="AH615" s="263"/>
      <c r="AK615" s="263"/>
      <c r="AL615" s="263"/>
      <c r="AM615" s="263"/>
      <c r="AP615" s="263"/>
      <c r="AQ615" s="263"/>
      <c r="AR615" s="267"/>
      <c r="AS615" s="267"/>
      <c r="AT615" s="267"/>
      <c r="AU615" s="267"/>
      <c r="AV615" s="267"/>
      <c r="AW615" s="267"/>
      <c r="AY615" s="263"/>
      <c r="BB615" s="267"/>
      <c r="BD615" s="263"/>
      <c r="JW615" s="1441"/>
      <c r="KB615" s="1441"/>
      <c r="KG615" s="1441"/>
      <c r="KL615" s="1441"/>
      <c r="KM615" s="1441"/>
      <c r="KN615" s="1441"/>
      <c r="KO615" s="1441"/>
      <c r="KP615" s="1441"/>
      <c r="KQ615" s="1441"/>
      <c r="KR615" s="1441"/>
      <c r="KS615" s="1441"/>
      <c r="KT615" s="1441"/>
      <c r="KU615" s="1441"/>
      <c r="KV615" s="1441"/>
      <c r="KW615" s="1441"/>
      <c r="KX615" s="1441"/>
      <c r="KY615" s="1441"/>
      <c r="KZ615" s="1441"/>
      <c r="LA615" s="1441"/>
      <c r="LB615" s="1441"/>
      <c r="LC615" s="1441"/>
      <c r="LD615" s="1441"/>
      <c r="LE615" s="1441"/>
      <c r="LF615" s="1441"/>
      <c r="LG615" s="1441"/>
      <c r="LN615" s="265"/>
      <c r="LO615" s="265"/>
      <c r="ME615" s="265"/>
    </row>
    <row r="616" spans="1:380" ht="14.1" customHeight="1">
      <c r="JW616" s="1441"/>
      <c r="KB616" s="1441"/>
      <c r="KG616" s="1441"/>
      <c r="KL616" s="1441"/>
      <c r="KM616" s="1441"/>
      <c r="KN616" s="1441"/>
      <c r="KO616" s="1441"/>
      <c r="KP616" s="1441"/>
      <c r="KQ616" s="1441"/>
      <c r="KR616" s="1441"/>
      <c r="KS616" s="1441"/>
      <c r="KT616" s="1441"/>
      <c r="KU616" s="1441"/>
      <c r="KV616" s="1441"/>
      <c r="KW616" s="1441"/>
      <c r="KX616" s="1441"/>
      <c r="KY616" s="1441"/>
      <c r="KZ616" s="1441"/>
      <c r="LA616" s="1441"/>
      <c r="LB616" s="1441"/>
      <c r="LC616" s="1441"/>
      <c r="LD616" s="1441"/>
      <c r="LE616" s="1441"/>
      <c r="LF616" s="1441"/>
      <c r="LG616" s="1441"/>
      <c r="LN616" s="265"/>
      <c r="MD616" s="265"/>
      <c r="ME616" s="265"/>
    </row>
    <row r="617" spans="1:380" s="263" customFormat="1" ht="14.1" customHeight="1">
      <c r="JW617" s="1573"/>
      <c r="KB617" s="1573"/>
      <c r="KG617" s="1573"/>
      <c r="KL617" s="1573"/>
      <c r="KM617" s="1573"/>
      <c r="KN617" s="1573"/>
      <c r="KO617" s="1573"/>
      <c r="KP617" s="1573"/>
      <c r="KQ617" s="1573"/>
      <c r="KR617" s="1573"/>
      <c r="KS617" s="1573"/>
      <c r="KT617" s="1573"/>
      <c r="KU617" s="1573"/>
      <c r="KV617" s="1573"/>
      <c r="KW617" s="1573"/>
      <c r="KX617" s="1573"/>
      <c r="KY617" s="1573"/>
      <c r="KZ617" s="1573"/>
      <c r="LA617" s="1573"/>
      <c r="LB617" s="1573"/>
      <c r="LC617" s="1573"/>
      <c r="LD617" s="1573"/>
      <c r="LE617" s="1573"/>
      <c r="LF617" s="1573"/>
      <c r="LG617" s="1573"/>
      <c r="LN617" s="1440"/>
      <c r="MD617" s="1440"/>
      <c r="ME617" s="1440"/>
      <c r="NP617" s="261"/>
    </row>
    <row r="618" spans="1:380" s="263" customFormat="1" ht="14.25" customHeight="1">
      <c r="C618" s="263" t="s">
        <v>6998</v>
      </c>
      <c r="K618" s="2392" t="str">
        <f>IF(OR(K514="",K514=0),"",K615/K514)</f>
        <v/>
      </c>
      <c r="L618" s="2392">
        <f>IF(OR(L514="",L514=0),"",L615/L514)</f>
        <v>803.85483870967744</v>
      </c>
      <c r="M618" s="2392">
        <f>IF(OR(M514="",M514=0),"",M615/M514)</f>
        <v>1077.9901960784314</v>
      </c>
      <c r="N618" s="2392">
        <f>IF(OR(N514="",N514=0),"",N615/N514)</f>
        <v>1334.7142857142858</v>
      </c>
      <c r="O618" s="2392" t="str">
        <f>IF(OR(O514="",O514=0),"",O615/O514)</f>
        <v/>
      </c>
      <c r="P618" s="2392"/>
      <c r="JW618" s="1573"/>
      <c r="KB618" s="1573"/>
      <c r="KG618" s="1573"/>
      <c r="KL618" s="1573"/>
      <c r="KM618" s="1573"/>
      <c r="KN618" s="1573"/>
      <c r="KO618" s="1573"/>
      <c r="KP618" s="1573"/>
      <c r="KQ618" s="1573"/>
      <c r="KR618" s="1573"/>
      <c r="KS618" s="1573"/>
      <c r="KT618" s="1573"/>
      <c r="KU618" s="1573"/>
      <c r="KV618" s="1573"/>
      <c r="KW618" s="1573"/>
      <c r="KX618" s="1573"/>
      <c r="KY618" s="1573"/>
      <c r="KZ618" s="1573"/>
      <c r="LA618" s="1573"/>
      <c r="LB618" s="1573"/>
      <c r="LC618" s="1573"/>
      <c r="LD618" s="1573"/>
      <c r="LE618" s="1573"/>
      <c r="LF618" s="1573"/>
      <c r="LG618" s="1573"/>
      <c r="LN618" s="1440"/>
      <c r="MD618" s="1440"/>
      <c r="ME618" s="1440"/>
      <c r="NP618" s="261"/>
    </row>
    <row r="619" spans="1:380" s="263" customFormat="1" ht="14.1" customHeight="1">
      <c r="JW619" s="1573"/>
      <c r="KB619" s="1573"/>
      <c r="KG619" s="1573"/>
      <c r="KL619" s="1573"/>
      <c r="KM619" s="1573"/>
      <c r="KN619" s="1573"/>
      <c r="KO619" s="1573"/>
      <c r="KP619" s="1573"/>
      <c r="KQ619" s="1573"/>
      <c r="KR619" s="1573"/>
      <c r="KS619" s="1573"/>
      <c r="KT619" s="1573"/>
      <c r="KU619" s="1573"/>
      <c r="KV619" s="1573"/>
      <c r="KW619" s="1573"/>
      <c r="KX619" s="1573"/>
      <c r="KY619" s="1573"/>
      <c r="KZ619" s="1573"/>
      <c r="LA619" s="1573"/>
      <c r="LB619" s="1573"/>
      <c r="LC619" s="1573"/>
      <c r="LD619" s="1573"/>
      <c r="LE619" s="1573"/>
      <c r="LF619" s="1573"/>
      <c r="LG619" s="1573"/>
      <c r="LN619" s="1440"/>
      <c r="MD619" s="1440"/>
      <c r="ME619" s="1440"/>
      <c r="NP619" s="261"/>
    </row>
    <row r="620" spans="1:380" s="263" customFormat="1" ht="14.1" customHeight="1">
      <c r="A620" s="265" t="s">
        <v>31</v>
      </c>
      <c r="B620" s="265" t="s">
        <v>1221</v>
      </c>
      <c r="JW620" s="1573"/>
      <c r="KB620" s="1573"/>
      <c r="KG620" s="1573"/>
      <c r="KL620" s="1573"/>
      <c r="KM620" s="1573"/>
      <c r="KN620" s="1573"/>
      <c r="KO620" s="1573"/>
      <c r="KP620" s="1573"/>
      <c r="KQ620" s="1573"/>
      <c r="KR620" s="1573"/>
      <c r="KS620" s="1573"/>
      <c r="KT620" s="1573"/>
      <c r="KU620" s="1573"/>
      <c r="KV620" s="1573"/>
      <c r="KW620" s="1573"/>
      <c r="KX620" s="1573"/>
      <c r="KY620" s="1573"/>
      <c r="KZ620" s="1573"/>
      <c r="LA620" s="1573"/>
      <c r="LB620" s="1573"/>
      <c r="LC620" s="1573"/>
      <c r="LD620" s="1573"/>
      <c r="LE620" s="1573"/>
      <c r="LF620" s="1573"/>
      <c r="LG620" s="1573"/>
      <c r="LN620" s="1440"/>
      <c r="MD620" s="1440"/>
      <c r="ME620" s="1440"/>
      <c r="NP620" s="261"/>
    </row>
    <row r="621" spans="1:380" s="1499" customFormat="1" ht="13.5" customHeight="1">
      <c r="A621" s="2189"/>
      <c r="C621" s="280" t="s">
        <v>6999</v>
      </c>
      <c r="K621" s="2123">
        <f>'Part V-Revenues &amp; Expenses'!K174</f>
        <v>7875</v>
      </c>
      <c r="L621" s="2123"/>
      <c r="Z621" s="1324">
        <v>68</v>
      </c>
    </row>
    <row r="622" spans="1:380" s="1499" customFormat="1" ht="13.35" customHeight="1">
      <c r="A622" s="2189"/>
      <c r="C622" s="280" t="s">
        <v>1223</v>
      </c>
      <c r="K622" s="2123">
        <f>P615+K621</f>
        <v>214384</v>
      </c>
      <c r="L622" s="2123"/>
      <c r="Z622" s="1324">
        <v>69</v>
      </c>
    </row>
    <row r="623" spans="1:380" s="263" customFormat="1" ht="14.1" customHeight="1">
      <c r="A623" s="2393"/>
      <c r="JW623" s="1573"/>
      <c r="KB623" s="1573"/>
      <c r="KG623" s="1573"/>
      <c r="KL623" s="1573"/>
      <c r="KM623" s="1573"/>
      <c r="KN623" s="1573"/>
      <c r="KO623" s="1573"/>
      <c r="KP623" s="1573"/>
      <c r="KQ623" s="1573"/>
      <c r="KR623" s="1573"/>
      <c r="KS623" s="1573"/>
      <c r="KT623" s="1573"/>
      <c r="KU623" s="1573"/>
      <c r="KV623" s="1573"/>
      <c r="KW623" s="1573"/>
      <c r="KX623" s="1573"/>
      <c r="KY623" s="1573"/>
      <c r="KZ623" s="1573"/>
      <c r="LA623" s="1573"/>
      <c r="LB623" s="1573"/>
      <c r="LC623" s="1573"/>
      <c r="LD623" s="1573"/>
      <c r="LE623" s="1573"/>
      <c r="LF623" s="1573"/>
      <c r="LG623" s="1573"/>
      <c r="LN623" s="1440"/>
      <c r="MD623" s="1440"/>
      <c r="ME623" s="1440"/>
      <c r="NP623" s="261"/>
    </row>
    <row r="624" spans="1:380" ht="14.1" customHeight="1">
      <c r="A624" s="265" t="s">
        <v>50</v>
      </c>
      <c r="B624" s="265" t="s">
        <v>7000</v>
      </c>
      <c r="S624" s="265" t="s">
        <v>781</v>
      </c>
      <c r="U624" s="263"/>
      <c r="KM624" s="1441"/>
      <c r="KN624" s="1441"/>
      <c r="KO624" s="1441"/>
      <c r="KP624" s="1441"/>
      <c r="KQ624" s="1441"/>
      <c r="KR624" s="1441"/>
      <c r="KS624" s="1441"/>
      <c r="KT624" s="1441"/>
      <c r="KU624" s="1441"/>
      <c r="KV624" s="1441"/>
      <c r="KW624" s="1441"/>
      <c r="KX624" s="1441"/>
      <c r="KY624" s="1441"/>
      <c r="KZ624" s="1441"/>
      <c r="LA624" s="1441"/>
      <c r="LB624" s="1441"/>
      <c r="LC624" s="1441"/>
      <c r="LD624" s="1441"/>
      <c r="LE624" s="1441"/>
      <c r="LF624" s="1441"/>
      <c r="LG624" s="1441"/>
      <c r="LH624" s="1441"/>
      <c r="LO624" s="265"/>
      <c r="ME624" s="265"/>
      <c r="MF624" s="265"/>
    </row>
    <row r="625" spans="2:380" ht="2.25" customHeight="1">
      <c r="Q625" s="263"/>
      <c r="R625" s="263"/>
      <c r="JW625" s="1441"/>
      <c r="KB625" s="1441"/>
      <c r="KG625" s="1441"/>
      <c r="KL625" s="1441"/>
      <c r="KM625" s="1441"/>
      <c r="KN625" s="1441"/>
      <c r="KO625" s="1441"/>
      <c r="KP625" s="1441"/>
      <c r="KQ625" s="1441"/>
      <c r="KR625" s="1441"/>
      <c r="KS625" s="1441"/>
      <c r="KT625" s="1441"/>
      <c r="KU625" s="1441"/>
      <c r="KV625" s="1441"/>
      <c r="KW625" s="1441"/>
      <c r="KX625" s="1441"/>
      <c r="KY625" s="1441"/>
      <c r="KZ625" s="1441"/>
      <c r="LA625" s="1441"/>
      <c r="LB625" s="1441"/>
      <c r="LC625" s="1441"/>
      <c r="LD625" s="1441"/>
      <c r="LE625" s="1441"/>
      <c r="LF625" s="1441"/>
      <c r="LG625" s="1441"/>
      <c r="LN625" s="265"/>
      <c r="MD625" s="265"/>
      <c r="ME625" s="265"/>
    </row>
    <row r="626" spans="2:380" s="263" customFormat="1" ht="15.6" customHeight="1">
      <c r="B626" s="1336" t="s">
        <v>1225</v>
      </c>
      <c r="C626" s="1222"/>
      <c r="D626" s="1222"/>
      <c r="E626" s="1222"/>
      <c r="F626" s="1222"/>
      <c r="G626" s="1222"/>
      <c r="H626" s="2394">
        <f>'Part V-Revenues &amp; Expenses'!H179</f>
        <v>61610.400000000001</v>
      </c>
      <c r="I626" s="2394"/>
      <c r="J626" s="2384" t="s">
        <v>7001</v>
      </c>
      <c r="M626" s="1222"/>
      <c r="N626" s="1222"/>
      <c r="O626" s="1222"/>
      <c r="P626" s="2395">
        <f>IF(M497=0,0,H626/M497)</f>
        <v>0.02</v>
      </c>
      <c r="Q626" s="1222"/>
      <c r="R626" s="1222"/>
      <c r="S626" s="1440" t="str">
        <f>B626</f>
        <v>Ancillary Income</v>
      </c>
      <c r="JW626" s="1573"/>
      <c r="KB626" s="1573"/>
      <c r="KG626" s="1573"/>
      <c r="KL626" s="1573"/>
      <c r="KM626" s="1573"/>
      <c r="KN626" s="1573"/>
      <c r="KO626" s="1573"/>
      <c r="KP626" s="1573"/>
      <c r="KQ626" s="1573"/>
      <c r="KR626" s="1573"/>
      <c r="KS626" s="1573"/>
      <c r="KT626" s="1573"/>
      <c r="KU626" s="1573"/>
      <c r="KV626" s="1573"/>
      <c r="KW626" s="1573"/>
      <c r="KX626" s="1573"/>
      <c r="KY626" s="1573"/>
      <c r="KZ626" s="1573"/>
      <c r="LA626" s="1573"/>
      <c r="LB626" s="1573"/>
      <c r="LC626" s="1573"/>
      <c r="LD626" s="1573"/>
      <c r="LE626" s="1573"/>
      <c r="LF626" s="1573"/>
      <c r="LG626" s="1573"/>
      <c r="LN626" s="1440"/>
      <c r="MD626" s="1440"/>
      <c r="ME626" s="1440"/>
    </row>
    <row r="627" spans="2:380" ht="15.6" customHeight="1">
      <c r="B627" s="2355"/>
      <c r="C627" s="264"/>
      <c r="D627" s="1222"/>
      <c r="E627" s="264"/>
      <c r="F627" s="264"/>
      <c r="G627" s="264"/>
      <c r="H627" s="264"/>
      <c r="I627" s="264"/>
      <c r="J627" s="2396"/>
      <c r="K627" s="264"/>
      <c r="L627" s="264"/>
      <c r="M627" s="264"/>
      <c r="N627" s="264"/>
      <c r="O627" s="264"/>
      <c r="P627" s="264"/>
      <c r="Q627" s="1222"/>
      <c r="R627" s="1222"/>
      <c r="JW627" s="1441"/>
      <c r="KB627" s="1441"/>
      <c r="KG627" s="1441"/>
      <c r="KL627" s="1441"/>
      <c r="KM627" s="1441"/>
      <c r="KN627" s="1441"/>
      <c r="KO627" s="1441"/>
      <c r="KP627" s="1441"/>
      <c r="KQ627" s="1441"/>
      <c r="KR627" s="1441"/>
      <c r="KS627" s="1441"/>
      <c r="KT627" s="1441"/>
      <c r="KU627" s="1441"/>
      <c r="KV627" s="1441"/>
      <c r="KW627" s="1441"/>
      <c r="KX627" s="1441"/>
      <c r="KY627" s="1441"/>
      <c r="KZ627" s="1441"/>
      <c r="LA627" s="1441"/>
      <c r="LB627" s="1441"/>
      <c r="LC627" s="1441"/>
      <c r="LD627" s="1441"/>
      <c r="LE627" s="1441"/>
      <c r="LF627" s="1441"/>
      <c r="LG627" s="1441"/>
      <c r="LN627" s="265"/>
      <c r="MD627" s="265"/>
      <c r="ME627" s="265"/>
      <c r="NP627" s="263"/>
    </row>
    <row r="628" spans="2:380" ht="15.6" customHeight="1">
      <c r="B628" s="2355" t="s">
        <v>1227</v>
      </c>
      <c r="C628" s="264"/>
      <c r="D628" s="264"/>
      <c r="E628" s="264"/>
      <c r="F628" s="264"/>
      <c r="G628" s="264"/>
      <c r="H628" s="264"/>
      <c r="I628" s="264"/>
      <c r="J628" s="2355"/>
      <c r="K628" s="264"/>
      <c r="L628" s="2168"/>
      <c r="M628" s="264"/>
      <c r="N628" s="264"/>
      <c r="O628" s="264"/>
      <c r="P628" s="264"/>
      <c r="Q628" s="264"/>
      <c r="S628" s="2330" t="str">
        <f>B628</f>
        <v>Other Income (OI) by Year:</v>
      </c>
      <c r="JW628" s="1441"/>
      <c r="KB628" s="1441"/>
      <c r="KG628" s="1441"/>
      <c r="KL628" s="1441"/>
      <c r="KM628" s="1441"/>
      <c r="KN628" s="1441"/>
      <c r="KO628" s="1441"/>
      <c r="KP628" s="1441"/>
      <c r="KQ628" s="1441"/>
      <c r="KR628" s="1441"/>
      <c r="KS628" s="1441"/>
      <c r="KT628" s="1441"/>
      <c r="KU628" s="1441"/>
      <c r="KV628" s="1441"/>
      <c r="KW628" s="1441"/>
      <c r="KX628" s="1441"/>
      <c r="KY628" s="1441"/>
      <c r="KZ628" s="1441"/>
      <c r="LA628" s="1441"/>
      <c r="LB628" s="1441"/>
      <c r="LC628" s="1441"/>
      <c r="LD628" s="1441"/>
      <c r="LE628" s="1441"/>
      <c r="LF628" s="1441"/>
      <c r="LG628" s="1441"/>
      <c r="LN628" s="265"/>
      <c r="MD628" s="265"/>
      <c r="ME628" s="265"/>
      <c r="NP628" s="263"/>
    </row>
    <row r="629" spans="2:380" ht="15.6" customHeight="1">
      <c r="B629" s="2397" t="s">
        <v>1228</v>
      </c>
      <c r="C629" s="264"/>
      <c r="D629" s="264"/>
      <c r="E629" s="264"/>
      <c r="F629" s="264"/>
      <c r="H629" s="2169">
        <v>1</v>
      </c>
      <c r="I629" s="2169">
        <v>2</v>
      </c>
      <c r="J629" s="2169">
        <v>3</v>
      </c>
      <c r="K629" s="2169">
        <v>4</v>
      </c>
      <c r="L629" s="2169">
        <v>5</v>
      </c>
      <c r="M629" s="2169">
        <v>6</v>
      </c>
      <c r="N629" s="2169">
        <v>7</v>
      </c>
      <c r="O629" s="2169">
        <v>8</v>
      </c>
      <c r="P629" s="2169">
        <v>9</v>
      </c>
      <c r="Q629" s="2169">
        <v>10</v>
      </c>
      <c r="R629" s="2170"/>
      <c r="S629" s="263" t="str">
        <f>B629</f>
        <v>Included in Mgt Fee:</v>
      </c>
      <c r="JW629" s="1441"/>
      <c r="KB629" s="1441"/>
      <c r="KG629" s="1441"/>
      <c r="KL629" s="1441"/>
      <c r="KM629" s="1441"/>
      <c r="KN629" s="1441"/>
      <c r="KO629" s="1441"/>
      <c r="KP629" s="1441"/>
      <c r="KQ629" s="1441"/>
      <c r="KR629" s="1441"/>
      <c r="KS629" s="1441"/>
      <c r="KT629" s="1441"/>
      <c r="KU629" s="1441"/>
      <c r="KV629" s="1441"/>
      <c r="KW629" s="1441"/>
      <c r="KX629" s="1441"/>
      <c r="KY629" s="1441"/>
      <c r="KZ629" s="1441"/>
      <c r="LA629" s="1441"/>
      <c r="LB629" s="1441"/>
      <c r="LC629" s="1441"/>
      <c r="LD629" s="1441"/>
      <c r="LE629" s="1441"/>
      <c r="LF629" s="1441"/>
      <c r="LG629" s="1441"/>
      <c r="LN629" s="265"/>
      <c r="MD629" s="265"/>
      <c r="ME629" s="265"/>
      <c r="NP629" s="263"/>
    </row>
    <row r="630" spans="2:380" ht="15.6" customHeight="1">
      <c r="B630" s="1222" t="s">
        <v>1229</v>
      </c>
      <c r="C630" s="1222"/>
      <c r="D630" s="1222"/>
      <c r="E630" s="1222"/>
      <c r="F630" s="1222"/>
      <c r="H630" s="2398">
        <f>'Part V-Revenues &amp; Expenses'!H183</f>
        <v>0</v>
      </c>
      <c r="I630" s="2398">
        <f>'Part V-Revenues &amp; Expenses'!I183</f>
        <v>0</v>
      </c>
      <c r="J630" s="2398">
        <f>'Part V-Revenues &amp; Expenses'!J183</f>
        <v>0</v>
      </c>
      <c r="K630" s="2398">
        <f>'Part V-Revenues &amp; Expenses'!K183</f>
        <v>0</v>
      </c>
      <c r="L630" s="2398">
        <f>'Part V-Revenues &amp; Expenses'!L183</f>
        <v>0</v>
      </c>
      <c r="M630" s="2398">
        <f>'Part V-Revenues &amp; Expenses'!M183</f>
        <v>0</v>
      </c>
      <c r="N630" s="2398">
        <f>'Part V-Revenues &amp; Expenses'!N183</f>
        <v>0</v>
      </c>
      <c r="O630" s="2398">
        <f>'Part V-Revenues &amp; Expenses'!O183</f>
        <v>0</v>
      </c>
      <c r="P630" s="2398">
        <f>'Part V-Revenues &amp; Expenses'!P183</f>
        <v>0</v>
      </c>
      <c r="Q630" s="2398">
        <f>'Part V-Revenues &amp; Expenses'!Q183</f>
        <v>0</v>
      </c>
      <c r="R630" s="2392"/>
      <c r="S630" s="2358"/>
      <c r="T630" s="2358"/>
      <c r="U630" s="2358"/>
      <c r="V630" s="2358"/>
      <c r="W630" s="2358"/>
      <c r="JW630" s="1441"/>
      <c r="KB630" s="1441"/>
      <c r="KG630" s="1441"/>
      <c r="KL630" s="1441"/>
      <c r="KM630" s="1441"/>
      <c r="KN630" s="1441"/>
      <c r="KO630" s="1441"/>
      <c r="KP630" s="1441"/>
      <c r="KQ630" s="1441"/>
      <c r="KR630" s="1441"/>
      <c r="KS630" s="1441"/>
      <c r="KT630" s="1441"/>
      <c r="KU630" s="1441"/>
      <c r="KV630" s="1441"/>
      <c r="KW630" s="1441"/>
      <c r="KX630" s="1441"/>
      <c r="KY630" s="1441"/>
      <c r="KZ630" s="1441"/>
      <c r="LA630" s="1441"/>
      <c r="LB630" s="1441"/>
      <c r="LC630" s="1441"/>
      <c r="LD630" s="1441"/>
      <c r="LE630" s="1441"/>
      <c r="LF630" s="1441"/>
      <c r="LG630" s="1441"/>
      <c r="LN630" s="265"/>
      <c r="MD630" s="265"/>
      <c r="ME630" s="265"/>
    </row>
    <row r="631" spans="2:380" ht="15.6" customHeight="1">
      <c r="B631" s="1222" t="s">
        <v>440</v>
      </c>
      <c r="C631" s="1222">
        <f>'Part V-Revenues &amp; Expenses'!C184</f>
        <v>0</v>
      </c>
      <c r="D631" s="1222"/>
      <c r="E631" s="1222"/>
      <c r="F631" s="1222"/>
      <c r="H631" s="2398">
        <f>'Part V-Revenues &amp; Expenses'!H184</f>
        <v>0</v>
      </c>
      <c r="I631" s="2398">
        <f>'Part V-Revenues &amp; Expenses'!I184</f>
        <v>0</v>
      </c>
      <c r="J631" s="2398">
        <f>'Part V-Revenues &amp; Expenses'!J184</f>
        <v>0</v>
      </c>
      <c r="K631" s="2398">
        <f>'Part V-Revenues &amp; Expenses'!K184</f>
        <v>0</v>
      </c>
      <c r="L631" s="2398">
        <f>'Part V-Revenues &amp; Expenses'!L184</f>
        <v>0</v>
      </c>
      <c r="M631" s="2398">
        <f>'Part V-Revenues &amp; Expenses'!M184</f>
        <v>0</v>
      </c>
      <c r="N631" s="2398">
        <f>'Part V-Revenues &amp; Expenses'!N184</f>
        <v>0</v>
      </c>
      <c r="O631" s="2398">
        <f>'Part V-Revenues &amp; Expenses'!O184</f>
        <v>0</v>
      </c>
      <c r="P631" s="2398">
        <f>'Part V-Revenues &amp; Expenses'!P184</f>
        <v>0</v>
      </c>
      <c r="Q631" s="2398">
        <f>'Part V-Revenues &amp; Expenses'!Q184</f>
        <v>0</v>
      </c>
      <c r="R631" s="2392"/>
      <c r="S631" s="2358"/>
      <c r="T631" s="2358"/>
      <c r="U631" s="2358"/>
      <c r="V631" s="2358"/>
      <c r="W631" s="2358"/>
      <c r="JW631" s="1441"/>
      <c r="KB631" s="1441"/>
      <c r="KG631" s="1441"/>
      <c r="KL631" s="1441"/>
      <c r="KM631" s="1441"/>
      <c r="KN631" s="1441"/>
      <c r="KO631" s="1441"/>
      <c r="KP631" s="1441"/>
      <c r="KQ631" s="1441"/>
      <c r="KR631" s="1441"/>
      <c r="KS631" s="1441"/>
      <c r="KT631" s="1441"/>
      <c r="KU631" s="1441"/>
      <c r="KV631" s="1441"/>
      <c r="KW631" s="1441"/>
      <c r="KX631" s="1441"/>
      <c r="KY631" s="1441"/>
      <c r="KZ631" s="1441"/>
      <c r="LA631" s="1441"/>
      <c r="LB631" s="1441"/>
      <c r="LC631" s="1441"/>
      <c r="LD631" s="1441"/>
      <c r="LE631" s="1441"/>
      <c r="LF631" s="1441"/>
      <c r="LG631" s="1441"/>
      <c r="LN631" s="265"/>
      <c r="MD631" s="265"/>
      <c r="ME631" s="265"/>
    </row>
    <row r="632" spans="2:380" ht="15.6" customHeight="1">
      <c r="B632" s="1222"/>
      <c r="C632" s="1222" t="s">
        <v>1230</v>
      </c>
      <c r="D632" s="1222"/>
      <c r="E632" s="1222"/>
      <c r="F632" s="1222"/>
      <c r="H632" s="2171">
        <f>SUM(H630:H631)</f>
        <v>0</v>
      </c>
      <c r="I632" s="2171">
        <f>SUM(I630:I631)</f>
        <v>0</v>
      </c>
      <c r="J632" s="2171">
        <f t="shared" ref="J632:Q632" si="370">SUM(J630:J631)</f>
        <v>0</v>
      </c>
      <c r="K632" s="2171">
        <f t="shared" si="370"/>
        <v>0</v>
      </c>
      <c r="L632" s="2171">
        <f t="shared" si="370"/>
        <v>0</v>
      </c>
      <c r="M632" s="2171">
        <f t="shared" si="370"/>
        <v>0</v>
      </c>
      <c r="N632" s="2171">
        <f t="shared" si="370"/>
        <v>0</v>
      </c>
      <c r="O632" s="2171">
        <f t="shared" si="370"/>
        <v>0</v>
      </c>
      <c r="P632" s="2171">
        <f t="shared" si="370"/>
        <v>0</v>
      </c>
      <c r="Q632" s="2171">
        <f t="shared" si="370"/>
        <v>0</v>
      </c>
      <c r="R632" s="267"/>
      <c r="S632" s="2358"/>
      <c r="T632" s="2358"/>
      <c r="U632" s="2358"/>
      <c r="V632" s="2358"/>
      <c r="W632" s="2358"/>
      <c r="JW632" s="1441"/>
      <c r="KB632" s="1441"/>
      <c r="KG632" s="1441"/>
      <c r="KL632" s="1441"/>
      <c r="KM632" s="1441"/>
      <c r="KN632" s="1441"/>
      <c r="KO632" s="1441"/>
      <c r="KP632" s="1441"/>
      <c r="KQ632" s="1441"/>
      <c r="KR632" s="1441"/>
      <c r="KS632" s="1441"/>
      <c r="KT632" s="1441"/>
      <c r="KU632" s="1441"/>
      <c r="KV632" s="1441"/>
      <c r="KW632" s="1441"/>
      <c r="KX632" s="1441"/>
      <c r="KY632" s="1441"/>
      <c r="KZ632" s="1441"/>
      <c r="LA632" s="1441"/>
      <c r="LB632" s="1441"/>
      <c r="LC632" s="1441"/>
      <c r="LD632" s="1441"/>
      <c r="LE632" s="1441"/>
      <c r="LF632" s="1441"/>
      <c r="LG632" s="1441"/>
      <c r="LN632" s="265"/>
      <c r="MD632" s="265"/>
      <c r="ME632" s="265"/>
      <c r="NP632" s="263"/>
    </row>
    <row r="633" spans="2:380" ht="15.6" customHeight="1">
      <c r="B633" s="2397" t="s">
        <v>7002</v>
      </c>
      <c r="C633" s="264"/>
      <c r="D633" s="264"/>
      <c r="E633" s="264"/>
      <c r="F633" s="264"/>
      <c r="H633" s="2399"/>
      <c r="I633" s="264"/>
      <c r="J633" s="264"/>
      <c r="K633" s="264"/>
      <c r="L633" s="264"/>
      <c r="M633" s="264"/>
      <c r="N633" s="264"/>
      <c r="O633" s="264"/>
      <c r="P633" s="264"/>
      <c r="Q633" s="264"/>
      <c r="S633" s="263" t="str">
        <f>B633</f>
        <v>NOT Included in Mgt Fee:</v>
      </c>
      <c r="JW633" s="1441"/>
      <c r="KB633" s="1441"/>
      <c r="KG633" s="1441"/>
      <c r="KL633" s="1441"/>
      <c r="KM633" s="1441"/>
      <c r="KN633" s="1441"/>
      <c r="KO633" s="1441"/>
      <c r="KP633" s="1441"/>
      <c r="KQ633" s="1441"/>
      <c r="KR633" s="1441"/>
      <c r="KS633" s="1441"/>
      <c r="KT633" s="1441"/>
      <c r="KU633" s="1441"/>
      <c r="KV633" s="1441"/>
      <c r="KW633" s="1441"/>
      <c r="KX633" s="1441"/>
      <c r="KY633" s="1441"/>
      <c r="KZ633" s="1441"/>
      <c r="LA633" s="1441"/>
      <c r="LB633" s="1441"/>
      <c r="LC633" s="1441"/>
      <c r="LD633" s="1441"/>
      <c r="LE633" s="1441"/>
      <c r="LF633" s="1441"/>
      <c r="LG633" s="1441"/>
      <c r="LN633" s="265"/>
      <c r="MD633" s="265"/>
      <c r="ME633" s="265"/>
    </row>
    <row r="634" spans="2:380" ht="15.6" customHeight="1">
      <c r="B634" s="1222" t="s">
        <v>1232</v>
      </c>
      <c r="C634" s="1222"/>
      <c r="D634" s="1222"/>
      <c r="E634" s="1222"/>
      <c r="F634" s="1222"/>
      <c r="H634" s="2398">
        <f>'Part V-Revenues &amp; Expenses'!H187</f>
        <v>0</v>
      </c>
      <c r="I634" s="2398">
        <f>'Part V-Revenues &amp; Expenses'!I187</f>
        <v>0</v>
      </c>
      <c r="J634" s="2398">
        <f>'Part V-Revenues &amp; Expenses'!J187</f>
        <v>0</v>
      </c>
      <c r="K634" s="2398">
        <f>'Part V-Revenues &amp; Expenses'!K187</f>
        <v>0</v>
      </c>
      <c r="L634" s="2398">
        <f>'Part V-Revenues &amp; Expenses'!L187</f>
        <v>0</v>
      </c>
      <c r="M634" s="2398">
        <f>'Part V-Revenues &amp; Expenses'!M187</f>
        <v>0</v>
      </c>
      <c r="N634" s="2398">
        <f>'Part V-Revenues &amp; Expenses'!N187</f>
        <v>0</v>
      </c>
      <c r="O634" s="2398">
        <f>'Part V-Revenues &amp; Expenses'!O187</f>
        <v>0</v>
      </c>
      <c r="P634" s="2398">
        <f>'Part V-Revenues &amp; Expenses'!P187</f>
        <v>0</v>
      </c>
      <c r="Q634" s="2398">
        <f>'Part V-Revenues &amp; Expenses'!Q187</f>
        <v>0</v>
      </c>
      <c r="R634" s="2392"/>
      <c r="S634" s="2358"/>
      <c r="T634" s="2358"/>
      <c r="U634" s="2358"/>
      <c r="V634" s="2358"/>
      <c r="W634" s="2358"/>
      <c r="JW634" s="1441"/>
      <c r="KB634" s="1441"/>
      <c r="KG634" s="1441"/>
      <c r="KL634" s="1441"/>
      <c r="KM634" s="1441"/>
      <c r="KN634" s="1441"/>
      <c r="KO634" s="1441"/>
      <c r="KP634" s="1441"/>
      <c r="KQ634" s="1441"/>
      <c r="KR634" s="1441"/>
      <c r="KS634" s="1441"/>
      <c r="KT634" s="1441"/>
      <c r="KU634" s="1441"/>
      <c r="KV634" s="1441"/>
      <c r="KW634" s="1441"/>
      <c r="KX634" s="1441"/>
      <c r="KY634" s="1441"/>
      <c r="KZ634" s="1441"/>
      <c r="LA634" s="1441"/>
      <c r="LB634" s="1441"/>
      <c r="LC634" s="1441"/>
      <c r="LD634" s="1441"/>
      <c r="LE634" s="1441"/>
      <c r="LF634" s="1441"/>
      <c r="LG634" s="1441"/>
      <c r="LN634" s="265"/>
      <c r="MD634" s="265"/>
      <c r="ME634" s="265"/>
    </row>
    <row r="635" spans="2:380" ht="15.6" customHeight="1">
      <c r="B635" s="1222" t="s">
        <v>440</v>
      </c>
      <c r="C635" s="1222">
        <f>'Part V-Revenues &amp; Expenses'!C188</f>
        <v>0</v>
      </c>
      <c r="D635" s="1222"/>
      <c r="E635" s="1222"/>
      <c r="F635" s="1222"/>
      <c r="H635" s="2398">
        <f>'Part V-Revenues &amp; Expenses'!H188</f>
        <v>0</v>
      </c>
      <c r="I635" s="2398">
        <f>'Part V-Revenues &amp; Expenses'!I188</f>
        <v>0</v>
      </c>
      <c r="J635" s="2398">
        <f>'Part V-Revenues &amp; Expenses'!J188</f>
        <v>0</v>
      </c>
      <c r="K635" s="2398">
        <f>'Part V-Revenues &amp; Expenses'!K188</f>
        <v>0</v>
      </c>
      <c r="L635" s="2398">
        <f>'Part V-Revenues &amp; Expenses'!L188</f>
        <v>0</v>
      </c>
      <c r="M635" s="2398">
        <f>'Part V-Revenues &amp; Expenses'!M188</f>
        <v>0</v>
      </c>
      <c r="N635" s="2398">
        <f>'Part V-Revenues &amp; Expenses'!N188</f>
        <v>0</v>
      </c>
      <c r="O635" s="2398">
        <f>'Part V-Revenues &amp; Expenses'!O188</f>
        <v>0</v>
      </c>
      <c r="P635" s="2398">
        <f>'Part V-Revenues &amp; Expenses'!P188</f>
        <v>0</v>
      </c>
      <c r="Q635" s="2398">
        <f>'Part V-Revenues &amp; Expenses'!Q188</f>
        <v>0</v>
      </c>
      <c r="R635" s="2392"/>
      <c r="S635" s="2358"/>
      <c r="T635" s="2358"/>
      <c r="U635" s="2358"/>
      <c r="V635" s="2358"/>
      <c r="W635" s="2358"/>
      <c r="JW635" s="1441"/>
      <c r="KB635" s="1441"/>
      <c r="KG635" s="1441"/>
      <c r="KL635" s="1441"/>
      <c r="KM635" s="1441"/>
      <c r="KN635" s="1441"/>
      <c r="KO635" s="1441"/>
      <c r="KP635" s="1441"/>
      <c r="KQ635" s="1441"/>
      <c r="KR635" s="1441"/>
      <c r="KS635" s="1441"/>
      <c r="KT635" s="1441"/>
      <c r="KU635" s="1441"/>
      <c r="KV635" s="1441"/>
      <c r="KW635" s="1441"/>
      <c r="KX635" s="1441"/>
      <c r="KY635" s="1441"/>
      <c r="KZ635" s="1441"/>
      <c r="LA635" s="1441"/>
      <c r="LB635" s="1441"/>
      <c r="LC635" s="1441"/>
      <c r="LD635" s="1441"/>
      <c r="LE635" s="1441"/>
      <c r="LF635" s="1441"/>
      <c r="LG635" s="1441"/>
      <c r="LN635" s="265"/>
      <c r="MD635" s="265"/>
      <c r="ME635" s="265"/>
    </row>
    <row r="636" spans="2:380" ht="15.6" customHeight="1">
      <c r="B636" s="1222"/>
      <c r="C636" s="1222" t="s">
        <v>7003</v>
      </c>
      <c r="D636" s="1222"/>
      <c r="E636" s="1222"/>
      <c r="F636" s="1222"/>
      <c r="H636" s="2171">
        <f>SUM(H634:H635)</f>
        <v>0</v>
      </c>
      <c r="I636" s="2171">
        <f>SUM(I634:I635)</f>
        <v>0</v>
      </c>
      <c r="J636" s="2171">
        <f t="shared" ref="J636:Q636" si="371">SUM(J634:J635)</f>
        <v>0</v>
      </c>
      <c r="K636" s="2171">
        <f t="shared" si="371"/>
        <v>0</v>
      </c>
      <c r="L636" s="2171">
        <f t="shared" si="371"/>
        <v>0</v>
      </c>
      <c r="M636" s="2171">
        <f t="shared" si="371"/>
        <v>0</v>
      </c>
      <c r="N636" s="2171">
        <f t="shared" si="371"/>
        <v>0</v>
      </c>
      <c r="O636" s="2171">
        <f t="shared" si="371"/>
        <v>0</v>
      </c>
      <c r="P636" s="2171">
        <f t="shared" si="371"/>
        <v>0</v>
      </c>
      <c r="Q636" s="2171">
        <f t="shared" si="371"/>
        <v>0</v>
      </c>
      <c r="R636" s="267"/>
      <c r="S636" s="2358"/>
      <c r="T636" s="2358"/>
      <c r="U636" s="2358"/>
      <c r="V636" s="2358"/>
      <c r="W636" s="2358"/>
      <c r="JW636" s="1441"/>
      <c r="KB636" s="1441"/>
      <c r="KG636" s="1441"/>
      <c r="KL636" s="1441"/>
      <c r="KM636" s="1441"/>
      <c r="KN636" s="1441"/>
      <c r="KO636" s="1441"/>
      <c r="KP636" s="1441"/>
      <c r="KQ636" s="1441"/>
      <c r="KR636" s="1441"/>
      <c r="KS636" s="1441"/>
      <c r="KT636" s="1441"/>
      <c r="KU636" s="1441"/>
      <c r="KV636" s="1441"/>
      <c r="KW636" s="1441"/>
      <c r="KX636" s="1441"/>
      <c r="KY636" s="1441"/>
      <c r="KZ636" s="1441"/>
      <c r="LA636" s="1441"/>
      <c r="LB636" s="1441"/>
      <c r="LC636" s="1441"/>
      <c r="LD636" s="1441"/>
      <c r="LE636" s="1441"/>
      <c r="LF636" s="1441"/>
      <c r="LG636" s="1441"/>
      <c r="LN636" s="265"/>
      <c r="MD636" s="265"/>
      <c r="ME636" s="265"/>
    </row>
    <row r="637" spans="2:380" ht="15.6" customHeight="1">
      <c r="B637" s="2355"/>
      <c r="C637" s="264"/>
      <c r="D637" s="264"/>
      <c r="E637" s="264"/>
      <c r="F637" s="264"/>
      <c r="H637" s="2399"/>
      <c r="I637" s="264"/>
      <c r="J637" s="264"/>
      <c r="K637" s="264"/>
      <c r="L637" s="264"/>
      <c r="M637" s="264"/>
      <c r="N637" s="264"/>
      <c r="O637" s="264"/>
      <c r="P637" s="264"/>
      <c r="Q637" s="264"/>
      <c r="JW637" s="1441"/>
      <c r="KB637" s="1441"/>
      <c r="KG637" s="1441"/>
      <c r="KL637" s="1441"/>
      <c r="KM637" s="1441"/>
      <c r="KN637" s="1441"/>
      <c r="KO637" s="1441"/>
      <c r="KP637" s="1441"/>
      <c r="KQ637" s="1441"/>
      <c r="KR637" s="1441"/>
      <c r="KS637" s="1441"/>
      <c r="KT637" s="1441"/>
      <c r="KU637" s="1441"/>
      <c r="KV637" s="1441"/>
      <c r="KW637" s="1441"/>
      <c r="KX637" s="1441"/>
      <c r="KY637" s="1441"/>
      <c r="KZ637" s="1441"/>
      <c r="LA637" s="1441"/>
      <c r="LB637" s="1441"/>
      <c r="LC637" s="1441"/>
      <c r="LD637" s="1441"/>
      <c r="LE637" s="1441"/>
      <c r="LF637" s="1441"/>
      <c r="LG637" s="1441"/>
      <c r="LN637" s="265"/>
      <c r="MD637" s="265"/>
      <c r="ME637" s="265"/>
    </row>
    <row r="638" spans="2:380" ht="15.6" customHeight="1">
      <c r="B638" s="2397" t="s">
        <v>1228</v>
      </c>
      <c r="C638" s="264"/>
      <c r="D638" s="264"/>
      <c r="E638" s="264"/>
      <c r="F638" s="264"/>
      <c r="H638" s="2169">
        <v>11</v>
      </c>
      <c r="I638" s="2169">
        <v>12</v>
      </c>
      <c r="J638" s="2169">
        <v>13</v>
      </c>
      <c r="K638" s="2169">
        <v>14</v>
      </c>
      <c r="L638" s="2169">
        <v>15</v>
      </c>
      <c r="M638" s="2169">
        <v>16</v>
      </c>
      <c r="N638" s="2169">
        <v>17</v>
      </c>
      <c r="O638" s="2169">
        <v>18</v>
      </c>
      <c r="P638" s="2169">
        <v>19</v>
      </c>
      <c r="Q638" s="2169">
        <v>20</v>
      </c>
      <c r="S638" s="2360" t="s">
        <v>1234</v>
      </c>
      <c r="T638" s="263" t="str">
        <f>B638</f>
        <v>Included in Mgt Fee:</v>
      </c>
      <c r="JW638" s="1441"/>
      <c r="KB638" s="1441"/>
      <c r="KG638" s="1441"/>
      <c r="KL638" s="1441"/>
      <c r="KM638" s="1441"/>
      <c r="KN638" s="1441"/>
      <c r="KO638" s="1441"/>
      <c r="KP638" s="1441"/>
      <c r="KQ638" s="1441"/>
      <c r="KR638" s="1441"/>
      <c r="KS638" s="1441"/>
      <c r="KT638" s="1441"/>
      <c r="KU638" s="1441"/>
      <c r="KV638" s="1441"/>
      <c r="KW638" s="1441"/>
      <c r="KX638" s="1441"/>
      <c r="KY638" s="1441"/>
      <c r="KZ638" s="1441"/>
      <c r="LA638" s="1441"/>
      <c r="LB638" s="1441"/>
      <c r="LC638" s="1441"/>
      <c r="LD638" s="1441"/>
      <c r="LE638" s="1441"/>
      <c r="LF638" s="1441"/>
      <c r="LG638" s="1441"/>
      <c r="LN638" s="265"/>
      <c r="MD638" s="265"/>
      <c r="ME638" s="265"/>
    </row>
    <row r="639" spans="2:380" ht="15.6" customHeight="1">
      <c r="B639" s="1222" t="s">
        <v>1229</v>
      </c>
      <c r="C639" s="1222"/>
      <c r="D639" s="1222"/>
      <c r="E639" s="1222"/>
      <c r="F639" s="1222"/>
      <c r="H639" s="2398">
        <f>'Part V-Revenues &amp; Expenses'!H192</f>
        <v>0</v>
      </c>
      <c r="I639" s="2398">
        <f>'Part V-Revenues &amp; Expenses'!I192</f>
        <v>0</v>
      </c>
      <c r="J639" s="2398">
        <f>'Part V-Revenues &amp; Expenses'!J192</f>
        <v>0</v>
      </c>
      <c r="K639" s="2398">
        <f>'Part V-Revenues &amp; Expenses'!K192</f>
        <v>0</v>
      </c>
      <c r="L639" s="2398">
        <f>'Part V-Revenues &amp; Expenses'!L192</f>
        <v>0</v>
      </c>
      <c r="M639" s="2398">
        <f>'Part V-Revenues &amp; Expenses'!M192</f>
        <v>0</v>
      </c>
      <c r="N639" s="2398">
        <f>'Part V-Revenues &amp; Expenses'!N192</f>
        <v>0</v>
      </c>
      <c r="O639" s="2398">
        <f>'Part V-Revenues &amp; Expenses'!O192</f>
        <v>0</v>
      </c>
      <c r="P639" s="2398">
        <f>'Part V-Revenues &amp; Expenses'!P192</f>
        <v>0</v>
      </c>
      <c r="Q639" s="2398">
        <f>'Part V-Revenues &amp; Expenses'!Q192</f>
        <v>0</v>
      </c>
      <c r="R639" s="2392"/>
      <c r="S639" s="2358"/>
      <c r="T639" s="2358"/>
      <c r="U639" s="2358"/>
      <c r="V639" s="2358"/>
      <c r="W639" s="2358"/>
    </row>
    <row r="640" spans="2:380" ht="15.6" customHeight="1">
      <c r="B640" s="1222" t="s">
        <v>440</v>
      </c>
      <c r="C640" s="1222">
        <f>'Part V-Revenues &amp; Expenses'!C193</f>
        <v>0</v>
      </c>
      <c r="D640" s="1222"/>
      <c r="E640" s="1222"/>
      <c r="F640" s="1222"/>
      <c r="H640" s="2398">
        <f>'Part V-Revenues &amp; Expenses'!H193</f>
        <v>0</v>
      </c>
      <c r="I640" s="2398">
        <f>'Part V-Revenues &amp; Expenses'!I193</f>
        <v>0</v>
      </c>
      <c r="J640" s="2398">
        <f>'Part V-Revenues &amp; Expenses'!J193</f>
        <v>0</v>
      </c>
      <c r="K640" s="2398">
        <f>'Part V-Revenues &amp; Expenses'!K193</f>
        <v>0</v>
      </c>
      <c r="L640" s="2398">
        <f>'Part V-Revenues &amp; Expenses'!L193</f>
        <v>0</v>
      </c>
      <c r="M640" s="2398">
        <f>'Part V-Revenues &amp; Expenses'!M193</f>
        <v>0</v>
      </c>
      <c r="N640" s="2398">
        <f>'Part V-Revenues &amp; Expenses'!N193</f>
        <v>0</v>
      </c>
      <c r="O640" s="2398">
        <f>'Part V-Revenues &amp; Expenses'!O193</f>
        <v>0</v>
      </c>
      <c r="P640" s="2398">
        <f>'Part V-Revenues &amp; Expenses'!P193</f>
        <v>0</v>
      </c>
      <c r="Q640" s="2398">
        <f>'Part V-Revenues &amp; Expenses'!Q193</f>
        <v>0</v>
      </c>
      <c r="R640" s="2392"/>
      <c r="S640" s="2358"/>
      <c r="T640" s="2358"/>
      <c r="U640" s="2358"/>
      <c r="V640" s="2358"/>
      <c r="W640" s="2358"/>
    </row>
    <row r="641" spans="2:343" ht="15.6" customHeight="1">
      <c r="B641" s="1222"/>
      <c r="C641" s="1222" t="s">
        <v>1230</v>
      </c>
      <c r="D641" s="1222"/>
      <c r="E641" s="1222"/>
      <c r="F641" s="1222"/>
      <c r="H641" s="2171">
        <f>SUM(H639:H640)</f>
        <v>0</v>
      </c>
      <c r="I641" s="2171">
        <f>SUM(I639:I640)</f>
        <v>0</v>
      </c>
      <c r="J641" s="2171">
        <f t="shared" ref="J641:Q641" si="372">SUM(J639:J640)</f>
        <v>0</v>
      </c>
      <c r="K641" s="2171">
        <f t="shared" si="372"/>
        <v>0</v>
      </c>
      <c r="L641" s="2171">
        <f t="shared" si="372"/>
        <v>0</v>
      </c>
      <c r="M641" s="2171">
        <f t="shared" si="372"/>
        <v>0</v>
      </c>
      <c r="N641" s="2171">
        <f t="shared" si="372"/>
        <v>0</v>
      </c>
      <c r="O641" s="2171">
        <f t="shared" si="372"/>
        <v>0</v>
      </c>
      <c r="P641" s="2171">
        <f t="shared" si="372"/>
        <v>0</v>
      </c>
      <c r="Q641" s="2171">
        <f t="shared" si="372"/>
        <v>0</v>
      </c>
      <c r="R641" s="267"/>
      <c r="S641" s="2358"/>
      <c r="T641" s="2358"/>
      <c r="U641" s="2358"/>
      <c r="V641" s="2358"/>
      <c r="W641" s="2358"/>
    </row>
    <row r="642" spans="2:343" ht="15.6" customHeight="1">
      <c r="B642" s="2397" t="s">
        <v>7002</v>
      </c>
      <c r="C642" s="264"/>
      <c r="D642" s="264"/>
      <c r="E642" s="264"/>
      <c r="F642" s="264"/>
      <c r="H642" s="2399"/>
      <c r="I642" s="264"/>
      <c r="J642" s="264"/>
      <c r="K642" s="264"/>
      <c r="L642" s="264"/>
      <c r="M642" s="264"/>
      <c r="N642" s="264"/>
      <c r="O642" s="264"/>
      <c r="P642" s="264"/>
      <c r="Q642" s="264"/>
      <c r="S642" s="263" t="str">
        <f>B642</f>
        <v>NOT Included in Mgt Fee:</v>
      </c>
    </row>
    <row r="643" spans="2:343" ht="15.6" customHeight="1">
      <c r="B643" s="1222" t="s">
        <v>1232</v>
      </c>
      <c r="C643" s="1222"/>
      <c r="D643" s="1222"/>
      <c r="E643" s="1222"/>
      <c r="F643" s="1222"/>
      <c r="H643" s="2398">
        <f>'Part V-Revenues &amp; Expenses'!H196</f>
        <v>0</v>
      </c>
      <c r="I643" s="2398">
        <f>'Part V-Revenues &amp; Expenses'!I196</f>
        <v>0</v>
      </c>
      <c r="J643" s="2398">
        <f>'Part V-Revenues &amp; Expenses'!J196</f>
        <v>0</v>
      </c>
      <c r="K643" s="2398">
        <f>'Part V-Revenues &amp; Expenses'!K196</f>
        <v>0</v>
      </c>
      <c r="L643" s="2398">
        <f>'Part V-Revenues &amp; Expenses'!L196</f>
        <v>0</v>
      </c>
      <c r="M643" s="2398">
        <f>'Part V-Revenues &amp; Expenses'!M196</f>
        <v>0</v>
      </c>
      <c r="N643" s="2398">
        <f>'Part V-Revenues &amp; Expenses'!N196</f>
        <v>0</v>
      </c>
      <c r="O643" s="2398">
        <f>'Part V-Revenues &amp; Expenses'!O196</f>
        <v>0</v>
      </c>
      <c r="P643" s="2398">
        <f>'Part V-Revenues &amp; Expenses'!P196</f>
        <v>0</v>
      </c>
      <c r="Q643" s="2398">
        <f>'Part V-Revenues &amp; Expenses'!Q196</f>
        <v>0</v>
      </c>
      <c r="R643" s="2392"/>
      <c r="S643" s="2358"/>
      <c r="T643" s="2358"/>
      <c r="U643" s="2358"/>
      <c r="V643" s="2358"/>
      <c r="W643" s="2358"/>
    </row>
    <row r="644" spans="2:343" ht="15.6" customHeight="1">
      <c r="B644" s="1222" t="s">
        <v>440</v>
      </c>
      <c r="C644" s="1222">
        <f>'Part V-Revenues &amp; Expenses'!C197</f>
        <v>0</v>
      </c>
      <c r="D644" s="1222"/>
      <c r="E644" s="1222"/>
      <c r="F644" s="1222"/>
      <c r="H644" s="2398">
        <f>'Part V-Revenues &amp; Expenses'!H197</f>
        <v>0</v>
      </c>
      <c r="I644" s="2398">
        <f>'Part V-Revenues &amp; Expenses'!I197</f>
        <v>0</v>
      </c>
      <c r="J644" s="2398">
        <f>'Part V-Revenues &amp; Expenses'!J197</f>
        <v>0</v>
      </c>
      <c r="K644" s="2398">
        <f>'Part V-Revenues &amp; Expenses'!K197</f>
        <v>0</v>
      </c>
      <c r="L644" s="2398">
        <f>'Part V-Revenues &amp; Expenses'!L197</f>
        <v>0</v>
      </c>
      <c r="M644" s="2398">
        <f>'Part V-Revenues &amp; Expenses'!M197</f>
        <v>0</v>
      </c>
      <c r="N644" s="2398">
        <f>'Part V-Revenues &amp; Expenses'!N197</f>
        <v>0</v>
      </c>
      <c r="O644" s="2398">
        <f>'Part V-Revenues &amp; Expenses'!O197</f>
        <v>0</v>
      </c>
      <c r="P644" s="2398">
        <f>'Part V-Revenues &amp; Expenses'!P197</f>
        <v>0</v>
      </c>
      <c r="Q644" s="2398">
        <f>'Part V-Revenues &amp; Expenses'!Q197</f>
        <v>0</v>
      </c>
      <c r="R644" s="2392"/>
      <c r="S644" s="2358"/>
      <c r="T644" s="2358"/>
      <c r="U644" s="2358"/>
      <c r="V644" s="2358"/>
      <c r="W644" s="2358"/>
    </row>
    <row r="645" spans="2:343" ht="15.6" customHeight="1">
      <c r="B645" s="1222"/>
      <c r="C645" s="1222" t="s">
        <v>7003</v>
      </c>
      <c r="D645" s="1222"/>
      <c r="E645" s="1222"/>
      <c r="F645" s="1222"/>
      <c r="H645" s="2171">
        <f>SUM(H643:H644)</f>
        <v>0</v>
      </c>
      <c r="I645" s="2171">
        <f>SUM(I643:I644)</f>
        <v>0</v>
      </c>
      <c r="J645" s="2171">
        <f t="shared" ref="J645:Q645" si="373">SUM(J643:J644)</f>
        <v>0</v>
      </c>
      <c r="K645" s="2171">
        <f t="shared" si="373"/>
        <v>0</v>
      </c>
      <c r="L645" s="2171">
        <f t="shared" si="373"/>
        <v>0</v>
      </c>
      <c r="M645" s="2171">
        <f t="shared" si="373"/>
        <v>0</v>
      </c>
      <c r="N645" s="2171">
        <f t="shared" si="373"/>
        <v>0</v>
      </c>
      <c r="O645" s="2171">
        <f t="shared" si="373"/>
        <v>0</v>
      </c>
      <c r="P645" s="2171">
        <f t="shared" si="373"/>
        <v>0</v>
      </c>
      <c r="Q645" s="2171">
        <f t="shared" si="373"/>
        <v>0</v>
      </c>
      <c r="R645" s="267"/>
      <c r="S645" s="2358"/>
      <c r="T645" s="2358"/>
      <c r="U645" s="2358"/>
      <c r="V645" s="2358"/>
      <c r="W645" s="2358"/>
    </row>
    <row r="646" spans="2:343" ht="15.6" customHeight="1">
      <c r="B646" s="2355"/>
      <c r="C646" s="264"/>
      <c r="D646" s="264"/>
      <c r="E646" s="264"/>
      <c r="F646" s="264"/>
      <c r="H646" s="2399"/>
      <c r="I646" s="264"/>
      <c r="J646" s="264"/>
      <c r="K646" s="264"/>
      <c r="L646" s="264"/>
      <c r="M646" s="264"/>
      <c r="N646" s="264"/>
      <c r="O646" s="264"/>
      <c r="P646" s="264"/>
      <c r="Q646" s="264"/>
    </row>
    <row r="647" spans="2:343" ht="15.6" customHeight="1">
      <c r="B647" s="2397" t="s">
        <v>1228</v>
      </c>
      <c r="C647" s="264"/>
      <c r="D647" s="264"/>
      <c r="E647" s="264"/>
      <c r="F647" s="264"/>
      <c r="H647" s="2169">
        <v>21</v>
      </c>
      <c r="I647" s="2169">
        <v>22</v>
      </c>
      <c r="J647" s="2169">
        <v>23</v>
      </c>
      <c r="K647" s="2169">
        <v>24</v>
      </c>
      <c r="L647" s="2169">
        <v>25</v>
      </c>
      <c r="M647" s="2169">
        <v>26</v>
      </c>
      <c r="N647" s="2169">
        <v>27</v>
      </c>
      <c r="O647" s="2169">
        <v>28</v>
      </c>
      <c r="P647" s="2169">
        <v>29</v>
      </c>
      <c r="Q647" s="2169">
        <v>30</v>
      </c>
      <c r="R647" s="2170"/>
      <c r="S647" s="2360" t="s">
        <v>1235</v>
      </c>
      <c r="T647" s="263" t="str">
        <f>B647</f>
        <v>Included in Mgt Fee:</v>
      </c>
    </row>
    <row r="648" spans="2:343" ht="15.6" customHeight="1">
      <c r="B648" s="1222" t="s">
        <v>1229</v>
      </c>
      <c r="C648" s="1222"/>
      <c r="D648" s="1222"/>
      <c r="E648" s="1222"/>
      <c r="F648" s="1222"/>
      <c r="H648" s="2398">
        <f>'Part V-Revenues &amp; Expenses'!H201</f>
        <v>0</v>
      </c>
      <c r="I648" s="2398">
        <f>'Part V-Revenues &amp; Expenses'!I201</f>
        <v>0</v>
      </c>
      <c r="J648" s="2398">
        <f>'Part V-Revenues &amp; Expenses'!J201</f>
        <v>0</v>
      </c>
      <c r="K648" s="2398">
        <f>'Part V-Revenues &amp; Expenses'!K201</f>
        <v>0</v>
      </c>
      <c r="L648" s="2398">
        <f>'Part V-Revenues &amp; Expenses'!L201</f>
        <v>0</v>
      </c>
      <c r="M648" s="2398">
        <f>'Part V-Revenues &amp; Expenses'!M201</f>
        <v>0</v>
      </c>
      <c r="N648" s="2398">
        <f>'Part V-Revenues &amp; Expenses'!N201</f>
        <v>0</v>
      </c>
      <c r="O648" s="2398">
        <f>'Part V-Revenues &amp; Expenses'!O201</f>
        <v>0</v>
      </c>
      <c r="P648" s="2398">
        <f>'Part V-Revenues &amp; Expenses'!P201</f>
        <v>0</v>
      </c>
      <c r="Q648" s="2398">
        <f>'Part V-Revenues &amp; Expenses'!Q201</f>
        <v>0</v>
      </c>
      <c r="R648" s="2392"/>
      <c r="S648" s="2358"/>
      <c r="T648" s="2358"/>
      <c r="U648" s="2358"/>
      <c r="V648" s="2358"/>
      <c r="W648" s="2358"/>
    </row>
    <row r="649" spans="2:343" ht="15.6" customHeight="1">
      <c r="B649" s="1222" t="s">
        <v>440</v>
      </c>
      <c r="C649" s="1222">
        <f>'Part V-Revenues &amp; Expenses'!C202</f>
        <v>0</v>
      </c>
      <c r="D649" s="1222"/>
      <c r="E649" s="1222"/>
      <c r="F649" s="1222"/>
      <c r="H649" s="2398">
        <f>'Part V-Revenues &amp; Expenses'!H202</f>
        <v>0</v>
      </c>
      <c r="I649" s="2398">
        <f>'Part V-Revenues &amp; Expenses'!I202</f>
        <v>0</v>
      </c>
      <c r="J649" s="2398">
        <f>'Part V-Revenues &amp; Expenses'!J202</f>
        <v>0</v>
      </c>
      <c r="K649" s="2398">
        <f>'Part V-Revenues &amp; Expenses'!K202</f>
        <v>0</v>
      </c>
      <c r="L649" s="2398">
        <f>'Part V-Revenues &amp; Expenses'!L202</f>
        <v>0</v>
      </c>
      <c r="M649" s="2398">
        <f>'Part V-Revenues &amp; Expenses'!M202</f>
        <v>0</v>
      </c>
      <c r="N649" s="2398">
        <f>'Part V-Revenues &amp; Expenses'!N202</f>
        <v>0</v>
      </c>
      <c r="O649" s="2398">
        <f>'Part V-Revenues &amp; Expenses'!O202</f>
        <v>0</v>
      </c>
      <c r="P649" s="2398">
        <f>'Part V-Revenues &amp; Expenses'!P202</f>
        <v>0</v>
      </c>
      <c r="Q649" s="2398">
        <f>'Part V-Revenues &amp; Expenses'!Q202</f>
        <v>0</v>
      </c>
      <c r="R649" s="2392"/>
      <c r="S649" s="2358"/>
      <c r="T649" s="2358"/>
      <c r="U649" s="2358"/>
      <c r="V649" s="2358"/>
      <c r="W649" s="2358"/>
    </row>
    <row r="650" spans="2:343" ht="15.6" customHeight="1">
      <c r="B650" s="1222"/>
      <c r="C650" s="1222" t="s">
        <v>1230</v>
      </c>
      <c r="D650" s="1222"/>
      <c r="E650" s="1222"/>
      <c r="F650" s="1222"/>
      <c r="H650" s="2171">
        <f>SUM(H648:H649)</f>
        <v>0</v>
      </c>
      <c r="I650" s="2171">
        <f>SUM(I648:I649)</f>
        <v>0</v>
      </c>
      <c r="J650" s="2171">
        <f t="shared" ref="J650:Q650" si="374">SUM(J648:J649)</f>
        <v>0</v>
      </c>
      <c r="K650" s="2171">
        <f t="shared" si="374"/>
        <v>0</v>
      </c>
      <c r="L650" s="2171">
        <f t="shared" si="374"/>
        <v>0</v>
      </c>
      <c r="M650" s="2171">
        <f t="shared" si="374"/>
        <v>0</v>
      </c>
      <c r="N650" s="2171">
        <f t="shared" si="374"/>
        <v>0</v>
      </c>
      <c r="O650" s="2171">
        <f t="shared" si="374"/>
        <v>0</v>
      </c>
      <c r="P650" s="2171">
        <f t="shared" si="374"/>
        <v>0</v>
      </c>
      <c r="Q650" s="2171">
        <f t="shared" si="374"/>
        <v>0</v>
      </c>
      <c r="R650" s="267"/>
      <c r="S650" s="2358"/>
      <c r="T650" s="2358"/>
      <c r="U650" s="2358"/>
      <c r="V650" s="2358"/>
      <c r="W650" s="2358"/>
    </row>
    <row r="651" spans="2:343" ht="15.6" customHeight="1">
      <c r="B651" s="2397" t="s">
        <v>7002</v>
      </c>
      <c r="C651" s="264"/>
      <c r="D651" s="264"/>
      <c r="E651" s="264"/>
      <c r="F651" s="264"/>
      <c r="H651" s="2399"/>
      <c r="I651" s="264"/>
      <c r="J651" s="264"/>
      <c r="K651" s="264"/>
      <c r="L651" s="264"/>
      <c r="M651" s="264"/>
      <c r="N651" s="264"/>
      <c r="O651" s="264"/>
      <c r="P651" s="264"/>
      <c r="Q651" s="264"/>
      <c r="S651" s="263" t="str">
        <f>B651</f>
        <v>NOT Included in Mgt Fee:</v>
      </c>
    </row>
    <row r="652" spans="2:343" ht="15.6" customHeight="1">
      <c r="B652" s="1222" t="s">
        <v>1232</v>
      </c>
      <c r="C652" s="1222"/>
      <c r="D652" s="1222"/>
      <c r="E652" s="1222"/>
      <c r="F652" s="1222"/>
      <c r="H652" s="2398">
        <f>'Part V-Revenues &amp; Expenses'!H205</f>
        <v>0</v>
      </c>
      <c r="I652" s="2398">
        <f>'Part V-Revenues &amp; Expenses'!I205</f>
        <v>0</v>
      </c>
      <c r="J652" s="2398">
        <f>'Part V-Revenues &amp; Expenses'!J205</f>
        <v>0</v>
      </c>
      <c r="K652" s="2398">
        <f>'Part V-Revenues &amp; Expenses'!K205</f>
        <v>0</v>
      </c>
      <c r="L652" s="2398">
        <f>'Part V-Revenues &amp; Expenses'!L205</f>
        <v>0</v>
      </c>
      <c r="M652" s="2398">
        <f>'Part V-Revenues &amp; Expenses'!M205</f>
        <v>0</v>
      </c>
      <c r="N652" s="2398">
        <f>'Part V-Revenues &amp; Expenses'!N205</f>
        <v>0</v>
      </c>
      <c r="O652" s="2398">
        <f>'Part V-Revenues &amp; Expenses'!O205</f>
        <v>0</v>
      </c>
      <c r="P652" s="2398">
        <f>'Part V-Revenues &amp; Expenses'!P205</f>
        <v>0</v>
      </c>
      <c r="Q652" s="2398">
        <f>'Part V-Revenues &amp; Expenses'!Q205</f>
        <v>0</v>
      </c>
      <c r="R652" s="2392"/>
      <c r="S652" s="2358"/>
      <c r="T652" s="2358"/>
      <c r="U652" s="2358"/>
      <c r="V652" s="2358"/>
      <c r="W652" s="2358"/>
    </row>
    <row r="653" spans="2:343" ht="15.6" customHeight="1">
      <c r="B653" s="1222" t="s">
        <v>440</v>
      </c>
      <c r="C653" s="1222">
        <f>'Part V-Revenues &amp; Expenses'!C206</f>
        <v>0</v>
      </c>
      <c r="D653" s="1222"/>
      <c r="E653" s="1222"/>
      <c r="F653" s="1222"/>
      <c r="H653" s="2398">
        <f>'Part V-Revenues &amp; Expenses'!H206</f>
        <v>0</v>
      </c>
      <c r="I653" s="2398">
        <f>'Part V-Revenues &amp; Expenses'!I206</f>
        <v>0</v>
      </c>
      <c r="J653" s="2398">
        <f>'Part V-Revenues &amp; Expenses'!J206</f>
        <v>0</v>
      </c>
      <c r="K653" s="2398">
        <f>'Part V-Revenues &amp; Expenses'!K206</f>
        <v>0</v>
      </c>
      <c r="L653" s="2398">
        <f>'Part V-Revenues &amp; Expenses'!L206</f>
        <v>0</v>
      </c>
      <c r="M653" s="2398">
        <f>'Part V-Revenues &amp; Expenses'!M206</f>
        <v>0</v>
      </c>
      <c r="N653" s="2398">
        <f>'Part V-Revenues &amp; Expenses'!N206</f>
        <v>0</v>
      </c>
      <c r="O653" s="2398">
        <f>'Part V-Revenues &amp; Expenses'!O206</f>
        <v>0</v>
      </c>
      <c r="P653" s="2398">
        <f>'Part V-Revenues &amp; Expenses'!P206</f>
        <v>0</v>
      </c>
      <c r="Q653" s="2398">
        <f>'Part V-Revenues &amp; Expenses'!Q206</f>
        <v>0</v>
      </c>
      <c r="R653" s="2392"/>
      <c r="S653" s="2358"/>
      <c r="T653" s="2358"/>
      <c r="U653" s="2358"/>
      <c r="V653" s="2358"/>
      <c r="W653" s="2358"/>
    </row>
    <row r="654" spans="2:343" ht="15.6" customHeight="1">
      <c r="B654" s="1222"/>
      <c r="C654" s="1222" t="s">
        <v>7003</v>
      </c>
      <c r="D654" s="1222"/>
      <c r="E654" s="1222"/>
      <c r="F654" s="1222"/>
      <c r="H654" s="2171">
        <f>SUM(H652:H653)</f>
        <v>0</v>
      </c>
      <c r="I654" s="2171">
        <f>SUM(I652:I653)</f>
        <v>0</v>
      </c>
      <c r="J654" s="2171">
        <f t="shared" ref="J654:Q654" si="375">SUM(J652:J653)</f>
        <v>0</v>
      </c>
      <c r="K654" s="2171">
        <f t="shared" si="375"/>
        <v>0</v>
      </c>
      <c r="L654" s="2171">
        <f t="shared" si="375"/>
        <v>0</v>
      </c>
      <c r="M654" s="2171">
        <f t="shared" si="375"/>
        <v>0</v>
      </c>
      <c r="N654" s="2171">
        <f t="shared" si="375"/>
        <v>0</v>
      </c>
      <c r="O654" s="2171">
        <f t="shared" si="375"/>
        <v>0</v>
      </c>
      <c r="P654" s="2171">
        <f t="shared" si="375"/>
        <v>0</v>
      </c>
      <c r="Q654" s="2171">
        <f t="shared" si="375"/>
        <v>0</v>
      </c>
      <c r="R654" s="267"/>
      <c r="S654" s="2358"/>
      <c r="T654" s="2358"/>
      <c r="U654" s="2358"/>
      <c r="V654" s="2358"/>
      <c r="W654" s="2358"/>
    </row>
    <row r="655" spans="2:343" ht="15.6" customHeight="1">
      <c r="B655" s="2355"/>
      <c r="C655" s="264"/>
      <c r="D655" s="264"/>
      <c r="E655" s="264"/>
      <c r="F655" s="264"/>
      <c r="H655" s="2399"/>
      <c r="I655" s="264"/>
      <c r="J655" s="264"/>
      <c r="K655" s="264"/>
      <c r="L655" s="264"/>
      <c r="M655" s="264"/>
      <c r="N655" s="264"/>
      <c r="O655" s="264"/>
      <c r="P655" s="264"/>
      <c r="Q655" s="264"/>
      <c r="JW655" s="1441"/>
      <c r="KB655" s="1441"/>
      <c r="KG655" s="1441"/>
      <c r="KL655" s="1441"/>
      <c r="KM655" s="1441"/>
      <c r="KN655" s="1441"/>
      <c r="KO655" s="1441"/>
      <c r="KP655" s="1441"/>
      <c r="KQ655" s="1441"/>
      <c r="KR655" s="1441"/>
      <c r="KS655" s="1441"/>
      <c r="KT655" s="1441"/>
      <c r="KU655" s="1441"/>
      <c r="KV655" s="1441"/>
      <c r="KW655" s="1441"/>
      <c r="KX655" s="1441"/>
      <c r="KY655" s="1441"/>
      <c r="KZ655" s="1441"/>
      <c r="LA655" s="1441"/>
      <c r="LB655" s="1441"/>
      <c r="LC655" s="1441"/>
      <c r="LD655" s="1441"/>
      <c r="LE655" s="1441"/>
      <c r="LF655" s="1441"/>
      <c r="LG655" s="1441"/>
      <c r="LN655" s="265"/>
      <c r="MD655" s="265"/>
      <c r="ME655" s="265"/>
    </row>
    <row r="656" spans="2:343" ht="15.6" customHeight="1">
      <c r="B656" s="2397" t="s">
        <v>1228</v>
      </c>
      <c r="C656" s="264"/>
      <c r="D656" s="264"/>
      <c r="E656" s="264"/>
      <c r="F656" s="264"/>
      <c r="H656" s="2169">
        <v>31</v>
      </c>
      <c r="I656" s="2169">
        <v>32</v>
      </c>
      <c r="J656" s="2169">
        <v>33</v>
      </c>
      <c r="K656" s="2169">
        <v>34</v>
      </c>
      <c r="L656" s="2169">
        <v>35</v>
      </c>
      <c r="M656" s="264"/>
      <c r="N656" s="264"/>
      <c r="O656" s="264"/>
      <c r="P656" s="264"/>
      <c r="Q656" s="264"/>
      <c r="S656" s="2360" t="s">
        <v>1235</v>
      </c>
      <c r="T656" s="263" t="str">
        <f>B656</f>
        <v>Included in Mgt Fee:</v>
      </c>
      <c r="JW656" s="1441"/>
      <c r="KB656" s="1441"/>
      <c r="KG656" s="1441"/>
      <c r="KL656" s="1441"/>
      <c r="KM656" s="1441"/>
      <c r="KN656" s="1441"/>
      <c r="KO656" s="1441"/>
      <c r="KP656" s="1441"/>
      <c r="KQ656" s="1441"/>
      <c r="KR656" s="1441"/>
      <c r="KS656" s="1441"/>
      <c r="KT656" s="1441"/>
      <c r="KU656" s="1441"/>
      <c r="KV656" s="1441"/>
      <c r="KW656" s="1441"/>
      <c r="KX656" s="1441"/>
      <c r="KY656" s="1441"/>
      <c r="KZ656" s="1441"/>
      <c r="LA656" s="1441"/>
      <c r="LB656" s="1441"/>
      <c r="LC656" s="1441"/>
      <c r="LD656" s="1441"/>
      <c r="LE656" s="1441"/>
      <c r="LF656" s="1441"/>
      <c r="LG656" s="1441"/>
      <c r="LN656" s="265"/>
      <c r="MD656" s="265"/>
      <c r="ME656" s="265"/>
    </row>
    <row r="657" spans="1:380" ht="15.6" customHeight="1">
      <c r="B657" s="1222" t="s">
        <v>1229</v>
      </c>
      <c r="C657" s="1222"/>
      <c r="D657" s="1222"/>
      <c r="E657" s="1222"/>
      <c r="F657" s="1222"/>
      <c r="H657" s="2398">
        <f>'Part V-Revenues &amp; Expenses'!H210</f>
        <v>0</v>
      </c>
      <c r="I657" s="2398">
        <f>'Part V-Revenues &amp; Expenses'!I210</f>
        <v>0</v>
      </c>
      <c r="J657" s="2398">
        <f>'Part V-Revenues &amp; Expenses'!J210</f>
        <v>0</v>
      </c>
      <c r="K657" s="2398">
        <f>'Part V-Revenues &amp; Expenses'!K210</f>
        <v>0</v>
      </c>
      <c r="L657" s="2398">
        <f>'Part V-Revenues &amp; Expenses'!L210</f>
        <v>0</v>
      </c>
      <c r="M657" s="264"/>
      <c r="N657" s="264"/>
      <c r="O657" s="264"/>
      <c r="P657" s="264"/>
      <c r="Q657" s="264"/>
      <c r="S657" s="2358"/>
      <c r="T657" s="2358"/>
      <c r="U657" s="2358"/>
      <c r="V657" s="2358"/>
      <c r="W657" s="2358"/>
      <c r="JW657" s="1441"/>
      <c r="KB657" s="1441"/>
      <c r="KG657" s="1441"/>
      <c r="KL657" s="1441"/>
      <c r="KM657" s="1441"/>
      <c r="KN657" s="1441"/>
      <c r="KO657" s="1441"/>
      <c r="KP657" s="1441"/>
      <c r="KQ657" s="1441"/>
      <c r="KR657" s="1441"/>
      <c r="KS657" s="1441"/>
      <c r="KT657" s="1441"/>
      <c r="KU657" s="1441"/>
      <c r="KV657" s="1441"/>
      <c r="KW657" s="1441"/>
      <c r="KX657" s="1441"/>
      <c r="KY657" s="1441"/>
      <c r="KZ657" s="1441"/>
      <c r="LA657" s="1441"/>
      <c r="LB657" s="1441"/>
      <c r="LC657" s="1441"/>
      <c r="LD657" s="1441"/>
      <c r="LE657" s="1441"/>
      <c r="LF657" s="1441"/>
      <c r="LG657" s="1441"/>
      <c r="LN657" s="265"/>
      <c r="MD657" s="265"/>
      <c r="ME657" s="265"/>
    </row>
    <row r="658" spans="1:380" ht="15.6" customHeight="1">
      <c r="B658" s="1222" t="s">
        <v>440</v>
      </c>
      <c r="C658" s="1222">
        <f>'Part V-Revenues &amp; Expenses'!C211</f>
        <v>0</v>
      </c>
      <c r="D658" s="1222"/>
      <c r="E658" s="1222"/>
      <c r="F658" s="1222"/>
      <c r="H658" s="2398">
        <f>'Part V-Revenues &amp; Expenses'!H211</f>
        <v>0</v>
      </c>
      <c r="I658" s="2398">
        <f>'Part V-Revenues &amp; Expenses'!I211</f>
        <v>0</v>
      </c>
      <c r="J658" s="2398">
        <f>'Part V-Revenues &amp; Expenses'!J211</f>
        <v>0</v>
      </c>
      <c r="K658" s="2398">
        <f>'Part V-Revenues &amp; Expenses'!K211</f>
        <v>0</v>
      </c>
      <c r="L658" s="2398">
        <f>'Part V-Revenues &amp; Expenses'!L211</f>
        <v>0</v>
      </c>
      <c r="M658" s="264"/>
      <c r="N658" s="264"/>
      <c r="O658" s="264"/>
      <c r="P658" s="264"/>
      <c r="Q658" s="264"/>
      <c r="S658" s="2358"/>
      <c r="T658" s="2358"/>
      <c r="U658" s="2358"/>
      <c r="V658" s="2358"/>
      <c r="W658" s="2358"/>
      <c r="JW658" s="1441"/>
      <c r="KB658" s="1441"/>
      <c r="KG658" s="1441"/>
      <c r="KL658" s="1441"/>
      <c r="KM658" s="1441"/>
      <c r="KN658" s="1441"/>
      <c r="KO658" s="1441"/>
      <c r="KP658" s="1441"/>
      <c r="KQ658" s="1441"/>
      <c r="KR658" s="1441"/>
      <c r="KS658" s="1441"/>
      <c r="KT658" s="1441"/>
      <c r="KU658" s="1441"/>
      <c r="KV658" s="1441"/>
      <c r="KW658" s="1441"/>
      <c r="KX658" s="1441"/>
      <c r="KY658" s="1441"/>
      <c r="KZ658" s="1441"/>
      <c r="LA658" s="1441"/>
      <c r="LB658" s="1441"/>
      <c r="LC658" s="1441"/>
      <c r="LD658" s="1441"/>
      <c r="LE658" s="1441"/>
      <c r="LF658" s="1441"/>
      <c r="LG658" s="1441"/>
      <c r="LN658" s="265"/>
      <c r="MD658" s="265"/>
      <c r="ME658" s="265"/>
    </row>
    <row r="659" spans="1:380" ht="15.6" customHeight="1">
      <c r="B659" s="1222"/>
      <c r="C659" s="1222" t="s">
        <v>1230</v>
      </c>
      <c r="D659" s="1222"/>
      <c r="E659" s="1222"/>
      <c r="F659" s="1222"/>
      <c r="H659" s="2171">
        <f>SUM(H657:H658)</f>
        <v>0</v>
      </c>
      <c r="I659" s="2171">
        <f>SUM(I657:I658)</f>
        <v>0</v>
      </c>
      <c r="J659" s="2171">
        <f>SUM(J657:J658)</f>
        <v>0</v>
      </c>
      <c r="K659" s="2171">
        <f>SUM(K657:K658)</f>
        <v>0</v>
      </c>
      <c r="L659" s="2171">
        <f>SUM(L657:L658)</f>
        <v>0</v>
      </c>
      <c r="M659" s="264"/>
      <c r="N659" s="264"/>
      <c r="O659" s="264"/>
      <c r="P659" s="264"/>
      <c r="Q659" s="264"/>
      <c r="S659" s="2358"/>
      <c r="T659" s="2358"/>
      <c r="U659" s="2358"/>
      <c r="V659" s="2358"/>
      <c r="W659" s="2358"/>
      <c r="JW659" s="1441"/>
      <c r="KB659" s="1441"/>
      <c r="KG659" s="1441"/>
      <c r="KL659" s="1441"/>
      <c r="KM659" s="1441"/>
      <c r="KN659" s="1441"/>
      <c r="KO659" s="1441"/>
      <c r="KP659" s="1441"/>
      <c r="KQ659" s="1441"/>
      <c r="KR659" s="1441"/>
      <c r="KS659" s="1441"/>
      <c r="KT659" s="1441"/>
      <c r="KU659" s="1441"/>
      <c r="KV659" s="1441"/>
      <c r="KW659" s="1441"/>
      <c r="KX659" s="1441"/>
      <c r="KY659" s="1441"/>
      <c r="KZ659" s="1441"/>
      <c r="LA659" s="1441"/>
      <c r="LB659" s="1441"/>
      <c r="LC659" s="1441"/>
      <c r="LD659" s="1441"/>
      <c r="LE659" s="1441"/>
      <c r="LF659" s="1441"/>
      <c r="LG659" s="1441"/>
      <c r="LN659" s="265"/>
      <c r="MD659" s="265"/>
      <c r="ME659" s="265"/>
    </row>
    <row r="660" spans="1:380" ht="15.6" customHeight="1">
      <c r="B660" s="2397" t="s">
        <v>7002</v>
      </c>
      <c r="C660" s="264"/>
      <c r="D660" s="264"/>
      <c r="E660" s="264"/>
      <c r="F660" s="264"/>
      <c r="H660" s="2399"/>
      <c r="I660" s="264"/>
      <c r="J660" s="264"/>
      <c r="K660" s="264"/>
      <c r="L660" s="264"/>
      <c r="M660" s="264"/>
      <c r="N660" s="264"/>
      <c r="O660" s="264"/>
      <c r="P660" s="264"/>
      <c r="Q660" s="264"/>
      <c r="S660" s="263" t="str">
        <f>B660</f>
        <v>NOT Included in Mgt Fee:</v>
      </c>
      <c r="JW660" s="1441"/>
      <c r="KB660" s="1441"/>
      <c r="KG660" s="1441"/>
      <c r="KL660" s="1441"/>
      <c r="KM660" s="1441"/>
      <c r="KN660" s="1441"/>
      <c r="KO660" s="1441"/>
      <c r="KP660" s="1441"/>
      <c r="KQ660" s="1441"/>
      <c r="KR660" s="1441"/>
      <c r="KS660" s="1441"/>
      <c r="KT660" s="1441"/>
      <c r="KU660" s="1441"/>
      <c r="KV660" s="1441"/>
      <c r="KW660" s="1441"/>
      <c r="KX660" s="1441"/>
      <c r="KY660" s="1441"/>
      <c r="KZ660" s="1441"/>
      <c r="LA660" s="1441"/>
      <c r="LB660" s="1441"/>
      <c r="LC660" s="1441"/>
      <c r="LD660" s="1441"/>
      <c r="LE660" s="1441"/>
      <c r="LF660" s="1441"/>
      <c r="LG660" s="1441"/>
      <c r="LN660" s="265"/>
      <c r="MD660" s="265"/>
      <c r="ME660" s="265"/>
    </row>
    <row r="661" spans="1:380" ht="15.6" customHeight="1">
      <c r="B661" s="1222" t="s">
        <v>1232</v>
      </c>
      <c r="C661" s="1222"/>
      <c r="D661" s="1222"/>
      <c r="E661" s="1222"/>
      <c r="F661" s="1222"/>
      <c r="H661" s="2398">
        <f>'Part V-Revenues &amp; Expenses'!H214</f>
        <v>0</v>
      </c>
      <c r="I661" s="2398">
        <f>'Part V-Revenues &amp; Expenses'!I214</f>
        <v>0</v>
      </c>
      <c r="J661" s="2398">
        <f>'Part V-Revenues &amp; Expenses'!J214</f>
        <v>0</v>
      </c>
      <c r="K661" s="2398">
        <f>'Part V-Revenues &amp; Expenses'!K214</f>
        <v>0</v>
      </c>
      <c r="L661" s="2398">
        <f>'Part V-Revenues &amp; Expenses'!L214</f>
        <v>0</v>
      </c>
      <c r="M661" s="264"/>
      <c r="N661" s="264"/>
      <c r="O661" s="264"/>
      <c r="P661" s="264"/>
      <c r="Q661" s="264"/>
      <c r="S661" s="2358"/>
      <c r="T661" s="2358"/>
      <c r="U661" s="2358"/>
      <c r="V661" s="2358"/>
      <c r="W661" s="2358"/>
      <c r="JW661" s="1441"/>
      <c r="KB661" s="1441"/>
      <c r="KG661" s="1441"/>
      <c r="KL661" s="1441"/>
      <c r="KM661" s="1441"/>
      <c r="KN661" s="1441"/>
      <c r="KO661" s="1441"/>
      <c r="KP661" s="1441"/>
      <c r="KQ661" s="1441"/>
      <c r="KR661" s="1441"/>
      <c r="KS661" s="1441"/>
      <c r="KT661" s="1441"/>
      <c r="KU661" s="1441"/>
      <c r="KV661" s="1441"/>
      <c r="KW661" s="1441"/>
      <c r="KX661" s="1441"/>
      <c r="KY661" s="1441"/>
      <c r="KZ661" s="1441"/>
      <c r="LA661" s="1441"/>
      <c r="LB661" s="1441"/>
      <c r="LC661" s="1441"/>
      <c r="LD661" s="1441"/>
      <c r="LE661" s="1441"/>
      <c r="LF661" s="1441"/>
      <c r="LG661" s="1441"/>
      <c r="LN661" s="265"/>
      <c r="MD661" s="265"/>
      <c r="ME661" s="265"/>
    </row>
    <row r="662" spans="1:380" ht="15.6" customHeight="1">
      <c r="B662" s="1222" t="s">
        <v>440</v>
      </c>
      <c r="C662" s="1222">
        <f>'Part V-Revenues &amp; Expenses'!C215</f>
        <v>0</v>
      </c>
      <c r="D662" s="1222"/>
      <c r="E662" s="1222"/>
      <c r="F662" s="1222"/>
      <c r="H662" s="2398">
        <f>'Part V-Revenues &amp; Expenses'!H215</f>
        <v>0</v>
      </c>
      <c r="I662" s="2398">
        <f>'Part V-Revenues &amp; Expenses'!I215</f>
        <v>0</v>
      </c>
      <c r="J662" s="2398">
        <f>'Part V-Revenues &amp; Expenses'!J215</f>
        <v>0</v>
      </c>
      <c r="K662" s="2398">
        <f>'Part V-Revenues &amp; Expenses'!K215</f>
        <v>0</v>
      </c>
      <c r="L662" s="2398">
        <f>'Part V-Revenues &amp; Expenses'!L215</f>
        <v>0</v>
      </c>
      <c r="M662" s="264"/>
      <c r="N662" s="264"/>
      <c r="O662" s="264"/>
      <c r="P662" s="264"/>
      <c r="Q662" s="264"/>
      <c r="S662" s="2358"/>
      <c r="T662" s="2358"/>
      <c r="U662" s="2358"/>
      <c r="V662" s="2358"/>
      <c r="W662" s="2358"/>
      <c r="JW662" s="1441"/>
      <c r="KB662" s="1441"/>
      <c r="KG662" s="1441"/>
      <c r="KL662" s="1441"/>
      <c r="KM662" s="1441"/>
      <c r="KN662" s="1441"/>
      <c r="KO662" s="1441"/>
      <c r="KP662" s="1441"/>
      <c r="KQ662" s="1441"/>
      <c r="KR662" s="1441"/>
      <c r="KS662" s="1441"/>
      <c r="KT662" s="1441"/>
      <c r="KU662" s="1441"/>
      <c r="KV662" s="1441"/>
      <c r="KW662" s="1441"/>
      <c r="KX662" s="1441"/>
      <c r="KY662" s="1441"/>
      <c r="KZ662" s="1441"/>
      <c r="LA662" s="1441"/>
      <c r="LB662" s="1441"/>
      <c r="LC662" s="1441"/>
      <c r="LD662" s="1441"/>
      <c r="LE662" s="1441"/>
      <c r="LF662" s="1441"/>
      <c r="LG662" s="1441"/>
      <c r="LN662" s="265"/>
      <c r="MD662" s="265"/>
      <c r="ME662" s="265"/>
    </row>
    <row r="663" spans="1:380" ht="15.6" customHeight="1">
      <c r="B663" s="1222"/>
      <c r="C663" s="1222" t="s">
        <v>7003</v>
      </c>
      <c r="D663" s="1222"/>
      <c r="E663" s="1222"/>
      <c r="F663" s="1222"/>
      <c r="H663" s="2171">
        <f>SUM(H661:H662)</f>
        <v>0</v>
      </c>
      <c r="I663" s="2171">
        <f>SUM(I661:I662)</f>
        <v>0</v>
      </c>
      <c r="J663" s="2171">
        <f>SUM(J661:J662)</f>
        <v>0</v>
      </c>
      <c r="K663" s="2171">
        <f>SUM(K661:K662)</f>
        <v>0</v>
      </c>
      <c r="L663" s="2171">
        <f>SUM(L661:L662)</f>
        <v>0</v>
      </c>
      <c r="M663" s="264"/>
      <c r="N663" s="264"/>
      <c r="O663" s="264"/>
      <c r="P663" s="264"/>
      <c r="Q663" s="264"/>
      <c r="S663" s="2358"/>
      <c r="T663" s="2358"/>
      <c r="U663" s="2358"/>
      <c r="V663" s="2358"/>
      <c r="W663" s="2358"/>
      <c r="JW663" s="1441"/>
      <c r="KB663" s="1441"/>
      <c r="KG663" s="1441"/>
      <c r="KL663" s="1441"/>
      <c r="KM663" s="1441"/>
      <c r="KN663" s="1441"/>
      <c r="KO663" s="1441"/>
      <c r="KP663" s="1441"/>
      <c r="KQ663" s="1441"/>
      <c r="KR663" s="1441"/>
      <c r="KS663" s="1441"/>
      <c r="KT663" s="1441"/>
      <c r="KU663" s="1441"/>
      <c r="KV663" s="1441"/>
      <c r="KW663" s="1441"/>
      <c r="KX663" s="1441"/>
      <c r="KY663" s="1441"/>
      <c r="KZ663" s="1441"/>
      <c r="LA663" s="1441"/>
      <c r="LB663" s="1441"/>
      <c r="LC663" s="1441"/>
      <c r="LD663" s="1441"/>
      <c r="LE663" s="1441"/>
      <c r="LF663" s="1441"/>
      <c r="LG663" s="1441"/>
      <c r="LN663" s="265"/>
      <c r="MD663" s="265"/>
      <c r="ME663" s="265"/>
    </row>
    <row r="664" spans="1:380" ht="2.25" customHeight="1">
      <c r="B664" s="265"/>
      <c r="F664" s="2400"/>
      <c r="G664" s="2400"/>
      <c r="JW664" s="1441"/>
      <c r="KB664" s="1441"/>
      <c r="KG664" s="1441"/>
      <c r="KL664" s="1441"/>
      <c r="KM664" s="1441"/>
      <c r="KN664" s="1441"/>
      <c r="KO664" s="1441"/>
      <c r="KP664" s="1441"/>
      <c r="KQ664" s="1441"/>
      <c r="KR664" s="1441"/>
      <c r="KS664" s="1441"/>
      <c r="KT664" s="1441"/>
      <c r="KU664" s="1441"/>
      <c r="KV664" s="1441"/>
      <c r="KW664" s="1441"/>
      <c r="KX664" s="1441"/>
      <c r="KY664" s="1441"/>
      <c r="KZ664" s="1441"/>
      <c r="LA664" s="1441"/>
      <c r="LB664" s="1441"/>
      <c r="LC664" s="1441"/>
      <c r="LD664" s="1441"/>
      <c r="LE664" s="1441"/>
      <c r="LF664" s="1441"/>
      <c r="LG664" s="1441"/>
      <c r="LN664" s="265"/>
      <c r="MD664" s="265"/>
      <c r="ME664" s="265"/>
    </row>
    <row r="665" spans="1:380" s="263" customFormat="1" ht="11.25" customHeight="1">
      <c r="A665" s="1440" t="s">
        <v>66</v>
      </c>
      <c r="B665" s="2327" t="s">
        <v>1236</v>
      </c>
      <c r="C665" s="2327"/>
      <c r="D665" s="2327"/>
      <c r="E665" s="2327"/>
      <c r="F665" s="2327"/>
      <c r="G665" s="2327"/>
      <c r="H665" s="2327"/>
      <c r="I665" s="2327"/>
      <c r="J665" s="2327"/>
      <c r="K665" s="2327"/>
      <c r="L665" s="2327"/>
      <c r="N665" s="2401"/>
      <c r="O665" s="1573"/>
      <c r="P665" s="1573"/>
      <c r="S665" s="1440" t="str">
        <f>B665</f>
        <v>ANNUAL OPERATING EXPENSE BUDGET</v>
      </c>
      <c r="T665" s="261"/>
      <c r="X665" s="261"/>
      <c r="AC665" s="261"/>
      <c r="AH665" s="261"/>
      <c r="AM665" s="261"/>
      <c r="JW665" s="1573"/>
      <c r="KB665" s="1573"/>
      <c r="KG665" s="1573"/>
      <c r="KL665" s="1573"/>
      <c r="KM665" s="1573"/>
      <c r="KN665" s="1573"/>
      <c r="KO665" s="1573"/>
      <c r="KP665" s="1573"/>
      <c r="KQ665" s="1573"/>
      <c r="KR665" s="1573"/>
      <c r="KS665" s="1573"/>
      <c r="KT665" s="1573"/>
      <c r="KU665" s="1573"/>
      <c r="KV665" s="1573"/>
      <c r="KW665" s="1573"/>
      <c r="KX665" s="1573"/>
      <c r="KY665" s="1573"/>
      <c r="KZ665" s="1573"/>
      <c r="LA665" s="1573"/>
      <c r="LB665" s="1573"/>
      <c r="LC665" s="1573"/>
      <c r="LD665" s="1573"/>
      <c r="LE665" s="1573"/>
      <c r="LF665" s="1573"/>
      <c r="LG665" s="1573"/>
      <c r="LN665" s="1440"/>
      <c r="MD665" s="1440"/>
      <c r="ME665" s="1440"/>
      <c r="NP665" s="261"/>
    </row>
    <row r="666" spans="1:380" s="263" customFormat="1" ht="11.25" customHeight="1">
      <c r="B666" s="2327"/>
      <c r="C666" s="2327"/>
      <c r="D666" s="2327"/>
      <c r="E666" s="2327"/>
      <c r="F666" s="2327"/>
      <c r="G666" s="2327"/>
      <c r="H666" s="2327"/>
      <c r="I666" s="2327"/>
      <c r="J666" s="2327"/>
      <c r="K666" s="2327"/>
      <c r="S666" s="1558" t="s">
        <v>781</v>
      </c>
      <c r="T666" s="1558"/>
      <c r="JW666" s="1573"/>
      <c r="KB666" s="1573"/>
      <c r="KG666" s="1573"/>
      <c r="KL666" s="1573"/>
      <c r="KM666" s="1573"/>
      <c r="KN666" s="1573"/>
      <c r="KO666" s="1573"/>
      <c r="KP666" s="1573"/>
      <c r="KQ666" s="1573"/>
      <c r="KR666" s="1573"/>
      <c r="KS666" s="1573"/>
      <c r="KT666" s="1573"/>
      <c r="KU666" s="1573"/>
      <c r="KV666" s="1573"/>
      <c r="KW666" s="1573"/>
      <c r="KX666" s="1573"/>
      <c r="KY666" s="1573"/>
      <c r="KZ666" s="1573"/>
      <c r="LA666" s="1573"/>
      <c r="LB666" s="1573"/>
      <c r="LC666" s="1573"/>
      <c r="LD666" s="1573"/>
      <c r="LE666" s="1573"/>
      <c r="LF666" s="1573"/>
      <c r="LG666" s="1573"/>
      <c r="LN666" s="1440"/>
      <c r="MD666" s="1440"/>
      <c r="ME666" s="1440"/>
      <c r="NP666" s="261"/>
    </row>
    <row r="667" spans="1:380" s="263" customFormat="1" ht="16.5" customHeight="1">
      <c r="B667" s="1440" t="s">
        <v>1237</v>
      </c>
      <c r="F667" s="261"/>
      <c r="G667" s="261"/>
      <c r="I667" s="1440" t="s">
        <v>1238</v>
      </c>
      <c r="O667" s="1440" t="s">
        <v>1239</v>
      </c>
      <c r="Q667" s="2172">
        <f>IF(OR('Part VI-Pro Forma'!$B$22 = "Choose Mgt Fee",'Part VI-Pro Forma'!$B$22 = "Choose One!"), 0,- 'Part VI-Pro Forma'!$B$22)</f>
        <v>160720</v>
      </c>
      <c r="S667" s="2358"/>
      <c r="T667" s="2358"/>
      <c r="U667" s="2358"/>
      <c r="V667" s="2358"/>
      <c r="W667" s="2358"/>
      <c r="X667" s="261"/>
      <c r="AC667" s="261"/>
      <c r="AH667" s="261"/>
      <c r="AM667" s="261"/>
      <c r="JW667" s="1573"/>
      <c r="KB667" s="1573"/>
      <c r="KG667" s="1573"/>
      <c r="KL667" s="1573"/>
      <c r="KM667" s="1573"/>
      <c r="KN667" s="1573"/>
      <c r="KO667" s="1573"/>
      <c r="KP667" s="1573"/>
      <c r="KQ667" s="1573"/>
      <c r="KR667" s="1573"/>
      <c r="KS667" s="1573"/>
      <c r="KT667" s="1573"/>
      <c r="KU667" s="1573"/>
      <c r="KV667" s="1573"/>
      <c r="KW667" s="1573"/>
      <c r="KX667" s="1573"/>
      <c r="KY667" s="1573"/>
      <c r="KZ667" s="1573"/>
      <c r="LA667" s="1573"/>
      <c r="LB667" s="1573"/>
      <c r="LC667" s="1573"/>
      <c r="LD667" s="1573"/>
      <c r="LE667" s="1573"/>
      <c r="LF667" s="1573"/>
      <c r="LG667" s="1573"/>
      <c r="LN667" s="1440"/>
      <c r="MD667" s="1440"/>
      <c r="ME667" s="1440"/>
      <c r="NP667" s="261"/>
    </row>
    <row r="668" spans="1:380" s="263" customFormat="1" ht="16.5" customHeight="1">
      <c r="B668" s="263" t="s">
        <v>1240</v>
      </c>
      <c r="F668" s="2164">
        <f>'Part V-Revenues &amp; Expenses'!F221</f>
        <v>145321</v>
      </c>
      <c r="G668" s="2164"/>
      <c r="I668" s="263" t="s">
        <v>1241</v>
      </c>
      <c r="L668" s="2164">
        <f>'Part V-Revenues &amp; Expenses'!L221</f>
        <v>133695</v>
      </c>
      <c r="M668" s="2164"/>
      <c r="O668" s="2173">
        <f>+Q667/(P514*0.93)</f>
        <v>868.42816231696099</v>
      </c>
      <c r="P668" s="2373" t="s">
        <v>1242</v>
      </c>
      <c r="R668" s="2392"/>
      <c r="S668" s="2358"/>
      <c r="T668" s="2358"/>
      <c r="U668" s="2358"/>
      <c r="V668" s="2358"/>
      <c r="W668" s="2358"/>
      <c r="X668" s="261"/>
      <c r="AC668" s="261"/>
      <c r="AH668" s="261"/>
      <c r="AM668" s="261"/>
      <c r="JW668" s="1573"/>
      <c r="KB668" s="1573"/>
      <c r="KG668" s="1573"/>
      <c r="KL668" s="1573"/>
      <c r="KM668" s="1573"/>
      <c r="KN668" s="1573"/>
      <c r="KO668" s="1573"/>
      <c r="KP668" s="1573"/>
      <c r="KQ668" s="1573"/>
      <c r="KR668" s="1573"/>
      <c r="KS668" s="1573"/>
      <c r="KT668" s="1573"/>
      <c r="KU668" s="1573"/>
      <c r="KV668" s="1573"/>
      <c r="KW668" s="1573"/>
      <c r="KX668" s="1573"/>
      <c r="KY668" s="1573"/>
      <c r="KZ668" s="1573"/>
      <c r="LA668" s="1573"/>
      <c r="LB668" s="1573"/>
      <c r="LC668" s="1573"/>
      <c r="LD668" s="1573"/>
      <c r="LE668" s="1573"/>
      <c r="LF668" s="1573"/>
      <c r="LG668" s="1573"/>
      <c r="LN668" s="1440"/>
      <c r="MD668" s="1440"/>
      <c r="ME668" s="1440"/>
      <c r="NP668" s="261"/>
    </row>
    <row r="669" spans="1:380" s="263" customFormat="1" ht="16.5" customHeight="1">
      <c r="B669" s="263" t="s">
        <v>1243</v>
      </c>
      <c r="F669" s="2164">
        <f>'Part V-Revenues &amp; Expenses'!F222</f>
        <v>210000</v>
      </c>
      <c r="G669" s="2164"/>
      <c r="I669" s="263" t="s">
        <v>1244</v>
      </c>
      <c r="L669" s="2164">
        <f>'Part V-Revenues &amp; Expenses'!L222</f>
        <v>5800</v>
      </c>
      <c r="M669" s="2164"/>
      <c r="O669" s="2173">
        <f>+Q667/(P514*0.93)/12</f>
        <v>72.369013526413411</v>
      </c>
      <c r="P669" s="2373" t="s">
        <v>1245</v>
      </c>
      <c r="R669" s="2392"/>
      <c r="S669" s="2358"/>
      <c r="T669" s="2358"/>
      <c r="U669" s="2358"/>
      <c r="V669" s="2358"/>
      <c r="W669" s="2358"/>
      <c r="X669" s="261"/>
      <c r="AC669" s="261"/>
      <c r="AH669" s="261"/>
      <c r="AM669" s="261"/>
      <c r="JW669" s="1573"/>
      <c r="KB669" s="1573"/>
      <c r="KG669" s="1573"/>
      <c r="KL669" s="1573"/>
      <c r="KM669" s="1573"/>
      <c r="KN669" s="1573"/>
      <c r="KO669" s="1573"/>
      <c r="KP669" s="1573"/>
      <c r="KQ669" s="1573"/>
      <c r="KR669" s="1573"/>
      <c r="KS669" s="1573"/>
      <c r="KT669" s="1573"/>
      <c r="KU669" s="1573"/>
      <c r="KV669" s="1573"/>
      <c r="KW669" s="1573"/>
      <c r="KX669" s="1573"/>
      <c r="KY669" s="1573"/>
      <c r="KZ669" s="1573"/>
      <c r="LA669" s="1573"/>
      <c r="LB669" s="1573"/>
      <c r="LC669" s="1573"/>
      <c r="LD669" s="1573"/>
      <c r="LE669" s="1573"/>
      <c r="LF669" s="1573"/>
      <c r="LG669" s="1573"/>
      <c r="LN669" s="1440"/>
      <c r="MD669" s="1440"/>
      <c r="ME669" s="1440"/>
      <c r="NP669" s="261"/>
    </row>
    <row r="670" spans="1:380" s="263" customFormat="1" ht="16.5" customHeight="1">
      <c r="B670" s="263" t="s">
        <v>1246</v>
      </c>
      <c r="F670" s="2164">
        <f>'Part V-Revenues &amp; Expenses'!F223</f>
        <v>34958</v>
      </c>
      <c r="G670" s="2164"/>
      <c r="K670" s="2402" t="s">
        <v>536</v>
      </c>
      <c r="L670" s="2164">
        <f>SUM(L668:M669)</f>
        <v>139495</v>
      </c>
      <c r="M670" s="2164"/>
      <c r="O670" s="266" t="s">
        <v>1247</v>
      </c>
      <c r="P670" s="2403"/>
      <c r="Q670" s="2403"/>
      <c r="R670" s="2392"/>
      <c r="S670" s="2358"/>
      <c r="T670" s="2358"/>
      <c r="U670" s="2358"/>
      <c r="V670" s="2358"/>
      <c r="W670" s="2358"/>
      <c r="X670" s="261"/>
      <c r="AC670" s="261"/>
      <c r="AH670" s="261"/>
      <c r="AM670" s="261"/>
      <c r="JW670" s="1573"/>
      <c r="KB670" s="1573"/>
      <c r="KG670" s="1573"/>
      <c r="KL670" s="1573"/>
      <c r="KM670" s="1573"/>
      <c r="KN670" s="1573"/>
      <c r="KO670" s="1573"/>
      <c r="KP670" s="1573"/>
      <c r="KQ670" s="1573"/>
      <c r="KR670" s="1573"/>
      <c r="KS670" s="1573"/>
      <c r="KT670" s="1573"/>
      <c r="KU670" s="1573"/>
      <c r="KV670" s="1573"/>
      <c r="KW670" s="1573"/>
      <c r="KX670" s="1573"/>
      <c r="KY670" s="1573"/>
      <c r="KZ670" s="1573"/>
      <c r="LA670" s="1573"/>
      <c r="LB670" s="1573"/>
      <c r="LC670" s="1573"/>
      <c r="LD670" s="1573"/>
      <c r="LE670" s="1573"/>
      <c r="LF670" s="1573"/>
      <c r="LG670" s="1573"/>
      <c r="LN670" s="1440"/>
      <c r="MD670" s="1440"/>
      <c r="ME670" s="1440"/>
      <c r="NP670" s="261"/>
    </row>
    <row r="671" spans="1:380" s="263" customFormat="1" ht="16.5" customHeight="1">
      <c r="B671" s="2404" t="s">
        <v>1248</v>
      </c>
      <c r="F671" s="2164">
        <f>'Part V-Revenues &amp; Expenses'!F224</f>
        <v>14982</v>
      </c>
      <c r="G671" s="2164"/>
      <c r="R671" s="2392"/>
      <c r="S671" s="2358"/>
      <c r="T671" s="2358"/>
      <c r="U671" s="2358"/>
      <c r="V671" s="2358"/>
      <c r="W671" s="2358"/>
      <c r="X671" s="261"/>
      <c r="AC671" s="261"/>
      <c r="AH671" s="261"/>
      <c r="AM671" s="261"/>
      <c r="JW671" s="1573"/>
      <c r="KB671" s="1573"/>
      <c r="KG671" s="1573"/>
      <c r="KL671" s="1573"/>
      <c r="KM671" s="1573"/>
      <c r="KN671" s="1573"/>
      <c r="KO671" s="1573"/>
      <c r="KP671" s="1573"/>
      <c r="KQ671" s="1573"/>
      <c r="KR671" s="1573"/>
      <c r="KS671" s="1573"/>
      <c r="KT671" s="1573"/>
      <c r="KU671" s="1573"/>
      <c r="KV671" s="1573"/>
      <c r="KW671" s="1573"/>
      <c r="KX671" s="1573"/>
      <c r="KY671" s="1573"/>
      <c r="KZ671" s="1573"/>
      <c r="LA671" s="1573"/>
      <c r="LB671" s="1573"/>
      <c r="LC671" s="1573"/>
      <c r="LD671" s="1573"/>
      <c r="LE671" s="1573"/>
      <c r="LF671" s="1573"/>
      <c r="LG671" s="1573"/>
      <c r="LN671" s="1440"/>
      <c r="MD671" s="1440"/>
      <c r="ME671" s="1440"/>
    </row>
    <row r="672" spans="1:380" s="263" customFormat="1" ht="16.5" customHeight="1">
      <c r="B672" s="2404" t="s">
        <v>1249</v>
      </c>
      <c r="F672" s="2164">
        <f>'Part V-Revenues &amp; Expenses'!F225</f>
        <v>0</v>
      </c>
      <c r="G672" s="2164"/>
      <c r="R672" s="2392"/>
      <c r="S672" s="2358"/>
      <c r="T672" s="2358"/>
      <c r="U672" s="2358"/>
      <c r="V672" s="2358"/>
      <c r="W672" s="2358"/>
      <c r="X672" s="261"/>
      <c r="AC672" s="261"/>
      <c r="AH672" s="261"/>
      <c r="AM672" s="261"/>
      <c r="JW672" s="1573"/>
      <c r="KB672" s="1573"/>
      <c r="KG672" s="1573"/>
      <c r="KL672" s="1573"/>
      <c r="KM672" s="1573"/>
      <c r="KN672" s="1573"/>
      <c r="KO672" s="1573"/>
      <c r="KP672" s="1573"/>
      <c r="KQ672" s="1573"/>
      <c r="KR672" s="1573"/>
      <c r="KS672" s="1573"/>
      <c r="KT672" s="1573"/>
      <c r="KU672" s="1573"/>
      <c r="KV672" s="1573"/>
      <c r="KW672" s="1573"/>
      <c r="KX672" s="1573"/>
      <c r="KY672" s="1573"/>
      <c r="KZ672" s="1573"/>
      <c r="LA672" s="1573"/>
      <c r="LB672" s="1573"/>
      <c r="LC672" s="1573"/>
      <c r="LD672" s="1573"/>
      <c r="LE672" s="1573"/>
      <c r="LF672" s="1573"/>
      <c r="LG672" s="1573"/>
      <c r="LN672" s="1440"/>
      <c r="MD672" s="1440"/>
      <c r="ME672" s="1440"/>
    </row>
    <row r="673" spans="2:380" s="263" customFormat="1" ht="16.5" customHeight="1">
      <c r="B673" s="266" t="str">
        <f>'Part V-Revenues &amp; Expenses'!B226</f>
        <v>Other (describe here)</v>
      </c>
      <c r="C673" s="266"/>
      <c r="D673" s="266"/>
      <c r="E673" s="266"/>
      <c r="F673" s="2164">
        <f>'Part V-Revenues &amp; Expenses'!F226</f>
        <v>0</v>
      </c>
      <c r="G673" s="2164"/>
      <c r="I673" s="1440" t="s">
        <v>1251</v>
      </c>
      <c r="R673" s="2392"/>
      <c r="S673" s="2358"/>
      <c r="T673" s="2358"/>
      <c r="U673" s="2358"/>
      <c r="V673" s="2358"/>
      <c r="W673" s="2358"/>
      <c r="X673" s="261"/>
      <c r="AC673" s="261"/>
      <c r="AH673" s="261"/>
      <c r="AM673" s="261"/>
      <c r="JW673" s="1573"/>
      <c r="KB673" s="1573"/>
      <c r="KG673" s="1573"/>
      <c r="KL673" s="1573"/>
      <c r="KM673" s="1573"/>
      <c r="KN673" s="1573"/>
      <c r="KO673" s="1573"/>
      <c r="KP673" s="1573"/>
      <c r="KQ673" s="1573"/>
      <c r="KR673" s="1573"/>
      <c r="KS673" s="1573"/>
      <c r="KT673" s="1573"/>
      <c r="KU673" s="1573"/>
      <c r="KV673" s="1573"/>
      <c r="KW673" s="1573"/>
      <c r="KX673" s="1573"/>
      <c r="KY673" s="1573"/>
      <c r="KZ673" s="1573"/>
      <c r="LA673" s="1573"/>
      <c r="LB673" s="1573"/>
      <c r="LC673" s="1573"/>
      <c r="LD673" s="1573"/>
      <c r="LE673" s="1573"/>
      <c r="LF673" s="1573"/>
      <c r="LG673" s="1573"/>
      <c r="LN673" s="1440"/>
      <c r="MD673" s="1440"/>
      <c r="ME673" s="1440"/>
    </row>
    <row r="674" spans="2:380" s="263" customFormat="1" ht="16.5" customHeight="1">
      <c r="E674" s="2402" t="s">
        <v>536</v>
      </c>
      <c r="F674" s="2164">
        <f>SUM(F668:G673)</f>
        <v>405261</v>
      </c>
      <c r="G674" s="2164"/>
      <c r="I674" s="263" t="s">
        <v>1252</v>
      </c>
      <c r="L674" s="2164">
        <f>'Part V-Revenues &amp; Expenses'!L227</f>
        <v>20000</v>
      </c>
      <c r="M674" s="2164"/>
      <c r="S674" s="2358"/>
      <c r="T674" s="2358"/>
      <c r="U674" s="2358"/>
      <c r="V674" s="2358"/>
      <c r="W674" s="2358"/>
      <c r="X674" s="261"/>
      <c r="AC674" s="261"/>
      <c r="AH674" s="261"/>
      <c r="AM674" s="261"/>
      <c r="JW674" s="1573"/>
      <c r="KB674" s="1573"/>
      <c r="KG674" s="1573"/>
      <c r="KL674" s="1573"/>
      <c r="KM674" s="1573"/>
      <c r="KN674" s="1573"/>
      <c r="KO674" s="1573"/>
      <c r="KP674" s="1573"/>
      <c r="KQ674" s="1573"/>
      <c r="KR674" s="1573"/>
      <c r="KS674" s="1573"/>
      <c r="KT674" s="1573"/>
      <c r="KU674" s="1573"/>
      <c r="KV674" s="1573"/>
      <c r="KW674" s="1573"/>
      <c r="KX674" s="1573"/>
      <c r="KY674" s="1573"/>
      <c r="KZ674" s="1573"/>
      <c r="LA674" s="1573"/>
      <c r="LB674" s="1573"/>
      <c r="LC674" s="1573"/>
      <c r="LD674" s="1573"/>
      <c r="LE674" s="1573"/>
      <c r="LF674" s="1573"/>
      <c r="LG674" s="1573"/>
      <c r="LN674" s="1440"/>
      <c r="MD674" s="1440"/>
      <c r="ME674" s="1440"/>
    </row>
    <row r="675" spans="2:380" s="263" customFormat="1" ht="16.5" customHeight="1">
      <c r="C675" s="1440"/>
      <c r="D675" s="2402"/>
      <c r="F675" s="2160"/>
      <c r="G675" s="2160"/>
      <c r="I675" s="263" t="s">
        <v>611</v>
      </c>
      <c r="L675" s="2164">
        <f>'Part V-Revenues &amp; Expenses'!L228</f>
        <v>10350</v>
      </c>
      <c r="M675" s="2164"/>
      <c r="N675" s="2345" t="str">
        <f>IF(Q677="","",IF(Q675&lt;Q677, "WARNING! OE below required minimum.",""))</f>
        <v/>
      </c>
      <c r="O675" s="1440" t="s">
        <v>1253</v>
      </c>
      <c r="Q675" s="2392">
        <f>F674+F683+F694+L670+L678+L688+L694+Q667</f>
        <v>1501801</v>
      </c>
      <c r="S675" s="2358"/>
      <c r="T675" s="2358"/>
      <c r="U675" s="2358"/>
      <c r="V675" s="2358"/>
      <c r="W675" s="2358"/>
      <c r="JW675" s="1573"/>
      <c r="KB675" s="1573"/>
      <c r="KG675" s="1573"/>
      <c r="KL675" s="1573"/>
      <c r="KM675" s="1573"/>
      <c r="KN675" s="1573"/>
      <c r="KO675" s="1573"/>
      <c r="KP675" s="1573"/>
      <c r="KQ675" s="1573"/>
      <c r="KR675" s="1573"/>
      <c r="KS675" s="1573"/>
      <c r="KT675" s="1573"/>
      <c r="KU675" s="1573"/>
      <c r="KV675" s="1573"/>
      <c r="KW675" s="1573"/>
      <c r="KX675" s="1573"/>
      <c r="KY675" s="1573"/>
      <c r="KZ675" s="1573"/>
      <c r="LA675" s="1573"/>
      <c r="LB675" s="1573"/>
      <c r="LC675" s="1573"/>
      <c r="LD675" s="1573"/>
      <c r="LE675" s="1573"/>
      <c r="LF675" s="1573"/>
      <c r="LG675" s="1573"/>
      <c r="LN675" s="1440"/>
      <c r="MD675" s="1440"/>
      <c r="ME675" s="1440"/>
    </row>
    <row r="676" spans="2:380" s="263" customFormat="1" ht="16.5" customHeight="1">
      <c r="B676" s="1440" t="s">
        <v>1254</v>
      </c>
      <c r="D676" s="2405"/>
      <c r="I676" s="263" t="s">
        <v>1255</v>
      </c>
      <c r="L676" s="2164">
        <f>'Part V-Revenues &amp; Expenses'!L229</f>
        <v>15500</v>
      </c>
      <c r="M676" s="2164"/>
      <c r="N676" s="2345"/>
      <c r="O676" s="2373" t="s">
        <v>1256</v>
      </c>
      <c r="P676" s="2173">
        <f>+Q675/P514</f>
        <v>7546.7386934673368</v>
      </c>
      <c r="R676" s="2172"/>
      <c r="S676" s="2358"/>
      <c r="T676" s="2358"/>
      <c r="U676" s="2358"/>
      <c r="V676" s="2358"/>
      <c r="W676" s="2358"/>
      <c r="X676" s="261"/>
      <c r="AC676" s="261"/>
      <c r="AH676" s="261"/>
      <c r="AM676" s="261"/>
      <c r="JW676" s="1573"/>
      <c r="KB676" s="1573"/>
      <c r="KG676" s="1573"/>
      <c r="KL676" s="1573"/>
      <c r="KM676" s="1573"/>
      <c r="KN676" s="1573"/>
      <c r="KO676" s="1573"/>
      <c r="KP676" s="1573"/>
      <c r="KQ676" s="1573"/>
      <c r="KR676" s="1573"/>
      <c r="KS676" s="1573"/>
      <c r="KT676" s="1573"/>
      <c r="KU676" s="1573"/>
      <c r="KV676" s="1573"/>
      <c r="KW676" s="1573"/>
      <c r="KX676" s="1573"/>
      <c r="KY676" s="1573"/>
      <c r="KZ676" s="1573"/>
      <c r="LA676" s="1573"/>
      <c r="LB676" s="1573"/>
      <c r="LC676" s="1573"/>
      <c r="LD676" s="1573"/>
      <c r="LE676" s="1573"/>
      <c r="LF676" s="1573"/>
      <c r="LG676" s="1573"/>
      <c r="LN676" s="1440"/>
      <c r="MD676" s="1440"/>
      <c r="ME676" s="1440"/>
      <c r="NP676" s="263" t="s">
        <v>1257</v>
      </c>
    </row>
    <row r="677" spans="2:380" s="263" customFormat="1" ht="16.5" customHeight="1">
      <c r="B677" s="263" t="s">
        <v>1258</v>
      </c>
      <c r="D677" s="2405"/>
      <c r="F677" s="2164">
        <f>'Part V-Revenues &amp; Expenses'!F230</f>
        <v>6651</v>
      </c>
      <c r="G677" s="2164"/>
      <c r="I677" s="2406" t="str">
        <f>'Part V-Revenues &amp; Expenses'!I230</f>
        <v>Other (describe here)</v>
      </c>
      <c r="J677" s="2406"/>
      <c r="K677" s="2406"/>
      <c r="L677" s="2164">
        <f>'Part V-Revenues &amp; Expenses'!L230</f>
        <v>0</v>
      </c>
      <c r="M677" s="2164"/>
      <c r="N677" s="2345"/>
      <c r="P677" s="2373" t="s">
        <v>1259</v>
      </c>
      <c r="Q677" s="2392">
        <f>'Part V-Revenues &amp; Expenses'!Q230</f>
        <v>895500</v>
      </c>
      <c r="S677" s="2358"/>
      <c r="T677" s="2358"/>
      <c r="U677" s="2358"/>
      <c r="V677" s="2358"/>
      <c r="W677" s="2358"/>
      <c r="X677" s="261"/>
      <c r="AC677" s="261"/>
      <c r="AH677" s="261"/>
      <c r="AM677" s="261"/>
      <c r="JW677" s="1573"/>
      <c r="KB677" s="1573"/>
      <c r="KG677" s="1573"/>
      <c r="KL677" s="1573"/>
      <c r="KM677" s="1573"/>
      <c r="KN677" s="1573"/>
      <c r="KO677" s="1573"/>
      <c r="KP677" s="1573"/>
      <c r="KQ677" s="1573"/>
      <c r="KR677" s="1573"/>
      <c r="KS677" s="1573"/>
      <c r="KT677" s="1573"/>
      <c r="KU677" s="1573"/>
      <c r="KV677" s="1573"/>
      <c r="KW677" s="1573"/>
      <c r="KX677" s="1573"/>
      <c r="KY677" s="1573"/>
      <c r="KZ677" s="1573"/>
      <c r="LA677" s="1573"/>
      <c r="LB677" s="1573"/>
      <c r="LC677" s="1573"/>
      <c r="LD677" s="1573"/>
      <c r="LE677" s="1573"/>
      <c r="LF677" s="1573"/>
      <c r="LG677" s="1573"/>
      <c r="LN677" s="1440"/>
      <c r="MD677" s="1440"/>
      <c r="ME677" s="1440"/>
    </row>
    <row r="678" spans="2:380" s="263" customFormat="1" ht="16.5" customHeight="1">
      <c r="B678" s="263" t="s">
        <v>1260</v>
      </c>
      <c r="D678" s="2405"/>
      <c r="F678" s="2164">
        <f>'Part V-Revenues &amp; Expenses'!F231</f>
        <v>52123</v>
      </c>
      <c r="G678" s="2164"/>
      <c r="I678" s="1440"/>
      <c r="K678" s="2402" t="s">
        <v>536</v>
      </c>
      <c r="L678" s="2392">
        <f>SUM(L674:L677)</f>
        <v>45850</v>
      </c>
      <c r="M678" s="2392"/>
      <c r="N678" s="2345"/>
      <c r="O678" s="2407" t="s">
        <v>1261</v>
      </c>
      <c r="P678" s="2407"/>
      <c r="Q678" s="2407"/>
      <c r="S678" s="2358"/>
      <c r="T678" s="2358"/>
      <c r="U678" s="2358"/>
      <c r="V678" s="2358"/>
      <c r="W678" s="2358"/>
      <c r="X678" s="261"/>
      <c r="AC678" s="261"/>
      <c r="AH678" s="261"/>
      <c r="AM678" s="261"/>
      <c r="JW678" s="1573"/>
      <c r="KB678" s="1573"/>
      <c r="KG678" s="1573"/>
      <c r="KL678" s="1573"/>
      <c r="KM678" s="1573"/>
      <c r="KN678" s="1573"/>
      <c r="KO678" s="1573"/>
      <c r="KP678" s="1573"/>
      <c r="KQ678" s="1573"/>
      <c r="KR678" s="1573"/>
      <c r="KS678" s="1573"/>
      <c r="KT678" s="1573"/>
      <c r="KU678" s="1573"/>
      <c r="KV678" s="1573"/>
      <c r="KW678" s="1573"/>
      <c r="KX678" s="1573"/>
      <c r="KY678" s="1573"/>
      <c r="KZ678" s="1573"/>
      <c r="LA678" s="1573"/>
      <c r="LB678" s="1573"/>
      <c r="LC678" s="1573"/>
      <c r="LD678" s="1573"/>
      <c r="LE678" s="1573"/>
      <c r="LF678" s="1573"/>
      <c r="LG678" s="1573"/>
      <c r="LN678" s="1440"/>
      <c r="MD678" s="1440"/>
      <c r="ME678" s="1440"/>
    </row>
    <row r="679" spans="2:380" s="263" customFormat="1" ht="16.5" customHeight="1">
      <c r="B679" s="263" t="s">
        <v>1262</v>
      </c>
      <c r="D679" s="2405"/>
      <c r="F679" s="2164">
        <f>'Part V-Revenues &amp; Expenses'!F232</f>
        <v>0</v>
      </c>
      <c r="G679" s="2164"/>
      <c r="O679" s="2407"/>
      <c r="P679" s="2407"/>
      <c r="Q679" s="2407"/>
      <c r="R679" s="2369"/>
      <c r="S679" s="2358"/>
      <c r="T679" s="2358"/>
      <c r="U679" s="2358"/>
      <c r="V679" s="2358"/>
      <c r="W679" s="2358"/>
      <c r="X679" s="261"/>
      <c r="AC679" s="261"/>
      <c r="AH679" s="261"/>
      <c r="AM679" s="261"/>
      <c r="JW679" s="1573"/>
      <c r="KB679" s="1573"/>
      <c r="KG679" s="1573"/>
      <c r="KL679" s="1573"/>
      <c r="KM679" s="1573"/>
      <c r="KN679" s="1573"/>
      <c r="KO679" s="1573"/>
      <c r="KP679" s="1573"/>
      <c r="KQ679" s="1573"/>
      <c r="KR679" s="1573"/>
      <c r="KS679" s="1573"/>
      <c r="KT679" s="1573"/>
      <c r="KU679" s="1573"/>
      <c r="KV679" s="1573"/>
      <c r="KW679" s="1573"/>
      <c r="KX679" s="1573"/>
      <c r="KY679" s="1573"/>
      <c r="KZ679" s="1573"/>
      <c r="LA679" s="1573"/>
      <c r="LB679" s="1573"/>
      <c r="LC679" s="1573"/>
      <c r="LD679" s="1573"/>
      <c r="LE679" s="1573"/>
      <c r="LF679" s="1573"/>
      <c r="LG679" s="1573"/>
      <c r="LN679" s="1440"/>
      <c r="MD679" s="1440"/>
      <c r="ME679" s="1440"/>
    </row>
    <row r="680" spans="2:380" s="263" customFormat="1" ht="16.5" customHeight="1">
      <c r="B680" s="263" t="s">
        <v>1263</v>
      </c>
      <c r="D680" s="2405"/>
      <c r="F680" s="2164">
        <f>'Part V-Revenues &amp; Expenses'!F233</f>
        <v>7612</v>
      </c>
      <c r="G680" s="2164"/>
      <c r="R680" s="2369"/>
      <c r="S680" s="2358"/>
      <c r="T680" s="2358"/>
      <c r="U680" s="2358"/>
      <c r="V680" s="2358"/>
      <c r="W680" s="2358"/>
      <c r="X680" s="261"/>
      <c r="AC680" s="261"/>
      <c r="AH680" s="261"/>
      <c r="AM680" s="261"/>
      <c r="JW680" s="1573"/>
      <c r="KB680" s="1573"/>
      <c r="KG680" s="1573"/>
      <c r="KL680" s="1573"/>
      <c r="KM680" s="1573"/>
      <c r="KN680" s="1573"/>
      <c r="KO680" s="1573"/>
      <c r="KP680" s="1573"/>
      <c r="KQ680" s="1573"/>
      <c r="KR680" s="1573"/>
      <c r="KS680" s="1573"/>
      <c r="KT680" s="1573"/>
      <c r="KU680" s="1573"/>
      <c r="KV680" s="1573"/>
      <c r="KW680" s="1573"/>
      <c r="KX680" s="1573"/>
      <c r="KY680" s="1573"/>
      <c r="KZ680" s="1573"/>
      <c r="LA680" s="1573"/>
      <c r="LB680" s="1573"/>
      <c r="LC680" s="1573"/>
      <c r="LD680" s="1573"/>
      <c r="LE680" s="1573"/>
      <c r="LF680" s="1573"/>
      <c r="LG680" s="1573"/>
      <c r="LN680" s="1440"/>
      <c r="MD680" s="1440"/>
      <c r="ME680" s="1440"/>
      <c r="NP680" s="263" t="s">
        <v>1264</v>
      </c>
    </row>
    <row r="681" spans="2:380" s="263" customFormat="1" ht="16.5" customHeight="1">
      <c r="B681" s="263" t="s">
        <v>1265</v>
      </c>
      <c r="D681" s="2405"/>
      <c r="F681" s="2164">
        <f>'Part V-Revenues &amp; Expenses'!F234</f>
        <v>13582</v>
      </c>
      <c r="G681" s="2164"/>
      <c r="I681" s="1440" t="s">
        <v>1266</v>
      </c>
      <c r="K681" s="1324" t="s">
        <v>1267</v>
      </c>
      <c r="O681" s="1440" t="s">
        <v>1268</v>
      </c>
      <c r="P681" s="1440"/>
      <c r="Q681" s="2174">
        <f>'Part V-Revenues &amp; Expenses'!Q234</f>
        <v>69650</v>
      </c>
      <c r="S681" s="2358"/>
      <c r="T681" s="2358"/>
      <c r="U681" s="2358"/>
      <c r="V681" s="2358"/>
      <c r="W681" s="2358"/>
      <c r="X681" s="261"/>
      <c r="AC681" s="261"/>
      <c r="AH681" s="261"/>
      <c r="AM681" s="261"/>
      <c r="JW681" s="1573"/>
      <c r="KB681" s="1573"/>
      <c r="KG681" s="1573"/>
      <c r="KL681" s="1573"/>
      <c r="KM681" s="1573"/>
      <c r="KN681" s="1573"/>
      <c r="KO681" s="1573"/>
      <c r="KP681" s="1573"/>
      <c r="KQ681" s="1573"/>
      <c r="KR681" s="1573"/>
      <c r="KS681" s="1573"/>
      <c r="KT681" s="1573"/>
      <c r="KU681" s="1573"/>
      <c r="KV681" s="1573"/>
      <c r="KW681" s="1573"/>
      <c r="KX681" s="1573"/>
      <c r="KY681" s="1573"/>
      <c r="KZ681" s="1573"/>
      <c r="LA681" s="1573"/>
      <c r="LB681" s="1573"/>
      <c r="LC681" s="1573"/>
      <c r="LD681" s="1573"/>
      <c r="LE681" s="1573"/>
      <c r="LF681" s="1573"/>
      <c r="LG681" s="1573"/>
      <c r="LN681" s="1440"/>
      <c r="MD681" s="1440"/>
      <c r="ME681" s="1440"/>
    </row>
    <row r="682" spans="2:380" s="263" customFormat="1" ht="16.5" customHeight="1">
      <c r="B682" s="266" t="str">
        <f>'Part V-Revenues &amp; Expenses'!B235</f>
        <v>Training</v>
      </c>
      <c r="C682" s="266"/>
      <c r="D682" s="266"/>
      <c r="E682" s="266"/>
      <c r="F682" s="2164">
        <f>'Part V-Revenues &amp; Expenses'!F235</f>
        <v>10514</v>
      </c>
      <c r="G682" s="2164"/>
      <c r="I682" s="263" t="s">
        <v>1269</v>
      </c>
      <c r="K682" s="2291">
        <f>L682/12/P514</f>
        <v>28.41917922948074</v>
      </c>
      <c r="L682" s="2164">
        <f>'Part V-Revenues &amp; Expenses'!L235</f>
        <v>67865</v>
      </c>
      <c r="M682" s="2164"/>
      <c r="N682" s="2345" t="str">
        <f>IF(Q681&lt;Q690, "WARNING! RR proposed is below the DCA required minimum.","")</f>
        <v/>
      </c>
      <c r="O682" s="266" t="s">
        <v>1270</v>
      </c>
      <c r="Q682" s="2175">
        <f>Q681/P690</f>
        <v>350</v>
      </c>
      <c r="R682" s="2392"/>
      <c r="S682" s="2358"/>
      <c r="T682" s="2358"/>
      <c r="U682" s="2358"/>
      <c r="V682" s="2358"/>
      <c r="W682" s="2358"/>
      <c r="X682" s="261"/>
      <c r="AC682" s="261"/>
      <c r="AH682" s="261"/>
      <c r="AM682" s="261"/>
      <c r="JW682" s="1573"/>
      <c r="KB682" s="1573"/>
      <c r="KG682" s="1573"/>
      <c r="KL682" s="1573"/>
      <c r="KM682" s="1573"/>
      <c r="KN682" s="1573"/>
      <c r="KO682" s="1573"/>
      <c r="KP682" s="1573"/>
      <c r="KQ682" s="1573"/>
      <c r="KR682" s="1573"/>
      <c r="KS682" s="1573"/>
      <c r="KT682" s="1573"/>
      <c r="KU682" s="1573"/>
      <c r="KV682" s="1573"/>
      <c r="KW682" s="1573"/>
      <c r="KX682" s="1573"/>
      <c r="KY682" s="1573"/>
      <c r="KZ682" s="1573"/>
      <c r="LA682" s="1573"/>
      <c r="LB682" s="1573"/>
      <c r="LC682" s="1573"/>
      <c r="LD682" s="1573"/>
      <c r="LE682" s="1573"/>
      <c r="LF682" s="1573"/>
      <c r="LG682" s="1573"/>
      <c r="LN682" s="1440"/>
      <c r="MD682" s="1440"/>
      <c r="ME682" s="1440"/>
    </row>
    <row r="683" spans="2:380" s="263" customFormat="1" ht="16.5" customHeight="1">
      <c r="E683" s="2402" t="s">
        <v>536</v>
      </c>
      <c r="F683" s="2164">
        <f>SUM(F677:G682)</f>
        <v>90482</v>
      </c>
      <c r="G683" s="2164"/>
      <c r="I683" s="263" t="s">
        <v>1271</v>
      </c>
      <c r="K683" s="2291">
        <f>L683/12/P514</f>
        <v>0</v>
      </c>
      <c r="L683" s="2164">
        <f>'Part V-Revenues &amp; Expenses'!L236</f>
        <v>0</v>
      </c>
      <c r="M683" s="2164"/>
      <c r="N683" s="2345"/>
      <c r="O683" s="2408" t="s">
        <v>1272</v>
      </c>
      <c r="P683" s="2408"/>
      <c r="Q683" s="2408"/>
      <c r="S683" s="2358"/>
      <c r="T683" s="2358"/>
      <c r="U683" s="2358"/>
      <c r="V683" s="2358"/>
      <c r="W683" s="2358"/>
      <c r="X683" s="261"/>
      <c r="AC683" s="261"/>
      <c r="AH683" s="261"/>
      <c r="AM683" s="261"/>
      <c r="JW683" s="1573"/>
      <c r="KB683" s="1573"/>
      <c r="KG683" s="1573"/>
      <c r="KL683" s="1573"/>
      <c r="KM683" s="1573"/>
      <c r="KN683" s="1573"/>
      <c r="KO683" s="1573"/>
      <c r="KP683" s="1573"/>
      <c r="KQ683" s="1573"/>
      <c r="KR683" s="1573"/>
      <c r="KS683" s="1573"/>
      <c r="KT683" s="1573"/>
      <c r="KU683" s="1573"/>
      <c r="KV683" s="1573"/>
      <c r="KW683" s="1573"/>
      <c r="KX683" s="1573"/>
      <c r="KY683" s="1573"/>
      <c r="KZ683" s="1573"/>
      <c r="LA683" s="1573"/>
      <c r="LB683" s="1573"/>
      <c r="LC683" s="1573"/>
      <c r="LD683" s="1573"/>
      <c r="LE683" s="1573"/>
      <c r="LF683" s="1573"/>
      <c r="LG683" s="1573"/>
      <c r="LN683" s="1440"/>
      <c r="MD683" s="1440"/>
      <c r="ME683" s="1440"/>
    </row>
    <row r="684" spans="2:380" s="263" customFormat="1" ht="16.5" customHeight="1">
      <c r="D684" s="2402"/>
      <c r="F684" s="2160"/>
      <c r="G684" s="2160"/>
      <c r="I684" s="263" t="s">
        <v>1273</v>
      </c>
      <c r="K684" s="2291">
        <f>L684/12/P514</f>
        <v>32.839614740368511</v>
      </c>
      <c r="L684" s="2164">
        <f>'Part V-Revenues &amp; Expenses'!L237</f>
        <v>78421</v>
      </c>
      <c r="M684" s="2164"/>
      <c r="N684" s="2345"/>
      <c r="O684" s="2409" t="s">
        <v>1274</v>
      </c>
      <c r="P684" s="2410" t="s">
        <v>1275</v>
      </c>
      <c r="Q684" s="2410" t="s">
        <v>1276</v>
      </c>
      <c r="S684" s="2358"/>
      <c r="T684" s="2358"/>
      <c r="U684" s="2358"/>
      <c r="V684" s="2358"/>
      <c r="W684" s="2358"/>
      <c r="JW684" s="1573"/>
      <c r="KB684" s="1573"/>
      <c r="KG684" s="1573"/>
      <c r="KL684" s="1573"/>
      <c r="KM684" s="1573"/>
      <c r="KN684" s="1573"/>
      <c r="KO684" s="1573"/>
      <c r="KP684" s="1573"/>
      <c r="KQ684" s="1573"/>
      <c r="KR684" s="1573"/>
      <c r="KS684" s="1573"/>
      <c r="KT684" s="1573"/>
      <c r="KU684" s="1573"/>
      <c r="KV684" s="1573"/>
      <c r="KW684" s="1573"/>
      <c r="KX684" s="1573"/>
      <c r="KY684" s="1573"/>
      <c r="KZ684" s="1573"/>
      <c r="LA684" s="1573"/>
      <c r="LB684" s="1573"/>
      <c r="LC684" s="1573"/>
      <c r="LD684" s="1573"/>
      <c r="LE684" s="1573"/>
      <c r="LF684" s="1573"/>
      <c r="LG684" s="1573"/>
      <c r="LN684" s="1440"/>
      <c r="MD684" s="1440"/>
      <c r="ME684" s="1440"/>
      <c r="NP684" s="263" t="s">
        <v>608</v>
      </c>
    </row>
    <row r="685" spans="2:380" s="263" customFormat="1" ht="16.5" customHeight="1">
      <c r="B685" s="1440" t="s">
        <v>1277</v>
      </c>
      <c r="D685" s="2405"/>
      <c r="I685" s="263" t="s">
        <v>1278</v>
      </c>
      <c r="K685" s="2291">
        <f>L685/12/P514</f>
        <v>23.272613065326635</v>
      </c>
      <c r="L685" s="2164">
        <f>'Part V-Revenues &amp; Expenses'!L238</f>
        <v>55575</v>
      </c>
      <c r="M685" s="2164"/>
      <c r="N685" s="2345"/>
      <c r="O685" s="302" t="s">
        <v>652</v>
      </c>
      <c r="R685" s="2172"/>
      <c r="S685" s="2358"/>
      <c r="T685" s="2358"/>
      <c r="U685" s="2358"/>
      <c r="V685" s="2358"/>
      <c r="W685" s="2358"/>
      <c r="X685" s="261"/>
      <c r="AC685" s="261"/>
      <c r="AH685" s="261"/>
      <c r="AM685" s="261"/>
      <c r="JW685" s="1573"/>
      <c r="KB685" s="1573"/>
      <c r="KG685" s="1573"/>
      <c r="KL685" s="1573"/>
      <c r="KM685" s="1573"/>
      <c r="KN685" s="1573"/>
      <c r="KO685" s="1573"/>
      <c r="KP685" s="1573"/>
      <c r="KQ685" s="1573"/>
      <c r="KR685" s="1573"/>
      <c r="KS685" s="1573"/>
      <c r="KT685" s="1573"/>
      <c r="KU685" s="1573"/>
      <c r="KV685" s="1573"/>
      <c r="KW685" s="1573"/>
      <c r="KX685" s="1573"/>
      <c r="KY685" s="1573"/>
      <c r="KZ685" s="1573"/>
      <c r="LA685" s="1573"/>
      <c r="LB685" s="1573"/>
      <c r="LC685" s="1573"/>
      <c r="LD685" s="1573"/>
      <c r="LE685" s="1573"/>
      <c r="LF685" s="1573"/>
      <c r="LG685" s="1573"/>
      <c r="LN685" s="1440"/>
      <c r="MD685" s="1440"/>
      <c r="ME685" s="1440"/>
    </row>
    <row r="686" spans="2:380" s="263" customFormat="1" ht="16.5" customHeight="1">
      <c r="B686" s="263" t="s">
        <v>1279</v>
      </c>
      <c r="D686" s="2405"/>
      <c r="F686" s="2164">
        <f>'Part V-Revenues &amp; Expenses'!F239</f>
        <v>9575</v>
      </c>
      <c r="G686" s="2164"/>
      <c r="I686" s="263" t="s">
        <v>7004</v>
      </c>
      <c r="K686" s="2291">
        <f>L686/12/P514</f>
        <v>3.4489112227805698</v>
      </c>
      <c r="L686" s="2164">
        <f>'Part V-Revenues &amp; Expenses'!L239</f>
        <v>8236</v>
      </c>
      <c r="M686" s="2164"/>
      <c r="N686" s="2345"/>
      <c r="O686" s="2196" t="s">
        <v>1281</v>
      </c>
      <c r="P686" s="2411" t="str">
        <f>CONCATENATE(SUM(MF496:MJ496)," units x $",'DCA Underwriting Assumptions'!$Q$28," =")</f>
        <v>199 units x $350 =</v>
      </c>
      <c r="Q686" s="2411">
        <f>'Part V-Revenues &amp; Expenses'!Q239</f>
        <v>69650</v>
      </c>
      <c r="R686" s="2174"/>
      <c r="S686" s="2358"/>
      <c r="T686" s="2358"/>
      <c r="U686" s="2358"/>
      <c r="V686" s="2358"/>
      <c r="W686" s="2358"/>
      <c r="X686" s="261"/>
      <c r="AC686" s="261"/>
      <c r="AH686" s="261"/>
      <c r="AM686" s="261"/>
      <c r="JW686" s="1573"/>
      <c r="KB686" s="1573"/>
      <c r="KG686" s="1573"/>
      <c r="KL686" s="1573"/>
      <c r="KM686" s="1573"/>
      <c r="KN686" s="1573"/>
      <c r="KO686" s="1573"/>
      <c r="KP686" s="1573"/>
      <c r="KQ686" s="1573"/>
      <c r="KR686" s="1573"/>
      <c r="KS686" s="1573"/>
      <c r="KT686" s="1573"/>
      <c r="KU686" s="1573"/>
      <c r="KV686" s="1573"/>
      <c r="KW686" s="1573"/>
      <c r="KX686" s="1573"/>
      <c r="KY686" s="1573"/>
      <c r="KZ686" s="1573"/>
      <c r="LA686" s="1573"/>
      <c r="LB686" s="1573"/>
      <c r="LC686" s="1573"/>
      <c r="LD686" s="1573"/>
      <c r="LE686" s="1573"/>
      <c r="LF686" s="1573"/>
      <c r="LG686" s="1573"/>
      <c r="LN686" s="1440"/>
      <c r="MD686" s="1440"/>
      <c r="ME686" s="1440"/>
    </row>
    <row r="687" spans="2:380" s="263" customFormat="1" ht="16.5" customHeight="1">
      <c r="B687" s="263" t="s">
        <v>1282</v>
      </c>
      <c r="D687" s="2405"/>
      <c r="F687" s="2164">
        <f>'Part V-Revenues &amp; Expenses'!F240</f>
        <v>92815</v>
      </c>
      <c r="G687" s="2164"/>
      <c r="I687" s="2406" t="str">
        <f>'Part V-Revenues &amp; Expenses'!I240</f>
        <v>Other (describe here)</v>
      </c>
      <c r="J687" s="2406"/>
      <c r="K687" s="2291">
        <f>L687/12/P514</f>
        <v>0</v>
      </c>
      <c r="L687" s="2164">
        <f>'Part V-Revenues &amp; Expenses'!L240</f>
        <v>0</v>
      </c>
      <c r="M687" s="2164"/>
      <c r="N687" s="2345"/>
      <c r="O687" s="2196" t="s">
        <v>1283</v>
      </c>
      <c r="P687" s="2411" t="str">
        <f>CONCATENATE(SUM(MK496:MO496)," units x $",'DCA Underwriting Assumptions'!$Q$29," =")</f>
        <v>0 units x $250 =</v>
      </c>
      <c r="Q687" s="2411">
        <f>'Part V-Revenues &amp; Expenses'!Q240</f>
        <v>0</v>
      </c>
      <c r="S687" s="2358"/>
      <c r="T687" s="2358"/>
      <c r="U687" s="2358"/>
      <c r="V687" s="2358"/>
      <c r="W687" s="2358"/>
      <c r="X687" s="261"/>
      <c r="AC687" s="261"/>
      <c r="AH687" s="261"/>
      <c r="AM687" s="261"/>
      <c r="JW687" s="1573"/>
      <c r="KB687" s="1573"/>
      <c r="KG687" s="1573"/>
      <c r="KL687" s="1573"/>
      <c r="KM687" s="1573"/>
      <c r="KN687" s="1573"/>
      <c r="KO687" s="1573"/>
      <c r="KP687" s="1573"/>
      <c r="KQ687" s="1573"/>
      <c r="KR687" s="1573"/>
      <c r="KS687" s="1573"/>
      <c r="KT687" s="1573"/>
      <c r="KU687" s="1573"/>
      <c r="KV687" s="1573"/>
      <c r="KW687" s="1573"/>
      <c r="KX687" s="1573"/>
      <c r="KY687" s="1573"/>
      <c r="KZ687" s="1573"/>
      <c r="LA687" s="1573"/>
      <c r="LB687" s="1573"/>
      <c r="LC687" s="1573"/>
      <c r="LD687" s="1573"/>
      <c r="LE687" s="1573"/>
      <c r="LF687" s="1573"/>
      <c r="LG687" s="1573"/>
      <c r="LN687" s="1440"/>
      <c r="MD687" s="1440"/>
      <c r="ME687" s="1440"/>
    </row>
    <row r="688" spans="2:380" s="263" customFormat="1" ht="16.5" customHeight="1">
      <c r="B688" s="263" t="s">
        <v>1284</v>
      </c>
      <c r="D688" s="2405"/>
      <c r="F688" s="2164">
        <f>'Part V-Revenues &amp; Expenses'!F241</f>
        <v>18500</v>
      </c>
      <c r="G688" s="2164"/>
      <c r="K688" s="2402" t="s">
        <v>536</v>
      </c>
      <c r="L688" s="2392">
        <f>SUM(L682:L687)</f>
        <v>210097</v>
      </c>
      <c r="M688" s="2392"/>
      <c r="N688" s="2345"/>
      <c r="O688" s="2249" t="s">
        <v>1285</v>
      </c>
      <c r="P688" s="2411" t="str">
        <f>CONCATENATE(SUM(MP496:MT496)," units x $",'DCA Underwriting Assumptions'!$Q$30," =")</f>
        <v>0 units x $420 =</v>
      </c>
      <c r="Q688" s="2411">
        <f>'Part V-Revenues &amp; Expenses'!Q241</f>
        <v>0</v>
      </c>
      <c r="R688" s="2410"/>
      <c r="S688" s="2358"/>
      <c r="T688" s="2358"/>
      <c r="U688" s="2358"/>
      <c r="V688" s="2358"/>
      <c r="W688" s="2358"/>
      <c r="X688" s="261"/>
      <c r="AC688" s="261"/>
      <c r="AH688" s="261"/>
      <c r="AM688" s="261"/>
      <c r="JW688" s="1573"/>
      <c r="KB688" s="1573"/>
      <c r="KG688" s="1573"/>
      <c r="KL688" s="1573"/>
      <c r="KM688" s="1573"/>
      <c r="KN688" s="1573"/>
      <c r="KO688" s="1573"/>
      <c r="KP688" s="1573"/>
      <c r="KQ688" s="1573"/>
      <c r="KR688" s="1573"/>
      <c r="KS688" s="1573"/>
      <c r="KT688" s="1573"/>
      <c r="KU688" s="1573"/>
      <c r="KV688" s="1573"/>
      <c r="KW688" s="1573"/>
      <c r="KX688" s="1573"/>
      <c r="KY688" s="1573"/>
      <c r="KZ688" s="1573"/>
      <c r="LA688" s="1573"/>
      <c r="LB688" s="1573"/>
      <c r="LC688" s="1573"/>
      <c r="LD688" s="1573"/>
      <c r="LE688" s="1573"/>
      <c r="LF688" s="1573"/>
      <c r="LG688" s="1573"/>
      <c r="LN688" s="1440"/>
      <c r="MD688" s="1440"/>
      <c r="ME688" s="1440"/>
    </row>
    <row r="689" spans="1:380" s="263" customFormat="1" ht="16.5" customHeight="1">
      <c r="B689" s="263" t="s">
        <v>1286</v>
      </c>
      <c r="D689" s="2405"/>
      <c r="F689" s="2164">
        <f>'Part V-Revenues &amp; Expenses'!F242</f>
        <v>19250</v>
      </c>
      <c r="G689" s="2164"/>
      <c r="O689" s="2249" t="s">
        <v>1287</v>
      </c>
      <c r="P689" s="2411" t="str">
        <f>CONCATENATE(P572," units x $",'DCA Underwriting Assumptions'!$Q$31," =")</f>
        <v>0 units x $420 =</v>
      </c>
      <c r="Q689" s="2411">
        <f>'Part V-Revenues &amp; Expenses'!Q242</f>
        <v>0</v>
      </c>
      <c r="S689" s="2358"/>
      <c r="T689" s="2358"/>
      <c r="U689" s="2358"/>
      <c r="V689" s="2358"/>
      <c r="W689" s="2358"/>
      <c r="X689" s="261"/>
      <c r="AC689" s="261"/>
      <c r="AH689" s="261"/>
      <c r="AM689" s="261"/>
      <c r="JW689" s="1573"/>
      <c r="KB689" s="1573"/>
      <c r="KG689" s="1573"/>
      <c r="KL689" s="1573"/>
      <c r="KM689" s="1573"/>
      <c r="KN689" s="1573"/>
      <c r="KO689" s="1573"/>
      <c r="KP689" s="1573"/>
      <c r="KQ689" s="1573"/>
      <c r="KR689" s="1573"/>
      <c r="KS689" s="1573"/>
      <c r="KT689" s="1573"/>
      <c r="KU689" s="1573"/>
      <c r="KV689" s="1573"/>
      <c r="KW689" s="1573"/>
      <c r="KX689" s="1573"/>
      <c r="KY689" s="1573"/>
      <c r="KZ689" s="1573"/>
      <c r="LA689" s="1573"/>
      <c r="LB689" s="1573"/>
      <c r="LC689" s="1573"/>
      <c r="LD689" s="1573"/>
      <c r="LE689" s="1573"/>
      <c r="LF689" s="1573"/>
      <c r="LG689" s="1573"/>
      <c r="LN689" s="1440"/>
      <c r="MD689" s="1440"/>
      <c r="ME689" s="1440"/>
      <c r="NP689" s="263" t="s">
        <v>1288</v>
      </c>
    </row>
    <row r="690" spans="1:380" s="263" customFormat="1" ht="16.5" customHeight="1">
      <c r="B690" s="263" t="s">
        <v>1289</v>
      </c>
      <c r="D690" s="2405"/>
      <c r="F690" s="2164">
        <f>'Part V-Revenues &amp; Expenses'!F243</f>
        <v>31430</v>
      </c>
      <c r="G690" s="2164"/>
      <c r="I690" s="1440" t="s">
        <v>1290</v>
      </c>
      <c r="O690" s="2362" t="s">
        <v>1291</v>
      </c>
      <c r="P690" s="2356">
        <f>'Part V-Revenues &amp; Expenses'!P243</f>
        <v>199</v>
      </c>
      <c r="Q690" s="2412">
        <f>SUM(Q686:Q689)</f>
        <v>69650</v>
      </c>
      <c r="R690" s="2411"/>
      <c r="S690" s="2358"/>
      <c r="T690" s="2358"/>
      <c r="U690" s="2358"/>
      <c r="V690" s="2358"/>
      <c r="W690" s="2358"/>
      <c r="X690" s="261"/>
      <c r="AC690" s="261"/>
      <c r="AH690" s="261"/>
      <c r="AM690" s="261"/>
      <c r="JW690" s="1573"/>
      <c r="KB690" s="1573"/>
      <c r="KG690" s="1573"/>
      <c r="KL690" s="1573"/>
      <c r="KM690" s="1573"/>
      <c r="KN690" s="1573"/>
      <c r="KO690" s="1573"/>
      <c r="KP690" s="1573"/>
      <c r="KQ690" s="1573"/>
      <c r="KR690" s="1573"/>
      <c r="KS690" s="1573"/>
      <c r="KT690" s="1573"/>
      <c r="KU690" s="1573"/>
      <c r="KV690" s="1573"/>
      <c r="KW690" s="1573"/>
      <c r="KX690" s="1573"/>
      <c r="KY690" s="1573"/>
      <c r="KZ690" s="1573"/>
      <c r="LA690" s="1573"/>
      <c r="LB690" s="1573"/>
      <c r="LC690" s="1573"/>
      <c r="LD690" s="1573"/>
      <c r="LE690" s="1573"/>
      <c r="LF690" s="1573"/>
      <c r="LG690" s="1573"/>
      <c r="LN690" s="1440"/>
      <c r="MD690" s="1440"/>
      <c r="ME690" s="1440"/>
    </row>
    <row r="691" spans="1:380" s="263" customFormat="1" ht="16.5" customHeight="1">
      <c r="B691" s="263" t="s">
        <v>1292</v>
      </c>
      <c r="D691" s="2405"/>
      <c r="F691" s="2164">
        <f>'Part V-Revenues &amp; Expenses'!F244</f>
        <v>3500</v>
      </c>
      <c r="G691" s="2164"/>
      <c r="I691" s="263" t="s">
        <v>7005</v>
      </c>
      <c r="L691" s="2164">
        <f>'Part V-Revenues &amp; Expenses'!L244</f>
        <v>114826</v>
      </c>
      <c r="M691" s="2164"/>
      <c r="R691" s="2411"/>
      <c r="S691" s="2358"/>
      <c r="T691" s="2358"/>
      <c r="U691" s="2358"/>
      <c r="V691" s="2358"/>
      <c r="W691" s="2358"/>
      <c r="X691" s="261"/>
      <c r="AC691" s="261"/>
      <c r="AH691" s="261"/>
      <c r="AM691" s="261"/>
      <c r="JW691" s="1573"/>
      <c r="KB691" s="1573"/>
      <c r="KG691" s="1573"/>
      <c r="KL691" s="1573"/>
      <c r="KM691" s="1573"/>
      <c r="KN691" s="1573"/>
      <c r="KO691" s="1573"/>
      <c r="KP691" s="1573"/>
      <c r="KQ691" s="1573"/>
      <c r="KR691" s="1573"/>
      <c r="KS691" s="1573"/>
      <c r="KT691" s="1573"/>
      <c r="KU691" s="1573"/>
      <c r="KV691" s="1573"/>
      <c r="KW691" s="1573"/>
      <c r="KX691" s="1573"/>
      <c r="KY691" s="1573"/>
      <c r="KZ691" s="1573"/>
      <c r="LA691" s="1573"/>
      <c r="LB691" s="1573"/>
      <c r="LC691" s="1573"/>
      <c r="LD691" s="1573"/>
      <c r="LE691" s="1573"/>
      <c r="LF691" s="1573"/>
      <c r="LG691" s="1573"/>
      <c r="LN691" s="1440"/>
      <c r="MD691" s="1440"/>
      <c r="ME691" s="1440"/>
    </row>
    <row r="692" spans="1:380" s="263" customFormat="1" ht="16.5" customHeight="1">
      <c r="B692" s="263" t="s">
        <v>1294</v>
      </c>
      <c r="D692" s="2405"/>
      <c r="F692" s="2164">
        <f>'Part V-Revenues &amp; Expenses'!F245</f>
        <v>0</v>
      </c>
      <c r="G692" s="2164"/>
      <c r="I692" s="263" t="s">
        <v>1295</v>
      </c>
      <c r="L692" s="2164">
        <f>'Part V-Revenues &amp; Expenses'!L245</f>
        <v>115000</v>
      </c>
      <c r="M692" s="2164"/>
      <c r="R692" s="2411"/>
      <c r="S692" s="2358"/>
      <c r="T692" s="2358"/>
      <c r="U692" s="2358"/>
      <c r="V692" s="2358"/>
      <c r="W692" s="2358"/>
      <c r="X692" s="261"/>
      <c r="AC692" s="261"/>
      <c r="AH692" s="261"/>
      <c r="AM692" s="261"/>
      <c r="JW692" s="1573"/>
      <c r="KB692" s="1573"/>
      <c r="KG692" s="1573"/>
      <c r="KL692" s="1573"/>
      <c r="KM692" s="1573"/>
      <c r="KN692" s="1573"/>
      <c r="KO692" s="1573"/>
      <c r="KP692" s="1573"/>
      <c r="KQ692" s="1573"/>
      <c r="KR692" s="1573"/>
      <c r="KS692" s="1573"/>
      <c r="KT692" s="1573"/>
      <c r="KU692" s="1573"/>
      <c r="KV692" s="1573"/>
      <c r="KW692" s="1573"/>
      <c r="KX692" s="1573"/>
      <c r="KY692" s="1573"/>
      <c r="KZ692" s="1573"/>
      <c r="LA692" s="1573"/>
      <c r="LB692" s="1573"/>
      <c r="LC692" s="1573"/>
      <c r="LD692" s="1573"/>
      <c r="LE692" s="1573"/>
      <c r="LF692" s="1573"/>
      <c r="LG692" s="1573"/>
      <c r="LN692" s="1440"/>
      <c r="MD692" s="1440"/>
      <c r="ME692" s="1440"/>
    </row>
    <row r="693" spans="1:380" s="263" customFormat="1" ht="16.5" customHeight="1">
      <c r="B693" s="266" t="str">
        <f>'Part V-Revenues &amp; Expenses'!B246</f>
        <v>Turnover</v>
      </c>
      <c r="C693" s="266"/>
      <c r="D693" s="266"/>
      <c r="E693" s="266"/>
      <c r="F693" s="2164">
        <f>'Part V-Revenues &amp; Expenses'!F246</f>
        <v>45000</v>
      </c>
      <c r="G693" s="2164"/>
      <c r="I693" s="2406" t="str">
        <f>'Part V-Revenues &amp; Expenses'!I246</f>
        <v>Other (describe here)</v>
      </c>
      <c r="J693" s="2406"/>
      <c r="K693" s="2406"/>
      <c r="L693" s="2164">
        <f>'Part V-Revenues &amp; Expenses'!L246</f>
        <v>0</v>
      </c>
      <c r="M693" s="2164"/>
      <c r="R693" s="2411"/>
      <c r="S693" s="2358"/>
      <c r="T693" s="2358"/>
      <c r="U693" s="2358"/>
      <c r="V693" s="2358"/>
      <c r="W693" s="2358"/>
      <c r="X693" s="261"/>
      <c r="AC693" s="261"/>
      <c r="AH693" s="261"/>
      <c r="AM693" s="261"/>
      <c r="JW693" s="1573"/>
      <c r="KB693" s="1573"/>
      <c r="KG693" s="1573"/>
      <c r="KL693" s="1573"/>
      <c r="KM693" s="1573"/>
      <c r="KN693" s="1573"/>
      <c r="KO693" s="1573"/>
      <c r="KP693" s="1573"/>
      <c r="KQ693" s="1573"/>
      <c r="KR693" s="1573"/>
      <c r="KS693" s="1573"/>
      <c r="KT693" s="1573"/>
      <c r="KU693" s="1573"/>
      <c r="KV693" s="1573"/>
      <c r="KW693" s="1573"/>
      <c r="KX693" s="1573"/>
      <c r="KY693" s="1573"/>
      <c r="KZ693" s="1573"/>
      <c r="LA693" s="1573"/>
      <c r="LB693" s="1573"/>
      <c r="LC693" s="1573"/>
      <c r="LD693" s="1573"/>
      <c r="LE693" s="1573"/>
      <c r="LF693" s="1573"/>
      <c r="LG693" s="1573"/>
      <c r="LN693" s="1440"/>
      <c r="MD693" s="1440"/>
      <c r="ME693" s="1440"/>
      <c r="NP693" s="263" t="s">
        <v>1296</v>
      </c>
    </row>
    <row r="694" spans="1:380" s="263" customFormat="1" ht="16.5" customHeight="1">
      <c r="B694" s="1440"/>
      <c r="E694" s="2402" t="s">
        <v>536</v>
      </c>
      <c r="F694" s="2164">
        <f>SUM(F686:G693)</f>
        <v>220070</v>
      </c>
      <c r="G694" s="2164"/>
      <c r="K694" s="2402" t="s">
        <v>536</v>
      </c>
      <c r="L694" s="2392">
        <f>SUM(L690:L693)</f>
        <v>229826</v>
      </c>
      <c r="M694" s="2392"/>
      <c r="O694" s="1440" t="s">
        <v>1297</v>
      </c>
      <c r="Q694" s="2392">
        <f>Q675+Q681</f>
        <v>1571451</v>
      </c>
      <c r="R694" s="2411"/>
      <c r="S694" s="2358"/>
      <c r="T694" s="2358"/>
      <c r="U694" s="2358"/>
      <c r="V694" s="2358"/>
      <c r="W694" s="2358"/>
      <c r="X694" s="261"/>
      <c r="AC694" s="261"/>
      <c r="AH694" s="261"/>
      <c r="AM694" s="261"/>
      <c r="JW694" s="1573"/>
      <c r="KB694" s="1573"/>
      <c r="KG694" s="1573"/>
      <c r="KL694" s="1573"/>
      <c r="KM694" s="1573"/>
      <c r="KN694" s="1573"/>
      <c r="KO694" s="1573"/>
      <c r="KP694" s="1573"/>
      <c r="KQ694" s="1573"/>
      <c r="KR694" s="1573"/>
      <c r="KS694" s="1573"/>
      <c r="KT694" s="1573"/>
      <c r="KU694" s="1573"/>
      <c r="KV694" s="1573"/>
      <c r="KW694" s="1573"/>
      <c r="KX694" s="1573"/>
      <c r="KY694" s="1573"/>
      <c r="KZ694" s="1573"/>
      <c r="LA694" s="1573"/>
      <c r="LB694" s="1573"/>
      <c r="LC694" s="1573"/>
      <c r="LD694" s="1573"/>
      <c r="LE694" s="1573"/>
      <c r="LF694" s="1573"/>
      <c r="LG694" s="1573"/>
      <c r="LN694" s="1440"/>
      <c r="MD694" s="1440"/>
      <c r="ME694" s="1440"/>
    </row>
    <row r="695" spans="1:380" s="263" customFormat="1" ht="6" customHeight="1">
      <c r="B695" s="1440"/>
      <c r="C695" s="2402"/>
      <c r="F695" s="2160"/>
      <c r="G695" s="2160"/>
      <c r="K695" s="2160"/>
      <c r="X695" s="261"/>
      <c r="AC695" s="261"/>
      <c r="AH695" s="261"/>
      <c r="AM695" s="261"/>
      <c r="JW695" s="1573"/>
      <c r="KB695" s="1573"/>
      <c r="KG695" s="1573"/>
      <c r="KL695" s="1573"/>
      <c r="KM695" s="1573"/>
      <c r="KN695" s="1573"/>
      <c r="KO695" s="1573"/>
      <c r="KP695" s="1573"/>
      <c r="KQ695" s="1573"/>
      <c r="KR695" s="1573"/>
      <c r="KS695" s="1573"/>
      <c r="KT695" s="1573"/>
      <c r="KU695" s="1573"/>
      <c r="KV695" s="1573"/>
      <c r="KW695" s="1573"/>
      <c r="KX695" s="1573"/>
      <c r="KY695" s="1573"/>
      <c r="KZ695" s="1573"/>
      <c r="LA695" s="1573"/>
      <c r="LB695" s="1573"/>
      <c r="LC695" s="1573"/>
      <c r="LD695" s="1573"/>
      <c r="LE695" s="1573"/>
      <c r="LF695" s="1573"/>
      <c r="LG695" s="1573"/>
      <c r="LN695" s="1440"/>
      <c r="MD695" s="1440"/>
      <c r="ME695" s="1440"/>
    </row>
    <row r="696" spans="1:380" s="263" customFormat="1" ht="15.6" customHeight="1">
      <c r="B696" s="1440"/>
      <c r="C696" s="2402"/>
      <c r="F696" s="2160"/>
      <c r="G696" s="2160"/>
      <c r="K696" s="2160"/>
      <c r="R696" s="2392"/>
      <c r="X696" s="261"/>
      <c r="AC696" s="261"/>
      <c r="AH696" s="261"/>
      <c r="AM696" s="261"/>
      <c r="JW696" s="1573"/>
      <c r="KB696" s="1573"/>
      <c r="KG696" s="1573"/>
      <c r="KL696" s="1573"/>
      <c r="KM696" s="1573"/>
      <c r="KN696" s="1573"/>
      <c r="KO696" s="1573"/>
      <c r="KP696" s="1573"/>
      <c r="KQ696" s="1573"/>
      <c r="KR696" s="1573"/>
      <c r="KS696" s="1573"/>
      <c r="KT696" s="1573"/>
      <c r="KU696" s="1573"/>
      <c r="KV696" s="1573"/>
      <c r="KW696" s="1573"/>
      <c r="KX696" s="1573"/>
      <c r="KY696" s="1573"/>
      <c r="KZ696" s="1573"/>
      <c r="LA696" s="1573"/>
      <c r="LB696" s="1573"/>
      <c r="LC696" s="1573"/>
      <c r="LD696" s="1573"/>
      <c r="LE696" s="1573"/>
      <c r="LF696" s="1573"/>
      <c r="LG696" s="1573"/>
      <c r="LN696" s="1440"/>
      <c r="MD696" s="1440"/>
      <c r="ME696" s="1440"/>
    </row>
    <row r="697" spans="1:380" s="263" customFormat="1" ht="15" customHeight="1">
      <c r="B697" s="1440"/>
      <c r="C697" s="2402"/>
      <c r="F697" s="2160"/>
      <c r="G697" s="2160"/>
      <c r="K697" s="2160"/>
      <c r="O697" s="1440"/>
      <c r="Q697" s="2392"/>
      <c r="R697" s="2392"/>
      <c r="X697" s="261"/>
      <c r="AC697" s="261"/>
      <c r="AH697" s="261"/>
      <c r="AM697" s="261"/>
      <c r="JW697" s="1573"/>
      <c r="KB697" s="1573"/>
      <c r="KG697" s="1573"/>
      <c r="KL697" s="1573"/>
      <c r="KM697" s="1573"/>
      <c r="KN697" s="1573"/>
      <c r="KO697" s="1573"/>
      <c r="KP697" s="1573"/>
      <c r="KQ697" s="1573"/>
      <c r="KR697" s="1573"/>
      <c r="KS697" s="1573"/>
      <c r="KT697" s="1573"/>
      <c r="KU697" s="1573"/>
      <c r="KV697" s="1573"/>
      <c r="KW697" s="1573"/>
      <c r="KX697" s="1573"/>
      <c r="KY697" s="1573"/>
      <c r="KZ697" s="1573"/>
      <c r="LA697" s="1573"/>
      <c r="LB697" s="1573"/>
      <c r="LC697" s="1573"/>
      <c r="LD697" s="1573"/>
      <c r="LE697" s="1573"/>
      <c r="LF697" s="1573"/>
      <c r="LG697" s="1573"/>
      <c r="LN697" s="1440"/>
      <c r="MD697" s="1440"/>
      <c r="ME697" s="1440"/>
    </row>
    <row r="698" spans="1:380" s="263" customFormat="1" ht="15" customHeight="1">
      <c r="A698" s="265" t="s">
        <v>1298</v>
      </c>
      <c r="B698" s="1440" t="s">
        <v>1299</v>
      </c>
      <c r="C698" s="2402"/>
      <c r="H698" s="2160"/>
      <c r="I698" s="2176" t="s">
        <v>1300</v>
      </c>
      <c r="K698" s="2392">
        <f>'Part V-Revenues &amp; Expenses'!K251</f>
        <v>10</v>
      </c>
      <c r="L698" s="2392"/>
      <c r="M698" s="2404" t="s">
        <v>1301</v>
      </c>
      <c r="N698" s="2378">
        <f>'Part V-Revenues &amp; Expenses'!N251</f>
        <v>45</v>
      </c>
      <c r="O698" s="1440" t="s">
        <v>1302</v>
      </c>
      <c r="Q698" s="2378">
        <f>K698*N698</f>
        <v>450</v>
      </c>
      <c r="R698" s="2392"/>
      <c r="S698" s="2358"/>
      <c r="T698" s="2358"/>
      <c r="U698" s="2358"/>
      <c r="V698" s="2358"/>
      <c r="W698" s="2358"/>
      <c r="X698" s="261"/>
      <c r="AC698" s="261"/>
      <c r="AH698" s="261"/>
      <c r="AM698" s="261"/>
      <c r="JW698" s="1573"/>
      <c r="KB698" s="1573"/>
      <c r="KG698" s="1573"/>
      <c r="KL698" s="1573"/>
      <c r="KM698" s="1573"/>
      <c r="KN698" s="1573"/>
      <c r="KO698" s="1573"/>
      <c r="KP698" s="1573"/>
      <c r="KQ698" s="1573"/>
      <c r="KR698" s="1573"/>
      <c r="KS698" s="1573"/>
      <c r="KT698" s="1573"/>
      <c r="KU698" s="1573"/>
      <c r="KV698" s="1573"/>
      <c r="KW698" s="1573"/>
      <c r="KX698" s="1573"/>
      <c r="KY698" s="1573"/>
      <c r="KZ698" s="1573"/>
      <c r="LA698" s="1573"/>
      <c r="LB698" s="1573"/>
      <c r="LC698" s="1573"/>
      <c r="LD698" s="1573"/>
      <c r="LE698" s="1573"/>
      <c r="LF698" s="1573"/>
      <c r="LG698" s="1573"/>
      <c r="LN698" s="1440"/>
      <c r="MD698" s="1440"/>
      <c r="ME698" s="1440"/>
    </row>
    <row r="699" spans="1:380" s="263" customFormat="1" ht="12" customHeight="1">
      <c r="B699" s="1440"/>
      <c r="C699" s="2402"/>
      <c r="F699" s="2160"/>
      <c r="G699" s="2160"/>
      <c r="K699" s="2160"/>
      <c r="O699" s="1440"/>
      <c r="Q699" s="2392"/>
      <c r="R699" s="2392"/>
      <c r="X699" s="261"/>
      <c r="AC699" s="261"/>
      <c r="AH699" s="261"/>
      <c r="AM699" s="261"/>
      <c r="JW699" s="1573"/>
      <c r="KB699" s="1573"/>
      <c r="KG699" s="1573"/>
      <c r="KL699" s="1573"/>
      <c r="KM699" s="1573"/>
      <c r="KN699" s="1573"/>
      <c r="KO699" s="1573"/>
      <c r="KP699" s="1573"/>
      <c r="KQ699" s="1573"/>
      <c r="KR699" s="1573"/>
      <c r="KS699" s="1573"/>
      <c r="KT699" s="1573"/>
      <c r="KU699" s="1573"/>
      <c r="KV699" s="1573"/>
      <c r="KW699" s="1573"/>
      <c r="KX699" s="1573"/>
      <c r="KY699" s="1573"/>
      <c r="KZ699" s="1573"/>
      <c r="LA699" s="1573"/>
      <c r="LB699" s="1573"/>
      <c r="LC699" s="1573"/>
      <c r="LD699" s="1573"/>
      <c r="LE699" s="1573"/>
      <c r="LF699" s="1573"/>
      <c r="LG699" s="1573"/>
      <c r="LN699" s="1440"/>
      <c r="MD699" s="1440"/>
      <c r="ME699" s="1440"/>
    </row>
    <row r="700" spans="1:380" s="263" customFormat="1" ht="15" customHeight="1">
      <c r="B700" s="263" t="s">
        <v>1303</v>
      </c>
      <c r="C700" s="2402"/>
      <c r="F700" s="2160"/>
      <c r="G700" s="2160"/>
      <c r="J700" s="1573" t="str">
        <f>'Part V-Revenues &amp; Expenses'!J253</f>
        <v>No</v>
      </c>
      <c r="K700" s="2176" t="s">
        <v>1304</v>
      </c>
      <c r="L700" s="1573" t="str">
        <f>'Part V-Revenues &amp; Expenses'!L253</f>
        <v>No</v>
      </c>
      <c r="M700" s="1573" t="s">
        <v>1305</v>
      </c>
      <c r="N700" s="2378">
        <f>'Part V-Revenues &amp; Expenses'!N253</f>
        <v>0</v>
      </c>
      <c r="O700" s="263" t="s">
        <v>1306</v>
      </c>
      <c r="Q700" s="2378">
        <f>'Part V-Revenues &amp; Expenses'!Q253</f>
        <v>0</v>
      </c>
      <c r="R700" s="2392"/>
      <c r="S700" s="2358"/>
      <c r="T700" s="2358"/>
      <c r="U700" s="2358"/>
      <c r="V700" s="2358"/>
      <c r="W700" s="2358"/>
      <c r="X700" s="261"/>
      <c r="AC700" s="261"/>
      <c r="AH700" s="261"/>
      <c r="AM700" s="261"/>
      <c r="JW700" s="1573"/>
      <c r="KB700" s="1573"/>
      <c r="KG700" s="1573"/>
      <c r="KL700" s="1573"/>
      <c r="KM700" s="1573"/>
      <c r="KN700" s="1573"/>
      <c r="KO700" s="1573"/>
      <c r="KP700" s="1573"/>
      <c r="KQ700" s="1573"/>
      <c r="KR700" s="1573"/>
      <c r="KS700" s="1573"/>
      <c r="KT700" s="1573"/>
      <c r="KU700" s="1573"/>
      <c r="KV700" s="1573"/>
      <c r="KW700" s="1573"/>
      <c r="KX700" s="1573"/>
      <c r="KY700" s="1573"/>
      <c r="KZ700" s="1573"/>
      <c r="LA700" s="1573"/>
      <c r="LB700" s="1573"/>
      <c r="LC700" s="1573"/>
      <c r="LD700" s="1573"/>
      <c r="LE700" s="1573"/>
      <c r="LF700" s="1573"/>
      <c r="LG700" s="1573"/>
      <c r="LN700" s="1440"/>
      <c r="MD700" s="1440"/>
      <c r="ME700" s="1440"/>
      <c r="NP700" s="263" t="s">
        <v>1307</v>
      </c>
    </row>
    <row r="701" spans="1:380" s="263" customFormat="1" ht="30.75" customHeight="1">
      <c r="B701" s="1440"/>
      <c r="C701" s="2402"/>
      <c r="F701" s="2160"/>
      <c r="G701" s="2160"/>
      <c r="K701" s="2160"/>
      <c r="O701" s="1440"/>
      <c r="Q701" s="2392"/>
      <c r="R701" s="2392"/>
      <c r="X701" s="261"/>
      <c r="AC701" s="261"/>
      <c r="AH701" s="261"/>
      <c r="AM701" s="261"/>
      <c r="JW701" s="1573"/>
      <c r="KB701" s="1573"/>
      <c r="KG701" s="1573"/>
      <c r="KL701" s="1573"/>
      <c r="KM701" s="1573"/>
      <c r="KN701" s="1573"/>
      <c r="KO701" s="1573"/>
      <c r="KP701" s="1573"/>
      <c r="KQ701" s="1573"/>
      <c r="KR701" s="1573"/>
      <c r="KS701" s="1573"/>
      <c r="KT701" s="1573"/>
      <c r="KU701" s="1573"/>
      <c r="KV701" s="1573"/>
      <c r="KW701" s="1573"/>
      <c r="KX701" s="1573"/>
      <c r="KY701" s="1573"/>
      <c r="KZ701" s="1573"/>
      <c r="LA701" s="1573"/>
      <c r="LB701" s="1573"/>
      <c r="LC701" s="1573"/>
      <c r="LD701" s="1573"/>
      <c r="LE701" s="1573"/>
      <c r="LF701" s="1573"/>
      <c r="LG701" s="1573"/>
      <c r="LN701" s="1440"/>
      <c r="MD701" s="1440"/>
      <c r="ME701" s="1440"/>
    </row>
    <row r="702" spans="1:380" ht="12" customHeight="1">
      <c r="A702" s="265" t="s">
        <v>1308</v>
      </c>
      <c r="B702" s="265" t="s">
        <v>76</v>
      </c>
      <c r="N702" s="265" t="s">
        <v>1309</v>
      </c>
      <c r="O702" s="265"/>
      <c r="JW702" s="1441"/>
      <c r="KB702" s="1441"/>
      <c r="KG702" s="1441"/>
      <c r="KL702" s="1441"/>
      <c r="KM702" s="1441"/>
      <c r="KN702" s="1441"/>
      <c r="KO702" s="1441"/>
      <c r="KP702" s="1441"/>
      <c r="KQ702" s="1441"/>
      <c r="KR702" s="1441"/>
      <c r="KS702" s="1441"/>
      <c r="KT702" s="1441"/>
      <c r="KU702" s="1441"/>
      <c r="KV702" s="1441"/>
      <c r="KW702" s="1441"/>
      <c r="KX702" s="1441"/>
      <c r="KY702" s="1441"/>
      <c r="KZ702" s="1441"/>
      <c r="LA702" s="1441"/>
      <c r="LB702" s="1441"/>
      <c r="LC702" s="1441"/>
      <c r="LD702" s="1441"/>
      <c r="LE702" s="1441"/>
      <c r="LF702" s="1441"/>
      <c r="LG702" s="1441"/>
      <c r="LN702" s="265"/>
      <c r="MD702" s="265"/>
      <c r="ME702" s="265"/>
      <c r="NP702" s="263"/>
    </row>
    <row r="703" spans="1:380" ht="409.5" customHeight="1">
      <c r="A703" s="2413" t="str">
        <f>'Part V-Revenues &amp; Expenses'!A256</f>
        <v>There are not enough rows to list the various types of market rate units, so the information is not 100% accurate as different unit floorplans were consolidated in order to fit within the alloted line.  There are 3 live work units that are included in the market rate units that were not included in the original application.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413"/>
      <c r="C703" s="2413"/>
      <c r="D703" s="2413"/>
      <c r="E703" s="2413"/>
      <c r="F703" s="2413"/>
      <c r="G703" s="2413"/>
      <c r="H703" s="2413"/>
      <c r="I703" s="2413"/>
      <c r="J703" s="2413"/>
      <c r="K703" s="2413"/>
      <c r="L703" s="2413"/>
      <c r="M703" s="2413"/>
      <c r="N703" s="2413">
        <f>'Part V-Revenues &amp; Expenses'!N256</f>
        <v>0</v>
      </c>
      <c r="O703" s="2413"/>
      <c r="P703" s="2413"/>
      <c r="Q703" s="2413"/>
      <c r="R703" s="2414" t="s">
        <v>1310</v>
      </c>
      <c r="S703" s="2414"/>
      <c r="T703" s="2414"/>
      <c r="U703" s="2414"/>
      <c r="JW703" s="1441"/>
      <c r="KB703" s="1441"/>
      <c r="KG703" s="1441"/>
      <c r="KL703" s="1441"/>
      <c r="KM703" s="1441"/>
      <c r="KN703" s="1441"/>
      <c r="KO703" s="1441"/>
      <c r="KP703" s="1441"/>
      <c r="KQ703" s="1441"/>
      <c r="KR703" s="1441"/>
      <c r="KS703" s="1441"/>
      <c r="KT703" s="1441"/>
      <c r="KU703" s="1441"/>
      <c r="KV703" s="1441"/>
      <c r="KW703" s="1441"/>
      <c r="KX703" s="1441"/>
      <c r="KY703" s="1441"/>
      <c r="KZ703" s="1441"/>
      <c r="LA703" s="1441"/>
      <c r="LB703" s="1441"/>
      <c r="LC703" s="1441"/>
      <c r="LD703" s="1441"/>
      <c r="LE703" s="1441"/>
      <c r="LF703" s="1441"/>
      <c r="LG703" s="1441"/>
      <c r="LN703" s="265"/>
      <c r="MD703" s="265"/>
      <c r="ME703" s="265"/>
      <c r="NP703" s="263"/>
    </row>
    <row r="709" spans="1:11">
      <c r="A709" s="1440" t="str">
        <f>CONCATENATE("PART SIX - OPERATING PRO FORMA","  -  ",'Part I-Project Identification'!$O$7," ",'Part I-Project Identification'!$F$25,", ",'Part I-Project Identification'!F737,", ",'Part I-Project Identification'!J737," County")</f>
        <v>PART SIX - OPERATING PRO FORMA  -  2023-5 Ashley Collegetown Phase I, ,  County</v>
      </c>
    </row>
    <row r="710" spans="1:11">
      <c r="A710" s="265"/>
      <c r="B710" s="265"/>
      <c r="C710" s="265"/>
      <c r="D710" s="265"/>
      <c r="E710" s="265"/>
      <c r="F710" s="265"/>
      <c r="G710" s="265"/>
      <c r="H710" s="265"/>
      <c r="I710" s="265"/>
      <c r="J710" s="265"/>
      <c r="K710" s="265"/>
    </row>
    <row r="711" spans="1:11" ht="13.5">
      <c r="A711" s="265" t="s">
        <v>1321</v>
      </c>
      <c r="C711" s="2345" t="str">
        <f>'Part I-Project Identification'!$A$6</f>
        <v>Sept 2023</v>
      </c>
      <c r="D711" s="265" t="s">
        <v>1322</v>
      </c>
      <c r="E711" s="2330"/>
      <c r="F711" s="2193" t="s">
        <v>7006</v>
      </c>
    </row>
    <row r="712" spans="1:11">
      <c r="C712" s="2345"/>
    </row>
    <row r="713" spans="1:11" ht="12.75" customHeight="1">
      <c r="A713" s="261" t="s">
        <v>1324</v>
      </c>
      <c r="B713" s="2415">
        <f>'DCA Underwriting Assumptions'!$Q$99</f>
        <v>0.02</v>
      </c>
      <c r="C713" s="2345"/>
      <c r="D713" s="2358" t="s">
        <v>7007</v>
      </c>
      <c r="E713" s="2358"/>
      <c r="F713" s="2358"/>
      <c r="G713" s="2177">
        <f>'Part VI-Pro Forma'!G6</f>
        <v>10000</v>
      </c>
      <c r="H713" s="2388" t="s">
        <v>1326</v>
      </c>
      <c r="K713" s="2416">
        <f>'Part VI-Pro Forma'!K6</f>
        <v>-3.4221011871572904E-3</v>
      </c>
    </row>
    <row r="714" spans="1:11">
      <c r="A714" s="261" t="s">
        <v>1327</v>
      </c>
      <c r="B714" s="2415">
        <f>'DCA Underwriting Assumptions'!$Q$102</f>
        <v>0.03</v>
      </c>
      <c r="C714" s="2345"/>
      <c r="D714" s="2358"/>
      <c r="E714" s="2358"/>
      <c r="F714" s="2358"/>
      <c r="G714" s="2417">
        <f>'Part VI-Pro Forma'!G7</f>
        <v>0</v>
      </c>
    </row>
    <row r="715" spans="1:11">
      <c r="A715" s="261" t="s">
        <v>1328</v>
      </c>
      <c r="B715" s="2415">
        <f>'DCA Underwriting Assumptions'!$Q$103</f>
        <v>0.03</v>
      </c>
      <c r="C715" s="2345"/>
      <c r="D715" s="263" t="s">
        <v>1329</v>
      </c>
      <c r="G715" s="2418"/>
      <c r="H715" s="2388" t="s">
        <v>1330</v>
      </c>
      <c r="K715" s="2416">
        <f>'Part VI-Pro Forma'!K8</f>
        <v>5.5000010279991969E-2</v>
      </c>
    </row>
    <row r="716" spans="1:11">
      <c r="A716" s="261" t="s">
        <v>1331</v>
      </c>
      <c r="B716" s="2415">
        <f>'Part VI-Pro Forma'!B9</f>
        <v>7.0000000000000007E-2</v>
      </c>
      <c r="C716" s="2189" t="str">
        <f>IF(B716&lt;0.07, "Must be &gt;= 7%!","")</f>
        <v/>
      </c>
      <c r="D716" s="263" t="s">
        <v>1332</v>
      </c>
      <c r="G716" s="2419">
        <f>'Part VI-Pro Forma'!G9</f>
        <v>0</v>
      </c>
      <c r="H716" s="2420" t="s">
        <v>1333</v>
      </c>
      <c r="K716" s="2178">
        <f>'Part VI-Pro Forma'!K9</f>
        <v>0</v>
      </c>
    </row>
    <row r="717" spans="1:11">
      <c r="A717" s="261" t="s">
        <v>1334</v>
      </c>
      <c r="B717" s="2415">
        <v>0.02</v>
      </c>
      <c r="D717" s="263" t="s">
        <v>1335</v>
      </c>
      <c r="G717" s="2419" t="str">
        <f>'Part VI-Pro Forma'!G10</f>
        <v>Yes</v>
      </c>
      <c r="H717" s="2420" t="s">
        <v>1336</v>
      </c>
      <c r="K717" s="2179">
        <f>'Part VI-Pro Forma'!K10</f>
        <v>5.5E-2</v>
      </c>
    </row>
    <row r="719" spans="1:11">
      <c r="A719" s="265" t="s">
        <v>1337</v>
      </c>
      <c r="D719" s="2327"/>
    </row>
    <row r="721" spans="1:11">
      <c r="A721" s="265" t="s">
        <v>484</v>
      </c>
      <c r="B721" s="265">
        <v>1</v>
      </c>
      <c r="C721" s="265">
        <f t="shared" ref="C721:K721" si="376">B721+1</f>
        <v>2</v>
      </c>
      <c r="D721" s="265">
        <f t="shared" si="376"/>
        <v>3</v>
      </c>
      <c r="E721" s="265">
        <f t="shared" si="376"/>
        <v>4</v>
      </c>
      <c r="F721" s="265">
        <f t="shared" si="376"/>
        <v>5</v>
      </c>
      <c r="G721" s="265">
        <f t="shared" si="376"/>
        <v>6</v>
      </c>
      <c r="H721" s="265">
        <f t="shared" si="376"/>
        <v>7</v>
      </c>
      <c r="I721" s="265">
        <f t="shared" si="376"/>
        <v>8</v>
      </c>
      <c r="J721" s="265">
        <f t="shared" si="376"/>
        <v>9</v>
      </c>
      <c r="K721" s="265">
        <f t="shared" si="376"/>
        <v>10</v>
      </c>
    </row>
    <row r="722" spans="1:11">
      <c r="A722" s="261" t="s">
        <v>1339</v>
      </c>
      <c r="B722" s="2180">
        <f>'Part VI-Pro Forma'!B15</f>
        <v>3080520</v>
      </c>
      <c r="C722" s="2180">
        <f>'Part VI-Pro Forma'!C15</f>
        <v>3142130.4</v>
      </c>
      <c r="D722" s="2180">
        <f>'Part VI-Pro Forma'!D15</f>
        <v>3204973.0079999999</v>
      </c>
      <c r="E722" s="2180">
        <f>'Part VI-Pro Forma'!E15</f>
        <v>3269072.4681599997</v>
      </c>
      <c r="F722" s="2180">
        <f>'Part VI-Pro Forma'!F15</f>
        <v>3334453.9175232002</v>
      </c>
      <c r="G722" s="2180">
        <f>'Part VI-Pro Forma'!G15</f>
        <v>3401142.995873664</v>
      </c>
      <c r="H722" s="2180">
        <f>'Part VI-Pro Forma'!H15</f>
        <v>3469165.8557911376</v>
      </c>
      <c r="I722" s="2180">
        <f>'Part VI-Pro Forma'!I15</f>
        <v>3538549.1729069594</v>
      </c>
      <c r="J722" s="2180">
        <f>'Part VI-Pro Forma'!J15</f>
        <v>3609320.1563650989</v>
      </c>
      <c r="K722" s="2180">
        <f>'Part VI-Pro Forma'!K15</f>
        <v>3681506.5594924008</v>
      </c>
    </row>
    <row r="723" spans="1:11">
      <c r="A723" s="261" t="s">
        <v>1225</v>
      </c>
      <c r="B723" s="2180">
        <f>'Part VI-Pro Forma'!B16</f>
        <v>61610.400000000001</v>
      </c>
      <c r="C723" s="2180">
        <f>'Part VI-Pro Forma'!C16</f>
        <v>62842.608</v>
      </c>
      <c r="D723" s="2180">
        <f>'Part VI-Pro Forma'!D16</f>
        <v>64099.460160000002</v>
      </c>
      <c r="E723" s="2180">
        <f>'Part VI-Pro Forma'!E16</f>
        <v>65381.449363199994</v>
      </c>
      <c r="F723" s="2180">
        <f>'Part VI-Pro Forma'!F16</f>
        <v>66689.078350463999</v>
      </c>
      <c r="G723" s="2180">
        <f>'Part VI-Pro Forma'!G16</f>
        <v>68022.859917473281</v>
      </c>
      <c r="H723" s="2180">
        <f>'Part VI-Pro Forma'!H16</f>
        <v>69383.317115822749</v>
      </c>
      <c r="I723" s="2180">
        <f>'Part VI-Pro Forma'!I16</f>
        <v>70770.983458139191</v>
      </c>
      <c r="J723" s="2180">
        <f>'Part VI-Pro Forma'!J16</f>
        <v>72186.403127301979</v>
      </c>
      <c r="K723" s="2180">
        <f>'Part VI-Pro Forma'!K16</f>
        <v>73630.13118984802</v>
      </c>
    </row>
    <row r="724" spans="1:11">
      <c r="A724" s="261" t="s">
        <v>1342</v>
      </c>
      <c r="B724" s="2180">
        <f>'Part VI-Pro Forma'!B17</f>
        <v>-219949.12800000003</v>
      </c>
      <c r="C724" s="2180">
        <f>'Part VI-Pro Forma'!C17</f>
        <v>-224348.11056</v>
      </c>
      <c r="D724" s="2180">
        <f>'Part VI-Pro Forma'!D17</f>
        <v>-228835.07277120001</v>
      </c>
      <c r="E724" s="2180">
        <f>'Part VI-Pro Forma'!E17</f>
        <v>-233411.77422662399</v>
      </c>
      <c r="F724" s="2180">
        <f>'Part VI-Pro Forma'!F17</f>
        <v>-238080.00971115651</v>
      </c>
      <c r="G724" s="2180">
        <f>'Part VI-Pro Forma'!G17</f>
        <v>-242841.60990537965</v>
      </c>
      <c r="H724" s="2180">
        <f>'Part VI-Pro Forma'!H17</f>
        <v>-247698.44210348724</v>
      </c>
      <c r="I724" s="2180">
        <f>'Part VI-Pro Forma'!I17</f>
        <v>-252652.41094555691</v>
      </c>
      <c r="J724" s="2180">
        <f>'Part VI-Pro Forma'!J17</f>
        <v>-257705.45916446808</v>
      </c>
      <c r="K724" s="2180">
        <f>'Part VI-Pro Forma'!K17</f>
        <v>-262859.56834775745</v>
      </c>
    </row>
    <row r="725" spans="1:11">
      <c r="A725" s="261" t="s">
        <v>1345</v>
      </c>
      <c r="B725" s="2180">
        <f>'Part VI-Pro Forma'!B18</f>
        <v>0</v>
      </c>
      <c r="C725" s="2180">
        <f>'Part VI-Pro Forma'!C18</f>
        <v>0</v>
      </c>
      <c r="D725" s="2180">
        <f>'Part VI-Pro Forma'!D18</f>
        <v>0</v>
      </c>
      <c r="E725" s="2180">
        <f>'Part VI-Pro Forma'!E18</f>
        <v>0</v>
      </c>
      <c r="F725" s="2180">
        <f>'Part VI-Pro Forma'!F18</f>
        <v>0</v>
      </c>
      <c r="G725" s="2180">
        <f>'Part VI-Pro Forma'!G18</f>
        <v>0</v>
      </c>
      <c r="H725" s="2180">
        <f>'Part VI-Pro Forma'!H18</f>
        <v>0</v>
      </c>
      <c r="I725" s="2180">
        <f>'Part VI-Pro Forma'!I18</f>
        <v>0</v>
      </c>
      <c r="J725" s="2180">
        <f>'Part VI-Pro Forma'!J18</f>
        <v>0</v>
      </c>
      <c r="K725" s="2180">
        <f>'Part VI-Pro Forma'!K18</f>
        <v>0</v>
      </c>
    </row>
    <row r="726" spans="1:11">
      <c r="A726" s="261" t="s">
        <v>1346</v>
      </c>
      <c r="B726" s="2180">
        <f>'Part VI-Pro Forma'!B19</f>
        <v>0</v>
      </c>
      <c r="C726" s="2180">
        <f>'Part VI-Pro Forma'!C19</f>
        <v>0</v>
      </c>
      <c r="D726" s="2180">
        <f>'Part VI-Pro Forma'!D19</f>
        <v>0</v>
      </c>
      <c r="E726" s="2180">
        <f>'Part VI-Pro Forma'!E19</f>
        <v>0</v>
      </c>
      <c r="F726" s="2180">
        <f>'Part VI-Pro Forma'!F19</f>
        <v>0</v>
      </c>
      <c r="G726" s="2180">
        <f>'Part VI-Pro Forma'!G19</f>
        <v>0</v>
      </c>
      <c r="H726" s="2180">
        <f>'Part VI-Pro Forma'!H19</f>
        <v>0</v>
      </c>
      <c r="I726" s="2180">
        <f>'Part VI-Pro Forma'!I19</f>
        <v>0</v>
      </c>
      <c r="J726" s="2180">
        <f>'Part VI-Pro Forma'!J19</f>
        <v>0</v>
      </c>
      <c r="K726" s="2180">
        <f>'Part VI-Pro Forma'!K19</f>
        <v>0</v>
      </c>
    </row>
    <row r="727" spans="1:11">
      <c r="A727" s="261" t="s">
        <v>1347</v>
      </c>
      <c r="B727" s="2180">
        <f>'Part VI-Pro Forma'!B20</f>
        <v>2922181.2719999999</v>
      </c>
      <c r="C727" s="2180">
        <f>'Part VI-Pro Forma'!C20</f>
        <v>2980624.89744</v>
      </c>
      <c r="D727" s="2180">
        <f>'Part VI-Pro Forma'!D20</f>
        <v>3040237.3953887997</v>
      </c>
      <c r="E727" s="2180">
        <f>'Part VI-Pro Forma'!E20</f>
        <v>3101042.1432965756</v>
      </c>
      <c r="F727" s="2180">
        <f>'Part VI-Pro Forma'!F20</f>
        <v>3163062.9861625074</v>
      </c>
      <c r="G727" s="2180">
        <f>'Part VI-Pro Forma'!G20</f>
        <v>3226324.2458857577</v>
      </c>
      <c r="H727" s="2180">
        <f>'Part VI-Pro Forma'!H20</f>
        <v>3290850.7308034729</v>
      </c>
      <c r="I727" s="2180">
        <f>'Part VI-Pro Forma'!I20</f>
        <v>3356667.7454195414</v>
      </c>
      <c r="J727" s="2180">
        <f>'Part VI-Pro Forma'!J20</f>
        <v>3423801.1003279327</v>
      </c>
      <c r="K727" s="2180">
        <f>'Part VI-Pro Forma'!K20</f>
        <v>3492277.1223344915</v>
      </c>
    </row>
    <row r="728" spans="1:11">
      <c r="A728" s="261" t="s">
        <v>1348</v>
      </c>
      <c r="B728" s="2180">
        <f>'Part VI-Pro Forma'!B21</f>
        <v>-1341081</v>
      </c>
      <c r="C728" s="2180">
        <f>'Part VI-Pro Forma'!C21</f>
        <v>-1381313.43</v>
      </c>
      <c r="D728" s="2180">
        <f>'Part VI-Pro Forma'!D21</f>
        <v>-1422752.8329</v>
      </c>
      <c r="E728" s="2180">
        <f>'Part VI-Pro Forma'!E21</f>
        <v>-1465435.4178869999</v>
      </c>
      <c r="F728" s="2180">
        <f>'Part VI-Pro Forma'!F21</f>
        <v>-1509398.48042361</v>
      </c>
      <c r="G728" s="2180">
        <f>'Part VI-Pro Forma'!G21</f>
        <v>-1554680.434836318</v>
      </c>
      <c r="H728" s="2180">
        <f>'Part VI-Pro Forma'!H21</f>
        <v>-1601320.8478814077</v>
      </c>
      <c r="I728" s="2180">
        <f>'Part VI-Pro Forma'!I21</f>
        <v>-1649360.4733178501</v>
      </c>
      <c r="J728" s="2180">
        <f>'Part VI-Pro Forma'!J21</f>
        <v>-1698841.2875173853</v>
      </c>
      <c r="K728" s="2180">
        <f>'Part VI-Pro Forma'!K21</f>
        <v>-1749806.5261429071</v>
      </c>
    </row>
    <row r="729" spans="1:11">
      <c r="A729" s="261" t="s">
        <v>1349</v>
      </c>
      <c r="B729" s="2180">
        <f>'Part VI-Pro Forma'!B22</f>
        <v>-160720</v>
      </c>
      <c r="C729" s="2180">
        <f>'Part VI-Pro Forma'!C22</f>
        <v>-163934</v>
      </c>
      <c r="D729" s="2180">
        <f>'Part VI-Pro Forma'!D22</f>
        <v>-167213</v>
      </c>
      <c r="E729" s="2180">
        <f>'Part VI-Pro Forma'!E22</f>
        <v>-170557</v>
      </c>
      <c r="F729" s="2180">
        <f>'Part VI-Pro Forma'!F22</f>
        <v>-173968</v>
      </c>
      <c r="G729" s="2180">
        <f>'Part VI-Pro Forma'!G22</f>
        <v>-177448</v>
      </c>
      <c r="H729" s="2180">
        <f>'Part VI-Pro Forma'!H22</f>
        <v>-180997</v>
      </c>
      <c r="I729" s="2180">
        <f>'Part VI-Pro Forma'!I22</f>
        <v>-184617</v>
      </c>
      <c r="J729" s="2180">
        <f>'Part VI-Pro Forma'!J22</f>
        <v>-188309</v>
      </c>
      <c r="K729" s="2180">
        <f>'Part VI-Pro Forma'!K22</f>
        <v>-192075</v>
      </c>
    </row>
    <row r="730" spans="1:11">
      <c r="A730" s="261" t="s">
        <v>1350</v>
      </c>
      <c r="B730" s="2180">
        <f>'Part VI-Pro Forma'!B23</f>
        <v>-69650</v>
      </c>
      <c r="C730" s="2180">
        <f>'Part VI-Pro Forma'!C23</f>
        <v>-71739.5</v>
      </c>
      <c r="D730" s="2180">
        <f>'Part VI-Pro Forma'!D23</f>
        <v>-73891.684999999998</v>
      </c>
      <c r="E730" s="2180">
        <f>'Part VI-Pro Forma'!E23</f>
        <v>-76108.435549999995</v>
      </c>
      <c r="F730" s="2180">
        <f>'Part VI-Pro Forma'!F23</f>
        <v>-78391.688616499989</v>
      </c>
      <c r="G730" s="2180">
        <f>'Part VI-Pro Forma'!G23</f>
        <v>-80743.439274994991</v>
      </c>
      <c r="H730" s="2180">
        <f>'Part VI-Pro Forma'!H23</f>
        <v>-83165.742453244849</v>
      </c>
      <c r="I730" s="2180">
        <f>'Part VI-Pro Forma'!I23</f>
        <v>-85660.714726842198</v>
      </c>
      <c r="J730" s="2180">
        <f>'Part VI-Pro Forma'!J23</f>
        <v>-88230.53616864745</v>
      </c>
      <c r="K730" s="2180">
        <f>'Part VI-Pro Forma'!K23</f>
        <v>-90877.45225370687</v>
      </c>
    </row>
    <row r="731" spans="1:11">
      <c r="A731" s="261" t="s">
        <v>1351</v>
      </c>
      <c r="B731" s="2180">
        <f>'Part VI-Pro Forma'!B24</f>
        <v>-10</v>
      </c>
      <c r="C731" s="2180">
        <f>'Part VI-Pro Forma'!C24</f>
        <v>-10</v>
      </c>
      <c r="D731" s="2180">
        <f>'Part VI-Pro Forma'!D24</f>
        <v>-10</v>
      </c>
      <c r="E731" s="2180">
        <f>'Part VI-Pro Forma'!E24</f>
        <v>-10</v>
      </c>
      <c r="F731" s="2180">
        <f>'Part VI-Pro Forma'!F24</f>
        <v>-10</v>
      </c>
      <c r="G731" s="2180">
        <f>'Part VI-Pro Forma'!G24</f>
        <v>-10</v>
      </c>
      <c r="H731" s="2180">
        <f>'Part VI-Pro Forma'!H24</f>
        <v>-10</v>
      </c>
      <c r="I731" s="2180">
        <f>'Part VI-Pro Forma'!I24</f>
        <v>-10</v>
      </c>
      <c r="J731" s="2180">
        <f>'Part VI-Pro Forma'!J24</f>
        <v>-10</v>
      </c>
      <c r="K731" s="2180">
        <f>'Part VI-Pro Forma'!K24</f>
        <v>-10</v>
      </c>
    </row>
    <row r="732" spans="1:11">
      <c r="A732" s="261" t="s">
        <v>1352</v>
      </c>
      <c r="B732" s="2180">
        <f>SUM(B727:B731)</f>
        <v>1350720.2719999999</v>
      </c>
      <c r="C732" s="2180">
        <f t="shared" ref="C732:J732" si="377">SUM(C727:C731)</f>
        <v>1363627.96744</v>
      </c>
      <c r="D732" s="2180">
        <f t="shared" si="377"/>
        <v>1376369.8774887996</v>
      </c>
      <c r="E732" s="2180">
        <f t="shared" si="377"/>
        <v>1388931.2898595757</v>
      </c>
      <c r="F732" s="2180">
        <f t="shared" si="377"/>
        <v>1401294.8171223975</v>
      </c>
      <c r="G732" s="2180">
        <f t="shared" si="377"/>
        <v>1413442.3717744448</v>
      </c>
      <c r="H732" s="2180">
        <f t="shared" si="377"/>
        <v>1425357.1404688205</v>
      </c>
      <c r="I732" s="2180">
        <f t="shared" si="377"/>
        <v>1437019.557374849</v>
      </c>
      <c r="J732" s="2180">
        <f t="shared" si="377"/>
        <v>1448410.2766419</v>
      </c>
      <c r="K732" s="2180">
        <f>SUM(K727:K731)</f>
        <v>1459508.1439378774</v>
      </c>
    </row>
    <row r="733" spans="1:11">
      <c r="A733" s="261" t="s">
        <v>402</v>
      </c>
      <c r="B733" s="2180">
        <f>'Part VI-Pro Forma'!B26</f>
        <v>-1082324.8914344434</v>
      </c>
      <c r="C733" s="2180">
        <f>'Part VI-Pro Forma'!C26</f>
        <v>-1082324.8914344434</v>
      </c>
      <c r="D733" s="2180">
        <f>'Part VI-Pro Forma'!D26</f>
        <v>-1082324.8914344434</v>
      </c>
      <c r="E733" s="2180">
        <f>'Part VI-Pro Forma'!E26</f>
        <v>-1082324.8914344434</v>
      </c>
      <c r="F733" s="2180">
        <f>'Part VI-Pro Forma'!F26</f>
        <v>-1082324.8914344434</v>
      </c>
      <c r="G733" s="2180">
        <f>'Part VI-Pro Forma'!G26</f>
        <v>-1082324.8914344434</v>
      </c>
      <c r="H733" s="2180">
        <f>'Part VI-Pro Forma'!H26</f>
        <v>-1082324.8914344434</v>
      </c>
      <c r="I733" s="2180">
        <f>'Part VI-Pro Forma'!I26</f>
        <v>-1082324.8914344434</v>
      </c>
      <c r="J733" s="2180">
        <f>'Part VI-Pro Forma'!J26</f>
        <v>-1082324.8914344434</v>
      </c>
      <c r="K733" s="2180">
        <f>'Part VI-Pro Forma'!K26</f>
        <v>-1082324.8914344434</v>
      </c>
    </row>
    <row r="734" spans="1:11">
      <c r="A734" s="261" t="s">
        <v>404</v>
      </c>
      <c r="B734" s="2180">
        <f>'Part VI-Pro Forma'!B27</f>
        <v>-67098.845141389116</v>
      </c>
      <c r="C734" s="2180">
        <f>'Part VI-Pro Forma'!C27</f>
        <v>-70325.769001389155</v>
      </c>
      <c r="D734" s="2180">
        <f>'Part VI-Pro Forma'!D27</f>
        <v>-73511.246513589052</v>
      </c>
      <c r="E734" s="2180">
        <f>'Part VI-Pro Forma'!E27</f>
        <v>-76651.599606283067</v>
      </c>
      <c r="F734" s="2180">
        <f>'Part VI-Pro Forma'!F27</f>
        <v>-79742.481421988516</v>
      </c>
      <c r="G734" s="2180">
        <f>'Part VI-Pro Forma'!G27</f>
        <v>-82779.370085000352</v>
      </c>
      <c r="H734" s="2180">
        <f>'Part VI-Pro Forma'!H27</f>
        <v>-85758.062258594262</v>
      </c>
      <c r="I734" s="2180">
        <f>'Part VI-Pro Forma'!I27</f>
        <v>-88673.666485101392</v>
      </c>
      <c r="J734" s="2180">
        <f>'Part VI-Pro Forma'!J27</f>
        <v>-91521.346301864134</v>
      </c>
      <c r="K734" s="2180">
        <f>'Part VI-Pro Forma'!K27</f>
        <v>-94295.813125858491</v>
      </c>
    </row>
    <row r="735" spans="1:11">
      <c r="A735" s="261" t="s">
        <v>406</v>
      </c>
      <c r="B735" s="2180">
        <f>'Part VI-Pro Forma'!B28</f>
        <v>0</v>
      </c>
      <c r="C735" s="2180">
        <f>'Part VI-Pro Forma'!C28</f>
        <v>0</v>
      </c>
      <c r="D735" s="2180">
        <f>'Part VI-Pro Forma'!D28</f>
        <v>0</v>
      </c>
      <c r="E735" s="2180">
        <f>'Part VI-Pro Forma'!E28</f>
        <v>0</v>
      </c>
      <c r="F735" s="2180">
        <f>'Part VI-Pro Forma'!F28</f>
        <v>0</v>
      </c>
      <c r="G735" s="2180">
        <f>'Part VI-Pro Forma'!G28</f>
        <v>0</v>
      </c>
      <c r="H735" s="2180">
        <f>'Part VI-Pro Forma'!H28</f>
        <v>0</v>
      </c>
      <c r="I735" s="2180">
        <f>'Part VI-Pro Forma'!I28</f>
        <v>0</v>
      </c>
      <c r="J735" s="2180">
        <f>'Part VI-Pro Forma'!J28</f>
        <v>0</v>
      </c>
      <c r="K735" s="2180">
        <f>'Part VI-Pro Forma'!K28</f>
        <v>0</v>
      </c>
    </row>
    <row r="736" spans="1:11">
      <c r="A736" s="261" t="s">
        <v>1353</v>
      </c>
      <c r="B736" s="2180">
        <f>'Part VI-Pro Forma'!B29</f>
        <v>0</v>
      </c>
      <c r="C736" s="2180">
        <f>'Part VI-Pro Forma'!C29</f>
        <v>0</v>
      </c>
      <c r="D736" s="2180">
        <f>'Part VI-Pro Forma'!D29</f>
        <v>0</v>
      </c>
      <c r="E736" s="2180">
        <f>'Part VI-Pro Forma'!E29</f>
        <v>0</v>
      </c>
      <c r="F736" s="2180">
        <f>'Part VI-Pro Forma'!F29</f>
        <v>0</v>
      </c>
      <c r="G736" s="2180">
        <f>'Part VI-Pro Forma'!G29</f>
        <v>0</v>
      </c>
      <c r="H736" s="2180">
        <f>'Part VI-Pro Forma'!H29</f>
        <v>0</v>
      </c>
      <c r="I736" s="2180">
        <f>'Part VI-Pro Forma'!I29</f>
        <v>0</v>
      </c>
      <c r="J736" s="2180">
        <f>'Part VI-Pro Forma'!J29</f>
        <v>0</v>
      </c>
      <c r="K736" s="2180">
        <f>'Part VI-Pro Forma'!K29</f>
        <v>0</v>
      </c>
    </row>
    <row r="737" spans="1:11">
      <c r="A737" s="261" t="s">
        <v>1354</v>
      </c>
      <c r="B737" s="2180">
        <f>'Part VI-Pro Forma'!B30</f>
        <v>0</v>
      </c>
      <c r="C737" s="2180">
        <f>'Part VI-Pro Forma'!C30</f>
        <v>0</v>
      </c>
      <c r="D737" s="2180">
        <f>'Part VI-Pro Forma'!D30</f>
        <v>0</v>
      </c>
      <c r="E737" s="2180">
        <f>'Part VI-Pro Forma'!E30</f>
        <v>0</v>
      </c>
      <c r="F737" s="2180">
        <f>'Part VI-Pro Forma'!F30</f>
        <v>0</v>
      </c>
      <c r="G737" s="2180">
        <f>'Part VI-Pro Forma'!G30</f>
        <v>0</v>
      </c>
      <c r="H737" s="2180">
        <f>'Part VI-Pro Forma'!H30</f>
        <v>0</v>
      </c>
      <c r="I737" s="2180">
        <f>'Part VI-Pro Forma'!I30</f>
        <v>0</v>
      </c>
      <c r="J737" s="2180">
        <f>'Part VI-Pro Forma'!J30</f>
        <v>0</v>
      </c>
      <c r="K737" s="2180">
        <f>'Part VI-Pro Forma'!K30</f>
        <v>0</v>
      </c>
    </row>
    <row r="738" spans="1:11">
      <c r="A738" s="261" t="s">
        <v>1355</v>
      </c>
      <c r="B738" s="2180">
        <f>'Part VI-Pro Forma'!B31</f>
        <v>-10000</v>
      </c>
      <c r="C738" s="2180">
        <f>'Part VI-Pro Forma'!C31</f>
        <v>-10000</v>
      </c>
      <c r="D738" s="2180">
        <f>'Part VI-Pro Forma'!D31</f>
        <v>-10000</v>
      </c>
      <c r="E738" s="2180">
        <f>'Part VI-Pro Forma'!E31</f>
        <v>-10000</v>
      </c>
      <c r="F738" s="2180">
        <f>'Part VI-Pro Forma'!F31</f>
        <v>-10000</v>
      </c>
      <c r="G738" s="2180">
        <f>'Part VI-Pro Forma'!G31</f>
        <v>-10000</v>
      </c>
      <c r="H738" s="2180">
        <f>'Part VI-Pro Forma'!H31</f>
        <v>-10000</v>
      </c>
      <c r="I738" s="2180">
        <f>'Part VI-Pro Forma'!I31</f>
        <v>-10000</v>
      </c>
      <c r="J738" s="2180">
        <f>'Part VI-Pro Forma'!J31</f>
        <v>-10000</v>
      </c>
      <c r="K738" s="2180">
        <f>'Part VI-Pro Forma'!K31</f>
        <v>-10000</v>
      </c>
    </row>
    <row r="739" spans="1:11">
      <c r="A739" s="261" t="s">
        <v>1356</v>
      </c>
      <c r="B739" s="2180">
        <f>'Part VI-Pro Forma'!B32</f>
        <v>-99936.3</v>
      </c>
      <c r="C739" s="2180">
        <f>'Part VI-Pro Forma'!C32</f>
        <v>-99936.3</v>
      </c>
      <c r="D739" s="2180">
        <f>'Part VI-Pro Forma'!D32</f>
        <v>-99936.3</v>
      </c>
      <c r="E739" s="2180">
        <f>'Part VI-Pro Forma'!E32</f>
        <v>-99936.3</v>
      </c>
      <c r="F739" s="2180">
        <f>'Part VI-Pro Forma'!F32</f>
        <v>-99936.3</v>
      </c>
      <c r="G739" s="2180">
        <f>'Part VI-Pro Forma'!G32</f>
        <v>-99936.3</v>
      </c>
      <c r="H739" s="2180">
        <f>'Part VI-Pro Forma'!H32</f>
        <v>-99936.3</v>
      </c>
      <c r="I739" s="2180">
        <f>'Part VI-Pro Forma'!I32</f>
        <v>-99936.3</v>
      </c>
      <c r="J739" s="2180">
        <f>'Part VI-Pro Forma'!J32</f>
        <v>-99936.3</v>
      </c>
      <c r="K739" s="2180">
        <f>'Part VI-Pro Forma'!K32</f>
        <v>-99936.3</v>
      </c>
    </row>
    <row r="740" spans="1:11">
      <c r="A740" s="261" t="s">
        <v>1357</v>
      </c>
      <c r="B740" s="2180">
        <f t="shared" ref="B740:K740" si="378">SUM(B732:B739)</f>
        <v>91360.235424167346</v>
      </c>
      <c r="C740" s="2180">
        <f t="shared" si="378"/>
        <v>101041.00700416746</v>
      </c>
      <c r="D740" s="2180">
        <f t="shared" si="378"/>
        <v>110597.43954076715</v>
      </c>
      <c r="E740" s="2180">
        <f t="shared" si="378"/>
        <v>120018.4988188492</v>
      </c>
      <c r="F740" s="2180">
        <f t="shared" si="378"/>
        <v>129291.14426596554</v>
      </c>
      <c r="G740" s="2180">
        <f t="shared" si="378"/>
        <v>138401.81025500107</v>
      </c>
      <c r="H740" s="2180">
        <f t="shared" si="378"/>
        <v>147337.8867757828</v>
      </c>
      <c r="I740" s="2180">
        <f t="shared" si="378"/>
        <v>156084.69945530419</v>
      </c>
      <c r="J740" s="2180">
        <f t="shared" si="378"/>
        <v>164627.73890559241</v>
      </c>
      <c r="K740" s="2180">
        <f t="shared" si="378"/>
        <v>172951.13937757548</v>
      </c>
    </row>
    <row r="741" spans="1:11">
      <c r="A741" s="261" t="str">
        <f>IF('Part II-Sources of Funds'!$E$40 = "Neither", "", "DCR Mortgage A")</f>
        <v>DCR Mortgage A</v>
      </c>
      <c r="B741" s="2181">
        <f t="shared" ref="B741:K741" si="379">IF(B733=0,"",-B732/B733)</f>
        <v>1.2479804194559756</v>
      </c>
      <c r="C741" s="2181">
        <f t="shared" si="379"/>
        <v>1.2599063167000952</v>
      </c>
      <c r="D741" s="2181">
        <f t="shared" si="379"/>
        <v>1.2716790386892498</v>
      </c>
      <c r="E741" s="2181">
        <f t="shared" si="379"/>
        <v>1.2832849921974685</v>
      </c>
      <c r="F741" s="2181">
        <f t="shared" si="379"/>
        <v>1.2947081123351158</v>
      </c>
      <c r="G741" s="2181">
        <f t="shared" si="379"/>
        <v>1.3059316873893196</v>
      </c>
      <c r="H741" s="2181">
        <f t="shared" si="379"/>
        <v>1.3169401828869927</v>
      </c>
      <c r="I741" s="2181">
        <f t="shared" si="379"/>
        <v>1.3277155212334775</v>
      </c>
      <c r="J741" s="2181">
        <f t="shared" si="379"/>
        <v>1.3382398280818162</v>
      </c>
      <c r="K741" s="2181">
        <f t="shared" si="379"/>
        <v>1.3484935581621333</v>
      </c>
    </row>
    <row r="742" spans="1:11">
      <c r="A742" s="261" t="str">
        <f>IF('Part II-Sources of Funds'!$E$40 = "Neither", "", "DCR Mortgage B")</f>
        <v>DCR Mortgage B</v>
      </c>
      <c r="B742" s="2181">
        <f t="shared" ref="B742:K742" si="380">IF(B734=0,"",-(B732+B733)/B734)</f>
        <v>4</v>
      </c>
      <c r="C742" s="2181">
        <f t="shared" si="380"/>
        <v>4</v>
      </c>
      <c r="D742" s="2181">
        <f t="shared" si="380"/>
        <v>4</v>
      </c>
      <c r="E742" s="2181">
        <f t="shared" si="380"/>
        <v>4</v>
      </c>
      <c r="F742" s="2181">
        <f t="shared" si="380"/>
        <v>4</v>
      </c>
      <c r="G742" s="2181">
        <f t="shared" si="380"/>
        <v>4</v>
      </c>
      <c r="H742" s="2181">
        <f t="shared" si="380"/>
        <v>4</v>
      </c>
      <c r="I742" s="2181">
        <f t="shared" si="380"/>
        <v>4</v>
      </c>
      <c r="J742" s="2181">
        <f t="shared" si="380"/>
        <v>4</v>
      </c>
      <c r="K742" s="2181">
        <f t="shared" si="380"/>
        <v>4</v>
      </c>
    </row>
    <row r="743" spans="1:11">
      <c r="A743" s="261" t="str">
        <f>IF('Part II-Sources of Funds'!$E$40 = "Neither", "DCR First Mortgage", "DCR Mortgage C")</f>
        <v>DCR Mortgage C</v>
      </c>
      <c r="B743" s="2181" t="str">
        <f t="shared" ref="B743:K743" si="381">IF(B735=0,"",-(B732+B733+B734)/B735)</f>
        <v/>
      </c>
      <c r="C743" s="2181" t="str">
        <f t="shared" si="381"/>
        <v/>
      </c>
      <c r="D743" s="2181" t="str">
        <f t="shared" si="381"/>
        <v/>
      </c>
      <c r="E743" s="2181" t="str">
        <f t="shared" si="381"/>
        <v/>
      </c>
      <c r="F743" s="2181" t="str">
        <f t="shared" si="381"/>
        <v/>
      </c>
      <c r="G743" s="2181" t="str">
        <f t="shared" si="381"/>
        <v/>
      </c>
      <c r="H743" s="2181" t="str">
        <f t="shared" si="381"/>
        <v/>
      </c>
      <c r="I743" s="2181" t="str">
        <f t="shared" si="381"/>
        <v/>
      </c>
      <c r="J743" s="2181" t="str">
        <f t="shared" si="381"/>
        <v/>
      </c>
      <c r="K743" s="2181" t="str">
        <f t="shared" si="381"/>
        <v/>
      </c>
    </row>
    <row r="744" spans="1:11">
      <c r="A744" s="261" t="s">
        <v>1358</v>
      </c>
      <c r="B744" s="2181" t="str">
        <f t="shared" ref="B744:K744" si="382">IF(B736=0,"",-(B732+B733+B734+B735)/B736)</f>
        <v/>
      </c>
      <c r="C744" s="2181" t="str">
        <f t="shared" si="382"/>
        <v/>
      </c>
      <c r="D744" s="2181" t="str">
        <f t="shared" si="382"/>
        <v/>
      </c>
      <c r="E744" s="2181" t="str">
        <f t="shared" si="382"/>
        <v/>
      </c>
      <c r="F744" s="2181" t="str">
        <f t="shared" si="382"/>
        <v/>
      </c>
      <c r="G744" s="2181" t="str">
        <f t="shared" si="382"/>
        <v/>
      </c>
      <c r="H744" s="2181" t="str">
        <f t="shared" si="382"/>
        <v/>
      </c>
      <c r="I744" s="2181" t="str">
        <f t="shared" si="382"/>
        <v/>
      </c>
      <c r="J744" s="2181" t="str">
        <f t="shared" si="382"/>
        <v/>
      </c>
      <c r="K744" s="2181" t="str">
        <f t="shared" si="382"/>
        <v/>
      </c>
    </row>
    <row r="745" spans="1:11">
      <c r="A745" s="261" t="s">
        <v>1359</v>
      </c>
      <c r="B745" s="2181">
        <f t="shared" ref="B745:K745" si="383">IF(AND(B733=0,B734=0,B735=0,B736=0),"",-B732/(B733+B734+B735+B736))</f>
        <v>1.1751282220983497</v>
      </c>
      <c r="C745" s="2181">
        <f t="shared" si="383"/>
        <v>1.183036642623702</v>
      </c>
      <c r="D745" s="2181">
        <f t="shared" si="383"/>
        <v>1.190800176859224</v>
      </c>
      <c r="E745" s="2181">
        <f t="shared" si="383"/>
        <v>1.1984119614129158</v>
      </c>
      <c r="F745" s="2181">
        <f t="shared" si="383"/>
        <v>1.2058636614828364</v>
      </c>
      <c r="G745" s="2181">
        <f t="shared" si="383"/>
        <v>1.2131466843414827</v>
      </c>
      <c r="H745" s="2181">
        <f t="shared" si="383"/>
        <v>1.220253352694155</v>
      </c>
      <c r="I745" s="2181">
        <f t="shared" si="383"/>
        <v>1.2271744893759138</v>
      </c>
      <c r="J745" s="2181">
        <f t="shared" si="383"/>
        <v>1.2339011959820843</v>
      </c>
      <c r="K745" s="2181">
        <f t="shared" si="383"/>
        <v>1.2404236456839244</v>
      </c>
    </row>
    <row r="746" spans="1:11">
      <c r="A746" s="261" t="s">
        <v>1360</v>
      </c>
      <c r="B746" s="2182">
        <f t="shared" ref="B746:K746" si="384">IF(OR(B729="Choose mgt fee",B729="Choose One!"),"",(B722+B723+B724+B725+B726) / -(B728+B729+B730))</f>
        <v>1.8595433596084128</v>
      </c>
      <c r="C746" s="2182">
        <f t="shared" si="384"/>
        <v>1.8433203399114673</v>
      </c>
      <c r="D746" s="2182">
        <f t="shared" si="384"/>
        <v>1.8272222006280718</v>
      </c>
      <c r="E746" s="2182">
        <f t="shared" si="384"/>
        <v>1.8112496919041368</v>
      </c>
      <c r="F746" s="2182">
        <f t="shared" si="384"/>
        <v>1.7954013449450303</v>
      </c>
      <c r="G746" s="2182">
        <f t="shared" si="384"/>
        <v>1.7796758237353827</v>
      </c>
      <c r="H746" s="2182">
        <f t="shared" si="384"/>
        <v>1.7640738025538576</v>
      </c>
      <c r="I746" s="2182">
        <f t="shared" si="384"/>
        <v>1.7485939623021256</v>
      </c>
      <c r="J746" s="2182">
        <f t="shared" si="384"/>
        <v>1.7332359711476637</v>
      </c>
      <c r="K746" s="2182">
        <f t="shared" si="384"/>
        <v>1.7179986213068439</v>
      </c>
    </row>
    <row r="747" spans="1:11">
      <c r="A747" s="261" t="s">
        <v>1361</v>
      </c>
      <c r="B747" s="2180">
        <f>'Part VI-Pro Forma'!B40</f>
        <v>14037888.116142109</v>
      </c>
      <c r="C747" s="2180">
        <f>'Part VI-Pro Forma'!C40</f>
        <v>13971120.4312206</v>
      </c>
      <c r="D747" s="2180">
        <f>'Part VI-Pro Forma'!D40</f>
        <v>13899347.954314612</v>
      </c>
      <c r="E747" s="2180">
        <f>'Part VI-Pro Forma'!E40</f>
        <v>13822195.534738038</v>
      </c>
      <c r="F747" s="2180">
        <f>'Part VI-Pro Forma'!F40</f>
        <v>13739259.901148068</v>
      </c>
      <c r="G747" s="2180">
        <f>'Part VI-Pro Forma'!G40</f>
        <v>13650107.553668635</v>
      </c>
      <c r="H747" s="2180">
        <f>'Part VI-Pro Forma'!H40</f>
        <v>13554272.49801103</v>
      </c>
      <c r="I747" s="2180">
        <f>'Part VI-Pro Forma'!I40</f>
        <v>13451253.809748054</v>
      </c>
      <c r="J747" s="2180">
        <f>'Part VI-Pro Forma'!J40</f>
        <v>13340513.016010305</v>
      </c>
      <c r="K747" s="2180">
        <f>'Part VI-Pro Forma'!K40</f>
        <v>13221471.280918889</v>
      </c>
    </row>
    <row r="748" spans="1:11">
      <c r="A748" s="261" t="s">
        <v>1362</v>
      </c>
      <c r="B748" s="2180">
        <f>'Part VI-Pro Forma'!B41</f>
        <v>8291793.7376734223</v>
      </c>
      <c r="C748" s="2180">
        <f>'Part VI-Pro Forma'!C41</f>
        <v>8304443.7807717733</v>
      </c>
      <c r="D748" s="2180">
        <f>'Part VI-Pro Forma'!D41</f>
        <v>8314020.7874588566</v>
      </c>
      <c r="E748" s="2180">
        <f>'Part VI-Pro Forma'!E41</f>
        <v>8320539.2179464204</v>
      </c>
      <c r="F748" s="2180">
        <f>'Part VI-Pro Forma'!F41</f>
        <v>8324018.0445489595</v>
      </c>
      <c r="G748" s="2180">
        <f>'Part VI-Pro Forma'!G41</f>
        <v>8324480.9728347473</v>
      </c>
      <c r="H748" s="2180">
        <f>'Part VI-Pro Forma'!H41</f>
        <v>8321956.1691728998</v>
      </c>
      <c r="I748" s="2180">
        <f>'Part VI-Pro Forma'!I41</f>
        <v>8316476.9968300192</v>
      </c>
      <c r="J748" s="2180">
        <f>'Part VI-Pro Forma'!J41</f>
        <v>8308082.0129302479</v>
      </c>
      <c r="K748" s="2180">
        <f>'Part VI-Pro Forma'!K41</f>
        <v>8296815.4748309078</v>
      </c>
    </row>
    <row r="749" spans="1:11">
      <c r="A749" s="261" t="s">
        <v>1363</v>
      </c>
      <c r="B749" s="2180" t="str">
        <f>'Part VI-Pro Forma'!B42</f>
        <v/>
      </c>
      <c r="C749" s="2180" t="str">
        <f>'Part VI-Pro Forma'!C42</f>
        <v/>
      </c>
      <c r="D749" s="2180" t="str">
        <f>'Part VI-Pro Forma'!D42</f>
        <v/>
      </c>
      <c r="E749" s="2180" t="str">
        <f>'Part VI-Pro Forma'!E42</f>
        <v/>
      </c>
      <c r="F749" s="2180" t="str">
        <f>'Part VI-Pro Forma'!F42</f>
        <v/>
      </c>
      <c r="G749" s="2180" t="str">
        <f>'Part VI-Pro Forma'!G42</f>
        <v/>
      </c>
      <c r="H749" s="2180" t="str">
        <f>'Part VI-Pro Forma'!H42</f>
        <v/>
      </c>
      <c r="I749" s="2180" t="str">
        <f>'Part VI-Pro Forma'!I42</f>
        <v/>
      </c>
      <c r="J749" s="2180" t="str">
        <f>'Part VI-Pro Forma'!J42</f>
        <v/>
      </c>
      <c r="K749" s="2180" t="str">
        <f>'Part VI-Pro Forma'!K42</f>
        <v/>
      </c>
    </row>
    <row r="750" spans="1:11">
      <c r="A750" s="261" t="s">
        <v>1364</v>
      </c>
      <c r="B750" s="2180" t="str">
        <f>'Part VI-Pro Forma'!B43</f>
        <v/>
      </c>
      <c r="C750" s="2180" t="str">
        <f>'Part VI-Pro Forma'!C43</f>
        <v/>
      </c>
      <c r="D750" s="2180" t="str">
        <f>'Part VI-Pro Forma'!D43</f>
        <v/>
      </c>
      <c r="E750" s="2180" t="str">
        <f>'Part VI-Pro Forma'!E43</f>
        <v/>
      </c>
      <c r="F750" s="2180" t="str">
        <f>'Part VI-Pro Forma'!F43</f>
        <v/>
      </c>
      <c r="G750" s="2180" t="str">
        <f>'Part VI-Pro Forma'!G43</f>
        <v/>
      </c>
      <c r="H750" s="2180" t="str">
        <f>'Part VI-Pro Forma'!H43</f>
        <v/>
      </c>
      <c r="I750" s="2180" t="str">
        <f>'Part VI-Pro Forma'!I43</f>
        <v/>
      </c>
      <c r="J750" s="2180" t="str">
        <f>'Part VI-Pro Forma'!J43</f>
        <v/>
      </c>
      <c r="K750" s="2180" t="str">
        <f>'Part VI-Pro Forma'!K43</f>
        <v/>
      </c>
    </row>
    <row r="751" spans="1:11">
      <c r="A751" s="261" t="s">
        <v>1365</v>
      </c>
      <c r="B751" s="2180">
        <f>'Part VI-Pro Forma'!B44</f>
        <v>899426.7</v>
      </c>
      <c r="C751" s="2180">
        <f>'Part VI-Pro Forma'!C44</f>
        <v>799490.39999999991</v>
      </c>
      <c r="D751" s="2180">
        <f>'Part VI-Pro Forma'!D44</f>
        <v>699554.09999999986</v>
      </c>
      <c r="E751" s="2180">
        <f>'Part VI-Pro Forma'!E44</f>
        <v>599617.79999999981</v>
      </c>
      <c r="F751" s="2180">
        <f>'Part VI-Pro Forma'!F44</f>
        <v>499681.49999999983</v>
      </c>
      <c r="G751" s="2180">
        <f>'Part VI-Pro Forma'!G44</f>
        <v>399745.19999999984</v>
      </c>
      <c r="H751" s="2180">
        <f>'Part VI-Pro Forma'!H44</f>
        <v>299808.89999999985</v>
      </c>
      <c r="I751" s="2180">
        <f>'Part VI-Pro Forma'!I44</f>
        <v>199872.59999999986</v>
      </c>
      <c r="J751" s="2180">
        <f>'Part VI-Pro Forma'!J44</f>
        <v>99936.299999999872</v>
      </c>
      <c r="K751" s="2180">
        <f>'Part VI-Pro Forma'!K44</f>
        <v>0</v>
      </c>
    </row>
    <row r="752" spans="1:11">
      <c r="B752" s="2180"/>
      <c r="C752" s="2180"/>
      <c r="D752" s="2180"/>
      <c r="E752" s="2180"/>
      <c r="F752" s="2180"/>
      <c r="G752" s="2180"/>
      <c r="H752" s="2180"/>
      <c r="I752" s="2180"/>
      <c r="J752" s="2180"/>
      <c r="K752" s="2180"/>
    </row>
    <row r="753" spans="1:11">
      <c r="A753" s="265" t="s">
        <v>484</v>
      </c>
      <c r="B753" s="2183">
        <f>K721+1</f>
        <v>11</v>
      </c>
      <c r="C753" s="2183">
        <f t="shared" ref="C753:K753" si="385">B753+1</f>
        <v>12</v>
      </c>
      <c r="D753" s="2183">
        <f t="shared" si="385"/>
        <v>13</v>
      </c>
      <c r="E753" s="2183">
        <f t="shared" si="385"/>
        <v>14</v>
      </c>
      <c r="F753" s="2183">
        <f t="shared" si="385"/>
        <v>15</v>
      </c>
      <c r="G753" s="2183">
        <f t="shared" si="385"/>
        <v>16</v>
      </c>
      <c r="H753" s="2183">
        <f t="shared" si="385"/>
        <v>17</v>
      </c>
      <c r="I753" s="2183">
        <f t="shared" si="385"/>
        <v>18</v>
      </c>
      <c r="J753" s="2183">
        <f t="shared" si="385"/>
        <v>19</v>
      </c>
      <c r="K753" s="2183">
        <f t="shared" si="385"/>
        <v>20</v>
      </c>
    </row>
    <row r="754" spans="1:11">
      <c r="A754" s="261" t="s">
        <v>1339</v>
      </c>
      <c r="B754" s="2180">
        <f>'Part VI-Pro Forma'!B47</f>
        <v>3755136.6906822491</v>
      </c>
      <c r="C754" s="2180">
        <f>'Part VI-Pro Forma'!C47</f>
        <v>3830239.4244958935</v>
      </c>
      <c r="D754" s="2180">
        <f>'Part VI-Pro Forma'!D47</f>
        <v>3906844.2129858118</v>
      </c>
      <c r="E754" s="2180">
        <f>'Part VI-Pro Forma'!E47</f>
        <v>3984981.0972455279</v>
      </c>
      <c r="F754" s="2180">
        <f>'Part VI-Pro Forma'!F47</f>
        <v>4064680.7191904387</v>
      </c>
      <c r="G754" s="2180">
        <f>'Part VI-Pro Forma'!G47</f>
        <v>4145974.3335742466</v>
      </c>
      <c r="H754" s="2180">
        <f>'Part VI-Pro Forma'!H47</f>
        <v>4228893.8202457326</v>
      </c>
      <c r="I754" s="2180">
        <f>'Part VI-Pro Forma'!I47</f>
        <v>4313471.6966506476</v>
      </c>
      <c r="J754" s="2180">
        <f>'Part VI-Pro Forma'!J47</f>
        <v>4399741.1305836597</v>
      </c>
      <c r="K754" s="2180">
        <f>'Part VI-Pro Forma'!K47</f>
        <v>4487735.9531953325</v>
      </c>
    </row>
    <row r="755" spans="1:11">
      <c r="A755" s="261" t="s">
        <v>1225</v>
      </c>
      <c r="B755" s="2180">
        <f>'Part VI-Pro Forma'!B48</f>
        <v>75102.733813644983</v>
      </c>
      <c r="C755" s="2180">
        <f>'Part VI-Pro Forma'!C48</f>
        <v>76604.788489917875</v>
      </c>
      <c r="D755" s="2180">
        <f>'Part VI-Pro Forma'!D48</f>
        <v>78136.884259716244</v>
      </c>
      <c r="E755" s="2180">
        <f>'Part VI-Pro Forma'!E48</f>
        <v>79699.621944910556</v>
      </c>
      <c r="F755" s="2180">
        <f>'Part VI-Pro Forma'!F48</f>
        <v>81293.614383808774</v>
      </c>
      <c r="G755" s="2180">
        <f>'Part VI-Pro Forma'!G48</f>
        <v>82919.486671484934</v>
      </c>
      <c r="H755" s="2180">
        <f>'Part VI-Pro Forma'!H48</f>
        <v>84577.876404914641</v>
      </c>
      <c r="I755" s="2180">
        <f>'Part VI-Pro Forma'!I48</f>
        <v>86269.433933012944</v>
      </c>
      <c r="J755" s="2180">
        <f>'Part VI-Pro Forma'!J48</f>
        <v>87994.822611673197</v>
      </c>
      <c r="K755" s="2180">
        <f>'Part VI-Pro Forma'!K48</f>
        <v>89754.719063906654</v>
      </c>
    </row>
    <row r="756" spans="1:11">
      <c r="A756" s="261" t="s">
        <v>1342</v>
      </c>
      <c r="B756" s="2180">
        <f>'Part VI-Pro Forma'!B49</f>
        <v>-268116.75971471262</v>
      </c>
      <c r="C756" s="2180">
        <f>'Part VI-Pro Forma'!C49</f>
        <v>-273479.09490900679</v>
      </c>
      <c r="D756" s="2180">
        <f>'Part VI-Pro Forma'!D49</f>
        <v>-278948.67680718697</v>
      </c>
      <c r="E756" s="2180">
        <f>'Part VI-Pro Forma'!E49</f>
        <v>-284527.65034333069</v>
      </c>
      <c r="F756" s="2180">
        <f>'Part VI-Pro Forma'!F49</f>
        <v>-290218.20335019735</v>
      </c>
      <c r="G756" s="2180">
        <f>'Part VI-Pro Forma'!G49</f>
        <v>-296022.56741720124</v>
      </c>
      <c r="H756" s="2180">
        <f>'Part VI-Pro Forma'!H49</f>
        <v>-301943.01876554533</v>
      </c>
      <c r="I756" s="2180">
        <f>'Part VI-Pro Forma'!I49</f>
        <v>-307981.87914085627</v>
      </c>
      <c r="J756" s="2180">
        <f>'Part VI-Pro Forma'!J49</f>
        <v>-314141.51672367333</v>
      </c>
      <c r="K756" s="2180">
        <f>'Part VI-Pro Forma'!K49</f>
        <v>-320424.34705814678</v>
      </c>
    </row>
    <row r="757" spans="1:11">
      <c r="A757" s="261" t="s">
        <v>1345</v>
      </c>
      <c r="B757" s="2180">
        <f>'Part VI-Pro Forma'!B50</f>
        <v>0</v>
      </c>
      <c r="C757" s="2180">
        <f>'Part VI-Pro Forma'!C50</f>
        <v>0</v>
      </c>
      <c r="D757" s="2180">
        <f>'Part VI-Pro Forma'!D50</f>
        <v>0</v>
      </c>
      <c r="E757" s="2180">
        <f>'Part VI-Pro Forma'!E50</f>
        <v>0</v>
      </c>
      <c r="F757" s="2180">
        <f>'Part VI-Pro Forma'!F50</f>
        <v>0</v>
      </c>
      <c r="G757" s="2180">
        <f>'Part VI-Pro Forma'!G50</f>
        <v>0</v>
      </c>
      <c r="H757" s="2180">
        <f>'Part VI-Pro Forma'!H50</f>
        <v>0</v>
      </c>
      <c r="I757" s="2180">
        <f>'Part VI-Pro Forma'!I50</f>
        <v>0</v>
      </c>
      <c r="J757" s="2180">
        <f>'Part VI-Pro Forma'!J50</f>
        <v>0</v>
      </c>
      <c r="K757" s="2180">
        <f>'Part VI-Pro Forma'!K50</f>
        <v>0</v>
      </c>
    </row>
    <row r="758" spans="1:11">
      <c r="A758" s="261" t="s">
        <v>1346</v>
      </c>
      <c r="B758" s="2180">
        <f>'Part VI-Pro Forma'!B51</f>
        <v>0</v>
      </c>
      <c r="C758" s="2180">
        <f>'Part VI-Pro Forma'!C51</f>
        <v>0</v>
      </c>
      <c r="D758" s="2180">
        <f>'Part VI-Pro Forma'!D51</f>
        <v>0</v>
      </c>
      <c r="E758" s="2180">
        <f>'Part VI-Pro Forma'!E51</f>
        <v>0</v>
      </c>
      <c r="F758" s="2180">
        <f>'Part VI-Pro Forma'!F51</f>
        <v>0</v>
      </c>
      <c r="G758" s="2180">
        <f>'Part VI-Pro Forma'!G51</f>
        <v>0</v>
      </c>
      <c r="H758" s="2180">
        <f>'Part VI-Pro Forma'!H51</f>
        <v>0</v>
      </c>
      <c r="I758" s="2180">
        <f>'Part VI-Pro Forma'!I51</f>
        <v>0</v>
      </c>
      <c r="J758" s="2180">
        <f>'Part VI-Pro Forma'!J51</f>
        <v>0</v>
      </c>
      <c r="K758" s="2180">
        <f>'Part VI-Pro Forma'!K51</f>
        <v>0</v>
      </c>
    </row>
    <row r="759" spans="1:11">
      <c r="A759" s="261" t="s">
        <v>1347</v>
      </c>
      <c r="B759" s="2180">
        <f>'Part VI-Pro Forma'!B52</f>
        <v>3562122.6647811811</v>
      </c>
      <c r="C759" s="2180">
        <f>'Part VI-Pro Forma'!C52</f>
        <v>3633365.1180768046</v>
      </c>
      <c r="D759" s="2180">
        <f>'Part VI-Pro Forma'!D52</f>
        <v>3706032.4204383409</v>
      </c>
      <c r="E759" s="2180">
        <f>'Part VI-Pro Forma'!E52</f>
        <v>3780153.0688471077</v>
      </c>
      <c r="F759" s="2180">
        <f>'Part VI-Pro Forma'!F52</f>
        <v>3855756.13022405</v>
      </c>
      <c r="G759" s="2180">
        <f>'Part VI-Pro Forma'!G52</f>
        <v>3932871.2528285305</v>
      </c>
      <c r="H759" s="2180">
        <f>'Part VI-Pro Forma'!H52</f>
        <v>4011528.6778851021</v>
      </c>
      <c r="I759" s="2180">
        <f>'Part VI-Pro Forma'!I52</f>
        <v>4091759.2514428045</v>
      </c>
      <c r="J759" s="2180">
        <f>'Part VI-Pro Forma'!J52</f>
        <v>4173594.4364716592</v>
      </c>
      <c r="K759" s="2180">
        <f>'Part VI-Pro Forma'!K52</f>
        <v>4257066.3252010923</v>
      </c>
    </row>
    <row r="760" spans="1:11">
      <c r="A760" s="261" t="s">
        <v>1348</v>
      </c>
      <c r="B760" s="2180">
        <f>'Part VI-Pro Forma'!B53</f>
        <v>-1802300.7219271942</v>
      </c>
      <c r="C760" s="2180">
        <f>'Part VI-Pro Forma'!C53</f>
        <v>-1856369.7435850101</v>
      </c>
      <c r="D760" s="2180">
        <f>'Part VI-Pro Forma'!D53</f>
        <v>-1912060.8358925602</v>
      </c>
      <c r="E760" s="2180">
        <f>'Part VI-Pro Forma'!E53</f>
        <v>-1969422.6609693367</v>
      </c>
      <c r="F760" s="2180">
        <f>'Part VI-Pro Forma'!F53</f>
        <v>-2028505.3407984171</v>
      </c>
      <c r="G760" s="2180">
        <f>'Part VI-Pro Forma'!G53</f>
        <v>-2089360.5010223698</v>
      </c>
      <c r="H760" s="2180">
        <f>'Part VI-Pro Forma'!H53</f>
        <v>-2152041.3160530403</v>
      </c>
      <c r="I760" s="2180">
        <f>'Part VI-Pro Forma'!I53</f>
        <v>-2216602.5555346315</v>
      </c>
      <c r="J760" s="2180">
        <f>'Part VI-Pro Forma'!J53</f>
        <v>-2283100.6322006709</v>
      </c>
      <c r="K760" s="2180">
        <f>'Part VI-Pro Forma'!K53</f>
        <v>-2351593.6511666905</v>
      </c>
    </row>
    <row r="761" spans="1:11">
      <c r="A761" s="261" t="s">
        <v>1349</v>
      </c>
      <c r="B761" s="2180">
        <f>'Part VI-Pro Forma'!B54</f>
        <v>-195917</v>
      </c>
      <c r="C761" s="2180">
        <f>'Part VI-Pro Forma'!C54</f>
        <v>-199835</v>
      </c>
      <c r="D761" s="2180">
        <f>'Part VI-Pro Forma'!D54</f>
        <v>-203832</v>
      </c>
      <c r="E761" s="2180">
        <f>'Part VI-Pro Forma'!E54</f>
        <v>-207908</v>
      </c>
      <c r="F761" s="2180">
        <f>'Part VI-Pro Forma'!F54</f>
        <v>-212067</v>
      </c>
      <c r="G761" s="2180">
        <f>'Part VI-Pro Forma'!G54</f>
        <v>-216308</v>
      </c>
      <c r="H761" s="2180">
        <f>'Part VI-Pro Forma'!H54</f>
        <v>-220634</v>
      </c>
      <c r="I761" s="2180">
        <f>'Part VI-Pro Forma'!I54</f>
        <v>-225047</v>
      </c>
      <c r="J761" s="2180">
        <f>'Part VI-Pro Forma'!J54</f>
        <v>-229548</v>
      </c>
      <c r="K761" s="2180">
        <f>'Part VI-Pro Forma'!K54</f>
        <v>-234139</v>
      </c>
    </row>
    <row r="762" spans="1:11">
      <c r="A762" s="261" t="s">
        <v>1350</v>
      </c>
      <c r="B762" s="2180">
        <f>'Part VI-Pro Forma'!B55</f>
        <v>-93603.775821318079</v>
      </c>
      <c r="C762" s="2180">
        <f>'Part VI-Pro Forma'!C55</f>
        <v>-96411.889095957624</v>
      </c>
      <c r="D762" s="2180">
        <f>'Part VI-Pro Forma'!D55</f>
        <v>-99304.245768836336</v>
      </c>
      <c r="E762" s="2180">
        <f>'Part VI-Pro Forma'!E55</f>
        <v>-102283.37314190142</v>
      </c>
      <c r="F762" s="2180">
        <f>'Part VI-Pro Forma'!F55</f>
        <v>-105351.87433615848</v>
      </c>
      <c r="G762" s="2180">
        <f>'Part VI-Pro Forma'!G55</f>
        <v>-108512.43056624325</v>
      </c>
      <c r="H762" s="2180">
        <f>'Part VI-Pro Forma'!H55</f>
        <v>-111767.80348323051</v>
      </c>
      <c r="I762" s="2180">
        <f>'Part VI-Pro Forma'!I55</f>
        <v>-115120.83758772744</v>
      </c>
      <c r="J762" s="2180">
        <f>'Part VI-Pro Forma'!J55</f>
        <v>-118574.46271535926</v>
      </c>
      <c r="K762" s="2180">
        <f>'Part VI-Pro Forma'!K55</f>
        <v>-122131.69659682004</v>
      </c>
    </row>
    <row r="763" spans="1:11">
      <c r="A763" s="261" t="s">
        <v>1351</v>
      </c>
      <c r="B763" s="2180">
        <f>IF(B753&lt;=+'Part V-Revenues &amp; Expenses'!$N$251,-'Part V-Revenues &amp; Expenses'!$K$251,0)</f>
        <v>-10</v>
      </c>
      <c r="C763" s="2180">
        <f>IF(C753&lt;=+'Part V-Revenues &amp; Expenses'!$N$251,-'Part V-Revenues &amp; Expenses'!$K$251,0)</f>
        <v>-10</v>
      </c>
      <c r="D763" s="2180">
        <f>IF(D753&lt;=+'Part V-Revenues &amp; Expenses'!$N$251,-'Part V-Revenues &amp; Expenses'!$K$251,0)</f>
        <v>-10</v>
      </c>
      <c r="E763" s="2180">
        <f>IF(E753&lt;=+'Part V-Revenues &amp; Expenses'!$N$251,-'Part V-Revenues &amp; Expenses'!$K$251,0)</f>
        <v>-10</v>
      </c>
      <c r="F763" s="2180">
        <f>IF(F753&lt;=+'Part V-Revenues &amp; Expenses'!$N$251,-'Part V-Revenues &amp; Expenses'!$K$251,0)</f>
        <v>-10</v>
      </c>
      <c r="G763" s="2180">
        <f>IF(G753&lt;=+'Part V-Revenues &amp; Expenses'!$N$251,-'Part V-Revenues &amp; Expenses'!$K$251,0)</f>
        <v>-10</v>
      </c>
      <c r="H763" s="2180">
        <f>IF(H753&lt;=+'Part V-Revenues &amp; Expenses'!$N$251,-'Part V-Revenues &amp; Expenses'!$K$251,0)</f>
        <v>-10</v>
      </c>
      <c r="I763" s="2180">
        <f>IF(I753&lt;=+'Part V-Revenues &amp; Expenses'!$N$251,-'Part V-Revenues &amp; Expenses'!$K$251,0)</f>
        <v>-10</v>
      </c>
      <c r="J763" s="2180">
        <f>IF(J753&lt;=+'Part V-Revenues &amp; Expenses'!$N$251,-'Part V-Revenues &amp; Expenses'!$K$251,0)</f>
        <v>-10</v>
      </c>
      <c r="K763" s="2180">
        <f>IF(K753&lt;=+'Part V-Revenues &amp; Expenses'!$N$251,-'Part V-Revenues &amp; Expenses'!$K$251,0)</f>
        <v>-10</v>
      </c>
    </row>
    <row r="764" spans="1:11">
      <c r="A764" s="261" t="s">
        <v>1352</v>
      </c>
      <c r="B764" s="2180">
        <f t="shared" ref="B764:K764" si="386">SUM(B759:B763)</f>
        <v>1470291.1670326688</v>
      </c>
      <c r="C764" s="2180">
        <f t="shared" si="386"/>
        <v>1480738.4853958369</v>
      </c>
      <c r="D764" s="2180">
        <f t="shared" si="386"/>
        <v>1490825.3387769444</v>
      </c>
      <c r="E764" s="2180">
        <f t="shared" si="386"/>
        <v>1500529.0347358696</v>
      </c>
      <c r="F764" s="2180">
        <f t="shared" si="386"/>
        <v>1509821.9150894745</v>
      </c>
      <c r="G764" s="2180">
        <f t="shared" si="386"/>
        <v>1518680.3212399175</v>
      </c>
      <c r="H764" s="2180">
        <f t="shared" si="386"/>
        <v>1527075.5583488313</v>
      </c>
      <c r="I764" s="2180">
        <f t="shared" si="386"/>
        <v>1534978.8583204455</v>
      </c>
      <c r="J764" s="2180">
        <f t="shared" si="386"/>
        <v>1542361.3415556292</v>
      </c>
      <c r="K764" s="2180">
        <f t="shared" si="386"/>
        <v>1549191.9774375816</v>
      </c>
    </row>
    <row r="765" spans="1:11">
      <c r="A765" s="261" t="str">
        <f>$A733</f>
        <v>Mortgage A</v>
      </c>
      <c r="B765" s="2180">
        <f>'Part VI-Pro Forma'!B58</f>
        <v>-1082324.8914344434</v>
      </c>
      <c r="C765" s="2180">
        <f>'Part VI-Pro Forma'!C58</f>
        <v>-1082324.8914344434</v>
      </c>
      <c r="D765" s="2180">
        <f>'Part VI-Pro Forma'!D58</f>
        <v>-1082324.8914344434</v>
      </c>
      <c r="E765" s="2180">
        <f>'Part VI-Pro Forma'!E58</f>
        <v>-1082324.8914344434</v>
      </c>
      <c r="F765" s="2180">
        <f>'Part VI-Pro Forma'!F58</f>
        <v>-1082324.8914344434</v>
      </c>
      <c r="G765" s="2180">
        <f>'Part VI-Pro Forma'!G58</f>
        <v>-1082324.8914344434</v>
      </c>
      <c r="H765" s="2180">
        <f>'Part VI-Pro Forma'!H58</f>
        <v>-1082324.8914344434</v>
      </c>
      <c r="I765" s="2180">
        <f>'Part VI-Pro Forma'!I58</f>
        <v>-1082324.8914344434</v>
      </c>
      <c r="J765" s="2180">
        <f>'Part VI-Pro Forma'!J58</f>
        <v>-1082324.8914344434</v>
      </c>
      <c r="K765" s="2180">
        <f>'Part VI-Pro Forma'!K58</f>
        <v>-1082324.8914344434</v>
      </c>
    </row>
    <row r="766" spans="1:11">
      <c r="A766" s="261" t="str">
        <f>$A734</f>
        <v>Mortgage B</v>
      </c>
      <c r="B766" s="2180">
        <f>'Part VI-Pro Forma'!B59</f>
        <v>-96991.568899556354</v>
      </c>
      <c r="C766" s="2180">
        <f>'Part VI-Pro Forma'!C59</f>
        <v>-99603.398490348365</v>
      </c>
      <c r="D766" s="2180">
        <f>'Part VI-Pro Forma'!D59</f>
        <v>-102125.11183562526</v>
      </c>
      <c r="E766" s="2180">
        <f>'Part VI-Pro Forma'!E59</f>
        <v>-104551.03582535655</v>
      </c>
      <c r="F766" s="2180">
        <f>'Part VI-Pro Forma'!F59</f>
        <v>-106874.25591375778</v>
      </c>
      <c r="G766" s="2180">
        <f>'Part VI-Pro Forma'!G59</f>
        <v>-109088.85745136853</v>
      </c>
      <c r="H766" s="2180">
        <f>'Part VI-Pro Forma'!H59</f>
        <v>-111187.66672859696</v>
      </c>
      <c r="I766" s="2180">
        <f>'Part VI-Pro Forma'!I59</f>
        <v>-113163.49172150053</v>
      </c>
      <c r="J766" s="2180">
        <f>'Part VI-Pro Forma'!J59</f>
        <v>-115009.11253029644</v>
      </c>
      <c r="K766" s="2180">
        <f>'Part VI-Pro Forma'!K59</f>
        <v>-116716.77150078455</v>
      </c>
    </row>
    <row r="767" spans="1:11">
      <c r="A767" s="261" t="str">
        <f>$A735</f>
        <v>Mortgage C</v>
      </c>
      <c r="B767" s="2180">
        <f>'Part VI-Pro Forma'!B60</f>
        <v>0</v>
      </c>
      <c r="C767" s="2180">
        <f>'Part VI-Pro Forma'!C60</f>
        <v>0</v>
      </c>
      <c r="D767" s="2180">
        <f>'Part VI-Pro Forma'!D60</f>
        <v>0</v>
      </c>
      <c r="E767" s="2180">
        <f>'Part VI-Pro Forma'!E60</f>
        <v>0</v>
      </c>
      <c r="F767" s="2180">
        <f>'Part VI-Pro Forma'!F60</f>
        <v>0</v>
      </c>
      <c r="G767" s="2180">
        <f>'Part VI-Pro Forma'!G60</f>
        <v>0</v>
      </c>
      <c r="H767" s="2180">
        <f>'Part VI-Pro Forma'!H60</f>
        <v>0</v>
      </c>
      <c r="I767" s="2180">
        <f>'Part VI-Pro Forma'!I60</f>
        <v>0</v>
      </c>
      <c r="J767" s="2180">
        <f>'Part VI-Pro Forma'!J60</f>
        <v>0</v>
      </c>
      <c r="K767" s="2180">
        <f>'Part VI-Pro Forma'!K60</f>
        <v>0</v>
      </c>
    </row>
    <row r="768" spans="1:11">
      <c r="A768" s="261" t="str">
        <f>$A736</f>
        <v>D/S Other Source,not DDF</v>
      </c>
      <c r="B768" s="2180">
        <f>'Part VI-Pro Forma'!B61</f>
        <v>0</v>
      </c>
      <c r="C768" s="2180">
        <f>'Part VI-Pro Forma'!C61</f>
        <v>0</v>
      </c>
      <c r="D768" s="2180">
        <f>'Part VI-Pro Forma'!D61</f>
        <v>0</v>
      </c>
      <c r="E768" s="2180">
        <f>'Part VI-Pro Forma'!E61</f>
        <v>0</v>
      </c>
      <c r="F768" s="2180">
        <f>'Part VI-Pro Forma'!F61</f>
        <v>0</v>
      </c>
      <c r="G768" s="2180">
        <f>'Part VI-Pro Forma'!G61</f>
        <v>0</v>
      </c>
      <c r="H768" s="2180">
        <f>'Part VI-Pro Forma'!H61</f>
        <v>0</v>
      </c>
      <c r="I768" s="2180">
        <f>'Part VI-Pro Forma'!I61</f>
        <v>0</v>
      </c>
      <c r="J768" s="2180">
        <f>'Part VI-Pro Forma'!J61</f>
        <v>0</v>
      </c>
      <c r="K768" s="2180">
        <f>'Part VI-Pro Forma'!K61</f>
        <v>0</v>
      </c>
    </row>
    <row r="769" spans="1:11">
      <c r="A769" s="261" t="s">
        <v>1354</v>
      </c>
      <c r="B769" s="2180">
        <f>'Part VI-Pro Forma'!B62</f>
        <v>0</v>
      </c>
      <c r="C769" s="2180">
        <f>'Part VI-Pro Forma'!C62</f>
        <v>0</v>
      </c>
      <c r="D769" s="2180">
        <f>'Part VI-Pro Forma'!D62</f>
        <v>0</v>
      </c>
      <c r="E769" s="2180">
        <f>'Part VI-Pro Forma'!E62</f>
        <v>0</v>
      </c>
      <c r="F769" s="2180">
        <f>'Part VI-Pro Forma'!F62</f>
        <v>0</v>
      </c>
      <c r="G769" s="2180">
        <f>'Part VI-Pro Forma'!G62</f>
        <v>0</v>
      </c>
      <c r="H769" s="2180">
        <f>'Part VI-Pro Forma'!H62</f>
        <v>0</v>
      </c>
      <c r="I769" s="2180">
        <f>'Part VI-Pro Forma'!I62</f>
        <v>0</v>
      </c>
      <c r="J769" s="2180">
        <f>'Part VI-Pro Forma'!J62</f>
        <v>0</v>
      </c>
      <c r="K769" s="2180">
        <f>'Part VI-Pro Forma'!K62</f>
        <v>0</v>
      </c>
    </row>
    <row r="770" spans="1:11">
      <c r="A770" s="261" t="s">
        <v>1355</v>
      </c>
      <c r="B770" s="2180">
        <f>'Part VI-Pro Forma'!B63</f>
        <v>-10000</v>
      </c>
      <c r="C770" s="2180">
        <f>'Part VI-Pro Forma'!C63</f>
        <v>-10000</v>
      </c>
      <c r="D770" s="2180">
        <f>'Part VI-Pro Forma'!D63</f>
        <v>-10000</v>
      </c>
      <c r="E770" s="2180">
        <f>'Part VI-Pro Forma'!E63</f>
        <v>-10000</v>
      </c>
      <c r="F770" s="2180">
        <f>'Part VI-Pro Forma'!F63</f>
        <v>-10000</v>
      </c>
      <c r="G770" s="2180">
        <f>'Part VI-Pro Forma'!G63</f>
        <v>-10000</v>
      </c>
      <c r="H770" s="2180">
        <f>'Part VI-Pro Forma'!H63</f>
        <v>-10000</v>
      </c>
      <c r="I770" s="2180">
        <f>'Part VI-Pro Forma'!I63</f>
        <v>-10000</v>
      </c>
      <c r="J770" s="2180">
        <f>'Part VI-Pro Forma'!J63</f>
        <v>-10000</v>
      </c>
      <c r="K770" s="2180">
        <f>'Part VI-Pro Forma'!K63</f>
        <v>-10000</v>
      </c>
    </row>
    <row r="771" spans="1:11">
      <c r="A771" s="261" t="s">
        <v>1356</v>
      </c>
      <c r="B771" s="2180">
        <f>'Part VI-Pro Forma'!B64</f>
        <v>0</v>
      </c>
      <c r="C771" s="2180">
        <f>'Part VI-Pro Forma'!C64</f>
        <v>0</v>
      </c>
      <c r="D771" s="2180">
        <f>'Part VI-Pro Forma'!D64</f>
        <v>0</v>
      </c>
      <c r="E771" s="2180">
        <f>'Part VI-Pro Forma'!E64</f>
        <v>0</v>
      </c>
      <c r="F771" s="2180">
        <f>'Part VI-Pro Forma'!F64</f>
        <v>0</v>
      </c>
      <c r="G771" s="2180">
        <f>'Part VI-Pro Forma'!G64</f>
        <v>0</v>
      </c>
      <c r="H771" s="2180">
        <f>'Part VI-Pro Forma'!H64</f>
        <v>0</v>
      </c>
      <c r="I771" s="2180">
        <f>'Part VI-Pro Forma'!I64</f>
        <v>0</v>
      </c>
      <c r="J771" s="2180">
        <f>'Part VI-Pro Forma'!J64</f>
        <v>0</v>
      </c>
      <c r="K771" s="2180">
        <f>'Part VI-Pro Forma'!K64</f>
        <v>0</v>
      </c>
    </row>
    <row r="772" spans="1:11">
      <c r="A772" s="261" t="s">
        <v>1357</v>
      </c>
      <c r="B772" s="2180">
        <f t="shared" ref="B772:K772" si="387">SUM(B764:B771)</f>
        <v>280974.70669866906</v>
      </c>
      <c r="C772" s="2180">
        <f t="shared" si="387"/>
        <v>288810.1954710451</v>
      </c>
      <c r="D772" s="2180">
        <f t="shared" si="387"/>
        <v>296375.33550687577</v>
      </c>
      <c r="E772" s="2180">
        <f t="shared" si="387"/>
        <v>303653.10747606965</v>
      </c>
      <c r="F772" s="2180">
        <f t="shared" si="387"/>
        <v>310622.76774127333</v>
      </c>
      <c r="G772" s="2180">
        <f t="shared" si="387"/>
        <v>317266.57235410559</v>
      </c>
      <c r="H772" s="2180">
        <f t="shared" si="387"/>
        <v>323563.00018579088</v>
      </c>
      <c r="I772" s="2180">
        <f t="shared" si="387"/>
        <v>329490.47516450158</v>
      </c>
      <c r="J772" s="2180">
        <f t="shared" si="387"/>
        <v>335027.33759088931</v>
      </c>
      <c r="K772" s="2180">
        <f t="shared" si="387"/>
        <v>340150.31450235366</v>
      </c>
    </row>
    <row r="773" spans="1:11">
      <c r="A773" s="261" t="str">
        <f>$A741</f>
        <v>DCR Mortgage A</v>
      </c>
      <c r="B773" s="2181">
        <f t="shared" ref="B773:K773" si="388">IF(B765=0,"",-B764/B765)</f>
        <v>1.3584563920395842</v>
      </c>
      <c r="C773" s="2181">
        <f t="shared" si="388"/>
        <v>1.3681090558985129</v>
      </c>
      <c r="D773" s="2181">
        <f t="shared" si="388"/>
        <v>1.3774286728277134</v>
      </c>
      <c r="E773" s="2181">
        <f t="shared" si="388"/>
        <v>1.3863942764424142</v>
      </c>
      <c r="F773" s="2181">
        <f t="shared" si="388"/>
        <v>1.3949803123241988</v>
      </c>
      <c r="G773" s="2181">
        <f t="shared" si="388"/>
        <v>1.4031649214194426</v>
      </c>
      <c r="H773" s="2181">
        <f t="shared" si="388"/>
        <v>1.410921591505619</v>
      </c>
      <c r="I773" s="2181">
        <f t="shared" si="388"/>
        <v>1.418223742674978</v>
      </c>
      <c r="J773" s="2181">
        <f t="shared" si="388"/>
        <v>1.4250446919976896</v>
      </c>
      <c r="K773" s="2181">
        <f t="shared" si="388"/>
        <v>1.4313557691391379</v>
      </c>
    </row>
    <row r="774" spans="1:11">
      <c r="A774" s="261" t="str">
        <f>$A742</f>
        <v>DCR Mortgage B</v>
      </c>
      <c r="B774" s="2181">
        <f t="shared" ref="B774:K774" si="389">IF(B766=0,"",-(B764+B765)/B766)</f>
        <v>4</v>
      </c>
      <c r="C774" s="2181">
        <f t="shared" si="389"/>
        <v>4</v>
      </c>
      <c r="D774" s="2181">
        <f t="shared" si="389"/>
        <v>4</v>
      </c>
      <c r="E774" s="2181">
        <f t="shared" si="389"/>
        <v>4</v>
      </c>
      <c r="F774" s="2181">
        <f t="shared" si="389"/>
        <v>4</v>
      </c>
      <c r="G774" s="2181">
        <f t="shared" si="389"/>
        <v>4</v>
      </c>
      <c r="H774" s="2181">
        <f t="shared" si="389"/>
        <v>4</v>
      </c>
      <c r="I774" s="2181">
        <f t="shared" si="389"/>
        <v>4</v>
      </c>
      <c r="J774" s="2181">
        <f t="shared" si="389"/>
        <v>4</v>
      </c>
      <c r="K774" s="2181">
        <f t="shared" si="389"/>
        <v>4</v>
      </c>
    </row>
    <row r="775" spans="1:11">
      <c r="A775" s="261" t="str">
        <f>$A743</f>
        <v>DCR Mortgage C</v>
      </c>
      <c r="B775" s="2181" t="str">
        <f t="shared" ref="B775:K775" si="390">IF(B767=0,"",-(B764+B765+B766)/B767)</f>
        <v/>
      </c>
      <c r="C775" s="2181" t="str">
        <f t="shared" si="390"/>
        <v/>
      </c>
      <c r="D775" s="2181" t="str">
        <f t="shared" si="390"/>
        <v/>
      </c>
      <c r="E775" s="2181" t="str">
        <f t="shared" si="390"/>
        <v/>
      </c>
      <c r="F775" s="2181" t="str">
        <f t="shared" si="390"/>
        <v/>
      </c>
      <c r="G775" s="2181" t="str">
        <f t="shared" si="390"/>
        <v/>
      </c>
      <c r="H775" s="2181" t="str">
        <f t="shared" si="390"/>
        <v/>
      </c>
      <c r="I775" s="2181" t="str">
        <f t="shared" si="390"/>
        <v/>
      </c>
      <c r="J775" s="2181" t="str">
        <f t="shared" si="390"/>
        <v/>
      </c>
      <c r="K775" s="2181" t="str">
        <f t="shared" si="390"/>
        <v/>
      </c>
    </row>
    <row r="776" spans="1:11">
      <c r="A776" s="261" t="str">
        <f>$A744</f>
        <v>DCR Other Source</v>
      </c>
      <c r="B776" s="2181" t="str">
        <f t="shared" ref="B776:K776" si="391">IF(B768=0,"",-(B764+B765+B766+B767)/B768)</f>
        <v/>
      </c>
      <c r="C776" s="2181" t="str">
        <f t="shared" si="391"/>
        <v/>
      </c>
      <c r="D776" s="2181" t="str">
        <f t="shared" si="391"/>
        <v/>
      </c>
      <c r="E776" s="2181" t="str">
        <f t="shared" si="391"/>
        <v/>
      </c>
      <c r="F776" s="2181" t="str">
        <f t="shared" si="391"/>
        <v/>
      </c>
      <c r="G776" s="2181" t="str">
        <f t="shared" si="391"/>
        <v/>
      </c>
      <c r="H776" s="2181" t="str">
        <f t="shared" si="391"/>
        <v/>
      </c>
      <c r="I776" s="2181" t="str">
        <f t="shared" si="391"/>
        <v/>
      </c>
      <c r="J776" s="2181" t="str">
        <f t="shared" si="391"/>
        <v/>
      </c>
      <c r="K776" s="2181" t="str">
        <f t="shared" si="391"/>
        <v/>
      </c>
    </row>
    <row r="777" spans="1:11">
      <c r="A777" s="261" t="s">
        <v>1359</v>
      </c>
      <c r="B777" s="2181">
        <f t="shared" ref="B777:K777" si="392">IF(AND(B765=0,B766=0,B767=0,B768=0),"",-B764/(B765+B766+B767+B768))</f>
        <v>1.2467316589613791</v>
      </c>
      <c r="C777" s="2181">
        <f t="shared" si="392"/>
        <v>1.2528158417208703</v>
      </c>
      <c r="D777" s="2181">
        <f t="shared" si="392"/>
        <v>1.258664641530689</v>
      </c>
      <c r="E777" s="2181">
        <f t="shared" si="392"/>
        <v>1.2642678145812734</v>
      </c>
      <c r="F777" s="2181">
        <f t="shared" si="392"/>
        <v>1.2696123424375396</v>
      </c>
      <c r="G777" s="2181">
        <f t="shared" si="392"/>
        <v>1.2746875908223816</v>
      </c>
      <c r="H777" s="2181">
        <f t="shared" si="392"/>
        <v>1.2794800925255321</v>
      </c>
      <c r="I777" s="2181">
        <f t="shared" si="392"/>
        <v>1.2839763898569121</v>
      </c>
      <c r="J777" s="2181">
        <f t="shared" si="392"/>
        <v>1.2881629824663778</v>
      </c>
      <c r="K777" s="2181">
        <f t="shared" si="392"/>
        <v>1.2920251441848927</v>
      </c>
    </row>
    <row r="778" spans="1:11">
      <c r="A778" s="261" t="s">
        <v>1360</v>
      </c>
      <c r="B778" s="2182">
        <f t="shared" ref="B778:K778" si="393">IF(OR(B761="Choose mgt fee",B761="Choose One!"),"",(B754+B755+B756+B757+B758) / -(B760+B761+B762))</f>
        <v>1.7028807996357225</v>
      </c>
      <c r="C778" s="2182">
        <f t="shared" si="393"/>
        <v>1.6878830456455431</v>
      </c>
      <c r="D778" s="2182">
        <f t="shared" si="393"/>
        <v>1.673003477261183</v>
      </c>
      <c r="E778" s="2182">
        <f t="shared" si="393"/>
        <v>1.6582425850527327</v>
      </c>
      <c r="F778" s="2182">
        <f t="shared" si="393"/>
        <v>1.6435979071058193</v>
      </c>
      <c r="G778" s="2182">
        <f t="shared" si="393"/>
        <v>1.6290706306923599</v>
      </c>
      <c r="H778" s="2182">
        <f t="shared" si="393"/>
        <v>1.6146590945635602</v>
      </c>
      <c r="I778" s="2182">
        <f t="shared" si="393"/>
        <v>1.6003624191087018</v>
      </c>
      <c r="J778" s="2182">
        <f t="shared" si="393"/>
        <v>1.5861803754063091</v>
      </c>
      <c r="K778" s="2182">
        <f t="shared" si="393"/>
        <v>1.5721121069883375</v>
      </c>
    </row>
    <row r="779" spans="1:11">
      <c r="A779" s="261" t="s">
        <v>1361</v>
      </c>
      <c r="B779" s="2180">
        <f>'Part VI-Pro Forma'!B72</f>
        <v>13093506.380042939</v>
      </c>
      <c r="C779" s="2180">
        <f>'Part VI-Pro Forma'!C72</f>
        <v>12955949.448067639</v>
      </c>
      <c r="D779" s="2180">
        <f>'Part VI-Pro Forma'!D72</f>
        <v>12808081.482672969</v>
      </c>
      <c r="E779" s="2180">
        <f>'Part VI-Pro Forma'!E72</f>
        <v>12649129.586349158</v>
      </c>
      <c r="F779" s="2180">
        <f>'Part VI-Pro Forma'!F72</f>
        <v>12478262.926505024</v>
      </c>
      <c r="G779" s="2180">
        <f>'Part VI-Pro Forma'!G72</f>
        <v>12294588.392752904</v>
      </c>
      <c r="H779" s="2180">
        <f>'Part VI-Pro Forma'!H72</f>
        <v>12097145.928671069</v>
      </c>
      <c r="I779" s="2180">
        <f>'Part VI-Pro Forma'!I72</f>
        <v>11884903.513642989</v>
      </c>
      <c r="J779" s="2180">
        <f>'Part VI-Pro Forma'!J72</f>
        <v>11656751.768543812</v>
      </c>
      <c r="K779" s="2180">
        <f>'Part VI-Pro Forma'!K72</f>
        <v>11411498.157078296</v>
      </c>
    </row>
    <row r="780" spans="1:11">
      <c r="A780" s="261" t="s">
        <v>1362</v>
      </c>
      <c r="B780" s="2180">
        <f>'Part VI-Pro Forma'!B73</f>
        <v>8282727.6078240909</v>
      </c>
      <c r="C780" s="2180">
        <f>'Part VI-Pro Forma'!C73</f>
        <v>8265874.3808650328</v>
      </c>
      <c r="D780" s="2180">
        <f>'Part VI-Pro Forma'!D73</f>
        <v>8246318.5436835876</v>
      </c>
      <c r="E780" s="2180">
        <f>'Part VI-Pro Forma'!E73</f>
        <v>8224129.1755750896</v>
      </c>
      <c r="F780" s="2180">
        <f>'Part VI-Pro Forma'!F73</f>
        <v>8199382.9961284231</v>
      </c>
      <c r="G780" s="2180">
        <f>'Part VI-Pro Forma'!G73</f>
        <v>8172163.4374881759</v>
      </c>
      <c r="H780" s="2180">
        <f>'Part VI-Pro Forma'!H73</f>
        <v>8142561.9766355939</v>
      </c>
      <c r="I780" s="2180">
        <f>'Part VI-Pro Forma'!I73</f>
        <v>8110678.234605222</v>
      </c>
      <c r="J780" s="2180">
        <f>'Part VI-Pro Forma'!J73</f>
        <v>8076620.0863037026</v>
      </c>
      <c r="K780" s="2180">
        <f>'Part VI-Pro Forma'!K73</f>
        <v>8040504.2836538386</v>
      </c>
    </row>
    <row r="781" spans="1:11">
      <c r="A781" s="261" t="s">
        <v>1363</v>
      </c>
      <c r="B781" s="2180" t="str">
        <f>'Part VI-Pro Forma'!B74</f>
        <v/>
      </c>
      <c r="C781" s="2180" t="str">
        <f>'Part VI-Pro Forma'!C74</f>
        <v/>
      </c>
      <c r="D781" s="2180" t="str">
        <f>'Part VI-Pro Forma'!D74</f>
        <v/>
      </c>
      <c r="E781" s="2180" t="str">
        <f>'Part VI-Pro Forma'!E74</f>
        <v/>
      </c>
      <c r="F781" s="2180" t="str">
        <f>'Part VI-Pro Forma'!F74</f>
        <v/>
      </c>
      <c r="G781" s="2180" t="str">
        <f>'Part VI-Pro Forma'!G74</f>
        <v/>
      </c>
      <c r="H781" s="2180" t="str">
        <f>'Part VI-Pro Forma'!H74</f>
        <v/>
      </c>
      <c r="I781" s="2180" t="str">
        <f>'Part VI-Pro Forma'!I74</f>
        <v/>
      </c>
      <c r="J781" s="2180" t="str">
        <f>'Part VI-Pro Forma'!J74</f>
        <v/>
      </c>
      <c r="K781" s="2180" t="str">
        <f>'Part VI-Pro Forma'!K74</f>
        <v/>
      </c>
    </row>
    <row r="782" spans="1:11">
      <c r="A782" s="261" t="s">
        <v>1364</v>
      </c>
      <c r="B782" s="2180" t="str">
        <f>'Part VI-Pro Forma'!B75</f>
        <v/>
      </c>
      <c r="C782" s="2180" t="str">
        <f>'Part VI-Pro Forma'!C75</f>
        <v/>
      </c>
      <c r="D782" s="2180" t="str">
        <f>'Part VI-Pro Forma'!D75</f>
        <v/>
      </c>
      <c r="E782" s="2180" t="str">
        <f>'Part VI-Pro Forma'!E75</f>
        <v/>
      </c>
      <c r="F782" s="2180" t="str">
        <f>'Part VI-Pro Forma'!F75</f>
        <v/>
      </c>
      <c r="G782" s="2180" t="str">
        <f>'Part VI-Pro Forma'!G75</f>
        <v/>
      </c>
      <c r="H782" s="2180" t="str">
        <f>'Part VI-Pro Forma'!H75</f>
        <v/>
      </c>
      <c r="I782" s="2180" t="str">
        <f>'Part VI-Pro Forma'!I75</f>
        <v/>
      </c>
      <c r="J782" s="2180" t="str">
        <f>'Part VI-Pro Forma'!J75</f>
        <v/>
      </c>
      <c r="K782" s="2180" t="str">
        <f>'Part VI-Pro Forma'!K75</f>
        <v/>
      </c>
    </row>
    <row r="783" spans="1:11">
      <c r="A783" s="261" t="s">
        <v>1365</v>
      </c>
      <c r="B783" s="2180">
        <f>'Part VI-Pro Forma'!B76</f>
        <v>0</v>
      </c>
      <c r="C783" s="2180">
        <f>'Part VI-Pro Forma'!C76</f>
        <v>0</v>
      </c>
      <c r="D783" s="2180">
        <f>'Part VI-Pro Forma'!D76</f>
        <v>0</v>
      </c>
      <c r="E783" s="2180">
        <f>'Part VI-Pro Forma'!E76</f>
        <v>0</v>
      </c>
      <c r="F783" s="2180">
        <f>'Part VI-Pro Forma'!F76</f>
        <v>0</v>
      </c>
      <c r="G783" s="2180">
        <f>'Part VI-Pro Forma'!G76</f>
        <v>0</v>
      </c>
      <c r="H783" s="2180" t="str">
        <f>'Part VI-Pro Forma'!H76</f>
        <v/>
      </c>
      <c r="I783" s="2180" t="str">
        <f>'Part VI-Pro Forma'!I76</f>
        <v/>
      </c>
      <c r="J783" s="2180" t="str">
        <f>'Part VI-Pro Forma'!J76</f>
        <v/>
      </c>
      <c r="K783" s="2180" t="str">
        <f>'Part VI-Pro Forma'!K76</f>
        <v/>
      </c>
    </row>
    <row r="784" spans="1:11">
      <c r="B784" s="2180"/>
      <c r="C784" s="2180"/>
      <c r="D784" s="2180"/>
      <c r="E784" s="2180"/>
      <c r="F784" s="2180"/>
      <c r="G784" s="2180"/>
      <c r="H784" s="2180"/>
      <c r="I784" s="2180"/>
      <c r="J784" s="2180"/>
      <c r="K784" s="2180"/>
    </row>
    <row r="785" spans="1:11">
      <c r="A785" s="265" t="s">
        <v>484</v>
      </c>
      <c r="B785" s="2183">
        <f>K753+1</f>
        <v>21</v>
      </c>
      <c r="C785" s="2183">
        <f t="shared" ref="C785:K785" si="394">B785+1</f>
        <v>22</v>
      </c>
      <c r="D785" s="2183">
        <f t="shared" si="394"/>
        <v>23</v>
      </c>
      <c r="E785" s="2183">
        <f t="shared" si="394"/>
        <v>24</v>
      </c>
      <c r="F785" s="2183">
        <f t="shared" si="394"/>
        <v>25</v>
      </c>
      <c r="G785" s="2183">
        <f t="shared" si="394"/>
        <v>26</v>
      </c>
      <c r="H785" s="2183">
        <f t="shared" si="394"/>
        <v>27</v>
      </c>
      <c r="I785" s="2183">
        <f t="shared" si="394"/>
        <v>28</v>
      </c>
      <c r="J785" s="2183">
        <f t="shared" si="394"/>
        <v>29</v>
      </c>
      <c r="K785" s="2183">
        <f t="shared" si="394"/>
        <v>30</v>
      </c>
    </row>
    <row r="786" spans="1:11">
      <c r="A786" s="261" t="s">
        <v>1339</v>
      </c>
      <c r="B786" s="2180">
        <f>'Part VI-Pro Forma'!B79</f>
        <v>4577490.6722592395</v>
      </c>
      <c r="C786" s="2180">
        <f>'Part VI-Pro Forma'!C79</f>
        <v>4669040.4857044239</v>
      </c>
      <c r="D786" s="2180">
        <f>'Part VI-Pro Forma'!D79</f>
        <v>4762421.295418513</v>
      </c>
      <c r="E786" s="2180">
        <f>'Part VI-Pro Forma'!E79</f>
        <v>4857669.721326882</v>
      </c>
      <c r="F786" s="2180">
        <f>'Part VI-Pro Forma'!F79</f>
        <v>4954823.1157534206</v>
      </c>
      <c r="G786" s="2180">
        <f>'Part VI-Pro Forma'!G79</f>
        <v>5053919.5780684883</v>
      </c>
      <c r="H786" s="2180">
        <f>'Part VI-Pro Forma'!H79</f>
        <v>5154997.9696298586</v>
      </c>
      <c r="I786" s="2180">
        <f>'Part VI-Pro Forma'!I79</f>
        <v>5258097.9290224556</v>
      </c>
      <c r="J786" s="2180">
        <f>'Part VI-Pro Forma'!J79</f>
        <v>5363259.8876029057</v>
      </c>
      <c r="K786" s="2180">
        <f>'Part VI-Pro Forma'!K79</f>
        <v>5470525.0853549624</v>
      </c>
    </row>
    <row r="787" spans="1:11">
      <c r="A787" s="261" t="s">
        <v>1225</v>
      </c>
      <c r="B787" s="2180">
        <f>'Part VI-Pro Forma'!B80</f>
        <v>91549.813445184802</v>
      </c>
      <c r="C787" s="2180">
        <f>'Part VI-Pro Forma'!C80</f>
        <v>93380.809714088493</v>
      </c>
      <c r="D787" s="2180">
        <f>'Part VI-Pro Forma'!D80</f>
        <v>95248.425908370264</v>
      </c>
      <c r="E787" s="2180">
        <f>'Part VI-Pro Forma'!E80</f>
        <v>97153.394426537649</v>
      </c>
      <c r="F787" s="2180">
        <f>'Part VI-Pro Forma'!F80</f>
        <v>99096.462315068406</v>
      </c>
      <c r="G787" s="2180">
        <f>'Part VI-Pro Forma'!G80</f>
        <v>101078.39156136978</v>
      </c>
      <c r="H787" s="2180">
        <f>'Part VI-Pro Forma'!H80</f>
        <v>103099.95939259719</v>
      </c>
      <c r="I787" s="2180">
        <f>'Part VI-Pro Forma'!I80</f>
        <v>105161.95858044911</v>
      </c>
      <c r="J787" s="2180">
        <f>'Part VI-Pro Forma'!J80</f>
        <v>107265.19775205811</v>
      </c>
      <c r="K787" s="2180">
        <f>'Part VI-Pro Forma'!K80</f>
        <v>109410.50170709926</v>
      </c>
    </row>
    <row r="788" spans="1:11">
      <c r="A788" s="261" t="s">
        <v>1342</v>
      </c>
      <c r="B788" s="2180">
        <f>'Part VI-Pro Forma'!B81</f>
        <v>-326832.83399930969</v>
      </c>
      <c r="C788" s="2180">
        <f>'Part VI-Pro Forma'!C81</f>
        <v>-333369.49067929585</v>
      </c>
      <c r="D788" s="2180">
        <f>'Part VI-Pro Forma'!D81</f>
        <v>-340036.88049288181</v>
      </c>
      <c r="E788" s="2180">
        <f>'Part VI-Pro Forma'!E81</f>
        <v>-346837.61810273939</v>
      </c>
      <c r="F788" s="2180">
        <f>'Part VI-Pro Forma'!F81</f>
        <v>-353774.37046479428</v>
      </c>
      <c r="G788" s="2180">
        <f>'Part VI-Pro Forma'!G81</f>
        <v>-360849.85787409008</v>
      </c>
      <c r="H788" s="2180">
        <f>'Part VI-Pro Forma'!H81</f>
        <v>-368066.85503157193</v>
      </c>
      <c r="I788" s="2180">
        <f>'Part VI-Pro Forma'!I81</f>
        <v>-375428.19213220337</v>
      </c>
      <c r="J788" s="2180">
        <f>'Part VI-Pro Forma'!J81</f>
        <v>-382936.75597484753</v>
      </c>
      <c r="K788" s="2180">
        <f>'Part VI-Pro Forma'!K81</f>
        <v>-390595.49109434435</v>
      </c>
    </row>
    <row r="789" spans="1:11">
      <c r="A789" s="261" t="s">
        <v>1345</v>
      </c>
      <c r="B789" s="2180">
        <f>'Part VI-Pro Forma'!B82</f>
        <v>0</v>
      </c>
      <c r="C789" s="2180">
        <f>'Part VI-Pro Forma'!C82</f>
        <v>0</v>
      </c>
      <c r="D789" s="2180">
        <f>'Part VI-Pro Forma'!D82</f>
        <v>0</v>
      </c>
      <c r="E789" s="2180">
        <f>'Part VI-Pro Forma'!E82</f>
        <v>0</v>
      </c>
      <c r="F789" s="2180">
        <f>'Part VI-Pro Forma'!F82</f>
        <v>0</v>
      </c>
      <c r="G789" s="2180">
        <f>'Part VI-Pro Forma'!G82</f>
        <v>0</v>
      </c>
      <c r="H789" s="2180">
        <f>'Part VI-Pro Forma'!H82</f>
        <v>0</v>
      </c>
      <c r="I789" s="2180">
        <f>'Part VI-Pro Forma'!I82</f>
        <v>0</v>
      </c>
      <c r="J789" s="2180">
        <f>'Part VI-Pro Forma'!J82</f>
        <v>0</v>
      </c>
      <c r="K789" s="2180">
        <f>'Part VI-Pro Forma'!K82</f>
        <v>0</v>
      </c>
    </row>
    <row r="790" spans="1:11">
      <c r="A790" s="261" t="s">
        <v>1346</v>
      </c>
      <c r="B790" s="2180">
        <f>'Part VI-Pro Forma'!B83</f>
        <v>0</v>
      </c>
      <c r="C790" s="2180">
        <f>'Part VI-Pro Forma'!C83</f>
        <v>0</v>
      </c>
      <c r="D790" s="2180">
        <f>'Part VI-Pro Forma'!D83</f>
        <v>0</v>
      </c>
      <c r="E790" s="2180">
        <f>'Part VI-Pro Forma'!E83</f>
        <v>0</v>
      </c>
      <c r="F790" s="2180">
        <f>'Part VI-Pro Forma'!F83</f>
        <v>0</v>
      </c>
      <c r="G790" s="2180">
        <f>'Part VI-Pro Forma'!G83</f>
        <v>0</v>
      </c>
      <c r="H790" s="2180">
        <f>'Part VI-Pro Forma'!H83</f>
        <v>0</v>
      </c>
      <c r="I790" s="2180">
        <f>'Part VI-Pro Forma'!I83</f>
        <v>0</v>
      </c>
      <c r="J790" s="2180">
        <f>'Part VI-Pro Forma'!J83</f>
        <v>0</v>
      </c>
      <c r="K790" s="2180">
        <f>'Part VI-Pro Forma'!K83</f>
        <v>0</v>
      </c>
    </row>
    <row r="791" spans="1:11">
      <c r="A791" s="261" t="s">
        <v>1347</v>
      </c>
      <c r="B791" s="2180">
        <f>'Part VI-Pro Forma'!B84</f>
        <v>4342207.6517051142</v>
      </c>
      <c r="C791" s="2180">
        <f>'Part VI-Pro Forma'!C84</f>
        <v>4429051.8047392163</v>
      </c>
      <c r="D791" s="2180">
        <f>'Part VI-Pro Forma'!D84</f>
        <v>4517632.8408340011</v>
      </c>
      <c r="E791" s="2180">
        <f>'Part VI-Pro Forma'!E84</f>
        <v>4607985.4976506801</v>
      </c>
      <c r="F791" s="2180">
        <f>'Part VI-Pro Forma'!F84</f>
        <v>4700145.2076036949</v>
      </c>
      <c r="G791" s="2180">
        <f>'Part VI-Pro Forma'!G84</f>
        <v>4794148.1117557678</v>
      </c>
      <c r="H791" s="2180">
        <f>'Part VI-Pro Forma'!H84</f>
        <v>4890031.0739908833</v>
      </c>
      <c r="I791" s="2180">
        <f>'Part VI-Pro Forma'!I84</f>
        <v>4987831.6954707019</v>
      </c>
      <c r="J791" s="2180">
        <f>'Part VI-Pro Forma'!J84</f>
        <v>5087588.3293801164</v>
      </c>
      <c r="K791" s="2180">
        <f>'Part VI-Pro Forma'!K84</f>
        <v>5189340.0959677175</v>
      </c>
    </row>
    <row r="792" spans="1:11">
      <c r="A792" s="261" t="s">
        <v>1348</v>
      </c>
      <c r="B792" s="2180">
        <f>'Part VI-Pro Forma'!B85</f>
        <v>-2422141.4607016915</v>
      </c>
      <c r="C792" s="2180">
        <f>'Part VI-Pro Forma'!C85</f>
        <v>-2494805.704522742</v>
      </c>
      <c r="D792" s="2180">
        <f>'Part VI-Pro Forma'!D85</f>
        <v>-2569649.8756584241</v>
      </c>
      <c r="E792" s="2180">
        <f>'Part VI-Pro Forma'!E85</f>
        <v>-2646739.3719281773</v>
      </c>
      <c r="F792" s="2180">
        <f>'Part VI-Pro Forma'!F85</f>
        <v>-2726141.5530860219</v>
      </c>
      <c r="G792" s="2180">
        <f>'Part VI-Pro Forma'!G85</f>
        <v>-2807925.7996786027</v>
      </c>
      <c r="H792" s="2180">
        <f>'Part VI-Pro Forma'!H85</f>
        <v>-2892163.5736689614</v>
      </c>
      <c r="I792" s="2180">
        <f>'Part VI-Pro Forma'!I85</f>
        <v>-2978928.4808790297</v>
      </c>
      <c r="J792" s="2180">
        <f>'Part VI-Pro Forma'!J85</f>
        <v>-3068296.3353054007</v>
      </c>
      <c r="K792" s="2180">
        <f>'Part VI-Pro Forma'!K85</f>
        <v>-3160345.2253645621</v>
      </c>
    </row>
    <row r="793" spans="1:11">
      <c r="A793" s="261" t="s">
        <v>1349</v>
      </c>
      <c r="B793" s="2180">
        <f>'Part VI-Pro Forma'!B86</f>
        <v>-238821</v>
      </c>
      <c r="C793" s="2180">
        <f>'Part VI-Pro Forma'!C86</f>
        <v>-243598</v>
      </c>
      <c r="D793" s="2180">
        <f>'Part VI-Pro Forma'!D86</f>
        <v>-248470</v>
      </c>
      <c r="E793" s="2180">
        <f>'Part VI-Pro Forma'!E86</f>
        <v>-253439</v>
      </c>
      <c r="F793" s="2180">
        <f>'Part VI-Pro Forma'!F86</f>
        <v>-258508</v>
      </c>
      <c r="G793" s="2180">
        <f>'Part VI-Pro Forma'!G86</f>
        <v>-263678</v>
      </c>
      <c r="H793" s="2180">
        <f>'Part VI-Pro Forma'!H86</f>
        <v>-268952</v>
      </c>
      <c r="I793" s="2180">
        <f>'Part VI-Pro Forma'!I86</f>
        <v>-274331</v>
      </c>
      <c r="J793" s="2180">
        <f>'Part VI-Pro Forma'!J86</f>
        <v>-279817</v>
      </c>
      <c r="K793" s="2180">
        <f>'Part VI-Pro Forma'!K86</f>
        <v>-285414</v>
      </c>
    </row>
    <row r="794" spans="1:11">
      <c r="A794" s="261" t="s">
        <v>1350</v>
      </c>
      <c r="B794" s="2180">
        <f>'Part VI-Pro Forma'!B87</f>
        <v>-125795.64749472463</v>
      </c>
      <c r="C794" s="2180">
        <f>'Part VI-Pro Forma'!C87</f>
        <v>-129569.51691956636</v>
      </c>
      <c r="D794" s="2180">
        <f>'Part VI-Pro Forma'!D87</f>
        <v>-133456.60242715335</v>
      </c>
      <c r="E794" s="2180">
        <f>'Part VI-Pro Forma'!E87</f>
        <v>-137460.30049996797</v>
      </c>
      <c r="F794" s="2180">
        <f>'Part VI-Pro Forma'!F87</f>
        <v>-141584.10951496699</v>
      </c>
      <c r="G794" s="2180">
        <f>'Part VI-Pro Forma'!G87</f>
        <v>-145831.632800416</v>
      </c>
      <c r="H794" s="2180">
        <f>'Part VI-Pro Forma'!H87</f>
        <v>-150206.5817844285</v>
      </c>
      <c r="I794" s="2180">
        <f>'Part VI-Pro Forma'!I87</f>
        <v>-154712.77923796134</v>
      </c>
      <c r="J794" s="2180">
        <f>'Part VI-Pro Forma'!J87</f>
        <v>-159354.16261510018</v>
      </c>
      <c r="K794" s="2180">
        <f>'Part VI-Pro Forma'!K87</f>
        <v>-164134.78749355316</v>
      </c>
    </row>
    <row r="795" spans="1:11">
      <c r="A795" s="261" t="s">
        <v>1351</v>
      </c>
      <c r="B795" s="2180">
        <f>IF(B785&lt;=+'Part V-Revenues &amp; Expenses'!$N$251,-'Part V-Revenues &amp; Expenses'!$K$251,0)</f>
        <v>-10</v>
      </c>
      <c r="C795" s="2180">
        <f>IF(C785&lt;=+'Part V-Revenues &amp; Expenses'!$N$251,-'Part V-Revenues &amp; Expenses'!$K$251,0)</f>
        <v>-10</v>
      </c>
      <c r="D795" s="2180">
        <f>IF(D785&lt;=+'Part V-Revenues &amp; Expenses'!$N$251,-'Part V-Revenues &amp; Expenses'!$K$251,0)</f>
        <v>-10</v>
      </c>
      <c r="E795" s="2180">
        <f>IF(E785&lt;=+'Part V-Revenues &amp; Expenses'!$N$251,-'Part V-Revenues &amp; Expenses'!$K$251,0)</f>
        <v>-10</v>
      </c>
      <c r="F795" s="2180">
        <f>IF(F785&lt;=+'Part V-Revenues &amp; Expenses'!$N$251,-'Part V-Revenues &amp; Expenses'!$K$251,0)</f>
        <v>-10</v>
      </c>
      <c r="G795" s="2180">
        <f>IF(G785&lt;=+'Part V-Revenues &amp; Expenses'!$N$251,-'Part V-Revenues &amp; Expenses'!$K$251,0)</f>
        <v>-10</v>
      </c>
      <c r="H795" s="2180">
        <f>IF(H785&lt;=+'Part V-Revenues &amp; Expenses'!$N$251,-'Part V-Revenues &amp; Expenses'!$K$251,0)</f>
        <v>-10</v>
      </c>
      <c r="I795" s="2180">
        <f>IF(I785&lt;=+'Part V-Revenues &amp; Expenses'!$N$251,-'Part V-Revenues &amp; Expenses'!$K$251,0)</f>
        <v>-10</v>
      </c>
      <c r="J795" s="2180">
        <f>IF(J785&lt;=+'Part V-Revenues &amp; Expenses'!$N$251,-'Part V-Revenues &amp; Expenses'!$K$251,0)</f>
        <v>-10</v>
      </c>
      <c r="K795" s="2180">
        <f>IF(K785&lt;=+'Part V-Revenues &amp; Expenses'!$N$251,-'Part V-Revenues &amp; Expenses'!$K$251,0)</f>
        <v>-10</v>
      </c>
    </row>
    <row r="796" spans="1:11">
      <c r="A796" s="261" t="s">
        <v>1352</v>
      </c>
      <c r="B796" s="2180">
        <f t="shared" ref="B796:K796" si="395">SUM(B791:B795)</f>
        <v>1555439.543508698</v>
      </c>
      <c r="C796" s="2180">
        <f t="shared" si="395"/>
        <v>1561068.5832969081</v>
      </c>
      <c r="D796" s="2180">
        <f t="shared" si="395"/>
        <v>1566046.3627484236</v>
      </c>
      <c r="E796" s="2180">
        <f t="shared" si="395"/>
        <v>1570336.8252225348</v>
      </c>
      <c r="F796" s="2180">
        <f t="shared" si="395"/>
        <v>1573901.5450027059</v>
      </c>
      <c r="G796" s="2180">
        <f t="shared" si="395"/>
        <v>1576702.679276749</v>
      </c>
      <c r="H796" s="2180">
        <f t="shared" si="395"/>
        <v>1578698.9185374933</v>
      </c>
      <c r="I796" s="2180">
        <f t="shared" si="395"/>
        <v>1579849.4353537108</v>
      </c>
      <c r="J796" s="2180">
        <f t="shared" si="395"/>
        <v>1580110.8314596156</v>
      </c>
      <c r="K796" s="2180">
        <f t="shared" si="395"/>
        <v>1579436.0831096021</v>
      </c>
    </row>
    <row r="797" spans="1:11">
      <c r="A797" s="261" t="str">
        <f>$A765</f>
        <v>Mortgage A</v>
      </c>
      <c r="B797" s="2180">
        <f>'Part VI-Pro Forma'!B90</f>
        <v>-1082324.8914344434</v>
      </c>
      <c r="C797" s="2180">
        <f>'Part VI-Pro Forma'!C90</f>
        <v>-1082324.8914344434</v>
      </c>
      <c r="D797" s="2180">
        <f>'Part VI-Pro Forma'!D90</f>
        <v>-1082324.8914344434</v>
      </c>
      <c r="E797" s="2180">
        <f>'Part VI-Pro Forma'!E90</f>
        <v>-1082324.8914344434</v>
      </c>
      <c r="F797" s="2180">
        <f>'Part VI-Pro Forma'!F90</f>
        <v>-1082324.8914344434</v>
      </c>
      <c r="G797" s="2180">
        <f>'Part VI-Pro Forma'!G90</f>
        <v>-1082324.8914344434</v>
      </c>
      <c r="H797" s="2180">
        <f>'Part VI-Pro Forma'!H90</f>
        <v>-1082324.8914344434</v>
      </c>
      <c r="I797" s="2180">
        <f>'Part VI-Pro Forma'!I90</f>
        <v>-1082324.8914344434</v>
      </c>
      <c r="J797" s="2180">
        <f>'Part VI-Pro Forma'!J90</f>
        <v>-1082324.8914344434</v>
      </c>
      <c r="K797" s="2180">
        <f>'Part VI-Pro Forma'!K90</f>
        <v>-1082324.8914344434</v>
      </c>
    </row>
    <row r="798" spans="1:11">
      <c r="A798" s="261" t="str">
        <f>$A766</f>
        <v>Mortgage B</v>
      </c>
      <c r="B798" s="2180">
        <f>'Part VI-Pro Forma'!B91</f>
        <v>-118278.66301856365</v>
      </c>
      <c r="C798" s="2180">
        <f>'Part VI-Pro Forma'!C91</f>
        <v>-119685.92296561616</v>
      </c>
      <c r="D798" s="2180">
        <f>'Part VI-Pro Forma'!D91</f>
        <v>-120930.36782849504</v>
      </c>
      <c r="E798" s="2180">
        <f>'Part VI-Pro Forma'!E91</f>
        <v>-122002.98344702285</v>
      </c>
      <c r="F798" s="2180">
        <f>'Part VI-Pro Forma'!F91</f>
        <v>-122894.16339206562</v>
      </c>
      <c r="G798" s="2180">
        <f>'Part VI-Pro Forma'!G91</f>
        <v>-123594.4469605764</v>
      </c>
      <c r="H798" s="2180">
        <f>'Part VI-Pro Forma'!H91</f>
        <v>-124093.50677576248</v>
      </c>
      <c r="I798" s="2180">
        <f>'Part VI-Pro Forma'!I91</f>
        <v>-124381.13597981684</v>
      </c>
      <c r="J798" s="2180">
        <f>'Part VI-Pro Forma'!J91</f>
        <v>-124446.48500629305</v>
      </c>
      <c r="K798" s="2180">
        <f>'Part VI-Pro Forma'!K91</f>
        <v>-124277.79791878967</v>
      </c>
    </row>
    <row r="799" spans="1:11">
      <c r="A799" s="261" t="str">
        <f>$A767</f>
        <v>Mortgage C</v>
      </c>
      <c r="B799" s="2180">
        <f>'Part VI-Pro Forma'!B92</f>
        <v>0</v>
      </c>
      <c r="C799" s="2180">
        <f>'Part VI-Pro Forma'!C92</f>
        <v>0</v>
      </c>
      <c r="D799" s="2180">
        <f>'Part VI-Pro Forma'!D92</f>
        <v>0</v>
      </c>
      <c r="E799" s="2180">
        <f>'Part VI-Pro Forma'!E92</f>
        <v>0</v>
      </c>
      <c r="F799" s="2180">
        <f>'Part VI-Pro Forma'!F92</f>
        <v>0</v>
      </c>
      <c r="G799" s="2180">
        <f>'Part VI-Pro Forma'!G92</f>
        <v>0</v>
      </c>
      <c r="H799" s="2180">
        <f>'Part VI-Pro Forma'!H92</f>
        <v>0</v>
      </c>
      <c r="I799" s="2180">
        <f>'Part VI-Pro Forma'!I92</f>
        <v>0</v>
      </c>
      <c r="J799" s="2180">
        <f>'Part VI-Pro Forma'!J92</f>
        <v>0</v>
      </c>
      <c r="K799" s="2180">
        <f>'Part VI-Pro Forma'!K92</f>
        <v>0</v>
      </c>
    </row>
    <row r="800" spans="1:11">
      <c r="A800" s="261" t="str">
        <f>$A768</f>
        <v>D/S Other Source,not DDF</v>
      </c>
      <c r="B800" s="2180">
        <f>'Part VI-Pro Forma'!B93</f>
        <v>0</v>
      </c>
      <c r="C800" s="2180">
        <f>'Part VI-Pro Forma'!C93</f>
        <v>0</v>
      </c>
      <c r="D800" s="2180">
        <f>'Part VI-Pro Forma'!D93</f>
        <v>0</v>
      </c>
      <c r="E800" s="2180">
        <f>'Part VI-Pro Forma'!E93</f>
        <v>0</v>
      </c>
      <c r="F800" s="2180">
        <f>'Part VI-Pro Forma'!F93</f>
        <v>0</v>
      </c>
      <c r="G800" s="2180">
        <f>'Part VI-Pro Forma'!G93</f>
        <v>0</v>
      </c>
      <c r="H800" s="2180">
        <f>'Part VI-Pro Forma'!H93</f>
        <v>0</v>
      </c>
      <c r="I800" s="2180">
        <f>'Part VI-Pro Forma'!I93</f>
        <v>0</v>
      </c>
      <c r="J800" s="2180">
        <f>'Part VI-Pro Forma'!J93</f>
        <v>0</v>
      </c>
      <c r="K800" s="2180">
        <f>'Part VI-Pro Forma'!K93</f>
        <v>0</v>
      </c>
    </row>
    <row r="801" spans="1:11">
      <c r="A801" s="261" t="s">
        <v>1354</v>
      </c>
      <c r="B801" s="2180">
        <f>'Part VI-Pro Forma'!B94</f>
        <v>0</v>
      </c>
      <c r="C801" s="2180">
        <f>'Part VI-Pro Forma'!C94</f>
        <v>0</v>
      </c>
      <c r="D801" s="2180">
        <f>'Part VI-Pro Forma'!D94</f>
        <v>0</v>
      </c>
      <c r="E801" s="2180">
        <f>'Part VI-Pro Forma'!E94</f>
        <v>0</v>
      </c>
      <c r="F801" s="2180">
        <f>'Part VI-Pro Forma'!F94</f>
        <v>0</v>
      </c>
      <c r="G801" s="2180">
        <f>'Part VI-Pro Forma'!G94</f>
        <v>0</v>
      </c>
      <c r="H801" s="2180">
        <f>'Part VI-Pro Forma'!H94</f>
        <v>0</v>
      </c>
      <c r="I801" s="2180">
        <f>'Part VI-Pro Forma'!I94</f>
        <v>0</v>
      </c>
      <c r="J801" s="2180">
        <f>'Part VI-Pro Forma'!J94</f>
        <v>0</v>
      </c>
      <c r="K801" s="2180">
        <f>'Part VI-Pro Forma'!K94</f>
        <v>0</v>
      </c>
    </row>
    <row r="802" spans="1:11">
      <c r="A802" s="261" t="s">
        <v>1355</v>
      </c>
      <c r="B802" s="2180">
        <f>'Part VI-Pro Forma'!B95</f>
        <v>-10000</v>
      </c>
      <c r="C802" s="2180">
        <f>'Part VI-Pro Forma'!C95</f>
        <v>-10000</v>
      </c>
      <c r="D802" s="2180">
        <f>'Part VI-Pro Forma'!D95</f>
        <v>-10000</v>
      </c>
      <c r="E802" s="2180">
        <f>'Part VI-Pro Forma'!E95</f>
        <v>-10000</v>
      </c>
      <c r="F802" s="2180">
        <f>'Part VI-Pro Forma'!F95</f>
        <v>-10000</v>
      </c>
      <c r="G802" s="2180">
        <f>'Part VI-Pro Forma'!G95</f>
        <v>-10000</v>
      </c>
      <c r="H802" s="2180">
        <f>'Part VI-Pro Forma'!H95</f>
        <v>-10000</v>
      </c>
      <c r="I802" s="2180">
        <f>'Part VI-Pro Forma'!I95</f>
        <v>-10000</v>
      </c>
      <c r="J802" s="2180">
        <f>'Part VI-Pro Forma'!J95</f>
        <v>-10000</v>
      </c>
      <c r="K802" s="2180">
        <f>'Part VI-Pro Forma'!K95</f>
        <v>-10000</v>
      </c>
    </row>
    <row r="803" spans="1:11">
      <c r="A803" s="261" t="s">
        <v>1357</v>
      </c>
      <c r="B803" s="2180">
        <f t="shared" ref="B803:K803" si="396">SUM(B796:B802)</f>
        <v>344835.98905569094</v>
      </c>
      <c r="C803" s="2180">
        <f t="shared" si="396"/>
        <v>349057.76889684849</v>
      </c>
      <c r="D803" s="2180">
        <f t="shared" si="396"/>
        <v>352791.10348548513</v>
      </c>
      <c r="E803" s="2180">
        <f t="shared" si="396"/>
        <v>356008.95034106856</v>
      </c>
      <c r="F803" s="2180">
        <f t="shared" si="396"/>
        <v>358682.49017619685</v>
      </c>
      <c r="G803" s="2180">
        <f t="shared" si="396"/>
        <v>360783.34088172921</v>
      </c>
      <c r="H803" s="2180">
        <f t="shared" si="396"/>
        <v>362280.52032728744</v>
      </c>
      <c r="I803" s="2180">
        <f t="shared" si="396"/>
        <v>363143.40793945052</v>
      </c>
      <c r="J803" s="2180">
        <f t="shared" si="396"/>
        <v>363339.45501887915</v>
      </c>
      <c r="K803" s="2180">
        <f t="shared" si="396"/>
        <v>362833.39375636901</v>
      </c>
    </row>
    <row r="804" spans="1:11">
      <c r="A804" s="261" t="str">
        <f>$A773</f>
        <v>DCR Mortgage A</v>
      </c>
      <c r="B804" s="2181">
        <f t="shared" ref="B804:K804" si="397">IF(B797=0,"",-B796/B797)</f>
        <v>1.4371281265158922</v>
      </c>
      <c r="C804" s="2181">
        <f t="shared" si="397"/>
        <v>1.4423290045819501</v>
      </c>
      <c r="D804" s="2181">
        <f t="shared" si="397"/>
        <v>1.4469281591342569</v>
      </c>
      <c r="E804" s="2181">
        <f t="shared" si="397"/>
        <v>1.450892276108805</v>
      </c>
      <c r="F804" s="2181">
        <f t="shared" si="397"/>
        <v>1.4541858525648048</v>
      </c>
      <c r="G804" s="2181">
        <f t="shared" si="397"/>
        <v>1.4567739241283542</v>
      </c>
      <c r="H804" s="2181">
        <f t="shared" si="397"/>
        <v>1.4586183234178305</v>
      </c>
      <c r="I804" s="2181">
        <f t="shared" si="397"/>
        <v>1.4596813284594061</v>
      </c>
      <c r="J804" s="2181">
        <f t="shared" si="397"/>
        <v>1.4599228419901153</v>
      </c>
      <c r="K804" s="2181">
        <f t="shared" si="397"/>
        <v>1.4592994170320888</v>
      </c>
    </row>
    <row r="805" spans="1:11">
      <c r="A805" s="261" t="str">
        <f>$A774</f>
        <v>DCR Mortgage B</v>
      </c>
      <c r="B805" s="2181">
        <f t="shared" ref="B805:K805" si="398">IF(B798=0,"",-(B796+B797)/B798)</f>
        <v>4</v>
      </c>
      <c r="C805" s="2181">
        <f t="shared" si="398"/>
        <v>4</v>
      </c>
      <c r="D805" s="2181">
        <f t="shared" si="398"/>
        <v>4</v>
      </c>
      <c r="E805" s="2181">
        <f t="shared" si="398"/>
        <v>4</v>
      </c>
      <c r="F805" s="2181">
        <f t="shared" si="398"/>
        <v>4</v>
      </c>
      <c r="G805" s="2181">
        <f t="shared" si="398"/>
        <v>4</v>
      </c>
      <c r="H805" s="2181">
        <f t="shared" si="398"/>
        <v>4</v>
      </c>
      <c r="I805" s="2181">
        <f t="shared" si="398"/>
        <v>4</v>
      </c>
      <c r="J805" s="2181">
        <f t="shared" si="398"/>
        <v>4</v>
      </c>
      <c r="K805" s="2181">
        <f t="shared" si="398"/>
        <v>4</v>
      </c>
    </row>
    <row r="806" spans="1:11">
      <c r="A806" s="261" t="str">
        <f>$A775</f>
        <v>DCR Mortgage C</v>
      </c>
      <c r="B806" s="2181" t="str">
        <f t="shared" ref="B806:K806" si="399">IF(B799=0,"",-(B796+B797+B798)/B799)</f>
        <v/>
      </c>
      <c r="C806" s="2181" t="str">
        <f t="shared" si="399"/>
        <v/>
      </c>
      <c r="D806" s="2181" t="str">
        <f t="shared" si="399"/>
        <v/>
      </c>
      <c r="E806" s="2181" t="str">
        <f t="shared" si="399"/>
        <v/>
      </c>
      <c r="F806" s="2181" t="str">
        <f t="shared" si="399"/>
        <v/>
      </c>
      <c r="G806" s="2181" t="str">
        <f t="shared" si="399"/>
        <v/>
      </c>
      <c r="H806" s="2181" t="str">
        <f t="shared" si="399"/>
        <v/>
      </c>
      <c r="I806" s="2181" t="str">
        <f t="shared" si="399"/>
        <v/>
      </c>
      <c r="J806" s="2181" t="str">
        <f t="shared" si="399"/>
        <v/>
      </c>
      <c r="K806" s="2181" t="str">
        <f t="shared" si="399"/>
        <v/>
      </c>
    </row>
    <row r="807" spans="1:11">
      <c r="A807" s="261" t="str">
        <f>$A776</f>
        <v>DCR Other Source</v>
      </c>
      <c r="B807" s="2181" t="str">
        <f t="shared" ref="B807:K807" si="400">IF(B800=0,"",-(B796+B797+B798+B799)/B800)</f>
        <v/>
      </c>
      <c r="C807" s="2181" t="str">
        <f t="shared" si="400"/>
        <v/>
      </c>
      <c r="D807" s="2181" t="str">
        <f t="shared" si="400"/>
        <v/>
      </c>
      <c r="E807" s="2181" t="str">
        <f t="shared" si="400"/>
        <v/>
      </c>
      <c r="F807" s="2181" t="str">
        <f t="shared" si="400"/>
        <v/>
      </c>
      <c r="G807" s="2181" t="str">
        <f t="shared" si="400"/>
        <v/>
      </c>
      <c r="H807" s="2181" t="str">
        <f t="shared" si="400"/>
        <v/>
      </c>
      <c r="I807" s="2181" t="str">
        <f t="shared" si="400"/>
        <v/>
      </c>
      <c r="J807" s="2181" t="str">
        <f t="shared" si="400"/>
        <v/>
      </c>
      <c r="K807" s="2181" t="str">
        <f t="shared" si="400"/>
        <v/>
      </c>
    </row>
    <row r="808" spans="1:11">
      <c r="A808" s="261" t="s">
        <v>1359</v>
      </c>
      <c r="B808" s="2181">
        <f t="shared" ref="B808:K808" si="401">IF(AND(B797=0,B798=0,B799=0,B800=0),"",-B796/(B797+B798+B799+B800))</f>
        <v>1.2955480081160959</v>
      </c>
      <c r="C808" s="2181">
        <f t="shared" si="401"/>
        <v>1.2987142583039564</v>
      </c>
      <c r="D808" s="2181">
        <f t="shared" si="401"/>
        <v>1.3015080139418755</v>
      </c>
      <c r="E808" s="2181">
        <f t="shared" si="401"/>
        <v>1.3039113832494262</v>
      </c>
      <c r="F808" s="2181">
        <f t="shared" si="401"/>
        <v>1.3059049628362114</v>
      </c>
      <c r="G808" s="2181">
        <f t="shared" si="401"/>
        <v>1.3074694376949056</v>
      </c>
      <c r="H808" s="2181">
        <f t="shared" si="401"/>
        <v>1.3085832584114998</v>
      </c>
      <c r="I808" s="2181">
        <f t="shared" si="401"/>
        <v>1.3092247817300005</v>
      </c>
      <c r="J808" s="2181">
        <f t="shared" si="401"/>
        <v>1.3093704924623006</v>
      </c>
      <c r="K808" s="2181">
        <f t="shared" si="401"/>
        <v>1.3089943334671466</v>
      </c>
    </row>
    <row r="809" spans="1:11">
      <c r="A809" s="261" t="s">
        <v>1360</v>
      </c>
      <c r="B809" s="2182">
        <f>IF(OR(B793="Choose mgt fee",B793="Choose One!"),"",(B786+B787+B788+B789+B790) / -(B792+B793+B794))</f>
        <v>1.5581573581624499</v>
      </c>
      <c r="C809" s="2182">
        <f t="shared" ref="C809:K809" si="402">IF(OR(C793="Choose mgt fee",C793="Choose One!"),"",(C786+C787+C788+C789+C790) / -(C792+C793+C794))</f>
        <v>1.5443142117316699</v>
      </c>
      <c r="D809" s="2182">
        <f t="shared" si="402"/>
        <v>1.5305830204217454</v>
      </c>
      <c r="E809" s="2182">
        <f t="shared" si="402"/>
        <v>1.5169630079693692</v>
      </c>
      <c r="F809" s="2182">
        <f t="shared" si="402"/>
        <v>1.5034529452584904</v>
      </c>
      <c r="G809" s="2182">
        <f t="shared" si="402"/>
        <v>1.4900526249447994</v>
      </c>
      <c r="H809" s="2182">
        <f t="shared" si="402"/>
        <v>1.4767608962291785</v>
      </c>
      <c r="I809" s="2182">
        <f t="shared" si="402"/>
        <v>1.4635775513323799</v>
      </c>
      <c r="J809" s="2182">
        <f t="shared" si="402"/>
        <v>1.4505019169518845</v>
      </c>
      <c r="K809" s="2182">
        <f t="shared" si="402"/>
        <v>1.4375325362694191</v>
      </c>
    </row>
    <row r="810" spans="1:11">
      <c r="A810" s="261" t="s">
        <v>1361</v>
      </c>
      <c r="B810" s="2180">
        <f>'Part VI-Pro Forma'!B103</f>
        <v>11147860.752460893</v>
      </c>
      <c r="C810" s="2180">
        <f>'Part VI-Pro Forma'!C103</f>
        <v>10864461.536856793</v>
      </c>
      <c r="D810" s="2180">
        <f>'Part VI-Pro Forma'!D103</f>
        <v>10559819.198560469</v>
      </c>
      <c r="E810" s="2180">
        <f>'Part VI-Pro Forma'!E103</f>
        <v>10232341.389263</v>
      </c>
      <c r="F810" s="2180">
        <f>'Part VI-Pro Forma'!F103</f>
        <v>9880316.4009373281</v>
      </c>
      <c r="G810" s="2180">
        <f>'Part VI-Pro Forma'!G103</f>
        <v>9501904.2188370004</v>
      </c>
      <c r="H810" s="2180">
        <f>'Part VI-Pro Forma'!H103</f>
        <v>9095126.9038429428</v>
      </c>
      <c r="I810" s="2180">
        <f>'Part VI-Pro Forma'!I103</f>
        <v>8657858.2538873106</v>
      </c>
      <c r="J810" s="2180">
        <f>'Part VI-Pro Forma'!J103</f>
        <v>8187812.6904152827</v>
      </c>
      <c r="K810" s="2180">
        <f>'Part VI-Pro Forma'!K103</f>
        <v>7682533.3117949432</v>
      </c>
    </row>
    <row r="811" spans="1:11">
      <c r="A811" s="261" t="s">
        <v>1362</v>
      </c>
      <c r="B811" s="2180">
        <f>'Part VI-Pro Forma'!B104</f>
        <v>8002456.592953383</v>
      </c>
      <c r="C811" s="2180">
        <f>'Part VI-Pro Forma'!C104</f>
        <v>7962612.9488016842</v>
      </c>
      <c r="D811" s="2180">
        <f>'Part VI-Pro Forma'!D104</f>
        <v>7921118.8725173613</v>
      </c>
      <c r="E811" s="2180">
        <f>'Part VI-Pro Forma'!E104</f>
        <v>7878130.402910565</v>
      </c>
      <c r="F811" s="2180">
        <f>'Part VI-Pro Forma'!F104</f>
        <v>7833814.7969323657</v>
      </c>
      <c r="G811" s="2180">
        <f>'Part VI-Pro Forma'!G104</f>
        <v>7788350.4959758986</v>
      </c>
      <c r="H811" s="2180">
        <f>'Part VI-Pro Forma'!H104</f>
        <v>7741928.1088918867</v>
      </c>
      <c r="I811" s="2180">
        <f>'Part VI-Pro Forma'!I104</f>
        <v>7694750.413149545</v>
      </c>
      <c r="J811" s="2180">
        <f>'Part VI-Pro Forma'!J104</f>
        <v>7647033.1227446301</v>
      </c>
      <c r="K811" s="2180">
        <f>'Part VI-Pro Forma'!K104</f>
        <v>7599005.9286949877</v>
      </c>
    </row>
    <row r="812" spans="1:11">
      <c r="A812" s="261" t="s">
        <v>1363</v>
      </c>
      <c r="B812" s="2180" t="str">
        <f>'Part VI-Pro Forma'!B105</f>
        <v/>
      </c>
      <c r="C812" s="2180" t="str">
        <f>'Part VI-Pro Forma'!C105</f>
        <v/>
      </c>
      <c r="D812" s="2180" t="str">
        <f>'Part VI-Pro Forma'!D105</f>
        <v/>
      </c>
      <c r="E812" s="2180" t="str">
        <f>'Part VI-Pro Forma'!E105</f>
        <v/>
      </c>
      <c r="F812" s="2180" t="str">
        <f>'Part VI-Pro Forma'!F105</f>
        <v/>
      </c>
      <c r="G812" s="2180" t="str">
        <f>'Part VI-Pro Forma'!G105</f>
        <v/>
      </c>
      <c r="H812" s="2180" t="str">
        <f>'Part VI-Pro Forma'!H105</f>
        <v/>
      </c>
      <c r="I812" s="2180" t="str">
        <f>'Part VI-Pro Forma'!I105</f>
        <v/>
      </c>
      <c r="J812" s="2180" t="str">
        <f>'Part VI-Pro Forma'!J105</f>
        <v/>
      </c>
      <c r="K812" s="2180" t="str">
        <f>'Part VI-Pro Forma'!K105</f>
        <v/>
      </c>
    </row>
    <row r="813" spans="1:11">
      <c r="A813" s="261" t="s">
        <v>1364</v>
      </c>
      <c r="B813" s="2180" t="str">
        <f>'Part VI-Pro Forma'!B106</f>
        <v/>
      </c>
      <c r="C813" s="2180" t="str">
        <f>'Part VI-Pro Forma'!C106</f>
        <v/>
      </c>
      <c r="D813" s="2180" t="str">
        <f>'Part VI-Pro Forma'!D106</f>
        <v/>
      </c>
      <c r="E813" s="2180" t="str">
        <f>'Part VI-Pro Forma'!E106</f>
        <v/>
      </c>
      <c r="F813" s="2180" t="str">
        <f>'Part VI-Pro Forma'!F106</f>
        <v/>
      </c>
      <c r="G813" s="2180" t="str">
        <f>'Part VI-Pro Forma'!G106</f>
        <v/>
      </c>
      <c r="H813" s="2180" t="str">
        <f>'Part VI-Pro Forma'!H106</f>
        <v/>
      </c>
      <c r="I813" s="2180" t="str">
        <f>'Part VI-Pro Forma'!I106</f>
        <v/>
      </c>
      <c r="J813" s="2180" t="str">
        <f>'Part VI-Pro Forma'!J106</f>
        <v/>
      </c>
      <c r="K813" s="2180" t="str">
        <f>'Part VI-Pro Forma'!K106</f>
        <v/>
      </c>
    </row>
    <row r="814" spans="1:11">
      <c r="B814" s="2180"/>
      <c r="C814" s="2180"/>
      <c r="D814" s="2180"/>
      <c r="E814" s="2180"/>
      <c r="F814" s="2180"/>
      <c r="G814" s="2180"/>
      <c r="H814" s="2180"/>
      <c r="I814" s="2180"/>
      <c r="J814" s="2180"/>
      <c r="K814" s="2180"/>
    </row>
    <row r="815" spans="1:11">
      <c r="A815" s="265" t="s">
        <v>484</v>
      </c>
      <c r="B815" s="2183">
        <f>K785+1</f>
        <v>31</v>
      </c>
      <c r="C815" s="2183">
        <f>B815+1</f>
        <v>32</v>
      </c>
      <c r="D815" s="2183">
        <f>C815+1</f>
        <v>33</v>
      </c>
      <c r="E815" s="2183">
        <f>D815+1</f>
        <v>34</v>
      </c>
      <c r="F815" s="2183">
        <f>E815+1</f>
        <v>35</v>
      </c>
      <c r="G815" s="2180"/>
      <c r="H815" s="2180"/>
      <c r="I815" s="2180"/>
      <c r="J815" s="2180"/>
      <c r="K815" s="2180"/>
    </row>
    <row r="816" spans="1:11">
      <c r="A816" s="261" t="s">
        <v>1339</v>
      </c>
      <c r="B816" s="2180">
        <f>'Part VI-Pro Forma'!B109</f>
        <v>5579935.5870620627</v>
      </c>
      <c r="C816" s="2180">
        <f>'Part VI-Pro Forma'!C109</f>
        <v>5691534.2988033025</v>
      </c>
      <c r="D816" s="2180">
        <f>'Part VI-Pro Forma'!D109</f>
        <v>5805364.98477937</v>
      </c>
      <c r="E816" s="2180">
        <f>'Part VI-Pro Forma'!E109</f>
        <v>5921472.2844749577</v>
      </c>
      <c r="F816" s="2180">
        <f>'Part VI-Pro Forma'!F109</f>
        <v>6039901.7301644562</v>
      </c>
      <c r="G816" s="2180"/>
      <c r="H816" s="2180"/>
      <c r="I816" s="2180"/>
      <c r="J816" s="2180"/>
      <c r="K816" s="2180"/>
    </row>
    <row r="817" spans="1:11">
      <c r="A817" s="261" t="s">
        <v>1225</v>
      </c>
      <c r="B817" s="2180">
        <f>'Part VI-Pro Forma'!B110</f>
        <v>111598.71174124125</v>
      </c>
      <c r="C817" s="2180">
        <f>'Part VI-Pro Forma'!C110</f>
        <v>113830.68597606604</v>
      </c>
      <c r="D817" s="2180">
        <f>'Part VI-Pro Forma'!D110</f>
        <v>116107.2996955874</v>
      </c>
      <c r="E817" s="2180">
        <f>'Part VI-Pro Forma'!E110</f>
        <v>118429.44568949915</v>
      </c>
      <c r="F817" s="2180">
        <f>'Part VI-Pro Forma'!F110</f>
        <v>120798.03460328912</v>
      </c>
      <c r="G817" s="2180"/>
      <c r="H817" s="2180"/>
      <c r="I817" s="2180"/>
      <c r="J817" s="2180"/>
      <c r="K817" s="2180"/>
    </row>
    <row r="818" spans="1:11">
      <c r="A818" s="261" t="s">
        <v>1342</v>
      </c>
      <c r="B818" s="2180">
        <f>'Part VI-Pro Forma'!B111</f>
        <v>-398407.40091623133</v>
      </c>
      <c r="C818" s="2180">
        <f>'Part VI-Pro Forma'!C111</f>
        <v>-406375.54893455579</v>
      </c>
      <c r="D818" s="2180">
        <f>'Part VI-Pro Forma'!D111</f>
        <v>-414503.05991324707</v>
      </c>
      <c r="E818" s="2180">
        <f>'Part VI-Pro Forma'!E111</f>
        <v>-422793.12111151201</v>
      </c>
      <c r="F818" s="2180">
        <f>'Part VI-Pro Forma'!F111</f>
        <v>-431248.98353374226</v>
      </c>
      <c r="G818" s="2180"/>
      <c r="H818" s="2180"/>
      <c r="I818" s="2180"/>
      <c r="J818" s="2180"/>
      <c r="K818" s="2180"/>
    </row>
    <row r="819" spans="1:11">
      <c r="A819" s="261" t="s">
        <v>1345</v>
      </c>
      <c r="B819" s="2180">
        <f>'Part VI-Pro Forma'!B112</f>
        <v>0</v>
      </c>
      <c r="C819" s="2180">
        <f>'Part VI-Pro Forma'!C112</f>
        <v>0</v>
      </c>
      <c r="D819" s="2180">
        <f>'Part VI-Pro Forma'!D112</f>
        <v>0</v>
      </c>
      <c r="E819" s="2180">
        <f>'Part VI-Pro Forma'!E112</f>
        <v>0</v>
      </c>
      <c r="F819" s="2180">
        <f>'Part VI-Pro Forma'!F112</f>
        <v>0</v>
      </c>
      <c r="G819" s="2180"/>
      <c r="H819" s="2180"/>
      <c r="I819" s="2180"/>
      <c r="J819" s="2180"/>
      <c r="K819" s="2180"/>
    </row>
    <row r="820" spans="1:11">
      <c r="A820" s="261" t="s">
        <v>1346</v>
      </c>
      <c r="B820" s="2180">
        <f>'Part VI-Pro Forma'!B113</f>
        <v>0</v>
      </c>
      <c r="C820" s="2180">
        <f>'Part VI-Pro Forma'!C113</f>
        <v>0</v>
      </c>
      <c r="D820" s="2180">
        <f>'Part VI-Pro Forma'!D113</f>
        <v>0</v>
      </c>
      <c r="E820" s="2180">
        <f>'Part VI-Pro Forma'!E113</f>
        <v>0</v>
      </c>
      <c r="F820" s="2180">
        <f>'Part VI-Pro Forma'!F113</f>
        <v>0</v>
      </c>
      <c r="G820" s="2180"/>
      <c r="H820" s="2180"/>
      <c r="I820" s="2180"/>
      <c r="J820" s="2180"/>
      <c r="K820" s="2180"/>
    </row>
    <row r="821" spans="1:11">
      <c r="A821" s="261" t="s">
        <v>1347</v>
      </c>
      <c r="B821" s="2180">
        <f>'Part VI-Pro Forma'!B114</f>
        <v>5293126.8978870735</v>
      </c>
      <c r="C821" s="2180">
        <f>'Part VI-Pro Forma'!C114</f>
        <v>5398989.4358448125</v>
      </c>
      <c r="D821" s="2180">
        <f>'Part VI-Pro Forma'!D114</f>
        <v>5506969.2245617108</v>
      </c>
      <c r="E821" s="2180">
        <f>'Part VI-Pro Forma'!E114</f>
        <v>5617108.6090529449</v>
      </c>
      <c r="F821" s="2180">
        <f>'Part VI-Pro Forma'!F114</f>
        <v>5729450.7812340036</v>
      </c>
      <c r="G821" s="2180"/>
      <c r="H821" s="2180"/>
      <c r="I821" s="2180"/>
      <c r="J821" s="2180"/>
      <c r="K821" s="2180"/>
    </row>
    <row r="822" spans="1:11">
      <c r="A822" s="261" t="s">
        <v>1348</v>
      </c>
      <c r="B822" s="2180">
        <f>'Part VI-Pro Forma'!B115</f>
        <v>-3255155.5821254994</v>
      </c>
      <c r="C822" s="2180">
        <f>'Part VI-Pro Forma'!C115</f>
        <v>-3352810.2495892649</v>
      </c>
      <c r="D822" s="2180">
        <f>'Part VI-Pro Forma'!D115</f>
        <v>-3453394.5570769422</v>
      </c>
      <c r="E822" s="2180">
        <f>'Part VI-Pro Forma'!E115</f>
        <v>-3556996.3937892504</v>
      </c>
      <c r="F822" s="2180">
        <f>'Part VI-Pro Forma'!F115</f>
        <v>-3663706.2856029272</v>
      </c>
      <c r="G822" s="2180"/>
      <c r="H822" s="2180"/>
      <c r="I822" s="2180"/>
      <c r="J822" s="2180"/>
      <c r="K822" s="2180"/>
    </row>
    <row r="823" spans="1:11">
      <c r="A823" s="261" t="s">
        <v>1349</v>
      </c>
      <c r="B823" s="2180">
        <f>'Part VI-Pro Forma'!B116</f>
        <v>-291122</v>
      </c>
      <c r="C823" s="2180">
        <f>'Part VI-Pro Forma'!C116</f>
        <v>-296944</v>
      </c>
      <c r="D823" s="2180">
        <f>'Part VI-Pro Forma'!D116</f>
        <v>-302883</v>
      </c>
      <c r="E823" s="2180">
        <f>'Part VI-Pro Forma'!E116</f>
        <v>-308941</v>
      </c>
      <c r="F823" s="2180">
        <f>'Part VI-Pro Forma'!F116</f>
        <v>-315120</v>
      </c>
      <c r="G823" s="2180"/>
      <c r="H823" s="2180"/>
      <c r="I823" s="2180"/>
      <c r="J823" s="2180"/>
      <c r="K823" s="2180"/>
    </row>
    <row r="824" spans="1:11">
      <c r="A824" s="261" t="s">
        <v>1350</v>
      </c>
      <c r="B824" s="2180">
        <f>'Part VI-Pro Forma'!B117</f>
        <v>-169058.83111835975</v>
      </c>
      <c r="C824" s="2180">
        <f>'Part VI-Pro Forma'!C117</f>
        <v>-174130.59605191057</v>
      </c>
      <c r="D824" s="2180">
        <f>'Part VI-Pro Forma'!D117</f>
        <v>-179354.51393346785</v>
      </c>
      <c r="E824" s="2180">
        <f>'Part VI-Pro Forma'!E117</f>
        <v>-184735.14935147189</v>
      </c>
      <c r="F824" s="2180">
        <f>'Part VI-Pro Forma'!F117</f>
        <v>-190277.20383201604</v>
      </c>
      <c r="G824" s="2180"/>
      <c r="H824" s="2180"/>
      <c r="I824" s="2180"/>
      <c r="J824" s="2180"/>
      <c r="K824" s="2180"/>
    </row>
    <row r="825" spans="1:11">
      <c r="A825" s="261" t="s">
        <v>1351</v>
      </c>
      <c r="B825" s="2180">
        <f>IF(B815&lt;=+'Part V-Revenues &amp; Expenses'!$N$251,-'Part V-Revenues &amp; Expenses'!$K$251,0)</f>
        <v>-10</v>
      </c>
      <c r="C825" s="2180">
        <f>IF(C815&lt;=+'Part V-Revenues &amp; Expenses'!$N$251,-'Part V-Revenues &amp; Expenses'!$K$251,0)</f>
        <v>-10</v>
      </c>
      <c r="D825" s="2180">
        <f>IF(D815&lt;=+'Part V-Revenues &amp; Expenses'!$N$251,-'Part V-Revenues &amp; Expenses'!$K$251,0)</f>
        <v>-10</v>
      </c>
      <c r="E825" s="2180">
        <f>IF(E815&lt;=+'Part V-Revenues &amp; Expenses'!$N$251,-'Part V-Revenues &amp; Expenses'!$K$251,0)</f>
        <v>-10</v>
      </c>
      <c r="F825" s="2180">
        <f>IF(F815&lt;=+'Part V-Revenues &amp; Expenses'!$N$251,-'Part V-Revenues &amp; Expenses'!$K$251,0)</f>
        <v>-10</v>
      </c>
      <c r="G825" s="2180"/>
      <c r="H825" s="2180"/>
      <c r="I825" s="2180"/>
      <c r="J825" s="2180"/>
      <c r="K825" s="2180"/>
    </row>
    <row r="826" spans="1:11">
      <c r="A826" s="261" t="s">
        <v>1352</v>
      </c>
      <c r="B826" s="2180">
        <f>SUM(B821:B825)</f>
        <v>1577780.4846432144</v>
      </c>
      <c r="C826" s="2180">
        <f>SUM(C821:C825)</f>
        <v>1575094.590203637</v>
      </c>
      <c r="D826" s="2180">
        <f>SUM(D821:D825)</f>
        <v>1571327.1535513008</v>
      </c>
      <c r="E826" s="2180">
        <f>SUM(E821:E825)</f>
        <v>1566426.0659122227</v>
      </c>
      <c r="F826" s="2180">
        <f>SUM(F821:F825)</f>
        <v>1560337.2917990603</v>
      </c>
      <c r="G826" s="2180"/>
      <c r="H826" s="2180"/>
      <c r="I826" s="2180"/>
      <c r="J826" s="2180"/>
      <c r="K826" s="2180"/>
    </row>
    <row r="827" spans="1:11">
      <c r="A827" s="261" t="str">
        <f>$A797</f>
        <v>Mortgage A</v>
      </c>
      <c r="B827" s="2180">
        <f>'Part VI-Pro Forma'!B120</f>
        <v>-1082324.8914344434</v>
      </c>
      <c r="C827" s="2180">
        <f>'Part VI-Pro Forma'!C120</f>
        <v>-1082324.8914344434</v>
      </c>
      <c r="D827" s="2180">
        <f>'Part VI-Pro Forma'!D120</f>
        <v>-1082324.8914344434</v>
      </c>
      <c r="E827" s="2180">
        <f>'Part VI-Pro Forma'!E120</f>
        <v>-1082324.8914344434</v>
      </c>
      <c r="F827" s="2180">
        <f>'Part VI-Pro Forma'!F120</f>
        <v>-1082324.8914344434</v>
      </c>
      <c r="G827" s="2180"/>
      <c r="H827" s="2180"/>
      <c r="I827" s="2180"/>
      <c r="J827" s="2180"/>
      <c r="K827" s="2180"/>
    </row>
    <row r="828" spans="1:11">
      <c r="A828" s="261" t="str">
        <f>$A798</f>
        <v>Mortgage B</v>
      </c>
      <c r="B828" s="2180">
        <f>'Part VI-Pro Forma'!B121</f>
        <v>-123863.89830219274</v>
      </c>
      <c r="C828" s="2180">
        <f>'Part VI-Pro Forma'!C121</f>
        <v>-123192.4246922984</v>
      </c>
      <c r="D828" s="2180">
        <f>'Part VI-Pro Forma'!D121</f>
        <v>-122250.56552921433</v>
      </c>
      <c r="E828" s="2180">
        <f>'Part VI-Pro Forma'!E121</f>
        <v>-121025.29361944483</v>
      </c>
      <c r="F828" s="2180">
        <f>'Part VI-Pro Forma'!F121</f>
        <v>-119503.10009115422</v>
      </c>
      <c r="G828" s="2180"/>
      <c r="H828" s="2180"/>
      <c r="I828" s="2180"/>
      <c r="J828" s="2180"/>
      <c r="K828" s="2180"/>
    </row>
    <row r="829" spans="1:11">
      <c r="A829" s="261" t="str">
        <f>$A799</f>
        <v>Mortgage C</v>
      </c>
      <c r="B829" s="2180">
        <f>'Part VI-Pro Forma'!B122</f>
        <v>0</v>
      </c>
      <c r="C829" s="2180">
        <f>'Part VI-Pro Forma'!C122</f>
        <v>0</v>
      </c>
      <c r="D829" s="2180">
        <f>'Part VI-Pro Forma'!D122</f>
        <v>0</v>
      </c>
      <c r="E829" s="2180">
        <f>'Part VI-Pro Forma'!E122</f>
        <v>0</v>
      </c>
      <c r="F829" s="2180">
        <f>'Part VI-Pro Forma'!F122</f>
        <v>0</v>
      </c>
      <c r="G829" s="2180"/>
      <c r="H829" s="2180"/>
      <c r="I829" s="2180"/>
      <c r="J829" s="2180"/>
      <c r="K829" s="2180"/>
    </row>
    <row r="830" spans="1:11">
      <c r="A830" s="261" t="str">
        <f>$A800</f>
        <v>D/S Other Source,not DDF</v>
      </c>
      <c r="B830" s="2180">
        <f>'Part VI-Pro Forma'!B123</f>
        <v>0</v>
      </c>
      <c r="C830" s="2180">
        <f>'Part VI-Pro Forma'!C123</f>
        <v>0</v>
      </c>
      <c r="D830" s="2180">
        <f>'Part VI-Pro Forma'!D123</f>
        <v>0</v>
      </c>
      <c r="E830" s="2180">
        <f>'Part VI-Pro Forma'!E123</f>
        <v>0</v>
      </c>
      <c r="F830" s="2180">
        <f>'Part VI-Pro Forma'!F123</f>
        <v>0</v>
      </c>
      <c r="G830" s="2180"/>
      <c r="H830" s="2180"/>
      <c r="I830" s="2180"/>
      <c r="J830" s="2180"/>
      <c r="K830" s="2180"/>
    </row>
    <row r="831" spans="1:11">
      <c r="A831" s="261" t="s">
        <v>1354</v>
      </c>
      <c r="B831" s="2180">
        <f>'Part VI-Pro Forma'!B124</f>
        <v>0</v>
      </c>
      <c r="C831" s="2180">
        <f>'Part VI-Pro Forma'!C124</f>
        <v>0</v>
      </c>
      <c r="D831" s="2180">
        <f>'Part VI-Pro Forma'!D124</f>
        <v>0</v>
      </c>
      <c r="E831" s="2180">
        <f>'Part VI-Pro Forma'!E124</f>
        <v>0</v>
      </c>
      <c r="F831" s="2180">
        <f>'Part VI-Pro Forma'!F124</f>
        <v>0</v>
      </c>
      <c r="G831" s="2180"/>
      <c r="H831" s="2180"/>
      <c r="I831" s="2180"/>
      <c r="J831" s="2180"/>
      <c r="K831" s="2180"/>
    </row>
    <row r="832" spans="1:11">
      <c r="A832" s="261" t="s">
        <v>1355</v>
      </c>
      <c r="B832" s="2180">
        <f>'Part VI-Pro Forma'!B125</f>
        <v>-10000</v>
      </c>
      <c r="C832" s="2180">
        <f>'Part VI-Pro Forma'!C125</f>
        <v>-10000</v>
      </c>
      <c r="D832" s="2180">
        <f>'Part VI-Pro Forma'!D125</f>
        <v>-10000</v>
      </c>
      <c r="E832" s="2180">
        <f>'Part VI-Pro Forma'!E125</f>
        <v>-10000</v>
      </c>
      <c r="F832" s="2180">
        <f>'Part VI-Pro Forma'!F125</f>
        <v>-10000</v>
      </c>
      <c r="G832" s="2180"/>
      <c r="H832" s="2180"/>
      <c r="I832" s="2180"/>
      <c r="J832" s="2180"/>
      <c r="K832" s="2180"/>
    </row>
    <row r="833" spans="1:11">
      <c r="A833" s="261" t="s">
        <v>1357</v>
      </c>
      <c r="B833" s="2180">
        <f>SUM(B826:B832)</f>
        <v>361591.69490657822</v>
      </c>
      <c r="C833" s="2180">
        <f>SUM(C826:C832)</f>
        <v>359577.27407689521</v>
      </c>
      <c r="D833" s="2180">
        <f>SUM(D826:D832)</f>
        <v>356751.696587643</v>
      </c>
      <c r="E833" s="2180">
        <f>SUM(E826:E832)</f>
        <v>353075.88085833448</v>
      </c>
      <c r="F833" s="2180">
        <f>SUM(F826:F832)</f>
        <v>348509.30027346266</v>
      </c>
      <c r="G833" s="2180"/>
      <c r="H833" s="2180"/>
      <c r="I833" s="2180"/>
      <c r="J833" s="2180"/>
      <c r="K833" s="2180"/>
    </row>
    <row r="834" spans="1:11">
      <c r="A834" s="261" t="str">
        <f>$A804</f>
        <v>DCR Mortgage A</v>
      </c>
      <c r="B834" s="2181">
        <f>IF(B827=0,"",-B826/B827)</f>
        <v>1.457769748372068</v>
      </c>
      <c r="C834" s="2181">
        <f>IF(C827=0,"",-C826/C827)</f>
        <v>1.4552881511540481</v>
      </c>
      <c r="D834" s="2181">
        <f>IF(D827=0,"",-D826/D827)</f>
        <v>1.4518072770818062</v>
      </c>
      <c r="E834" s="2181">
        <f>IF(E827=0,"",-E826/E827)</f>
        <v>1.4472789809316711</v>
      </c>
      <c r="F834" s="2181">
        <f>IF(F827=0,"",-F826/F827)</f>
        <v>1.4416533373182336</v>
      </c>
      <c r="G834" s="2180"/>
      <c r="H834" s="2180"/>
      <c r="I834" s="2180"/>
      <c r="J834" s="2180"/>
      <c r="K834" s="2180"/>
    </row>
    <row r="835" spans="1:11">
      <c r="A835" s="261" t="str">
        <f>$A805</f>
        <v>DCR Mortgage B</v>
      </c>
      <c r="B835" s="2181">
        <f>IF(B828=0,"",-(B826+B827)/B828)</f>
        <v>4</v>
      </c>
      <c r="C835" s="2181">
        <f>IF(C828=0,"",-(C826+C827)/C828)</f>
        <v>4</v>
      </c>
      <c r="D835" s="2181">
        <f>IF(D828=0,"",-(D826+D827)/D828)</f>
        <v>4</v>
      </c>
      <c r="E835" s="2181">
        <f>IF(E828=0,"",-(E826+E827)/E828)</f>
        <v>4</v>
      </c>
      <c r="F835" s="2181">
        <f>IF(F828=0,"",-(F826+F827)/F828)</f>
        <v>4</v>
      </c>
      <c r="G835" s="2180"/>
      <c r="H835" s="2180"/>
      <c r="I835" s="2180"/>
      <c r="J835" s="2180"/>
      <c r="K835" s="2180"/>
    </row>
    <row r="836" spans="1:11">
      <c r="A836" s="261" t="str">
        <f>$A806</f>
        <v>DCR Mortgage C</v>
      </c>
      <c r="B836" s="2181" t="str">
        <f>IF(B829=0,"",-(B826+B827+B828)/B829)</f>
        <v/>
      </c>
      <c r="C836" s="2181" t="str">
        <f>IF(C829=0,"",-(C826+C827+C828)/C829)</f>
        <v/>
      </c>
      <c r="D836" s="2181" t="str">
        <f>IF(D829=0,"",-(D826+D827+D828)/D829)</f>
        <v/>
      </c>
      <c r="E836" s="2181" t="str">
        <f>IF(E829=0,"",-(E826+E827+E828)/E829)</f>
        <v/>
      </c>
      <c r="F836" s="2181" t="str">
        <f>IF(F829=0,"",-(F826+F827+F828)/F829)</f>
        <v/>
      </c>
      <c r="G836" s="2180"/>
      <c r="H836" s="2180"/>
      <c r="I836" s="2180"/>
      <c r="J836" s="2180"/>
      <c r="K836" s="2180"/>
    </row>
    <row r="837" spans="1:11">
      <c r="A837" s="261" t="str">
        <f>$A807</f>
        <v>DCR Other Source</v>
      </c>
      <c r="B837" s="2181" t="str">
        <f>IF(B830=0,"",-(B826+B827+B828+B829)/B830)</f>
        <v/>
      </c>
      <c r="C837" s="2181" t="str">
        <f>IF(C830=0,"",-(C826+C827+C828+C829)/C830)</f>
        <v/>
      </c>
      <c r="D837" s="2181" t="str">
        <f>IF(D830=0,"",-(D826+D827+D828+D829)/D830)</f>
        <v/>
      </c>
      <c r="E837" s="2181" t="str">
        <f>IF(E830=0,"",-(E826+E827+E828+E829)/E830)</f>
        <v/>
      </c>
      <c r="F837" s="2181" t="str">
        <f>IF(F830=0,"",-(F826+F827+F828+F829)/F830)</f>
        <v/>
      </c>
      <c r="G837" s="2180"/>
      <c r="H837" s="2180"/>
      <c r="I837" s="2180"/>
      <c r="J837" s="2180"/>
      <c r="K837" s="2180"/>
    </row>
    <row r="838" spans="1:11">
      <c r="A838" s="261" t="s">
        <v>1359</v>
      </c>
      <c r="B838" s="2181">
        <f>IF(AND(B827=0,B828=0,B829=0,B830=0),"",-B826/(B827+B828+B829+B830))</f>
        <v>1.3080709239452581</v>
      </c>
      <c r="C838" s="2181">
        <f>IF(AND(C827=0,C828=0,C829=0,C830=0),"",-C826/(C827+C828+C829+C830))</f>
        <v>1.3065715184119675</v>
      </c>
      <c r="D838" s="2181">
        <f>IF(AND(D827=0,D828=0,D829=0,D830=0),"",-D826/(D827+D828+D829+D830))</f>
        <v>1.3044655230749134</v>
      </c>
      <c r="E838" s="2181">
        <f>IF(AND(E827=0,E828=0,E829=0,E830=0),"",-E826/(E827+E828+E829+E830))</f>
        <v>1.3017208833869713</v>
      </c>
      <c r="F838" s="2181">
        <f>IF(AND(F827=0,F828=0,F829=0,F830=0),"",-F826/(F827+F828+F829+F830))</f>
        <v>1.2983033369179326</v>
      </c>
      <c r="G838" s="2180"/>
      <c r="H838" s="2180"/>
      <c r="I838" s="2180"/>
      <c r="J838" s="2180"/>
      <c r="K838" s="2180"/>
    </row>
    <row r="839" spans="1:11">
      <c r="A839" s="261" t="s">
        <v>1360</v>
      </c>
      <c r="B839" s="2182">
        <f>IF(OR(B823="Choose mgt fee",B823="Choose One!"),"",(B816+B817+B818+B819+B820) / -(B822+B823+B824))</f>
        <v>1.4246696151172071</v>
      </c>
      <c r="C839" s="2182">
        <f>IF(OR(C823="Choose mgt fee",C823="Choose One!"),"",(C816+C817+C818+C819+C820) / -(C822+C823+C824))</f>
        <v>1.4119121400842105</v>
      </c>
      <c r="D839" s="2182">
        <f>IF(OR(D823="Choose mgt fee",D823="Choose One!"),"",(D816+D817+D818+D819+D820) / -(D822+D823+D824))</f>
        <v>1.399259159697793</v>
      </c>
      <c r="E839" s="2182">
        <f>IF(OR(E823="Choose mgt fee",E823="Choose One!"),"",(E816+E817+E818+E819+E820) / -(E822+E823+E824))</f>
        <v>1.3867101201662857</v>
      </c>
      <c r="F839" s="2182">
        <f>IF(OR(F823="Choose mgt fee",F823="Choose One!"),"",(F816+F817+F818+F819+F820) / -(F822+F823+F824))</f>
        <v>1.3742644661503813</v>
      </c>
      <c r="G839" s="2180"/>
      <c r="H839" s="2180"/>
      <c r="I839" s="2180"/>
      <c r="J839" s="2180"/>
      <c r="K839" s="2180"/>
    </row>
    <row r="840" spans="1:11">
      <c r="A840" s="261" t="s">
        <v>1361</v>
      </c>
      <c r="B840" s="2180">
        <f>'Part VI-Pro Forma'!B133</f>
        <v>7139379.051231117</v>
      </c>
      <c r="C840" s="2180">
        <f>'Part VI-Pro Forma'!C133</f>
        <v>6555510.8720582863</v>
      </c>
      <c r="D840" s="2180">
        <f>'Part VI-Pro Forma'!D133</f>
        <v>5927876.928256169</v>
      </c>
      <c r="E840" s="2180">
        <f>'Part VI-Pro Forma'!E133</f>
        <v>5253196.6126228124</v>
      </c>
      <c r="F840" s="2180">
        <f>'Part VI-Pro Forma'!F133</f>
        <v>4527943.4092258951</v>
      </c>
      <c r="G840" s="2180"/>
      <c r="H840" s="2180"/>
      <c r="I840" s="2180"/>
      <c r="J840" s="2180"/>
      <c r="K840" s="2180"/>
    </row>
    <row r="841" spans="1:11">
      <c r="A841" s="261" t="s">
        <v>1362</v>
      </c>
      <c r="B841" s="2180">
        <f>'Part VI-Pro Forma'!B134</f>
        <v>7550912.0572683569</v>
      </c>
      <c r="C841" s="2180">
        <f>'Part VI-Pro Forma'!C134</f>
        <v>7503009.5964526385</v>
      </c>
      <c r="D841" s="2180">
        <f>'Part VI-Pro Forma'!D134</f>
        <v>7455572.0974205229</v>
      </c>
      <c r="E841" s="2180">
        <f>'Part VI-Pro Forma'!E134</f>
        <v>7408888.9464967158</v>
      </c>
      <c r="F841" s="2180">
        <f>'Part VI-Pro Forma'!F134</f>
        <v>7363266.00812943</v>
      </c>
      <c r="G841" s="2180"/>
      <c r="H841" s="2180"/>
      <c r="I841" s="2180"/>
      <c r="J841" s="2180"/>
      <c r="K841" s="2180"/>
    </row>
    <row r="842" spans="1:11">
      <c r="A842" s="261" t="s">
        <v>1363</v>
      </c>
      <c r="B842" s="2180" t="str">
        <f>'Part VI-Pro Forma'!B135</f>
        <v/>
      </c>
      <c r="C842" s="2180" t="str">
        <f>'Part VI-Pro Forma'!C135</f>
        <v/>
      </c>
      <c r="D842" s="2180" t="str">
        <f>'Part VI-Pro Forma'!D135</f>
        <v/>
      </c>
      <c r="E842" s="2180" t="str">
        <f>'Part VI-Pro Forma'!E135</f>
        <v/>
      </c>
      <c r="F842" s="2180" t="str">
        <f>'Part VI-Pro Forma'!F135</f>
        <v/>
      </c>
      <c r="G842" s="2180"/>
      <c r="H842" s="2180"/>
      <c r="I842" s="2180"/>
      <c r="J842" s="2180"/>
      <c r="K842" s="2180"/>
    </row>
    <row r="843" spans="1:11">
      <c r="A843" s="261" t="s">
        <v>1364</v>
      </c>
      <c r="B843" s="2180" t="str">
        <f>'Part VI-Pro Forma'!B136</f>
        <v/>
      </c>
      <c r="C843" s="2180" t="str">
        <f>'Part VI-Pro Forma'!C136</f>
        <v/>
      </c>
      <c r="D843" s="2180" t="str">
        <f>'Part VI-Pro Forma'!D136</f>
        <v/>
      </c>
      <c r="E843" s="2180" t="str">
        <f>'Part VI-Pro Forma'!E136</f>
        <v/>
      </c>
      <c r="F843" s="2180" t="str">
        <f>'Part VI-Pro Forma'!F136</f>
        <v/>
      </c>
      <c r="G843" s="2180"/>
      <c r="H843" s="2180"/>
      <c r="I843" s="2180"/>
      <c r="J843" s="2180"/>
      <c r="K843" s="2180"/>
    </row>
    <row r="845" spans="1:11">
      <c r="A845" s="265" t="s">
        <v>1370</v>
      </c>
      <c r="B845" s="265"/>
      <c r="G845" s="265" t="s">
        <v>1371</v>
      </c>
    </row>
    <row r="846" spans="1:11">
      <c r="B846" s="265"/>
    </row>
    <row r="847" spans="1:11" ht="13.5" customHeight="1">
      <c r="A847" s="2213" t="str">
        <f>'Part VI-Pro Forma'!A140</f>
        <v>APPLICANTS: Explain any any debt service payment amounts that deviate from the amount shown in Permanent Sources (Part III)</v>
      </c>
      <c r="B847" s="2213"/>
      <c r="C847" s="2213"/>
      <c r="D847" s="2213"/>
      <c r="E847" s="2213"/>
      <c r="F847" s="2213"/>
      <c r="G847" s="2213">
        <f>'Part VI-Pro Forma'!G140</f>
        <v>0</v>
      </c>
      <c r="H847" s="2213"/>
      <c r="I847" s="2213"/>
      <c r="J847" s="2213"/>
      <c r="K847" s="2213"/>
    </row>
    <row r="852" spans="1:17">
      <c r="A852" s="2421" t="str">
        <f>CONCATENATE("PART SEVEN - THRESHOLD CRITERIA","  -  ",'Part I-Project Identification'!$O$7," ",'Part I-Project Identification'!$F$25,", ",'Part I-Project Identification'!F881,", ",'Part I-Project Identification'!J881," County")</f>
        <v>PART SEVEN - THRESHOLD CRITERIA  -  2023-5 Ashley Collegetown Phase I, ,  County</v>
      </c>
      <c r="B852" s="2421"/>
      <c r="C852" s="2421"/>
      <c r="D852" s="2421"/>
      <c r="E852" s="2421"/>
      <c r="F852" s="2421"/>
      <c r="G852" s="2421"/>
      <c r="H852" s="2421"/>
      <c r="I852" s="2421"/>
      <c r="J852" s="2421"/>
      <c r="K852" s="2421"/>
      <c r="L852" s="2421"/>
      <c r="M852" s="2421"/>
      <c r="N852" s="2421"/>
      <c r="O852" s="2421"/>
      <c r="P852" s="2421"/>
      <c r="Q852" s="2421"/>
    </row>
    <row r="853" spans="1:17">
      <c r="A853" s="2422"/>
      <c r="B853" s="2422"/>
      <c r="C853" s="2422"/>
      <c r="D853" s="2422"/>
      <c r="E853" s="2422"/>
      <c r="F853" s="2422"/>
      <c r="G853" s="2422"/>
      <c r="H853" s="2422"/>
      <c r="I853" s="2422"/>
      <c r="J853" s="2422"/>
      <c r="K853" s="2422"/>
      <c r="L853" s="2422"/>
      <c r="M853" s="2422"/>
      <c r="N853" s="2422"/>
      <c r="O853" s="2422"/>
      <c r="P853" s="2422"/>
      <c r="Q853" s="2422"/>
    </row>
    <row r="854" spans="1:17" ht="12.75" customHeight="1">
      <c r="A854" s="2423"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423"/>
      <c r="C854" s="2423"/>
      <c r="D854" s="2423"/>
      <c r="E854" s="2423"/>
      <c r="F854" s="2423"/>
      <c r="G854" s="2423"/>
      <c r="H854" s="2423"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423"/>
      <c r="J854" s="2423"/>
      <c r="K854" s="2423"/>
      <c r="L854" s="2423"/>
      <c r="M854" s="2423"/>
      <c r="N854" s="2423"/>
      <c r="O854" s="2422"/>
      <c r="P854" s="2424" t="s">
        <v>1373</v>
      </c>
      <c r="Q854" s="2424" t="s">
        <v>1374</v>
      </c>
    </row>
    <row r="855" spans="1:17">
      <c r="A855" s="2425"/>
      <c r="B855" s="2423"/>
      <c r="C855" s="2423"/>
      <c r="D855" s="2423"/>
      <c r="E855" s="2425"/>
      <c r="F855" s="2425"/>
      <c r="G855" s="2425"/>
      <c r="H855" s="2425"/>
      <c r="I855" s="2422"/>
      <c r="J855" s="2421"/>
      <c r="K855" s="2425"/>
      <c r="L855" s="2425"/>
      <c r="M855" s="2425"/>
      <c r="N855" s="2425"/>
      <c r="O855" s="2422"/>
      <c r="P855" s="2424"/>
      <c r="Q855" s="2424"/>
    </row>
    <row r="856" spans="1:17">
      <c r="A856" s="2422"/>
      <c r="B856" s="2422"/>
      <c r="C856" s="2422"/>
      <c r="D856" s="2422"/>
      <c r="E856" s="2426" t="str">
        <f>'Part I-Project Identification'!$A$6</f>
        <v>Sept 2023</v>
      </c>
      <c r="F856" s="2426"/>
      <c r="G856" s="2426"/>
      <c r="H856" s="2426"/>
      <c r="I856" s="2426"/>
      <c r="J856" s="2421"/>
      <c r="K856" s="2425"/>
      <c r="L856" s="2425"/>
      <c r="M856" s="2425"/>
      <c r="N856" s="2425"/>
      <c r="O856" s="2422"/>
      <c r="P856" s="2424"/>
      <c r="Q856" s="2424"/>
    </row>
    <row r="857" spans="1:17">
      <c r="A857" s="2422"/>
      <c r="B857" s="2422"/>
      <c r="C857" s="2422"/>
      <c r="D857" s="2422"/>
      <c r="E857" s="2427"/>
      <c r="F857" s="2427"/>
      <c r="G857" s="2427"/>
      <c r="H857" s="2427"/>
      <c r="I857" s="2427"/>
      <c r="J857" s="2421"/>
      <c r="K857" s="2422"/>
      <c r="L857" s="2428"/>
      <c r="M857" s="2421"/>
      <c r="N857" s="2425"/>
      <c r="O857" s="2422"/>
      <c r="P857" s="2429"/>
      <c r="Q857" s="2429"/>
    </row>
    <row r="858" spans="1:17" ht="15.75" customHeight="1">
      <c r="A858" s="2430" t="s">
        <v>1375</v>
      </c>
      <c r="B858" s="2430"/>
      <c r="C858" s="2430"/>
      <c r="D858" s="2430"/>
      <c r="E858" s="2430"/>
      <c r="F858" s="2430"/>
      <c r="G858" s="2430"/>
      <c r="H858" s="2430"/>
      <c r="I858" s="2430"/>
      <c r="J858" s="2430"/>
      <c r="K858" s="2430"/>
      <c r="L858" s="2430"/>
      <c r="M858" s="2430"/>
      <c r="N858" s="2430"/>
      <c r="O858" s="2430"/>
      <c r="P858" s="2430"/>
      <c r="Q858" s="2430"/>
    </row>
    <row r="859" spans="1:17">
      <c r="A859" s="2422"/>
      <c r="B859" s="2422"/>
      <c r="C859" s="2422"/>
      <c r="D859" s="2422"/>
      <c r="E859" s="2427"/>
      <c r="F859" s="2427"/>
      <c r="G859" s="2427"/>
      <c r="H859" s="2427"/>
      <c r="I859" s="2427"/>
      <c r="J859" s="2421"/>
      <c r="K859" s="2422"/>
      <c r="L859" s="2428"/>
      <c r="M859" s="2421"/>
      <c r="N859" s="2425"/>
      <c r="O859" s="2422"/>
      <c r="P859" s="2429"/>
      <c r="Q859" s="2429"/>
    </row>
    <row r="860" spans="1:17" ht="15">
      <c r="A860" s="2431" t="s">
        <v>7008</v>
      </c>
      <c r="B860" s="2432"/>
      <c r="C860" s="2432"/>
      <c r="D860" s="2432"/>
      <c r="E860" s="2432"/>
      <c r="F860" s="2432"/>
      <c r="G860" s="2432"/>
      <c r="H860" s="2432"/>
      <c r="I860" s="2433"/>
      <c r="J860" s="2433"/>
      <c r="K860" s="2434"/>
      <c r="L860" s="2434"/>
      <c r="M860" s="2434"/>
      <c r="N860" s="2434"/>
      <c r="O860" s="2434"/>
      <c r="P860" s="2433"/>
      <c r="Q860" s="2433"/>
    </row>
    <row r="861" spans="1:17" ht="15">
      <c r="A861" s="2435" t="s">
        <v>1377</v>
      </c>
      <c r="B861" s="2432"/>
      <c r="C861" s="2432"/>
      <c r="D861" s="2432"/>
      <c r="E861" s="2432"/>
      <c r="F861" s="2432"/>
      <c r="G861" s="2432"/>
      <c r="H861" s="1769"/>
      <c r="I861" s="2433"/>
      <c r="J861" s="2433"/>
      <c r="K861" s="1769"/>
      <c r="L861" s="1769"/>
      <c r="M861" s="1772"/>
      <c r="N861" s="1772"/>
      <c r="O861" s="2432"/>
      <c r="P861" s="2432"/>
      <c r="Q861" s="2432"/>
    </row>
    <row r="862" spans="1:17" ht="14.25">
      <c r="A862" s="2436" t="s">
        <v>1378</v>
      </c>
      <c r="B862" s="2436"/>
      <c r="C862" s="2436"/>
      <c r="D862" s="2436"/>
      <c r="E862" s="2436"/>
      <c r="F862" s="2436"/>
      <c r="G862" s="2436"/>
      <c r="H862" s="2436"/>
      <c r="I862" s="2436"/>
      <c r="J862" s="2436"/>
      <c r="K862" s="2436"/>
      <c r="L862" s="2436"/>
      <c r="M862" s="2436"/>
      <c r="N862" s="2436"/>
      <c r="O862" s="2436"/>
      <c r="P862" s="2436"/>
      <c r="Q862" s="2436"/>
    </row>
    <row r="863" spans="1:17" ht="14.25">
      <c r="A863" s="2436" t="s">
        <v>1379</v>
      </c>
      <c r="B863" s="2436"/>
      <c r="C863" s="2436"/>
      <c r="D863" s="2436"/>
      <c r="E863" s="2436"/>
      <c r="F863" s="2436"/>
      <c r="G863" s="2436"/>
      <c r="H863" s="2436"/>
      <c r="I863" s="2436"/>
      <c r="J863" s="2436"/>
      <c r="K863" s="2436"/>
      <c r="L863" s="2436"/>
      <c r="M863" s="2436"/>
      <c r="N863" s="2436"/>
      <c r="O863" s="2436"/>
      <c r="P863" s="2436"/>
      <c r="Q863" s="2436"/>
    </row>
    <row r="864" spans="1:17" ht="14.25">
      <c r="A864" s="2436" t="s">
        <v>1380</v>
      </c>
      <c r="B864" s="2436"/>
      <c r="C864" s="2436"/>
      <c r="D864" s="2436"/>
      <c r="E864" s="2436"/>
      <c r="F864" s="2436"/>
      <c r="G864" s="2436"/>
      <c r="H864" s="2436"/>
      <c r="I864" s="2436"/>
      <c r="J864" s="2436"/>
      <c r="K864" s="2436"/>
      <c r="L864" s="2436"/>
      <c r="M864" s="2436"/>
      <c r="N864" s="2436"/>
      <c r="O864" s="2436"/>
      <c r="P864" s="2436"/>
      <c r="Q864" s="2436"/>
    </row>
    <row r="865" spans="1:17" ht="14.25">
      <c r="A865" s="2436" t="s">
        <v>1381</v>
      </c>
      <c r="B865" s="2436"/>
      <c r="C865" s="2436"/>
      <c r="D865" s="2436"/>
      <c r="E865" s="2436"/>
      <c r="F865" s="2436"/>
      <c r="G865" s="2436"/>
      <c r="H865" s="2436"/>
      <c r="I865" s="2436"/>
      <c r="J865" s="2436"/>
      <c r="K865" s="2436"/>
      <c r="L865" s="2436"/>
      <c r="M865" s="2436"/>
      <c r="N865" s="2436"/>
      <c r="O865" s="2436"/>
      <c r="P865" s="2436"/>
      <c r="Q865" s="2436"/>
    </row>
    <row r="866" spans="1:17" ht="14.25">
      <c r="A866" s="2436" t="s">
        <v>1382</v>
      </c>
      <c r="B866" s="2436"/>
      <c r="C866" s="2436"/>
      <c r="D866" s="2436"/>
      <c r="E866" s="2436"/>
      <c r="F866" s="2436"/>
      <c r="G866" s="2436"/>
      <c r="H866" s="2436"/>
      <c r="I866" s="2436"/>
      <c r="J866" s="2436"/>
      <c r="K866" s="2436"/>
      <c r="L866" s="2436"/>
      <c r="M866" s="2436"/>
      <c r="N866" s="2436"/>
      <c r="O866" s="2436"/>
      <c r="P866" s="2436"/>
      <c r="Q866" s="2436"/>
    </row>
    <row r="867" spans="1:17" ht="14.25">
      <c r="A867" s="2436" t="s">
        <v>1383</v>
      </c>
      <c r="B867" s="2436"/>
      <c r="C867" s="2436"/>
      <c r="D867" s="2436"/>
      <c r="E867" s="2436"/>
      <c r="F867" s="2436"/>
      <c r="G867" s="2436"/>
      <c r="H867" s="2436"/>
      <c r="I867" s="2436"/>
      <c r="J867" s="2436"/>
      <c r="K867" s="2436"/>
      <c r="L867" s="2436"/>
      <c r="M867" s="2436"/>
      <c r="N867" s="2436"/>
      <c r="O867" s="2436"/>
      <c r="P867" s="2436"/>
      <c r="Q867" s="2436"/>
    </row>
    <row r="868" spans="1:17" ht="14.25">
      <c r="A868" s="2436" t="s">
        <v>1384</v>
      </c>
      <c r="B868" s="2436"/>
      <c r="C868" s="2436"/>
      <c r="D868" s="2436"/>
      <c r="E868" s="2436"/>
      <c r="F868" s="2436"/>
      <c r="G868" s="2436"/>
      <c r="H868" s="2436"/>
      <c r="I868" s="2436"/>
      <c r="J868" s="2436"/>
      <c r="K868" s="2436"/>
      <c r="L868" s="2436"/>
      <c r="M868" s="2436"/>
      <c r="N868" s="2436"/>
      <c r="O868" s="2436"/>
      <c r="P868" s="2436"/>
      <c r="Q868" s="2436"/>
    </row>
    <row r="869" spans="1:17" ht="14.25">
      <c r="A869" s="2436" t="s">
        <v>1385</v>
      </c>
      <c r="B869" s="2436"/>
      <c r="C869" s="2436"/>
      <c r="D869" s="2436"/>
      <c r="E869" s="2436"/>
      <c r="F869" s="2436"/>
      <c r="G869" s="2436"/>
      <c r="H869" s="2436"/>
      <c r="I869" s="2436"/>
      <c r="J869" s="2436"/>
      <c r="K869" s="2436"/>
      <c r="L869" s="2436"/>
      <c r="M869" s="2436"/>
      <c r="N869" s="2436"/>
      <c r="O869" s="2436"/>
      <c r="P869" s="2436"/>
      <c r="Q869" s="2436"/>
    </row>
    <row r="870" spans="1:17" ht="14.25">
      <c r="A870" s="2436" t="s">
        <v>1386</v>
      </c>
      <c r="B870" s="2436"/>
      <c r="C870" s="2436"/>
      <c r="D870" s="2436"/>
      <c r="E870" s="2436"/>
      <c r="F870" s="2436"/>
      <c r="G870" s="2436"/>
      <c r="H870" s="2436"/>
      <c r="I870" s="2436"/>
      <c r="J870" s="2436"/>
      <c r="K870" s="2436"/>
      <c r="L870" s="2436"/>
      <c r="M870" s="2436"/>
      <c r="N870" s="2436"/>
      <c r="O870" s="2436"/>
      <c r="P870" s="2436"/>
      <c r="Q870" s="2436"/>
    </row>
    <row r="871" spans="1:17" ht="14.25">
      <c r="A871" s="2436" t="s">
        <v>1387</v>
      </c>
      <c r="B871" s="2436"/>
      <c r="C871" s="2436"/>
      <c r="D871" s="2436"/>
      <c r="E871" s="2436"/>
      <c r="F871" s="2436"/>
      <c r="G871" s="2436"/>
      <c r="H871" s="2436"/>
      <c r="I871" s="2436"/>
      <c r="J871" s="2436"/>
      <c r="K871" s="2436"/>
      <c r="L871" s="2436"/>
      <c r="M871" s="2436"/>
      <c r="N871" s="2436"/>
      <c r="O871" s="2436"/>
      <c r="P871" s="2436"/>
      <c r="Q871" s="2436"/>
    </row>
    <row r="872" spans="1:17" ht="14.25">
      <c r="A872" s="2436" t="s">
        <v>1388</v>
      </c>
      <c r="B872" s="2436"/>
      <c r="C872" s="2436"/>
      <c r="D872" s="2436"/>
      <c r="E872" s="2436"/>
      <c r="F872" s="2436"/>
      <c r="G872" s="2436"/>
      <c r="H872" s="2436"/>
      <c r="I872" s="2436"/>
      <c r="J872" s="2436"/>
      <c r="K872" s="2436"/>
      <c r="L872" s="2436"/>
      <c r="M872" s="2436"/>
      <c r="N872" s="2436"/>
      <c r="O872" s="2436"/>
      <c r="P872" s="2436"/>
      <c r="Q872" s="2436"/>
    </row>
    <row r="873" spans="1:17" ht="14.25">
      <c r="A873" s="2436" t="s">
        <v>1389</v>
      </c>
      <c r="B873" s="2436"/>
      <c r="C873" s="2436"/>
      <c r="D873" s="2436"/>
      <c r="E873" s="2436"/>
      <c r="F873" s="2436"/>
      <c r="G873" s="2436"/>
      <c r="H873" s="2436"/>
      <c r="I873" s="2436"/>
      <c r="J873" s="2436"/>
      <c r="K873" s="2436"/>
      <c r="L873" s="2436"/>
      <c r="M873" s="2436"/>
      <c r="N873" s="2436"/>
      <c r="O873" s="2436"/>
      <c r="P873" s="2436"/>
      <c r="Q873" s="2436"/>
    </row>
    <row r="874" spans="1:17" ht="14.25">
      <c r="A874" s="2436" t="s">
        <v>1390</v>
      </c>
      <c r="B874" s="2436"/>
      <c r="C874" s="2436"/>
      <c r="D874" s="2436"/>
      <c r="E874" s="2436"/>
      <c r="F874" s="2436"/>
      <c r="G874" s="2436"/>
      <c r="H874" s="2436"/>
      <c r="I874" s="2436"/>
      <c r="J874" s="2436"/>
      <c r="K874" s="2436"/>
      <c r="L874" s="2436"/>
      <c r="M874" s="2436"/>
      <c r="N874" s="2436"/>
      <c r="O874" s="2436"/>
      <c r="P874" s="2436"/>
      <c r="Q874" s="2436"/>
    </row>
    <row r="875" spans="1:17" ht="14.25">
      <c r="A875" s="2436" t="s">
        <v>1391</v>
      </c>
      <c r="B875" s="2436"/>
      <c r="C875" s="2436"/>
      <c r="D875" s="2436"/>
      <c r="E875" s="2436"/>
      <c r="F875" s="2436"/>
      <c r="G875" s="2436"/>
      <c r="H875" s="2436"/>
      <c r="I875" s="2436"/>
      <c r="J875" s="2436"/>
      <c r="K875" s="2436"/>
      <c r="L875" s="2436"/>
      <c r="M875" s="2436"/>
      <c r="N875" s="2436"/>
      <c r="O875" s="2436"/>
      <c r="P875" s="2436"/>
      <c r="Q875" s="2436"/>
    </row>
    <row r="876" spans="1:17" ht="14.25">
      <c r="A876" s="2436" t="s">
        <v>1392</v>
      </c>
      <c r="B876" s="2436"/>
      <c r="C876" s="2436"/>
      <c r="D876" s="2436"/>
      <c r="E876" s="2436"/>
      <c r="F876" s="2436"/>
      <c r="G876" s="2436"/>
      <c r="H876" s="2436"/>
      <c r="I876" s="2436"/>
      <c r="J876" s="2436"/>
      <c r="K876" s="2436"/>
      <c r="L876" s="2436"/>
      <c r="M876" s="2436"/>
      <c r="N876" s="2436"/>
      <c r="O876" s="2436"/>
      <c r="P876" s="2436"/>
      <c r="Q876" s="2436"/>
    </row>
    <row r="877" spans="1:17" ht="14.25">
      <c r="A877" s="2436" t="s">
        <v>1393</v>
      </c>
      <c r="B877" s="2436"/>
      <c r="C877" s="2436"/>
      <c r="D877" s="2436"/>
      <c r="E877" s="2436"/>
      <c r="F877" s="2436"/>
      <c r="G877" s="2436"/>
      <c r="H877" s="2436"/>
      <c r="I877" s="2436"/>
      <c r="J877" s="2436"/>
      <c r="K877" s="2436"/>
      <c r="L877" s="2436"/>
      <c r="M877" s="2436"/>
      <c r="N877" s="2436"/>
      <c r="O877" s="2436"/>
      <c r="P877" s="2436"/>
      <c r="Q877" s="2436"/>
    </row>
    <row r="878" spans="1:17" ht="14.25">
      <c r="A878" s="2436" t="s">
        <v>1394</v>
      </c>
      <c r="B878" s="2436"/>
      <c r="C878" s="2436"/>
      <c r="D878" s="2436"/>
      <c r="E878" s="2436"/>
      <c r="F878" s="2436"/>
      <c r="G878" s="2436"/>
      <c r="H878" s="2436"/>
      <c r="I878" s="2436"/>
      <c r="J878" s="2436"/>
      <c r="K878" s="2436"/>
      <c r="L878" s="2436"/>
      <c r="M878" s="2436"/>
      <c r="N878" s="2436"/>
      <c r="O878" s="2436"/>
      <c r="P878" s="2436"/>
      <c r="Q878" s="2436"/>
    </row>
    <row r="879" spans="1:17" ht="14.25">
      <c r="A879" s="2436" t="s">
        <v>1395</v>
      </c>
      <c r="B879" s="2436"/>
      <c r="C879" s="2436"/>
      <c r="D879" s="2436"/>
      <c r="E879" s="2436"/>
      <c r="F879" s="2436"/>
      <c r="G879" s="2436"/>
      <c r="H879" s="2436"/>
      <c r="I879" s="2436"/>
      <c r="J879" s="2436"/>
      <c r="K879" s="2436"/>
      <c r="L879" s="2436"/>
      <c r="M879" s="2436"/>
      <c r="N879" s="2436"/>
      <c r="O879" s="2436"/>
      <c r="P879" s="2436"/>
      <c r="Q879" s="2436"/>
    </row>
    <row r="880" spans="1:17" ht="14.25">
      <c r="A880" s="2432"/>
      <c r="B880" s="2432"/>
      <c r="C880" s="2432"/>
      <c r="D880" s="2432"/>
      <c r="E880" s="2432"/>
      <c r="F880" s="2432"/>
      <c r="G880" s="2432"/>
      <c r="H880" s="2432"/>
      <c r="I880" s="2432"/>
      <c r="J880" s="2432"/>
      <c r="K880" s="2432"/>
      <c r="L880" s="2432"/>
      <c r="M880" s="2432"/>
      <c r="N880" s="2432"/>
      <c r="O880" s="2432"/>
      <c r="P880" s="2432"/>
      <c r="Q880" s="2432"/>
    </row>
    <row r="881" spans="1:17" ht="14.25">
      <c r="A881" s="2432"/>
      <c r="B881" s="2432"/>
      <c r="C881" s="2432"/>
      <c r="D881" s="2432"/>
      <c r="E881" s="2432"/>
      <c r="F881" s="2432"/>
      <c r="G881" s="2432"/>
      <c r="H881" s="2432"/>
      <c r="I881" s="2432"/>
      <c r="J881" s="2432"/>
      <c r="K881" s="2432"/>
      <c r="L881" s="2432"/>
      <c r="M881" s="2432"/>
      <c r="N881" s="2432"/>
      <c r="O881" s="2432"/>
      <c r="P881" s="2432"/>
      <c r="Q881" s="2432"/>
    </row>
    <row r="882" spans="1:17" ht="15">
      <c r="A882" s="2437" t="s">
        <v>25</v>
      </c>
      <c r="B882" s="2433" t="s">
        <v>1396</v>
      </c>
      <c r="C882" s="2433"/>
      <c r="D882" s="2433"/>
      <c r="E882" s="2433"/>
      <c r="F882" s="2433"/>
      <c r="G882" s="2433"/>
      <c r="H882" s="1769"/>
      <c r="I882" s="1771"/>
      <c r="J882" s="1771"/>
      <c r="K882" s="1771"/>
      <c r="L882" s="1772"/>
      <c r="M882" s="1772"/>
      <c r="N882" s="1769"/>
      <c r="O882" s="2438" t="s">
        <v>1397</v>
      </c>
      <c r="P882" s="2433"/>
      <c r="Q882" s="2433"/>
    </row>
    <row r="883" spans="1:17" ht="15">
      <c r="A883" s="1769"/>
      <c r="B883" s="2439" t="s">
        <v>1398</v>
      </c>
      <c r="C883" s="2439"/>
      <c r="D883" s="2439"/>
      <c r="E883" s="2439"/>
      <c r="F883" s="2439"/>
      <c r="G883" s="1771"/>
      <c r="H883" s="1771"/>
      <c r="I883" s="1771"/>
      <c r="J883" s="1771"/>
      <c r="K883" s="1772"/>
      <c r="L883" s="1772"/>
      <c r="M883" s="1772"/>
      <c r="N883" s="1772"/>
      <c r="O883" s="1772"/>
      <c r="P883" s="1772"/>
      <c r="Q883" s="1769"/>
    </row>
    <row r="884" spans="1:17" ht="14.25">
      <c r="A884" s="2434">
        <f>'Part VII-Threshold Criteria'!A33</f>
        <v>0</v>
      </c>
      <c r="B884" s="2434"/>
      <c r="C884" s="2434"/>
      <c r="D884" s="2434"/>
      <c r="E884" s="2434"/>
      <c r="F884" s="2434"/>
      <c r="G884" s="2434"/>
      <c r="H884" s="2434"/>
      <c r="I884" s="2434"/>
      <c r="J884" s="2434"/>
      <c r="K884" s="2434"/>
      <c r="L884" s="2434"/>
      <c r="M884" s="2434"/>
      <c r="N884" s="2434"/>
      <c r="O884" s="2434"/>
      <c r="P884" s="2434"/>
      <c r="Q884" s="2434"/>
    </row>
    <row r="885" spans="1:17" ht="14.25">
      <c r="A885" s="1769"/>
      <c r="B885" s="2439" t="s">
        <v>1399</v>
      </c>
      <c r="C885" s="2440"/>
      <c r="D885" s="2441"/>
      <c r="E885" s="2441"/>
      <c r="F885" s="2441"/>
      <c r="G885" s="2441"/>
      <c r="H885" s="2441"/>
      <c r="I885" s="2441"/>
      <c r="J885" s="2441"/>
      <c r="K885" s="2441"/>
      <c r="L885" s="2441"/>
      <c r="M885" s="2441"/>
      <c r="N885" s="2441"/>
      <c r="O885" s="2441"/>
      <c r="P885" s="2441"/>
      <c r="Q885" s="1769"/>
    </row>
    <row r="886" spans="1:17" ht="14.25">
      <c r="A886" s="2434"/>
      <c r="B886" s="2434"/>
      <c r="C886" s="2434"/>
      <c r="D886" s="2434"/>
      <c r="E886" s="2434"/>
      <c r="F886" s="2434"/>
      <c r="G886" s="2434"/>
      <c r="H886" s="2434"/>
      <c r="I886" s="2434"/>
      <c r="J886" s="2434"/>
      <c r="K886" s="2434"/>
      <c r="L886" s="2434"/>
      <c r="M886" s="2434"/>
      <c r="N886" s="2434"/>
      <c r="O886" s="2434"/>
      <c r="P886" s="2434"/>
      <c r="Q886" s="2434"/>
    </row>
    <row r="887" spans="1:17" ht="15">
      <c r="A887" s="1769"/>
      <c r="B887" s="1771"/>
      <c r="C887" s="2441"/>
      <c r="D887" s="2441"/>
      <c r="E887" s="2441"/>
      <c r="F887" s="2441"/>
      <c r="G887" s="2441"/>
      <c r="H887" s="2441"/>
      <c r="I887" s="2441"/>
      <c r="J887" s="2441"/>
      <c r="K887" s="2441"/>
      <c r="L887" s="2441"/>
      <c r="M887" s="2441"/>
      <c r="N887" s="2441"/>
      <c r="O887" s="2441"/>
      <c r="P887" s="2441"/>
      <c r="Q887" s="1772"/>
    </row>
    <row r="888" spans="1:17" ht="15">
      <c r="A888" s="1769"/>
      <c r="B888" s="1771"/>
      <c r="C888" s="2441"/>
      <c r="D888" s="2441"/>
      <c r="E888" s="2441"/>
      <c r="F888" s="2441"/>
      <c r="G888" s="2441"/>
      <c r="H888" s="2441"/>
      <c r="I888" s="2441"/>
      <c r="J888" s="2441"/>
      <c r="K888" s="2441"/>
      <c r="L888" s="2441"/>
      <c r="M888" s="2441"/>
      <c r="N888" s="2441"/>
      <c r="O888" s="2441"/>
      <c r="P888" s="2441"/>
      <c r="Q888" s="1772"/>
    </row>
    <row r="889" spans="1:17" ht="15">
      <c r="A889" s="2437" t="s">
        <v>31</v>
      </c>
      <c r="B889" s="2433" t="s">
        <v>1400</v>
      </c>
      <c r="C889" s="2433"/>
      <c r="D889" s="2433"/>
      <c r="E889" s="2441"/>
      <c r="F889" s="2441"/>
      <c r="G889" s="1770"/>
      <c r="H889" s="1769"/>
      <c r="I889" s="1769"/>
      <c r="J889" s="1769"/>
      <c r="K889" s="1769"/>
      <c r="L889" s="1769"/>
      <c r="M889" s="1769"/>
      <c r="N889" s="1769"/>
      <c r="O889" s="2438" t="s">
        <v>1397</v>
      </c>
      <c r="P889" s="2433"/>
      <c r="Q889" s="2433"/>
    </row>
    <row r="890" spans="1:17" ht="15">
      <c r="A890" s="2437"/>
      <c r="B890" s="1769" t="s">
        <v>7009</v>
      </c>
      <c r="C890" s="1769"/>
      <c r="D890" s="1769"/>
      <c r="E890" s="1769"/>
      <c r="F890" s="1769"/>
      <c r="G890" s="1769"/>
      <c r="H890" s="1769"/>
      <c r="I890" s="1769"/>
      <c r="J890" s="1769"/>
      <c r="K890" s="1769"/>
      <c r="L890" s="1769"/>
      <c r="M890" s="1769"/>
      <c r="N890" s="1769"/>
      <c r="O890" s="1769"/>
      <c r="P890" s="2433" t="str">
        <f>'Part VII-Threshold Criteria'!P39</f>
        <v>Yes</v>
      </c>
      <c r="Q890" s="2433"/>
    </row>
    <row r="891" spans="1:17" ht="14.25">
      <c r="A891" s="1769"/>
      <c r="B891" s="2442" t="s">
        <v>1403</v>
      </c>
      <c r="C891" s="1769"/>
      <c r="D891" s="2442"/>
      <c r="E891" s="2442"/>
      <c r="F891" s="2442"/>
      <c r="G891" s="2442"/>
      <c r="H891" s="1770"/>
      <c r="I891" s="1771"/>
      <c r="J891" s="1771"/>
      <c r="K891" s="1769"/>
      <c r="L891" s="1769"/>
      <c r="M891" s="1769"/>
      <c r="N891" s="1769"/>
      <c r="O891" s="1769"/>
      <c r="P891" s="1769"/>
      <c r="Q891" s="1769"/>
    </row>
    <row r="892" spans="1:17" ht="14.25">
      <c r="A892" s="2434">
        <f>'Part VII-Threshold Criteria'!A41</f>
        <v>0</v>
      </c>
      <c r="B892" s="2434"/>
      <c r="C892" s="2434"/>
      <c r="D892" s="2434"/>
      <c r="E892" s="2434"/>
      <c r="F892" s="2434"/>
      <c r="G892" s="2434"/>
      <c r="H892" s="2434"/>
      <c r="I892" s="2434"/>
      <c r="J892" s="2434"/>
      <c r="K892" s="2434"/>
      <c r="L892" s="2434"/>
      <c r="M892" s="2434"/>
      <c r="N892" s="2434"/>
      <c r="O892" s="2434"/>
      <c r="P892" s="2434"/>
      <c r="Q892" s="2434"/>
    </row>
    <row r="893" spans="1:17" ht="15">
      <c r="A893" s="1772"/>
      <c r="B893" s="2439" t="s">
        <v>1399</v>
      </c>
      <c r="C893" s="1772"/>
      <c r="D893" s="1772"/>
      <c r="E893" s="1772"/>
      <c r="F893" s="1772"/>
      <c r="G893" s="1772"/>
      <c r="H893" s="1772"/>
      <c r="I893" s="2441"/>
      <c r="J893" s="2441"/>
      <c r="K893" s="2441"/>
      <c r="L893" s="2441"/>
      <c r="M893" s="2441"/>
      <c r="N893" s="2441"/>
      <c r="O893" s="2441"/>
      <c r="P893" s="2441"/>
      <c r="Q893" s="1772"/>
    </row>
    <row r="894" spans="1:17" ht="14.25">
      <c r="A894" s="2434"/>
      <c r="B894" s="2434"/>
      <c r="C894" s="2434"/>
      <c r="D894" s="2434"/>
      <c r="E894" s="2434"/>
      <c r="F894" s="2434"/>
      <c r="G894" s="2434"/>
      <c r="H894" s="2434"/>
      <c r="I894" s="2434"/>
      <c r="J894" s="2434"/>
      <c r="K894" s="2434"/>
      <c r="L894" s="2434"/>
      <c r="M894" s="2434"/>
      <c r="N894" s="2434"/>
      <c r="O894" s="2434"/>
      <c r="P894" s="2434"/>
      <c r="Q894" s="2434"/>
    </row>
    <row r="895" spans="1:17" ht="15">
      <c r="A895" s="1772"/>
      <c r="B895" s="2441"/>
      <c r="C895" s="2441"/>
      <c r="D895" s="2441"/>
      <c r="E895" s="2441"/>
      <c r="F895" s="2441"/>
      <c r="G895" s="2441"/>
      <c r="H895" s="2441"/>
      <c r="I895" s="2441"/>
      <c r="J895" s="2441"/>
      <c r="K895" s="2441"/>
      <c r="L895" s="2441"/>
      <c r="M895" s="2441"/>
      <c r="N895" s="2441"/>
      <c r="O895" s="2441"/>
      <c r="P895" s="2441"/>
      <c r="Q895" s="1772"/>
    </row>
    <row r="896" spans="1:17" ht="15">
      <c r="A896" s="1769"/>
      <c r="B896" s="1771"/>
      <c r="C896" s="2441"/>
      <c r="D896" s="2441"/>
      <c r="E896" s="2441"/>
      <c r="F896" s="2441"/>
      <c r="G896" s="2441"/>
      <c r="H896" s="2441"/>
      <c r="I896" s="2441"/>
      <c r="J896" s="2441"/>
      <c r="K896" s="2441"/>
      <c r="L896" s="2441"/>
      <c r="M896" s="2441"/>
      <c r="N896" s="2441"/>
      <c r="O896" s="2441"/>
      <c r="P896" s="2441"/>
      <c r="Q896" s="1772"/>
    </row>
    <row r="897" spans="1:17" ht="15">
      <c r="A897" s="2437" t="s">
        <v>50</v>
      </c>
      <c r="B897" s="2437" t="s">
        <v>1404</v>
      </c>
      <c r="C897" s="2437"/>
      <c r="D897" s="2441"/>
      <c r="E897" s="2441"/>
      <c r="F897" s="2441"/>
      <c r="G897" s="2441"/>
      <c r="H897" s="2441"/>
      <c r="I897" s="2441"/>
      <c r="J897" s="2441"/>
      <c r="K897" s="1769"/>
      <c r="L897" s="2443"/>
      <c r="M897" s="2444"/>
      <c r="N897" s="1769"/>
      <c r="O897" s="2438" t="s">
        <v>1397</v>
      </c>
      <c r="P897" s="2433"/>
      <c r="Q897" s="2433"/>
    </row>
    <row r="898" spans="1:17" ht="15">
      <c r="A898" s="2445"/>
      <c r="B898" s="1770" t="s">
        <v>7010</v>
      </c>
      <c r="C898" s="2437"/>
      <c r="D898" s="2441"/>
      <c r="E898" s="2441"/>
      <c r="F898" s="2441"/>
      <c r="G898" s="2441"/>
      <c r="H898" s="2441"/>
      <c r="I898" s="2441"/>
      <c r="J898" s="2441"/>
      <c r="K898" s="1769"/>
      <c r="L898" s="2443"/>
      <c r="M898" s="2444"/>
      <c r="N898" s="1769"/>
      <c r="O898" s="2438"/>
      <c r="P898" s="2433" t="str">
        <f>'Part VII-Threshold Criteria'!P47</f>
        <v>Yes</v>
      </c>
      <c r="Q898" s="2433"/>
    </row>
    <row r="899" spans="1:17" ht="15">
      <c r="A899" s="1769"/>
      <c r="B899" s="2442" t="s">
        <v>1403</v>
      </c>
      <c r="C899" s="1769"/>
      <c r="D899" s="2442"/>
      <c r="E899" s="2442"/>
      <c r="F899" s="2442"/>
      <c r="G899" s="2442"/>
      <c r="H899" s="1770"/>
      <c r="I899" s="1771"/>
      <c r="J899" s="1771"/>
      <c r="K899" s="2439" t="s">
        <v>1399</v>
      </c>
      <c r="L899" s="1772"/>
      <c r="M899" s="1772"/>
      <c r="N899" s="1772"/>
      <c r="O899" s="1772"/>
      <c r="P899" s="1772"/>
      <c r="Q899" s="1772"/>
    </row>
    <row r="900" spans="1:17" ht="171">
      <c r="A900" s="2434" t="str">
        <f>'Part VII-Threshold Criteria'!A49</f>
        <v>Community Engagement Coordinator ensures services meet all requirements</v>
      </c>
      <c r="B900" s="2434"/>
      <c r="C900" s="2434"/>
      <c r="D900" s="2434"/>
      <c r="E900" s="2434"/>
      <c r="F900" s="2434"/>
      <c r="G900" s="2434"/>
      <c r="H900" s="2434"/>
      <c r="I900" s="2434"/>
      <c r="J900" s="2434"/>
      <c r="K900" s="2434"/>
      <c r="L900" s="2434"/>
      <c r="M900" s="2434"/>
      <c r="N900" s="2434"/>
      <c r="O900" s="2434"/>
      <c r="P900" s="2434"/>
      <c r="Q900" s="2434"/>
    </row>
    <row r="901" spans="1:17" ht="15">
      <c r="A901" s="1772"/>
      <c r="B901" s="1771"/>
      <c r="C901" s="2441"/>
      <c r="D901" s="2441"/>
      <c r="E901" s="2441"/>
      <c r="F901" s="2441"/>
      <c r="G901" s="2441"/>
      <c r="H901" s="2441"/>
      <c r="I901" s="2441"/>
      <c r="J901" s="2441"/>
      <c r="K901" s="2441"/>
      <c r="L901" s="2441"/>
      <c r="M901" s="2441"/>
      <c r="N901" s="2441"/>
      <c r="O901" s="2441"/>
      <c r="P901" s="2441"/>
      <c r="Q901" s="1772"/>
    </row>
    <row r="902" spans="1:17" ht="15">
      <c r="A902" s="1772"/>
      <c r="B902" s="1771"/>
      <c r="C902" s="2441"/>
      <c r="D902" s="2441"/>
      <c r="E902" s="2441"/>
      <c r="F902" s="2441"/>
      <c r="G902" s="2441"/>
      <c r="H902" s="2441"/>
      <c r="I902" s="2441"/>
      <c r="J902" s="2441"/>
      <c r="K902" s="2441"/>
      <c r="L902" s="2441"/>
      <c r="M902" s="2441"/>
      <c r="N902" s="2441"/>
      <c r="O902" s="2441"/>
      <c r="P902" s="2441"/>
      <c r="Q902" s="1772"/>
    </row>
    <row r="903" spans="1:17" ht="15">
      <c r="A903" s="2437" t="s">
        <v>66</v>
      </c>
      <c r="B903" s="2437" t="s">
        <v>1406</v>
      </c>
      <c r="C903" s="2437"/>
      <c r="D903" s="2441"/>
      <c r="E903" s="2441"/>
      <c r="F903" s="2441"/>
      <c r="G903" s="2441"/>
      <c r="H903" s="2446"/>
      <c r="I903" s="1769"/>
      <c r="J903" s="2445"/>
      <c r="K903" s="2433"/>
      <c r="L903" s="2445"/>
      <c r="M903" s="2437"/>
      <c r="N903" s="1769"/>
      <c r="O903" s="2438" t="s">
        <v>1397</v>
      </c>
      <c r="P903" s="2433"/>
      <c r="Q903" s="2433"/>
    </row>
    <row r="904" spans="1:17" ht="15" customHeight="1">
      <c r="A904" s="2445"/>
      <c r="B904" s="2434" t="s">
        <v>1407</v>
      </c>
      <c r="C904" s="2434"/>
      <c r="D904" s="2434"/>
      <c r="E904" s="2434"/>
      <c r="F904" s="2434"/>
      <c r="G904" s="2434"/>
      <c r="H904" s="2434"/>
      <c r="I904" s="2436" t="str">
        <f>'Part VII-Threshold Criteria'!I53</f>
        <v>Real Property Research Group</v>
      </c>
      <c r="J904" s="2436"/>
      <c r="K904" s="2436"/>
      <c r="L904" s="2436"/>
      <c r="M904" s="2436"/>
      <c r="N904" s="2436"/>
      <c r="O904" s="2436"/>
      <c r="P904" s="2436"/>
      <c r="Q904" s="2436"/>
    </row>
    <row r="905" spans="1:17" ht="15">
      <c r="A905" s="2445"/>
      <c r="B905" s="1769" t="s">
        <v>1408</v>
      </c>
      <c r="C905" s="1769"/>
      <c r="D905" s="2434"/>
      <c r="E905" s="2434"/>
      <c r="F905" s="2434"/>
      <c r="G905" s="1769"/>
      <c r="H905" s="1769"/>
      <c r="I905" s="2434">
        <f>'Part VII-Threshold Criteria'!I54</f>
        <v>0.95399999999999996</v>
      </c>
      <c r="J905" s="2434"/>
      <c r="K905" s="2434"/>
      <c r="L905" s="2447"/>
      <c r="M905" s="2448"/>
      <c r="N905" s="2448"/>
      <c r="O905" s="2448"/>
      <c r="P905" s="2448"/>
      <c r="Q905" s="1772"/>
    </row>
    <row r="906" spans="1:17" ht="15">
      <c r="A906" s="2445"/>
      <c r="B906" s="1769" t="s">
        <v>1409</v>
      </c>
      <c r="C906" s="1769"/>
      <c r="D906" s="2434"/>
      <c r="E906" s="2434"/>
      <c r="F906" s="2434"/>
      <c r="G906" s="1769"/>
      <c r="H906" s="2447" t="s">
        <v>1410</v>
      </c>
      <c r="I906" s="2434">
        <f>'Part VII-Threshold Criteria'!I55</f>
        <v>1.7999999999999999E-2</v>
      </c>
      <c r="J906" s="2434"/>
      <c r="K906" s="2434"/>
      <c r="L906" s="2448"/>
      <c r="M906" s="2449" t="s">
        <v>1411</v>
      </c>
      <c r="N906" s="2434">
        <f>'Part VII-Threshold Criteria'!N55</f>
        <v>3.5000000000000003E-2</v>
      </c>
      <c r="O906" s="2434"/>
      <c r="P906" s="1769"/>
      <c r="Q906" s="1769"/>
    </row>
    <row r="907" spans="1:17" ht="15">
      <c r="A907" s="1769"/>
      <c r="B907" s="2442" t="s">
        <v>1403</v>
      </c>
      <c r="C907" s="1769"/>
      <c r="D907" s="2442"/>
      <c r="E907" s="2442"/>
      <c r="F907" s="2442"/>
      <c r="G907" s="2442"/>
      <c r="H907" s="1770"/>
      <c r="I907" s="1771"/>
      <c r="J907" s="1771"/>
      <c r="K907" s="1771"/>
      <c r="L907" s="1772"/>
      <c r="M907" s="1772"/>
      <c r="N907" s="1772"/>
      <c r="O907" s="1772"/>
      <c r="P907" s="1772"/>
      <c r="Q907" s="1772"/>
    </row>
    <row r="908" spans="1:17" ht="409.5">
      <c r="A908" s="2434" t="str">
        <f>'Part VII-Threshold Criteria'!A57</f>
        <v xml:space="preserve">As demonstrated in the Marklet Study in Tab 5 and in the occupancy rates shown in Tab 49, Ashley Collegetown has robust occupancy.  As shown in Table 38 on page 61 of the Market Study, the LIHTC units provide a market advantage in rents of greater than 50%.  </v>
      </c>
      <c r="B908" s="2434"/>
      <c r="C908" s="2434"/>
      <c r="D908" s="2434"/>
      <c r="E908" s="2434"/>
      <c r="F908" s="2434"/>
      <c r="G908" s="2434"/>
      <c r="H908" s="2434"/>
      <c r="I908" s="2434"/>
      <c r="J908" s="2434"/>
      <c r="K908" s="2434"/>
      <c r="L908" s="2434"/>
      <c r="M908" s="2434"/>
      <c r="N908" s="2434"/>
      <c r="O908" s="2434"/>
      <c r="P908" s="2434"/>
      <c r="Q908" s="2434"/>
    </row>
    <row r="909" spans="1:17" ht="14.25">
      <c r="A909" s="1769"/>
      <c r="B909" s="2439" t="s">
        <v>1399</v>
      </c>
      <c r="C909" s="2440"/>
      <c r="D909" s="2441"/>
      <c r="E909" s="2441"/>
      <c r="F909" s="2441"/>
      <c r="G909" s="2441"/>
      <c r="H909" s="2441"/>
      <c r="I909" s="2441"/>
      <c r="J909" s="2441"/>
      <c r="K909" s="2441"/>
      <c r="L909" s="2441"/>
      <c r="M909" s="2441"/>
      <c r="N909" s="2441"/>
      <c r="O909" s="2441"/>
      <c r="P909" s="2441"/>
      <c r="Q909" s="2441"/>
    </row>
    <row r="910" spans="1:17" ht="14.25">
      <c r="A910" s="2434"/>
      <c r="B910" s="2434"/>
      <c r="C910" s="2434"/>
      <c r="D910" s="2434"/>
      <c r="E910" s="2434"/>
      <c r="F910" s="2434"/>
      <c r="G910" s="2434"/>
      <c r="H910" s="2434"/>
      <c r="I910" s="2434"/>
      <c r="J910" s="2434"/>
      <c r="K910" s="2434"/>
      <c r="L910" s="2434"/>
      <c r="M910" s="2434"/>
      <c r="N910" s="2434"/>
      <c r="O910" s="2434"/>
      <c r="P910" s="2434"/>
      <c r="Q910" s="2434"/>
    </row>
    <row r="911" spans="1:17" ht="14.25">
      <c r="A911" s="2441"/>
      <c r="B911" s="2441"/>
      <c r="C911" s="2441"/>
      <c r="D911" s="2441"/>
      <c r="E911" s="2441"/>
      <c r="F911" s="2441"/>
      <c r="G911" s="2441"/>
      <c r="H911" s="2441"/>
      <c r="I911" s="2441"/>
      <c r="J911" s="2441"/>
      <c r="K911" s="2441"/>
      <c r="L911" s="2441"/>
      <c r="M911" s="2441"/>
      <c r="N911" s="2441"/>
      <c r="O911" s="2441"/>
      <c r="P911" s="2441"/>
      <c r="Q911" s="2441"/>
    </row>
    <row r="912" spans="1:17" ht="14.25">
      <c r="A912" s="2441"/>
      <c r="B912" s="2441"/>
      <c r="C912" s="2441"/>
      <c r="D912" s="2441"/>
      <c r="E912" s="2441"/>
      <c r="F912" s="2441"/>
      <c r="G912" s="2441"/>
      <c r="H912" s="2441"/>
      <c r="I912" s="2441"/>
      <c r="J912" s="2441"/>
      <c r="K912" s="2441"/>
      <c r="L912" s="2441"/>
      <c r="M912" s="2441"/>
      <c r="N912" s="2441"/>
      <c r="O912" s="2441"/>
      <c r="P912" s="2441"/>
      <c r="Q912" s="2441"/>
    </row>
    <row r="913" spans="1:17" ht="15">
      <c r="A913" s="2437" t="s">
        <v>75</v>
      </c>
      <c r="B913" s="2437" t="s">
        <v>1412</v>
      </c>
      <c r="C913" s="2437"/>
      <c r="D913" s="2441"/>
      <c r="E913" s="2441"/>
      <c r="F913" s="2441"/>
      <c r="G913" s="2441"/>
      <c r="H913" s="2441"/>
      <c r="I913" s="2441"/>
      <c r="J913" s="2441"/>
      <c r="K913" s="2441"/>
      <c r="L913" s="2441"/>
      <c r="M913" s="2441"/>
      <c r="N913" s="1769"/>
      <c r="O913" s="2438" t="s">
        <v>1397</v>
      </c>
      <c r="P913" s="2433"/>
      <c r="Q913" s="2433"/>
    </row>
    <row r="914" spans="1:17" ht="15">
      <c r="A914" s="2445"/>
      <c r="B914" s="1769" t="s">
        <v>1413</v>
      </c>
      <c r="C914" s="1769"/>
      <c r="D914" s="1769"/>
      <c r="E914" s="1769"/>
      <c r="F914" s="1769"/>
      <c r="G914" s="1769"/>
      <c r="H914" s="1769"/>
      <c r="I914" s="2434"/>
      <c r="J914" s="2434">
        <f>'Part VII-Threshold Criteria'!J63</f>
        <v>0</v>
      </c>
      <c r="K914" s="2434"/>
      <c r="L914" s="2434"/>
      <c r="M914" s="2434"/>
      <c r="N914" s="2434"/>
      <c r="O914" s="2434"/>
      <c r="P914" s="2434"/>
      <c r="Q914" s="2434"/>
    </row>
    <row r="915" spans="1:17" ht="15">
      <c r="A915" s="2445"/>
      <c r="B915" s="1769" t="s">
        <v>1414</v>
      </c>
      <c r="C915" s="1769"/>
      <c r="D915" s="1769"/>
      <c r="E915" s="1769"/>
      <c r="F915" s="1769"/>
      <c r="G915" s="1769"/>
      <c r="H915" s="1769"/>
      <c r="I915" s="1769"/>
      <c r="J915" s="1769"/>
      <c r="K915" s="1769"/>
      <c r="L915" s="1769"/>
      <c r="M915" s="1769"/>
      <c r="N915" s="1769"/>
      <c r="O915" s="2447"/>
      <c r="P915" s="1772">
        <f>'Part VII-Threshold Criteria'!P64</f>
        <v>0</v>
      </c>
      <c r="Q915" s="1772"/>
    </row>
    <row r="916" spans="1:17" ht="15" customHeight="1">
      <c r="A916" s="1769"/>
      <c r="B916" s="2437"/>
      <c r="C916" s="2434" t="s">
        <v>1415</v>
      </c>
      <c r="D916" s="2434"/>
      <c r="E916" s="2434"/>
      <c r="F916" s="2434"/>
      <c r="G916" s="2434"/>
      <c r="H916" s="2434"/>
      <c r="I916" s="2434"/>
      <c r="J916" s="2434"/>
      <c r="K916" s="2434"/>
      <c r="L916" s="2434"/>
      <c r="M916" s="2434"/>
      <c r="N916" s="2434"/>
      <c r="O916" s="2434"/>
      <c r="P916" s="1772">
        <f>'Part VII-Threshold Criteria'!P65</f>
        <v>0</v>
      </c>
      <c r="Q916" s="1772"/>
    </row>
    <row r="917" spans="1:17" ht="15" customHeight="1">
      <c r="A917" s="2445"/>
      <c r="B917" s="2437"/>
      <c r="C917" s="2434" t="s">
        <v>1416</v>
      </c>
      <c r="D917" s="2434"/>
      <c r="E917" s="2434"/>
      <c r="F917" s="2434"/>
      <c r="G917" s="2434"/>
      <c r="H917" s="2434"/>
      <c r="I917" s="2434"/>
      <c r="J917" s="2434"/>
      <c r="K917" s="2434"/>
      <c r="L917" s="2434"/>
      <c r="M917" s="2434"/>
      <c r="N917" s="2434"/>
      <c r="O917" s="2434"/>
      <c r="P917" s="1772">
        <f>'Part VII-Threshold Criteria'!P66</f>
        <v>0</v>
      </c>
      <c r="Q917" s="1772"/>
    </row>
    <row r="918" spans="1:17" ht="15">
      <c r="A918" s="1769"/>
      <c r="B918" s="2442" t="s">
        <v>1398</v>
      </c>
      <c r="C918" s="1769"/>
      <c r="D918" s="2442"/>
      <c r="E918" s="2442"/>
      <c r="F918" s="2442"/>
      <c r="G918" s="2442"/>
      <c r="H918" s="1770"/>
      <c r="I918" s="1771"/>
      <c r="J918" s="1771"/>
      <c r="K918" s="1771"/>
      <c r="L918" s="1772"/>
      <c r="M918" s="1772"/>
      <c r="N918" s="1772"/>
      <c r="O918" s="1772"/>
      <c r="P918" s="1772"/>
      <c r="Q918" s="1772"/>
    </row>
    <row r="919" spans="1:17" ht="71.25">
      <c r="A919" s="2434" t="str">
        <f>'Part VII-Threshold Criteria'!A68</f>
        <v>Not Due at Competitive Review</v>
      </c>
      <c r="B919" s="2434"/>
      <c r="C919" s="2434"/>
      <c r="D919" s="2434"/>
      <c r="E919" s="2434"/>
      <c r="F919" s="2434"/>
      <c r="G919" s="2434"/>
      <c r="H919" s="2434"/>
      <c r="I919" s="2434"/>
      <c r="J919" s="2434"/>
      <c r="K919" s="2434"/>
      <c r="L919" s="2434"/>
      <c r="M919" s="2434"/>
      <c r="N919" s="2434"/>
      <c r="O919" s="2434"/>
      <c r="P919" s="2434"/>
      <c r="Q919" s="2434"/>
    </row>
    <row r="920" spans="1:17" ht="14.25">
      <c r="A920" s="1769"/>
      <c r="B920" s="2439" t="s">
        <v>1399</v>
      </c>
      <c r="C920" s="2440"/>
      <c r="D920" s="2441"/>
      <c r="E920" s="2441"/>
      <c r="F920" s="2441"/>
      <c r="G920" s="2441"/>
      <c r="H920" s="2441"/>
      <c r="I920" s="2441"/>
      <c r="J920" s="2441"/>
      <c r="K920" s="2441"/>
      <c r="L920" s="2441"/>
      <c r="M920" s="2441"/>
      <c r="N920" s="2441"/>
      <c r="O920" s="2441"/>
      <c r="P920" s="2441"/>
      <c r="Q920" s="2441"/>
    </row>
    <row r="921" spans="1:17" ht="14.25">
      <c r="A921" s="2434"/>
      <c r="B921" s="2434"/>
      <c r="C921" s="2434"/>
      <c r="D921" s="2434"/>
      <c r="E921" s="2434"/>
      <c r="F921" s="2434"/>
      <c r="G921" s="2434"/>
      <c r="H921" s="2434"/>
      <c r="I921" s="2434"/>
      <c r="J921" s="2434"/>
      <c r="K921" s="2434"/>
      <c r="L921" s="2434"/>
      <c r="M921" s="2434"/>
      <c r="N921" s="2434"/>
      <c r="O921" s="2434"/>
      <c r="P921" s="2434"/>
      <c r="Q921" s="2434"/>
    </row>
    <row r="922" spans="1:17" ht="14.25">
      <c r="A922" s="1769"/>
      <c r="B922" s="1769"/>
      <c r="C922" s="1769"/>
      <c r="D922" s="1769"/>
      <c r="E922" s="1769"/>
      <c r="F922" s="1769"/>
      <c r="G922" s="1769"/>
      <c r="H922" s="1769"/>
      <c r="I922" s="1769"/>
      <c r="J922" s="1769"/>
      <c r="K922" s="1769"/>
      <c r="L922" s="1769"/>
      <c r="M922" s="1769"/>
      <c r="N922" s="1769"/>
      <c r="O922" s="1769"/>
      <c r="P922" s="1769"/>
      <c r="Q922" s="1769"/>
    </row>
    <row r="923" spans="1:17" ht="14.25">
      <c r="A923" s="1769"/>
      <c r="B923" s="1769"/>
      <c r="C923" s="1769"/>
      <c r="D923" s="1769"/>
      <c r="E923" s="1769"/>
      <c r="F923" s="1769"/>
      <c r="G923" s="1769"/>
      <c r="H923" s="1769"/>
      <c r="I923" s="1769"/>
      <c r="J923" s="1769"/>
      <c r="K923" s="1769"/>
      <c r="L923" s="1769"/>
      <c r="M923" s="1769"/>
      <c r="N923" s="1769"/>
      <c r="O923" s="1769"/>
      <c r="P923" s="1769"/>
      <c r="Q923" s="1769"/>
    </row>
    <row r="924" spans="1:17" ht="15">
      <c r="A924" s="2437" t="s">
        <v>77</v>
      </c>
      <c r="B924" s="2437" t="s">
        <v>1417</v>
      </c>
      <c r="C924" s="1770"/>
      <c r="D924" s="2441"/>
      <c r="E924" s="2441"/>
      <c r="F924" s="2441"/>
      <c r="G924" s="2441"/>
      <c r="H924" s="2441"/>
      <c r="I924" s="2441"/>
      <c r="J924" s="2441"/>
      <c r="K924" s="2441"/>
      <c r="L924" s="2441"/>
      <c r="M924" s="2441"/>
      <c r="N924" s="1769"/>
      <c r="O924" s="2438" t="s">
        <v>1397</v>
      </c>
      <c r="P924" s="2433"/>
      <c r="Q924" s="2433"/>
    </row>
    <row r="925" spans="1:17" ht="15" customHeight="1">
      <c r="A925" s="2445"/>
      <c r="B925" s="2434" t="s">
        <v>1418</v>
      </c>
      <c r="C925" s="2434"/>
      <c r="D925" s="2434"/>
      <c r="E925" s="2434"/>
      <c r="F925" s="2434"/>
      <c r="G925" s="2434"/>
      <c r="H925" s="2434"/>
      <c r="I925" s="2434"/>
      <c r="J925" s="2434"/>
      <c r="K925" s="2434"/>
      <c r="L925" s="2450" t="str">
        <f>'Part VII-Threshold Criteria'!L74</f>
        <v>Stantec</v>
      </c>
      <c r="M925" s="2450"/>
      <c r="N925" s="2450"/>
      <c r="O925" s="2450"/>
      <c r="P925" s="2450"/>
      <c r="Q925" s="2450"/>
    </row>
    <row r="926" spans="1:17" ht="15">
      <c r="A926" s="1769"/>
      <c r="B926" s="1769" t="s">
        <v>1419</v>
      </c>
      <c r="C926" s="1769"/>
      <c r="D926" s="1769"/>
      <c r="E926" s="1769"/>
      <c r="F926" s="1769"/>
      <c r="G926" s="1769"/>
      <c r="H926" s="1769"/>
      <c r="I926" s="1769"/>
      <c r="J926" s="1769"/>
      <c r="K926" s="1769"/>
      <c r="L926" s="1769"/>
      <c r="M926" s="1769"/>
      <c r="N926" s="1769"/>
      <c r="O926" s="2447"/>
      <c r="P926" s="1772" t="str">
        <f>'Part VII-Threshold Criteria'!P75</f>
        <v>No</v>
      </c>
      <c r="Q926" s="1772"/>
    </row>
    <row r="927" spans="1:17" ht="15">
      <c r="A927" s="2445"/>
      <c r="B927" s="1769" t="s">
        <v>1420</v>
      </c>
      <c r="C927" s="1769"/>
      <c r="D927" s="2434"/>
      <c r="E927" s="2434"/>
      <c r="F927" s="2434"/>
      <c r="G927" s="2434"/>
      <c r="H927" s="2434"/>
      <c r="I927" s="1769"/>
      <c r="J927" s="1769"/>
      <c r="K927" s="2434"/>
      <c r="L927" s="2441"/>
      <c r="M927" s="1769"/>
      <c r="N927" s="1769"/>
      <c r="O927" s="2447"/>
      <c r="P927" s="1772" t="str">
        <f>'Part VII-Threshold Criteria'!P76</f>
        <v>No</v>
      </c>
      <c r="Q927" s="1772"/>
    </row>
    <row r="928" spans="1:17" ht="15">
      <c r="A928" s="2445"/>
      <c r="B928" s="1769" t="s">
        <v>1421</v>
      </c>
      <c r="C928" s="1769"/>
      <c r="D928" s="2434"/>
      <c r="E928" s="2434"/>
      <c r="F928" s="2434"/>
      <c r="G928" s="2434"/>
      <c r="H928" s="2434"/>
      <c r="I928" s="1769"/>
      <c r="J928" s="1769"/>
      <c r="K928" s="2434"/>
      <c r="L928" s="2441"/>
      <c r="M928" s="2441"/>
      <c r="N928" s="2441"/>
      <c r="O928" s="2447"/>
      <c r="P928" s="1769"/>
      <c r="Q928" s="1769"/>
    </row>
    <row r="929" spans="1:17" ht="15">
      <c r="A929" s="2445"/>
      <c r="B929" s="2437"/>
      <c r="C929" s="1769" t="s">
        <v>1422</v>
      </c>
      <c r="D929" s="1769"/>
      <c r="E929" s="2434"/>
      <c r="F929" s="2434"/>
      <c r="G929" s="2434"/>
      <c r="H929" s="2434"/>
      <c r="I929" s="1769"/>
      <c r="J929" s="1769"/>
      <c r="K929" s="2434"/>
      <c r="L929" s="2441"/>
      <c r="M929" s="2441"/>
      <c r="N929" s="1769"/>
      <c r="O929" s="2447"/>
      <c r="P929" s="1772" t="str">
        <f>'Part VII-Threshold Criteria'!P78</f>
        <v>No</v>
      </c>
      <c r="Q929" s="1772"/>
    </row>
    <row r="930" spans="1:17" ht="15">
      <c r="A930" s="2445"/>
      <c r="B930" s="2437"/>
      <c r="C930" s="1769" t="s">
        <v>1423</v>
      </c>
      <c r="D930" s="1769"/>
      <c r="E930" s="2434"/>
      <c r="F930" s="2434"/>
      <c r="G930" s="2434"/>
      <c r="H930" s="1769"/>
      <c r="I930" s="1769"/>
      <c r="J930" s="1769"/>
      <c r="K930" s="2434"/>
      <c r="L930" s="2441"/>
      <c r="M930" s="2441"/>
      <c r="N930" s="1769"/>
      <c r="O930" s="2447"/>
      <c r="P930" s="1772" t="str">
        <f>'Part VII-Threshold Criteria'!P79</f>
        <v>No</v>
      </c>
      <c r="Q930" s="1772"/>
    </row>
    <row r="931" spans="1:17" ht="15">
      <c r="A931" s="2451"/>
      <c r="B931" s="2452"/>
      <c r="C931" s="2452"/>
      <c r="D931" s="2435" t="s">
        <v>1424</v>
      </c>
      <c r="E931" s="2453"/>
      <c r="F931" s="2453"/>
      <c r="G931" s="2435"/>
      <c r="H931" s="2435"/>
      <c r="I931" s="2454"/>
      <c r="J931" s="2455"/>
      <c r="K931" s="2436"/>
      <c r="L931" s="2456"/>
      <c r="M931" s="2456"/>
      <c r="N931" s="2455"/>
      <c r="O931" s="2457"/>
      <c r="P931" s="1772" t="str">
        <f>'Part VII-Threshold Criteria'!P80</f>
        <v>No</v>
      </c>
      <c r="Q931" s="2458"/>
    </row>
    <row r="932" spans="1:17" ht="15">
      <c r="A932" s="2445"/>
      <c r="B932" s="2437"/>
      <c r="C932" s="1769" t="s">
        <v>1425</v>
      </c>
      <c r="D932" s="1769"/>
      <c r="E932" s="2434"/>
      <c r="F932" s="2434"/>
      <c r="G932" s="2434"/>
      <c r="H932" s="1769"/>
      <c r="I932" s="1769"/>
      <c r="J932" s="1769"/>
      <c r="K932" s="2434"/>
      <c r="L932" s="2441"/>
      <c r="M932" s="2441"/>
      <c r="N932" s="1769"/>
      <c r="O932" s="2447"/>
      <c r="P932" s="1772" t="str">
        <f>'Part VII-Threshold Criteria'!P81</f>
        <v>No</v>
      </c>
      <c r="Q932" s="1772"/>
    </row>
    <row r="933" spans="1:17" ht="15" customHeight="1">
      <c r="A933" s="2445"/>
      <c r="B933" s="2434" t="s">
        <v>7011</v>
      </c>
      <c r="C933" s="2434"/>
      <c r="D933" s="2434"/>
      <c r="E933" s="2434"/>
      <c r="F933" s="2434"/>
      <c r="G933" s="2434"/>
      <c r="H933" s="2434"/>
      <c r="I933" s="2434"/>
      <c r="J933" s="2434"/>
      <c r="K933" s="2434"/>
      <c r="L933" s="2434"/>
      <c r="M933" s="2434"/>
      <c r="N933" s="2434"/>
      <c r="O933" s="2434"/>
      <c r="P933" s="2434"/>
      <c r="Q933" s="2434"/>
    </row>
    <row r="934" spans="1:17" ht="384.75">
      <c r="A934" s="1769"/>
      <c r="B934" s="2434" t="str">
        <f>'Part VII-Threshold Criteria'!B83</f>
        <v xml:space="preserve">Radon tests found four units with results above 4.0 pCi/L.  Per the recommendation of Stantec, the units will be retested and mitigated as part of the renovation scope.  </v>
      </c>
      <c r="C934" s="2434"/>
      <c r="D934" s="2434"/>
      <c r="E934" s="2434"/>
      <c r="F934" s="2434"/>
      <c r="G934" s="2434"/>
      <c r="H934" s="2434"/>
      <c r="I934" s="2434"/>
      <c r="J934" s="2434"/>
      <c r="K934" s="2434"/>
      <c r="L934" s="2434"/>
      <c r="M934" s="2434"/>
      <c r="N934" s="2434"/>
      <c r="O934" s="2434"/>
      <c r="P934" s="2434"/>
      <c r="Q934" s="2434"/>
    </row>
    <row r="935" spans="1:17" ht="15">
      <c r="A935" s="1769"/>
      <c r="B935" s="2442" t="s">
        <v>1403</v>
      </c>
      <c r="C935" s="1769"/>
      <c r="D935" s="2442"/>
      <c r="E935" s="2442"/>
      <c r="F935" s="2442"/>
      <c r="G935" s="2442"/>
      <c r="H935" s="1770"/>
      <c r="I935" s="1771"/>
      <c r="J935" s="1771"/>
      <c r="K935" s="1771"/>
      <c r="L935" s="1772"/>
      <c r="M935" s="1772"/>
      <c r="N935" s="1772"/>
      <c r="O935" s="1772"/>
      <c r="P935" s="1772"/>
      <c r="Q935" s="1772"/>
    </row>
    <row r="936" spans="1:17" ht="142.5">
      <c r="A936" s="2434" t="str">
        <f>'Part VII-Threshold Criteria'!A85</f>
        <v>Phase I ESA with no identified issues other than above located in Tab 7</v>
      </c>
      <c r="B936" s="2434"/>
      <c r="C936" s="2434"/>
      <c r="D936" s="2434"/>
      <c r="E936" s="2434"/>
      <c r="F936" s="2434"/>
      <c r="G936" s="2434"/>
      <c r="H936" s="2434"/>
      <c r="I936" s="2434"/>
      <c r="J936" s="2434"/>
      <c r="K936" s="2434"/>
      <c r="L936" s="2434"/>
      <c r="M936" s="2434"/>
      <c r="N936" s="2434"/>
      <c r="O936" s="2434"/>
      <c r="P936" s="2434"/>
      <c r="Q936" s="2434"/>
    </row>
    <row r="937" spans="1:17" ht="14.25">
      <c r="A937" s="1769"/>
      <c r="B937" s="2439" t="s">
        <v>1399</v>
      </c>
      <c r="C937" s="2440"/>
      <c r="D937" s="2441"/>
      <c r="E937" s="2441"/>
      <c r="F937" s="2441"/>
      <c r="G937" s="2441"/>
      <c r="H937" s="2441"/>
      <c r="I937" s="2441"/>
      <c r="J937" s="2441"/>
      <c r="K937" s="2441"/>
      <c r="L937" s="2441"/>
      <c r="M937" s="2441"/>
      <c r="N937" s="2441"/>
      <c r="O937" s="2441"/>
      <c r="P937" s="2441"/>
      <c r="Q937" s="2441"/>
    </row>
    <row r="938" spans="1:17" ht="14.25">
      <c r="A938" s="2434"/>
      <c r="B938" s="2434"/>
      <c r="C938" s="2434"/>
      <c r="D938" s="2434"/>
      <c r="E938" s="2434"/>
      <c r="F938" s="2434"/>
      <c r="G938" s="2434"/>
      <c r="H938" s="2434"/>
      <c r="I938" s="2434"/>
      <c r="J938" s="2434"/>
      <c r="K938" s="2434"/>
      <c r="L938" s="2434"/>
      <c r="M938" s="2434"/>
      <c r="N938" s="2434"/>
      <c r="O938" s="2434"/>
      <c r="P938" s="2434"/>
      <c r="Q938" s="2434"/>
    </row>
    <row r="939" spans="1:17" ht="15">
      <c r="A939" s="1772"/>
      <c r="B939" s="1771"/>
      <c r="C939" s="2441"/>
      <c r="D939" s="2441"/>
      <c r="E939" s="2441"/>
      <c r="F939" s="2441"/>
      <c r="G939" s="2441"/>
      <c r="H939" s="2441"/>
      <c r="I939" s="2441"/>
      <c r="J939" s="2441"/>
      <c r="K939" s="2441"/>
      <c r="L939" s="2441"/>
      <c r="M939" s="2441"/>
      <c r="N939" s="2441"/>
      <c r="O939" s="2441"/>
      <c r="P939" s="2441"/>
      <c r="Q939" s="1772"/>
    </row>
    <row r="940" spans="1:17" ht="15">
      <c r="A940" s="1772"/>
      <c r="B940" s="1771"/>
      <c r="C940" s="2441"/>
      <c r="D940" s="2441"/>
      <c r="E940" s="2441"/>
      <c r="F940" s="2441"/>
      <c r="G940" s="2441"/>
      <c r="H940" s="2441"/>
      <c r="I940" s="2441"/>
      <c r="J940" s="2441"/>
      <c r="K940" s="2441"/>
      <c r="L940" s="2441"/>
      <c r="M940" s="2441"/>
      <c r="N940" s="2441"/>
      <c r="O940" s="2441"/>
      <c r="P940" s="2441"/>
      <c r="Q940" s="1772"/>
    </row>
    <row r="941" spans="1:17" ht="15">
      <c r="A941" s="2437" t="s">
        <v>1427</v>
      </c>
      <c r="B941" s="2437" t="s">
        <v>1428</v>
      </c>
      <c r="C941" s="2437"/>
      <c r="D941" s="2441"/>
      <c r="E941" s="2441"/>
      <c r="F941" s="2441"/>
      <c r="G941" s="2441"/>
      <c r="H941" s="2441"/>
      <c r="I941" s="2441"/>
      <c r="J941" s="2441"/>
      <c r="K941" s="2441"/>
      <c r="L941" s="1769"/>
      <c r="M941" s="1769"/>
      <c r="N941" s="1769"/>
      <c r="O941" s="2438" t="s">
        <v>1397</v>
      </c>
      <c r="P941" s="2433"/>
      <c r="Q941" s="2433"/>
    </row>
    <row r="942" spans="1:17" ht="15" customHeight="1">
      <c r="A942" s="2445"/>
      <c r="B942" s="1769" t="s">
        <v>1429</v>
      </c>
      <c r="C942" s="1769"/>
      <c r="D942" s="1769"/>
      <c r="E942" s="1769"/>
      <c r="F942" s="2459" t="str">
        <f>IF(L942="Ground lease/Option","Ground lease/Option:","")</f>
        <v/>
      </c>
      <c r="G942" s="1769"/>
      <c r="H942" s="2460" t="str">
        <f>IF(L942="Ground lease/Option","Annual Pymt:","")</f>
        <v/>
      </c>
      <c r="I942" s="2461" t="str">
        <f>IF(M982="Ground lease/Option",'Part V-Revenues &amp; Expenses'!$K$251,"")</f>
        <v/>
      </c>
      <c r="J942" s="2462" t="str">
        <f>IF(L942="Ground lease/Option","Term (yrs):","")</f>
        <v/>
      </c>
      <c r="K942" s="2463" t="str">
        <f>IF(M982="Ground lease/Option",'Part V-Revenues &amp; Expenses'!$N$251,"")</f>
        <v/>
      </c>
      <c r="L942" s="2464" t="str">
        <f>'Part VII-Threshold Criteria'!L91</f>
        <v>Purchase Contract</v>
      </c>
      <c r="M942" s="2464"/>
      <c r="N942" s="2464"/>
      <c r="O942" s="2433" t="s">
        <v>712</v>
      </c>
      <c r="P942" s="2433"/>
      <c r="Q942" s="2433"/>
    </row>
    <row r="943" spans="1:17" ht="57">
      <c r="A943" s="2445"/>
      <c r="B943" s="1769" t="s">
        <v>1431</v>
      </c>
      <c r="C943" s="1769"/>
      <c r="D943" s="1769"/>
      <c r="E943" s="1769"/>
      <c r="F943" s="1769"/>
      <c r="G943" s="2434" t="str">
        <f>'Part VII-Threshold Criteria'!G92</f>
        <v>Ashley Collegetown I, L.P.</v>
      </c>
      <c r="H943" s="2434"/>
      <c r="I943" s="2434"/>
      <c r="J943" s="2434"/>
      <c r="K943" s="2434"/>
      <c r="L943" s="2434"/>
      <c r="M943" s="2434"/>
      <c r="N943" s="2434"/>
      <c r="O943" s="2434"/>
      <c r="P943" s="2434"/>
      <c r="Q943" s="2434"/>
    </row>
    <row r="944" spans="1:17" ht="15">
      <c r="A944" s="1769"/>
      <c r="B944" s="2442" t="s">
        <v>1403</v>
      </c>
      <c r="C944" s="1769"/>
      <c r="D944" s="2442"/>
      <c r="E944" s="2442"/>
      <c r="F944" s="2442"/>
      <c r="G944" s="2442"/>
      <c r="H944" s="1770"/>
      <c r="I944" s="1771"/>
      <c r="J944" s="1771"/>
      <c r="K944" s="1771"/>
      <c r="L944" s="1772"/>
      <c r="M944" s="1772"/>
      <c r="N944" s="1772"/>
      <c r="O944" s="1772"/>
      <c r="P944" s="1772"/>
      <c r="Q944" s="1772"/>
    </row>
    <row r="945" spans="1:17" ht="185.25">
      <c r="A945" s="2434" t="str">
        <f>'Part VII-Threshold Criteria'!A94</f>
        <v>Purchase Option, AH Letter re Ground Lease Assignment, &amp; Ground Lease located in Tab 8</v>
      </c>
      <c r="B945" s="2434"/>
      <c r="C945" s="2434"/>
      <c r="D945" s="2434"/>
      <c r="E945" s="2434"/>
      <c r="F945" s="2434"/>
      <c r="G945" s="2434"/>
      <c r="H945" s="2434"/>
      <c r="I945" s="2434"/>
      <c r="J945" s="2434"/>
      <c r="K945" s="2434"/>
      <c r="L945" s="2434"/>
      <c r="M945" s="2434"/>
      <c r="N945" s="2434"/>
      <c r="O945" s="2434"/>
      <c r="P945" s="2434"/>
      <c r="Q945" s="2434"/>
    </row>
    <row r="946" spans="1:17" ht="14.25">
      <c r="A946" s="1769"/>
      <c r="B946" s="2439" t="s">
        <v>1399</v>
      </c>
      <c r="C946" s="2440"/>
      <c r="D946" s="2441"/>
      <c r="E946" s="2441"/>
      <c r="F946" s="2441"/>
      <c r="G946" s="2441"/>
      <c r="H946" s="2441"/>
      <c r="I946" s="2441"/>
      <c r="J946" s="2441"/>
      <c r="K946" s="2441"/>
      <c r="L946" s="2441"/>
      <c r="M946" s="2441"/>
      <c r="N946" s="2441"/>
      <c r="O946" s="2441"/>
      <c r="P946" s="2441"/>
      <c r="Q946" s="2441"/>
    </row>
    <row r="947" spans="1:17" ht="14.25">
      <c r="A947" s="2434"/>
      <c r="B947" s="2434"/>
      <c r="C947" s="2434"/>
      <c r="D947" s="2434"/>
      <c r="E947" s="2434"/>
      <c r="F947" s="2434"/>
      <c r="G947" s="2434"/>
      <c r="H947" s="2434"/>
      <c r="I947" s="2434"/>
      <c r="J947" s="2434"/>
      <c r="K947" s="2434"/>
      <c r="L947" s="2434"/>
      <c r="M947" s="2434"/>
      <c r="N947" s="2434"/>
      <c r="O947" s="2434"/>
      <c r="P947" s="2434"/>
      <c r="Q947" s="2434"/>
    </row>
    <row r="948" spans="1:17" ht="15">
      <c r="A948" s="1772"/>
      <c r="B948" s="1771"/>
      <c r="C948" s="2441"/>
      <c r="D948" s="2441"/>
      <c r="E948" s="2441"/>
      <c r="F948" s="2441"/>
      <c r="G948" s="2441"/>
      <c r="H948" s="2441"/>
      <c r="I948" s="2441"/>
      <c r="J948" s="2441"/>
      <c r="K948" s="2441"/>
      <c r="L948" s="2441"/>
      <c r="M948" s="2441"/>
      <c r="N948" s="1769"/>
      <c r="O948" s="1769"/>
      <c r="P948" s="1769"/>
      <c r="Q948" s="1772"/>
    </row>
    <row r="949" spans="1:17" ht="15">
      <c r="A949" s="1772"/>
      <c r="B949" s="1771"/>
      <c r="C949" s="2441"/>
      <c r="D949" s="2441"/>
      <c r="E949" s="2441"/>
      <c r="F949" s="2441"/>
      <c r="G949" s="2441"/>
      <c r="H949" s="2441"/>
      <c r="I949" s="2441"/>
      <c r="J949" s="2441"/>
      <c r="K949" s="2441"/>
      <c r="L949" s="2441"/>
      <c r="M949" s="2441"/>
      <c r="N949" s="1769"/>
      <c r="O949" s="1769"/>
      <c r="P949" s="1769"/>
      <c r="Q949" s="1772"/>
    </row>
    <row r="950" spans="1:17" ht="15">
      <c r="A950" s="2437" t="s">
        <v>1432</v>
      </c>
      <c r="B950" s="2437" t="s">
        <v>1433</v>
      </c>
      <c r="C950" s="2437"/>
      <c r="D950" s="2441"/>
      <c r="E950" s="2441"/>
      <c r="F950" s="2441"/>
      <c r="G950" s="2441"/>
      <c r="H950" s="2441"/>
      <c r="I950" s="2441"/>
      <c r="J950" s="2441"/>
      <c r="K950" s="2441"/>
      <c r="L950" s="2441"/>
      <c r="M950" s="2441"/>
      <c r="N950" s="1769"/>
      <c r="O950" s="2438" t="s">
        <v>1397</v>
      </c>
      <c r="P950" s="2433"/>
      <c r="Q950" s="2433"/>
    </row>
    <row r="951" spans="1:17" ht="15">
      <c r="A951" s="1769"/>
      <c r="B951" s="2442" t="s">
        <v>1403</v>
      </c>
      <c r="C951" s="1769"/>
      <c r="D951" s="2442"/>
      <c r="E951" s="2442"/>
      <c r="F951" s="2442"/>
      <c r="G951" s="2442"/>
      <c r="H951" s="1770"/>
      <c r="I951" s="1771"/>
      <c r="J951" s="1771"/>
      <c r="K951" s="1771"/>
      <c r="L951" s="1772"/>
      <c r="M951" s="1772"/>
      <c r="N951" s="1772"/>
      <c r="O951" s="1772"/>
      <c r="P951" s="1772"/>
      <c r="Q951" s="1772"/>
    </row>
    <row r="952" spans="1:17" ht="42.75">
      <c r="A952" s="2434" t="str">
        <f>'Part VII-Threshold Criteria'!A101</f>
        <v>NA 4% Preservation</v>
      </c>
      <c r="B952" s="2434"/>
      <c r="C952" s="2434"/>
      <c r="D952" s="2434"/>
      <c r="E952" s="2434"/>
      <c r="F952" s="2434"/>
      <c r="G952" s="2434"/>
      <c r="H952" s="2434"/>
      <c r="I952" s="2434"/>
      <c r="J952" s="2434"/>
      <c r="K952" s="2434"/>
      <c r="L952" s="2434"/>
      <c r="M952" s="2434"/>
      <c r="N952" s="2434"/>
      <c r="O952" s="2434"/>
      <c r="P952" s="2434"/>
      <c r="Q952" s="2434"/>
    </row>
    <row r="953" spans="1:17" ht="14.25">
      <c r="A953" s="1769"/>
      <c r="B953" s="2439" t="s">
        <v>1399</v>
      </c>
      <c r="C953" s="2440"/>
      <c r="D953" s="2441"/>
      <c r="E953" s="2441"/>
      <c r="F953" s="2441"/>
      <c r="G953" s="2441"/>
      <c r="H953" s="2441"/>
      <c r="I953" s="2441"/>
      <c r="J953" s="2441"/>
      <c r="K953" s="2441"/>
      <c r="L953" s="2441"/>
      <c r="M953" s="2441"/>
      <c r="N953" s="2441"/>
      <c r="O953" s="2441"/>
      <c r="P953" s="2441"/>
      <c r="Q953" s="2441"/>
    </row>
    <row r="954" spans="1:17" ht="14.25">
      <c r="A954" s="2434"/>
      <c r="B954" s="2434"/>
      <c r="C954" s="2434"/>
      <c r="D954" s="2434"/>
      <c r="E954" s="2434"/>
      <c r="F954" s="2434"/>
      <c r="G954" s="2434"/>
      <c r="H954" s="2434"/>
      <c r="I954" s="2434"/>
      <c r="J954" s="2434"/>
      <c r="K954" s="2434"/>
      <c r="L954" s="2434"/>
      <c r="M954" s="2434"/>
      <c r="N954" s="2434"/>
      <c r="O954" s="2434"/>
      <c r="P954" s="2434"/>
      <c r="Q954" s="2434"/>
    </row>
    <row r="955" spans="1:17" ht="15">
      <c r="A955" s="1769"/>
      <c r="B955" s="1771"/>
      <c r="C955" s="2441"/>
      <c r="D955" s="2441"/>
      <c r="E955" s="2441"/>
      <c r="F955" s="2441"/>
      <c r="G955" s="2441"/>
      <c r="H955" s="2441"/>
      <c r="I955" s="2441"/>
      <c r="J955" s="2441"/>
      <c r="K955" s="2441"/>
      <c r="L955" s="2441"/>
      <c r="M955" s="2441"/>
      <c r="N955" s="2441"/>
      <c r="O955" s="2441"/>
      <c r="P955" s="2441"/>
      <c r="Q955" s="1772"/>
    </row>
    <row r="956" spans="1:17" ht="15">
      <c r="A956" s="1769"/>
      <c r="B956" s="1771"/>
      <c r="C956" s="2441"/>
      <c r="D956" s="2441"/>
      <c r="E956" s="2441"/>
      <c r="F956" s="2441"/>
      <c r="G956" s="2441"/>
      <c r="H956" s="2441"/>
      <c r="I956" s="2441"/>
      <c r="J956" s="2441"/>
      <c r="K956" s="2441"/>
      <c r="L956" s="2441"/>
      <c r="M956" s="2441"/>
      <c r="N956" s="2441"/>
      <c r="O956" s="2441"/>
      <c r="P956" s="2441"/>
      <c r="Q956" s="1772"/>
    </row>
    <row r="957" spans="1:17" ht="15">
      <c r="A957" s="2437" t="s">
        <v>1434</v>
      </c>
      <c r="B957" s="2433" t="s">
        <v>1435</v>
      </c>
      <c r="C957" s="2433"/>
      <c r="D957" s="2433"/>
      <c r="E957" s="1769"/>
      <c r="F957" s="1769"/>
      <c r="G957" s="1769"/>
      <c r="H957" s="1769"/>
      <c r="I957" s="1769"/>
      <c r="J957" s="1769"/>
      <c r="K957" s="1769"/>
      <c r="L957" s="1769"/>
      <c r="M957" s="1769"/>
      <c r="N957" s="1769"/>
      <c r="O957" s="2438" t="s">
        <v>1397</v>
      </c>
      <c r="P957" s="2433"/>
      <c r="Q957" s="2433"/>
    </row>
    <row r="958" spans="1:17" ht="15">
      <c r="A958" s="1769"/>
      <c r="B958" s="2442" t="s">
        <v>1403</v>
      </c>
      <c r="C958" s="1769"/>
      <c r="D958" s="2442"/>
      <c r="E958" s="2442"/>
      <c r="F958" s="2442"/>
      <c r="G958" s="2442"/>
      <c r="H958" s="1770"/>
      <c r="I958" s="1771"/>
      <c r="J958" s="1771"/>
      <c r="K958" s="1771"/>
      <c r="L958" s="1772"/>
      <c r="M958" s="1772"/>
      <c r="N958" s="1772"/>
      <c r="O958" s="1772"/>
      <c r="P958" s="1772"/>
      <c r="Q958" s="1772"/>
    </row>
    <row r="959" spans="1:17" ht="42.75">
      <c r="A959" s="2434" t="str">
        <f>'Part VII-Threshold Criteria'!A108</f>
        <v>NA 4% Preservation</v>
      </c>
      <c r="B959" s="2434"/>
      <c r="C959" s="2434"/>
      <c r="D959" s="2434"/>
      <c r="E959" s="2434"/>
      <c r="F959" s="2434"/>
      <c r="G959" s="2434"/>
      <c r="H959" s="2434"/>
      <c r="I959" s="2434"/>
      <c r="J959" s="2434"/>
      <c r="K959" s="2434"/>
      <c r="L959" s="2434"/>
      <c r="M959" s="2434"/>
      <c r="N959" s="2434"/>
      <c r="O959" s="2434"/>
      <c r="P959" s="2434"/>
      <c r="Q959" s="2434"/>
    </row>
    <row r="960" spans="1:17" ht="14.25">
      <c r="A960" s="1769"/>
      <c r="B960" s="2439" t="s">
        <v>1399</v>
      </c>
      <c r="C960" s="2440"/>
      <c r="D960" s="2441"/>
      <c r="E960" s="2441"/>
      <c r="F960" s="2441"/>
      <c r="G960" s="2441"/>
      <c r="H960" s="2441"/>
      <c r="I960" s="2441"/>
      <c r="J960" s="2441"/>
      <c r="K960" s="2441"/>
      <c r="L960" s="2441"/>
      <c r="M960" s="2441"/>
      <c r="N960" s="2441"/>
      <c r="O960" s="2441"/>
      <c r="P960" s="2441"/>
      <c r="Q960" s="2441"/>
    </row>
    <row r="961" spans="1:17" ht="14.25">
      <c r="A961" s="2434"/>
      <c r="B961" s="2434"/>
      <c r="C961" s="2434"/>
      <c r="D961" s="2434"/>
      <c r="E961" s="2434"/>
      <c r="F961" s="2434"/>
      <c r="G961" s="2434"/>
      <c r="H961" s="2434"/>
      <c r="I961" s="2434"/>
      <c r="J961" s="2434"/>
      <c r="K961" s="2434"/>
      <c r="L961" s="2434"/>
      <c r="M961" s="2434"/>
      <c r="N961" s="2434"/>
      <c r="O961" s="2434"/>
      <c r="P961" s="2434"/>
      <c r="Q961" s="2434"/>
    </row>
    <row r="962" spans="1:17" ht="15">
      <c r="A962" s="1772"/>
      <c r="B962" s="1771"/>
      <c r="C962" s="2441"/>
      <c r="D962" s="2441"/>
      <c r="E962" s="2441"/>
      <c r="F962" s="2441"/>
      <c r="G962" s="2441"/>
      <c r="H962" s="2441"/>
      <c r="I962" s="2441"/>
      <c r="J962" s="2441"/>
      <c r="K962" s="2441"/>
      <c r="L962" s="2441"/>
      <c r="M962" s="2441"/>
      <c r="N962" s="2441"/>
      <c r="O962" s="2441"/>
      <c r="P962" s="2441"/>
      <c r="Q962" s="1772"/>
    </row>
    <row r="963" spans="1:17" ht="15">
      <c r="A963" s="1772"/>
      <c r="B963" s="1771"/>
      <c r="C963" s="2441"/>
      <c r="D963" s="2441"/>
      <c r="E963" s="2441"/>
      <c r="F963" s="2441"/>
      <c r="G963" s="2441"/>
      <c r="H963" s="2441"/>
      <c r="I963" s="2441"/>
      <c r="J963" s="2441"/>
      <c r="K963" s="2441"/>
      <c r="L963" s="2441"/>
      <c r="M963" s="2441"/>
      <c r="N963" s="2441"/>
      <c r="O963" s="2441"/>
      <c r="P963" s="2441"/>
      <c r="Q963" s="1772"/>
    </row>
    <row r="964" spans="1:17" ht="15">
      <c r="A964" s="2437" t="s">
        <v>1436</v>
      </c>
      <c r="B964" s="2437" t="s">
        <v>1437</v>
      </c>
      <c r="C964" s="2437"/>
      <c r="D964" s="2441"/>
      <c r="E964" s="2441"/>
      <c r="F964" s="1769"/>
      <c r="G964" s="2441"/>
      <c r="H964" s="1769"/>
      <c r="I964" s="1769"/>
      <c r="J964" s="2434"/>
      <c r="K964" s="2434"/>
      <c r="L964" s="2434"/>
      <c r="M964" s="2434"/>
      <c r="N964" s="1769"/>
      <c r="O964" s="2438" t="s">
        <v>1397</v>
      </c>
      <c r="P964" s="2433"/>
      <c r="Q964" s="2433"/>
    </row>
    <row r="965" spans="1:17" ht="15">
      <c r="A965" s="2445"/>
      <c r="B965" s="1769" t="s">
        <v>1438</v>
      </c>
      <c r="C965" s="1769"/>
      <c r="D965" s="1769"/>
      <c r="E965" s="1769"/>
      <c r="F965" s="1769"/>
      <c r="G965" s="1769"/>
      <c r="H965" s="1769" t="s">
        <v>1439</v>
      </c>
      <c r="I965" s="1769"/>
      <c r="J965" s="2433" t="str">
        <f>'Part VII-Threshold Criteria'!J114</f>
        <v>&lt;&lt;Enter Provider Name Here&gt;&gt;</v>
      </c>
      <c r="K965" s="2433"/>
      <c r="L965" s="2433"/>
      <c r="M965" s="2433"/>
      <c r="N965" s="2433"/>
      <c r="O965" s="2433"/>
      <c r="P965" s="2433"/>
      <c r="Q965" s="2433"/>
    </row>
    <row r="966" spans="1:17" ht="15">
      <c r="A966" s="2445"/>
      <c r="B966" s="2445"/>
      <c r="C966" s="1769"/>
      <c r="D966" s="1769"/>
      <c r="E966" s="1769"/>
      <c r="F966" s="1769"/>
      <c r="G966" s="1769"/>
      <c r="H966" s="1769" t="s">
        <v>1441</v>
      </c>
      <c r="I966" s="1769"/>
      <c r="J966" s="2433" t="str">
        <f>'Part VII-Threshold Criteria'!J115</f>
        <v>Georgia Power</v>
      </c>
      <c r="K966" s="2433"/>
      <c r="L966" s="2433"/>
      <c r="M966" s="2433"/>
      <c r="N966" s="2433"/>
      <c r="O966" s="2433"/>
      <c r="P966" s="2433"/>
      <c r="Q966" s="2433"/>
    </row>
    <row r="967" spans="1:17" ht="15">
      <c r="A967" s="2445"/>
      <c r="B967" s="2442" t="s">
        <v>1403</v>
      </c>
      <c r="C967" s="2434"/>
      <c r="D967" s="2434"/>
      <c r="E967" s="2434"/>
      <c r="F967" s="2434"/>
      <c r="G967" s="1769"/>
      <c r="H967" s="1769"/>
      <c r="I967" s="1769"/>
      <c r="J967" s="1769"/>
      <c r="K967" s="1769"/>
      <c r="L967" s="1769"/>
      <c r="M967" s="1769"/>
      <c r="N967" s="1769"/>
      <c r="O967" s="1769"/>
      <c r="P967" s="1769"/>
      <c r="Q967" s="1769"/>
    </row>
    <row r="968" spans="1:17" ht="42.75">
      <c r="A968" s="2434" t="str">
        <f>'Part VII-Threshold Criteria'!A117</f>
        <v>NA 4% Preservation</v>
      </c>
      <c r="B968" s="2434"/>
      <c r="C968" s="2434"/>
      <c r="D968" s="2434"/>
      <c r="E968" s="2434"/>
      <c r="F968" s="2434"/>
      <c r="G968" s="2434"/>
      <c r="H968" s="2434"/>
      <c r="I968" s="2434"/>
      <c r="J968" s="2434"/>
      <c r="K968" s="2434"/>
      <c r="L968" s="2434"/>
      <c r="M968" s="2434"/>
      <c r="N968" s="2434"/>
      <c r="O968" s="2434"/>
      <c r="P968" s="2434"/>
      <c r="Q968" s="2434"/>
    </row>
    <row r="969" spans="1:17" ht="14.25">
      <c r="A969" s="1769"/>
      <c r="B969" s="2439" t="s">
        <v>1399</v>
      </c>
      <c r="C969" s="2440"/>
      <c r="D969" s="2441"/>
      <c r="E969" s="2441"/>
      <c r="F969" s="2441"/>
      <c r="G969" s="2441"/>
      <c r="H969" s="2441"/>
      <c r="I969" s="2441"/>
      <c r="J969" s="2441"/>
      <c r="K969" s="2441"/>
      <c r="L969" s="2441"/>
      <c r="M969" s="2441"/>
      <c r="N969" s="2441"/>
      <c r="O969" s="2441"/>
      <c r="P969" s="2441"/>
      <c r="Q969" s="2441"/>
    </row>
    <row r="970" spans="1:17" ht="14.25">
      <c r="A970" s="2434"/>
      <c r="B970" s="2434"/>
      <c r="C970" s="2434"/>
      <c r="D970" s="2434"/>
      <c r="E970" s="2434"/>
      <c r="F970" s="2434"/>
      <c r="G970" s="2434"/>
      <c r="H970" s="2434"/>
      <c r="I970" s="2434"/>
      <c r="J970" s="2434"/>
      <c r="K970" s="2434"/>
      <c r="L970" s="2434"/>
      <c r="M970" s="2434"/>
      <c r="N970" s="2434"/>
      <c r="O970" s="2434"/>
      <c r="P970" s="2434"/>
      <c r="Q970" s="2434"/>
    </row>
    <row r="971" spans="1:17" ht="15">
      <c r="A971" s="1769"/>
      <c r="B971" s="1771"/>
      <c r="C971" s="2441"/>
      <c r="D971" s="2441"/>
      <c r="E971" s="2441"/>
      <c r="F971" s="2441"/>
      <c r="G971" s="2441"/>
      <c r="H971" s="2441"/>
      <c r="I971" s="2441"/>
      <c r="J971" s="2441"/>
      <c r="K971" s="2441"/>
      <c r="L971" s="2441"/>
      <c r="M971" s="2441"/>
      <c r="N971" s="1769"/>
      <c r="O971" s="1769"/>
      <c r="P971" s="1769"/>
      <c r="Q971" s="1772"/>
    </row>
    <row r="972" spans="1:17" ht="15">
      <c r="A972" s="1769"/>
      <c r="B972" s="1771"/>
      <c r="C972" s="2441"/>
      <c r="D972" s="2441"/>
      <c r="E972" s="2441"/>
      <c r="F972" s="2441"/>
      <c r="G972" s="2441"/>
      <c r="H972" s="2441"/>
      <c r="I972" s="2441"/>
      <c r="J972" s="2441"/>
      <c r="K972" s="2441"/>
      <c r="L972" s="2441"/>
      <c r="M972" s="2441"/>
      <c r="N972" s="1769"/>
      <c r="O972" s="1769"/>
      <c r="P972" s="1769"/>
      <c r="Q972" s="1772"/>
    </row>
    <row r="973" spans="1:17" ht="15">
      <c r="A973" s="2437" t="s">
        <v>1443</v>
      </c>
      <c r="B973" s="2433" t="s">
        <v>1444</v>
      </c>
      <c r="C973" s="2433"/>
      <c r="D973" s="2433"/>
      <c r="E973" s="2433"/>
      <c r="F973" s="2433"/>
      <c r="G973" s="2441"/>
      <c r="H973" s="2441"/>
      <c r="I973" s="1769"/>
      <c r="J973" s="2441"/>
      <c r="K973" s="2441"/>
      <c r="L973" s="2441"/>
      <c r="M973" s="2441"/>
      <c r="N973" s="1769"/>
      <c r="O973" s="2438" t="s">
        <v>1397</v>
      </c>
      <c r="P973" s="2433"/>
      <c r="Q973" s="2433"/>
    </row>
    <row r="974" spans="1:17" ht="15">
      <c r="A974" s="2445"/>
      <c r="B974" s="1769" t="s">
        <v>1445</v>
      </c>
      <c r="C974" s="1769"/>
      <c r="D974" s="1769"/>
      <c r="E974" s="1769"/>
      <c r="F974" s="1769"/>
      <c r="G974" s="1769"/>
      <c r="H974" s="1769" t="s">
        <v>1446</v>
      </c>
      <c r="I974" s="1769"/>
      <c r="J974" s="2433" t="str">
        <f>'Part VII-Threshold Criteria'!J123</f>
        <v>City of Atlanta</v>
      </c>
      <c r="K974" s="2433"/>
      <c r="L974" s="2433"/>
      <c r="M974" s="2433"/>
      <c r="N974" s="2433"/>
      <c r="O974" s="2433"/>
      <c r="P974" s="2433"/>
      <c r="Q974" s="2433"/>
    </row>
    <row r="975" spans="1:17" ht="15">
      <c r="A975" s="2434"/>
      <c r="B975" s="2445"/>
      <c r="C975" s="1769"/>
      <c r="D975" s="1769"/>
      <c r="E975" s="1769"/>
      <c r="F975" s="1769"/>
      <c r="G975" s="1769"/>
      <c r="H975" s="1769" t="s">
        <v>1448</v>
      </c>
      <c r="I975" s="1769"/>
      <c r="J975" s="2433" t="str">
        <f>'Part VII-Threshold Criteria'!J124</f>
        <v>City of Atlanta</v>
      </c>
      <c r="K975" s="2433"/>
      <c r="L975" s="2433"/>
      <c r="M975" s="2433"/>
      <c r="N975" s="2433"/>
      <c r="O975" s="2433"/>
      <c r="P975" s="2433"/>
      <c r="Q975" s="2433"/>
    </row>
    <row r="976" spans="1:17" ht="15">
      <c r="A976" s="1769"/>
      <c r="B976" s="2442" t="s">
        <v>1403</v>
      </c>
      <c r="C976" s="1769"/>
      <c r="D976" s="2439"/>
      <c r="E976" s="2439"/>
      <c r="F976" s="2439"/>
      <c r="G976" s="2439"/>
      <c r="H976" s="1769"/>
      <c r="I976" s="1769"/>
      <c r="J976" s="1769"/>
      <c r="K976" s="1769"/>
      <c r="L976" s="2433"/>
      <c r="M976" s="2433"/>
      <c r="N976" s="2433"/>
      <c r="O976" s="2433"/>
      <c r="P976" s="2433"/>
      <c r="Q976" s="2433"/>
    </row>
    <row r="977" spans="1:17" ht="42.75">
      <c r="A977" s="2434" t="str">
        <f>'Part VII-Threshold Criteria'!A126</f>
        <v>NA 4% Preservation</v>
      </c>
      <c r="B977" s="2434"/>
      <c r="C977" s="2434"/>
      <c r="D977" s="2434"/>
      <c r="E977" s="2434"/>
      <c r="F977" s="2434"/>
      <c r="G977" s="2434"/>
      <c r="H977" s="2434"/>
      <c r="I977" s="2434"/>
      <c r="J977" s="2434"/>
      <c r="K977" s="2434"/>
      <c r="L977" s="2434"/>
      <c r="M977" s="2434"/>
      <c r="N977" s="2434"/>
      <c r="O977" s="2434"/>
      <c r="P977" s="2434"/>
      <c r="Q977" s="2434"/>
    </row>
    <row r="978" spans="1:17" ht="14.25">
      <c r="A978" s="1769"/>
      <c r="B978" s="2439" t="s">
        <v>1399</v>
      </c>
      <c r="C978" s="2440"/>
      <c r="D978" s="2441"/>
      <c r="E978" s="2441"/>
      <c r="F978" s="2441"/>
      <c r="G978" s="2441"/>
      <c r="H978" s="2441"/>
      <c r="I978" s="2441"/>
      <c r="J978" s="2441"/>
      <c r="K978" s="2441"/>
      <c r="L978" s="2441"/>
      <c r="M978" s="2441"/>
      <c r="N978" s="2441"/>
      <c r="O978" s="2441"/>
      <c r="P978" s="2441"/>
      <c r="Q978" s="2441"/>
    </row>
    <row r="979" spans="1:17" ht="14.25">
      <c r="A979" s="2434"/>
      <c r="B979" s="2434"/>
      <c r="C979" s="2434"/>
      <c r="D979" s="2434"/>
      <c r="E979" s="2434"/>
      <c r="F979" s="2434"/>
      <c r="G979" s="2434"/>
      <c r="H979" s="2434"/>
      <c r="I979" s="2434"/>
      <c r="J979" s="2434"/>
      <c r="K979" s="2434"/>
      <c r="L979" s="2434"/>
      <c r="M979" s="2434"/>
      <c r="N979" s="2434"/>
      <c r="O979" s="2434"/>
      <c r="P979" s="2434"/>
      <c r="Q979" s="2434"/>
    </row>
    <row r="980" spans="1:17" ht="15">
      <c r="A980" s="1772"/>
      <c r="B980" s="1771"/>
      <c r="C980" s="2441"/>
      <c r="D980" s="2441"/>
      <c r="E980" s="2441"/>
      <c r="F980" s="2441"/>
      <c r="G980" s="2441"/>
      <c r="H980" s="2441"/>
      <c r="I980" s="2441"/>
      <c r="J980" s="2441"/>
      <c r="K980" s="2441"/>
      <c r="L980" s="2441"/>
      <c r="M980" s="2441"/>
      <c r="N980" s="1769"/>
      <c r="O980" s="1769"/>
      <c r="P980" s="1769"/>
      <c r="Q980" s="1772"/>
    </row>
    <row r="981" spans="1:17" ht="15">
      <c r="A981" s="1772"/>
      <c r="B981" s="1771"/>
      <c r="C981" s="2441"/>
      <c r="D981" s="2441"/>
      <c r="E981" s="2441"/>
      <c r="F981" s="2441"/>
      <c r="G981" s="2441"/>
      <c r="H981" s="2441"/>
      <c r="I981" s="2441"/>
      <c r="J981" s="2441"/>
      <c r="K981" s="2441"/>
      <c r="L981" s="2441"/>
      <c r="M981" s="2441"/>
      <c r="N981" s="1769"/>
      <c r="O981" s="1769"/>
      <c r="P981" s="1769"/>
      <c r="Q981" s="1772"/>
    </row>
    <row r="982" spans="1:17" ht="15">
      <c r="A982" s="2437" t="s">
        <v>1449</v>
      </c>
      <c r="B982" s="2437" t="s">
        <v>1450</v>
      </c>
      <c r="C982" s="2437"/>
      <c r="D982" s="2441"/>
      <c r="E982" s="2441"/>
      <c r="F982" s="2441"/>
      <c r="G982" s="2441"/>
      <c r="H982" s="2441"/>
      <c r="I982" s="2441"/>
      <c r="J982" s="2441"/>
      <c r="K982" s="2441"/>
      <c r="L982" s="2441"/>
      <c r="M982" s="2441"/>
      <c r="N982" s="1769"/>
      <c r="O982" s="2438" t="s">
        <v>1397</v>
      </c>
      <c r="P982" s="2433"/>
      <c r="Q982" s="2433"/>
    </row>
    <row r="983" spans="1:17" ht="15" customHeight="1">
      <c r="A983" s="1769"/>
      <c r="B983" s="2434" t="s">
        <v>7012</v>
      </c>
      <c r="C983" s="2434"/>
      <c r="D983" s="2434"/>
      <c r="E983" s="2434"/>
      <c r="F983" s="2434"/>
      <c r="G983" s="2434"/>
      <c r="H983" s="2434"/>
      <c r="I983" s="2434"/>
      <c r="J983" s="2434"/>
      <c r="K983" s="2434"/>
      <c r="L983" s="2434"/>
      <c r="M983" s="2434"/>
      <c r="N983" s="2434"/>
      <c r="O983" s="2434"/>
      <c r="P983" s="2433" t="str">
        <f>'Part VII-Threshold Criteria'!P132</f>
        <v>Yes</v>
      </c>
      <c r="Q983" s="2433"/>
    </row>
    <row r="984" spans="1:17" ht="15">
      <c r="A984" s="2445" t="s">
        <v>194</v>
      </c>
      <c r="B984" s="1769" t="s">
        <v>7013</v>
      </c>
      <c r="C984" s="1769"/>
      <c r="D984" s="1769"/>
      <c r="E984" s="1769"/>
      <c r="F984" s="1769"/>
      <c r="G984" s="1769"/>
      <c r="H984" s="1769"/>
      <c r="I984" s="1769"/>
      <c r="J984" s="1769"/>
      <c r="K984" s="1769"/>
      <c r="L984" s="1769"/>
      <c r="M984" s="1769"/>
      <c r="N984" s="1769"/>
      <c r="O984" s="2447"/>
      <c r="P984" s="1769"/>
      <c r="Q984" s="1769"/>
    </row>
    <row r="985" spans="1:17" ht="15">
      <c r="A985" s="2445"/>
      <c r="B985" s="1770"/>
      <c r="C985" s="1769" t="s">
        <v>1453</v>
      </c>
      <c r="D985" s="1769"/>
      <c r="E985" s="1769"/>
      <c r="F985" s="1769"/>
      <c r="G985" s="1769"/>
      <c r="H985" s="1769"/>
      <c r="I985" s="1769"/>
      <c r="J985" s="2447"/>
      <c r="K985" s="1769"/>
      <c r="L985" s="1769"/>
      <c r="M985" s="2433" t="str">
        <f>'Part VII-Threshold Criteria'!M134</f>
        <v>Room</v>
      </c>
      <c r="N985" s="2433"/>
      <c r="O985" s="2433"/>
      <c r="P985" s="2433"/>
      <c r="Q985" s="2433"/>
    </row>
    <row r="986" spans="1:17" ht="15">
      <c r="A986" s="2445"/>
      <c r="B986" s="1770"/>
      <c r="C986" s="1770" t="s">
        <v>1454</v>
      </c>
      <c r="D986" s="1769"/>
      <c r="E986" s="1770"/>
      <c r="F986" s="1770"/>
      <c r="G986" s="1770"/>
      <c r="H986" s="1770"/>
      <c r="I986" s="1769"/>
      <c r="J986" s="2447"/>
      <c r="K986" s="1769"/>
      <c r="L986" s="1769"/>
      <c r="M986" s="2433" t="str">
        <f>'Part VII-Threshold Criteria'!M135</f>
        <v>Gazebo</v>
      </c>
      <c r="N986" s="2433"/>
      <c r="O986" s="2433"/>
      <c r="P986" s="2433"/>
      <c r="Q986" s="2433"/>
    </row>
    <row r="987" spans="1:17" ht="15" customHeight="1">
      <c r="A987" s="2445"/>
      <c r="B987" s="1770"/>
      <c r="C987" s="2434" t="str">
        <f>'Part VII-Threshold Criteria'!C136</f>
        <v>If "Other Pre-Approved", explain here</v>
      </c>
      <c r="D987" s="2434"/>
      <c r="E987" s="2434"/>
      <c r="F987" s="2434"/>
      <c r="G987" s="2434"/>
      <c r="H987" s="2434"/>
      <c r="I987" s="2434"/>
      <c r="J987" s="2434"/>
      <c r="K987" s="2434"/>
      <c r="L987" s="2434"/>
      <c r="M987" s="2434"/>
      <c r="N987" s="2434"/>
      <c r="O987" s="2434"/>
      <c r="P987" s="2434"/>
      <c r="Q987" s="2434"/>
    </row>
    <row r="988" spans="1:17" ht="15">
      <c r="A988" s="2445"/>
      <c r="B988" s="1770"/>
      <c r="C988" s="1770" t="s">
        <v>1456</v>
      </c>
      <c r="D988" s="1769"/>
      <c r="E988" s="1770"/>
      <c r="F988" s="1770"/>
      <c r="G988" s="1770"/>
      <c r="H988" s="1770"/>
      <c r="I988" s="1769"/>
      <c r="J988" s="2447"/>
      <c r="K988" s="1769"/>
      <c r="L988" s="1769"/>
      <c r="M988" s="2433" t="str">
        <f>'Part VII-Threshold Criteria'!M137</f>
        <v>On-site laundry</v>
      </c>
      <c r="N988" s="2433"/>
      <c r="O988" s="2433"/>
      <c r="P988" s="2433"/>
      <c r="Q988" s="2433"/>
    </row>
    <row r="989" spans="1:17" ht="15" customHeight="1">
      <c r="A989" s="2445" t="s">
        <v>206</v>
      </c>
      <c r="B989" s="2434" t="s">
        <v>7014</v>
      </c>
      <c r="C989" s="2434"/>
      <c r="D989" s="2434"/>
      <c r="E989" s="2434"/>
      <c r="F989" s="2434"/>
      <c r="G989" s="2434"/>
      <c r="H989" s="2434"/>
      <c r="I989" s="2434"/>
      <c r="J989" s="2434"/>
      <c r="K989" s="2434"/>
      <c r="L989" s="2434"/>
      <c r="M989" s="2434"/>
      <c r="N989" s="2434"/>
      <c r="O989" s="2447"/>
      <c r="P989" s="1772"/>
      <c r="Q989" s="1772"/>
    </row>
    <row r="990" spans="1:17" ht="15" customHeight="1">
      <c r="A990" s="2451"/>
      <c r="B990" s="2441"/>
      <c r="C990" s="2434" t="s">
        <v>7015</v>
      </c>
      <c r="D990" s="2434"/>
      <c r="E990" s="2434"/>
      <c r="F990" s="2434"/>
      <c r="G990" s="2434"/>
      <c r="H990" s="2434"/>
      <c r="I990" s="2434"/>
      <c r="J990" s="2434"/>
      <c r="K990" s="2434"/>
      <c r="L990" s="2434"/>
      <c r="M990" s="2434"/>
      <c r="N990" s="2434"/>
      <c r="O990" s="2434"/>
      <c r="P990" s="1772"/>
      <c r="Q990" s="1772"/>
    </row>
    <row r="991" spans="1:17" ht="15" customHeight="1">
      <c r="A991" s="1772"/>
      <c r="B991" s="2457" t="s">
        <v>1459</v>
      </c>
      <c r="C991" s="2436" t="str">
        <f>'Part VII-Threshold Criteria'!C140</f>
        <v>Wellness Center</v>
      </c>
      <c r="D991" s="2436"/>
      <c r="E991" s="2436"/>
      <c r="F991" s="2436"/>
      <c r="G991" s="2436"/>
      <c r="H991" s="2436"/>
      <c r="I991" s="1769"/>
      <c r="J991" s="2436" t="str">
        <f>'Part VII-Threshold Criteria'!J140</f>
        <v>(If DCA Pre-Approved amenity not listed in Architectural Manual, describe)</v>
      </c>
      <c r="K991" s="2436"/>
      <c r="L991" s="2436"/>
      <c r="M991" s="2436"/>
      <c r="N991" s="2436"/>
      <c r="O991" s="2436"/>
      <c r="P991" s="2436"/>
      <c r="Q991" s="2436"/>
    </row>
    <row r="992" spans="1:17" ht="15" customHeight="1">
      <c r="A992" s="1772"/>
      <c r="B992" s="2457" t="s">
        <v>1462</v>
      </c>
      <c r="C992" s="2436" t="str">
        <f>'Part VII-Threshold Criteria'!C141</f>
        <v xml:space="preserve">Equipped Computer Center and WiFi </v>
      </c>
      <c r="D992" s="2436"/>
      <c r="E992" s="2436"/>
      <c r="F992" s="2436"/>
      <c r="G992" s="2436"/>
      <c r="H992" s="2436"/>
      <c r="I992" s="1769"/>
      <c r="J992" s="2436" t="str">
        <f>'Part VII-Threshold Criteria'!J141</f>
        <v>(If DCA Pre-Approved amenity not listed in Architectural Manual, describe)</v>
      </c>
      <c r="K992" s="2436"/>
      <c r="L992" s="2436"/>
      <c r="M992" s="2436"/>
      <c r="N992" s="2436"/>
      <c r="O992" s="2436"/>
      <c r="P992" s="2436"/>
      <c r="Q992" s="2436"/>
    </row>
    <row r="993" spans="1:17" ht="15" customHeight="1">
      <c r="A993" s="1772"/>
      <c r="B993" s="2457" t="s">
        <v>1463</v>
      </c>
      <c r="C993" s="2436" t="str">
        <f>'Part VII-Threshold Criteria'!C142</f>
        <v>Furnished Exercise /Fitness Center</v>
      </c>
      <c r="D993" s="2436"/>
      <c r="E993" s="2436"/>
      <c r="F993" s="2436"/>
      <c r="G993" s="2436"/>
      <c r="H993" s="2436"/>
      <c r="I993" s="1769"/>
      <c r="J993" s="2436" t="str">
        <f>'Part VII-Threshold Criteria'!J142</f>
        <v>(If DCA Pre-Approved amenity not listed in Architectural Manual, describe)</v>
      </c>
      <c r="K993" s="2436"/>
      <c r="L993" s="2436"/>
      <c r="M993" s="2436"/>
      <c r="N993" s="2436"/>
      <c r="O993" s="2436"/>
      <c r="P993" s="2436"/>
      <c r="Q993" s="2436"/>
    </row>
    <row r="994" spans="1:17" ht="15" customHeight="1">
      <c r="A994" s="1772"/>
      <c r="B994" s="2457" t="s">
        <v>1464</v>
      </c>
      <c r="C994" s="2436" t="str">
        <f>'Part VII-Threshold Criteria'!C143</f>
        <v xml:space="preserve">Furnished Arts &amp; Craft /Activity Center </v>
      </c>
      <c r="D994" s="2436"/>
      <c r="E994" s="2436"/>
      <c r="F994" s="2436"/>
      <c r="G994" s="2436"/>
      <c r="H994" s="2436"/>
      <c r="I994" s="1769"/>
      <c r="J994" s="2436" t="str">
        <f>'Part VII-Threshold Criteria'!J143</f>
        <v>(If DCA Pre-Approved amenity not listed in Architectural Manual, describe)</v>
      </c>
      <c r="K994" s="2436"/>
      <c r="L994" s="2436"/>
      <c r="M994" s="2436"/>
      <c r="N994" s="2436"/>
      <c r="O994" s="2436"/>
      <c r="P994" s="2436"/>
      <c r="Q994" s="2436"/>
    </row>
    <row r="995" spans="1:17" ht="15">
      <c r="A995" s="1769"/>
      <c r="B995" s="2442" t="s">
        <v>1403</v>
      </c>
      <c r="C995" s="1769"/>
      <c r="D995" s="2442"/>
      <c r="E995" s="2442"/>
      <c r="F995" s="2442"/>
      <c r="G995" s="2442"/>
      <c r="H995" s="1770"/>
      <c r="I995" s="1771"/>
      <c r="J995" s="1771"/>
      <c r="K995" s="1771"/>
      <c r="L995" s="1772"/>
      <c r="M995" s="1772"/>
      <c r="N995" s="1772"/>
      <c r="O995" s="1772"/>
      <c r="P995" s="1769"/>
      <c r="Q995" s="1769"/>
    </row>
    <row r="996" spans="1:17" ht="409.5">
      <c r="A996" s="2434" t="str">
        <f>'Part VII-Threshold Criteria'!A145</f>
        <v xml:space="preserve">Applicant agrees to meet the amenities requirements.  Since this submission is prior to the pre-application, Applicant may elect to submit alternate amenities during the pre-application phase for pre-approval. </v>
      </c>
      <c r="B996" s="2434"/>
      <c r="C996" s="2434"/>
      <c r="D996" s="2434"/>
      <c r="E996" s="2434"/>
      <c r="F996" s="2434"/>
      <c r="G996" s="2434"/>
      <c r="H996" s="2434"/>
      <c r="I996" s="2434"/>
      <c r="J996" s="2434"/>
      <c r="K996" s="2434"/>
      <c r="L996" s="2434"/>
      <c r="M996" s="2434"/>
      <c r="N996" s="2434"/>
      <c r="O996" s="2434"/>
      <c r="P996" s="2434"/>
      <c r="Q996" s="2434"/>
    </row>
    <row r="997" spans="1:17" ht="14.25">
      <c r="A997" s="1769"/>
      <c r="B997" s="2439" t="s">
        <v>1399</v>
      </c>
      <c r="C997" s="2440"/>
      <c r="D997" s="2441"/>
      <c r="E997" s="2441"/>
      <c r="F997" s="2441"/>
      <c r="G997" s="2441"/>
      <c r="H997" s="2441"/>
      <c r="I997" s="2441"/>
      <c r="J997" s="2441"/>
      <c r="K997" s="2441"/>
      <c r="L997" s="2441"/>
      <c r="M997" s="2441"/>
      <c r="N997" s="2441"/>
      <c r="O997" s="2441"/>
      <c r="P997" s="2441"/>
      <c r="Q997" s="2441"/>
    </row>
    <row r="998" spans="1:17" ht="14.25">
      <c r="A998" s="2434"/>
      <c r="B998" s="2434"/>
      <c r="C998" s="2434"/>
      <c r="D998" s="2434"/>
      <c r="E998" s="2434"/>
      <c r="F998" s="2434"/>
      <c r="G998" s="2434"/>
      <c r="H998" s="2434"/>
      <c r="I998" s="2434"/>
      <c r="J998" s="2434"/>
      <c r="K998" s="2434"/>
      <c r="L998" s="2434"/>
      <c r="M998" s="2434"/>
      <c r="N998" s="2434"/>
      <c r="O998" s="2434"/>
      <c r="P998" s="2434"/>
      <c r="Q998" s="2434"/>
    </row>
    <row r="999" spans="1:17" ht="15">
      <c r="A999" s="1772"/>
      <c r="B999" s="1771"/>
      <c r="C999" s="2441"/>
      <c r="D999" s="2441"/>
      <c r="E999" s="2441"/>
      <c r="F999" s="2441"/>
      <c r="G999" s="2441"/>
      <c r="H999" s="2441"/>
      <c r="I999" s="2441"/>
      <c r="J999" s="2441"/>
      <c r="K999" s="2441"/>
      <c r="L999" s="2441"/>
      <c r="M999" s="2441"/>
      <c r="N999" s="1769"/>
      <c r="O999" s="1769"/>
      <c r="P999" s="1769"/>
      <c r="Q999" s="1772"/>
    </row>
    <row r="1000" spans="1:17" ht="15">
      <c r="A1000" s="1772"/>
      <c r="B1000" s="1771"/>
      <c r="C1000" s="2441"/>
      <c r="D1000" s="2441"/>
      <c r="E1000" s="2441"/>
      <c r="F1000" s="2441"/>
      <c r="G1000" s="2441"/>
      <c r="H1000" s="2441"/>
      <c r="I1000" s="2441"/>
      <c r="J1000" s="2441"/>
      <c r="K1000" s="2441"/>
      <c r="L1000" s="2441"/>
      <c r="M1000" s="2441"/>
      <c r="N1000" s="1769"/>
      <c r="O1000" s="1769"/>
      <c r="P1000" s="1769"/>
      <c r="Q1000" s="1772"/>
    </row>
    <row r="1001" spans="1:17" ht="15">
      <c r="A1001" s="2437" t="s">
        <v>1465</v>
      </c>
      <c r="B1001" s="2433" t="s">
        <v>1466</v>
      </c>
      <c r="C1001" s="2433"/>
      <c r="D1001" s="2433"/>
      <c r="E1001" s="2433"/>
      <c r="F1001" s="2433"/>
      <c r="G1001" s="2433"/>
      <c r="H1001" s="2441"/>
      <c r="I1001" s="2441"/>
      <c r="J1001" s="2441"/>
      <c r="K1001" s="2441"/>
      <c r="L1001" s="2465"/>
      <c r="M1001" s="2466"/>
      <c r="N1001" s="1769"/>
      <c r="O1001" s="2438" t="s">
        <v>1397</v>
      </c>
      <c r="P1001" s="2433"/>
      <c r="Q1001" s="2433"/>
    </row>
    <row r="1002" spans="1:17" ht="15">
      <c r="A1002" s="1769"/>
      <c r="B1002" s="1769" t="s">
        <v>1467</v>
      </c>
      <c r="C1002" s="1769"/>
      <c r="D1002" s="1769"/>
      <c r="E1002" s="1769"/>
      <c r="F1002" s="1769"/>
      <c r="G1002" s="1769"/>
      <c r="H1002" s="1769"/>
      <c r="I1002" s="1769"/>
      <c r="J1002" s="1769"/>
      <c r="K1002" s="1769"/>
      <c r="L1002" s="1769"/>
      <c r="M1002" s="1769"/>
      <c r="N1002" s="1771"/>
      <c r="O1002" s="1769"/>
      <c r="P1002" s="2433">
        <f>'Part VII-Threshold Criteria'!P151</f>
        <v>0</v>
      </c>
      <c r="Q1002" s="2433"/>
    </row>
    <row r="1003" spans="1:17" ht="15" customHeight="1">
      <c r="A1003" s="2445"/>
      <c r="B1003" s="1769" t="s">
        <v>1468</v>
      </c>
      <c r="C1003" s="1769"/>
      <c r="D1003" s="1769"/>
      <c r="E1003" s="1769"/>
      <c r="F1003" s="1769"/>
      <c r="G1003" s="1769"/>
      <c r="H1003" s="2434" t="str">
        <f>'Part VII-Threshold Criteria'!H152</f>
        <v>&lt;&lt;Select&gt;&gt;</v>
      </c>
      <c r="I1003" s="2434"/>
      <c r="J1003" s="2434"/>
      <c r="K1003" s="2434"/>
      <c r="L1003" s="2434"/>
      <c r="M1003" s="2434"/>
      <c r="N1003" s="2434"/>
      <c r="O1003" s="2434"/>
      <c r="P1003" s="2434"/>
      <c r="Q1003" s="2434"/>
    </row>
    <row r="1004" spans="1:17" ht="15">
      <c r="A1004" s="2445"/>
      <c r="B1004" s="1769" t="s">
        <v>1469</v>
      </c>
      <c r="C1004" s="1769"/>
      <c r="D1004" s="1769"/>
      <c r="E1004" s="1769"/>
      <c r="F1004" s="1769"/>
      <c r="G1004" s="1769"/>
      <c r="H1004" s="2434">
        <f>'Part VII-Threshold Criteria'!H153</f>
        <v>0</v>
      </c>
      <c r="I1004" s="2434"/>
      <c r="J1004" s="2434"/>
      <c r="K1004" s="2434"/>
      <c r="L1004" s="2434"/>
      <c r="M1004" s="2434"/>
      <c r="N1004" s="2434"/>
      <c r="O1004" s="2434"/>
      <c r="P1004" s="2434"/>
      <c r="Q1004" s="2434"/>
    </row>
    <row r="1005" spans="1:17" ht="15">
      <c r="A1005" s="1769"/>
      <c r="B1005" s="2442" t="s">
        <v>1403</v>
      </c>
      <c r="C1005" s="1769"/>
      <c r="D1005" s="2442"/>
      <c r="E1005" s="2442"/>
      <c r="F1005" s="2442"/>
      <c r="G1005" s="2442"/>
      <c r="H1005" s="1770"/>
      <c r="I1005" s="1771"/>
      <c r="J1005" s="1771"/>
      <c r="K1005" s="1771"/>
      <c r="L1005" s="1772"/>
      <c r="M1005" s="1772"/>
      <c r="N1005" s="1772"/>
      <c r="O1005" s="1772"/>
      <c r="P1005" s="1772"/>
      <c r="Q1005" s="1772"/>
    </row>
    <row r="1006" spans="1:17" ht="71.25">
      <c r="A1006" s="2434" t="str">
        <f>'Part VII-Threshold Criteria'!A155</f>
        <v>Not Due at Competitive Review</v>
      </c>
      <c r="B1006" s="2434"/>
      <c r="C1006" s="2434"/>
      <c r="D1006" s="2434"/>
      <c r="E1006" s="2434"/>
      <c r="F1006" s="2434"/>
      <c r="G1006" s="2434"/>
      <c r="H1006" s="2434"/>
      <c r="I1006" s="2434"/>
      <c r="J1006" s="2434"/>
      <c r="K1006" s="2434"/>
      <c r="L1006" s="2434"/>
      <c r="M1006" s="2434"/>
      <c r="N1006" s="2434"/>
      <c r="O1006" s="2434"/>
      <c r="P1006" s="2434"/>
      <c r="Q1006" s="2434"/>
    </row>
    <row r="1007" spans="1:17" ht="14.25">
      <c r="A1007" s="1769"/>
      <c r="B1007" s="2439" t="s">
        <v>1399</v>
      </c>
      <c r="C1007" s="2440"/>
      <c r="D1007" s="2441"/>
      <c r="E1007" s="2441"/>
      <c r="F1007" s="2441"/>
      <c r="G1007" s="2441"/>
      <c r="H1007" s="2441"/>
      <c r="I1007" s="2441"/>
      <c r="J1007" s="2441"/>
      <c r="K1007" s="2441"/>
      <c r="L1007" s="2441"/>
      <c r="M1007" s="2441"/>
      <c r="N1007" s="2441"/>
      <c r="O1007" s="2441"/>
      <c r="P1007" s="2441"/>
      <c r="Q1007" s="2441"/>
    </row>
    <row r="1008" spans="1:17" ht="14.25">
      <c r="A1008" s="2434"/>
      <c r="B1008" s="2434"/>
      <c r="C1008" s="2434"/>
      <c r="D1008" s="2434"/>
      <c r="E1008" s="2434"/>
      <c r="F1008" s="2434"/>
      <c r="G1008" s="2434"/>
      <c r="H1008" s="2434"/>
      <c r="I1008" s="2434"/>
      <c r="J1008" s="2434"/>
      <c r="K1008" s="2434"/>
      <c r="L1008" s="2434"/>
      <c r="M1008" s="2434"/>
      <c r="N1008" s="2434"/>
      <c r="O1008" s="2434"/>
      <c r="P1008" s="2434"/>
      <c r="Q1008" s="2434"/>
    </row>
    <row r="1009" spans="1:17" ht="15">
      <c r="A1009" s="1772"/>
      <c r="B1009" s="1771"/>
      <c r="C1009" s="2441"/>
      <c r="D1009" s="2441"/>
      <c r="E1009" s="2441"/>
      <c r="F1009" s="2441"/>
      <c r="G1009" s="2441"/>
      <c r="H1009" s="2441"/>
      <c r="I1009" s="2441"/>
      <c r="J1009" s="2441"/>
      <c r="K1009" s="2441"/>
      <c r="L1009" s="2441"/>
      <c r="M1009" s="2441"/>
      <c r="N1009" s="1769"/>
      <c r="O1009" s="1769"/>
      <c r="P1009" s="1769"/>
      <c r="Q1009" s="1772"/>
    </row>
    <row r="1010" spans="1:17" ht="15">
      <c r="A1010" s="1772"/>
      <c r="B1010" s="1771"/>
      <c r="C1010" s="2441"/>
      <c r="D1010" s="2441"/>
      <c r="E1010" s="2441"/>
      <c r="F1010" s="2441"/>
      <c r="G1010" s="2441"/>
      <c r="H1010" s="2441"/>
      <c r="I1010" s="2441"/>
      <c r="J1010" s="2441"/>
      <c r="K1010" s="2441"/>
      <c r="L1010" s="2441"/>
      <c r="M1010" s="2441"/>
      <c r="N1010" s="1769"/>
      <c r="O1010" s="1769"/>
      <c r="P1010" s="1769"/>
      <c r="Q1010" s="1772"/>
    </row>
    <row r="1011" spans="1:17" ht="15">
      <c r="A1011" s="2437" t="s">
        <v>1470</v>
      </c>
      <c r="B1011" s="2433" t="s">
        <v>1471</v>
      </c>
      <c r="C1011" s="2433"/>
      <c r="D1011" s="2433"/>
      <c r="E1011" s="2433"/>
      <c r="F1011" s="2433"/>
      <c r="G1011" s="2433"/>
      <c r="H1011" s="2441"/>
      <c r="I1011" s="2441"/>
      <c r="J1011" s="2441"/>
      <c r="K1011" s="2441"/>
      <c r="L1011" s="2441"/>
      <c r="M1011" s="2441"/>
      <c r="N1011" s="1769"/>
      <c r="O1011" s="2438" t="s">
        <v>1397</v>
      </c>
      <c r="P1011" s="2433"/>
      <c r="Q1011" s="2433"/>
    </row>
    <row r="1012" spans="1:17" ht="15">
      <c r="A1012" s="1769"/>
      <c r="B1012" s="2442" t="s">
        <v>1403</v>
      </c>
      <c r="C1012" s="1769"/>
      <c r="D1012" s="2442"/>
      <c r="E1012" s="2442"/>
      <c r="F1012" s="2442"/>
      <c r="G1012" s="2442"/>
      <c r="H1012" s="1770"/>
      <c r="I1012" s="1771"/>
      <c r="J1012" s="1771"/>
      <c r="K1012" s="1771"/>
      <c r="L1012" s="1772"/>
      <c r="M1012" s="1772"/>
      <c r="N1012" s="1772"/>
      <c r="O1012" s="1772"/>
      <c r="P1012" s="1772"/>
      <c r="Q1012" s="1772"/>
    </row>
    <row r="1013" spans="1:17" ht="85.5">
      <c r="A1013" s="2434" t="str">
        <f>'Part VII-Threshold Criteria'!A162</f>
        <v>Site Information included in Tab 15</v>
      </c>
      <c r="B1013" s="2434"/>
      <c r="C1013" s="2434"/>
      <c r="D1013" s="2434"/>
      <c r="E1013" s="2434"/>
      <c r="F1013" s="2434"/>
      <c r="G1013" s="2434"/>
      <c r="H1013" s="2434"/>
      <c r="I1013" s="2434"/>
      <c r="J1013" s="2434"/>
      <c r="K1013" s="2434"/>
      <c r="L1013" s="2434"/>
      <c r="M1013" s="2434"/>
      <c r="N1013" s="2434"/>
      <c r="O1013" s="2434"/>
      <c r="P1013" s="2434"/>
      <c r="Q1013" s="2434"/>
    </row>
    <row r="1014" spans="1:17" ht="14.25">
      <c r="A1014" s="1769"/>
      <c r="B1014" s="2439" t="s">
        <v>1399</v>
      </c>
      <c r="C1014" s="2440"/>
      <c r="D1014" s="2441"/>
      <c r="E1014" s="2441"/>
      <c r="F1014" s="2441"/>
      <c r="G1014" s="2441"/>
      <c r="H1014" s="2441"/>
      <c r="I1014" s="2441"/>
      <c r="J1014" s="2441"/>
      <c r="K1014" s="2441"/>
      <c r="L1014" s="2441"/>
      <c r="M1014" s="2441"/>
      <c r="N1014" s="2441"/>
      <c r="O1014" s="2441"/>
      <c r="P1014" s="2441"/>
      <c r="Q1014" s="2441"/>
    </row>
    <row r="1015" spans="1:17" ht="14.25">
      <c r="A1015" s="2434"/>
      <c r="B1015" s="2434"/>
      <c r="C1015" s="2434"/>
      <c r="D1015" s="2434"/>
      <c r="E1015" s="2434"/>
      <c r="F1015" s="2434"/>
      <c r="G1015" s="2434"/>
      <c r="H1015" s="2434"/>
      <c r="I1015" s="2434"/>
      <c r="J1015" s="2434"/>
      <c r="K1015" s="2434"/>
      <c r="L1015" s="2434"/>
      <c r="M1015" s="2434"/>
      <c r="N1015" s="2434"/>
      <c r="O1015" s="2434"/>
      <c r="P1015" s="2434"/>
      <c r="Q1015" s="2434"/>
    </row>
    <row r="1016" spans="1:17" ht="14.25">
      <c r="A1016" s="1769"/>
      <c r="B1016" s="1769"/>
      <c r="C1016" s="1769"/>
      <c r="D1016" s="1769"/>
      <c r="E1016" s="1769"/>
      <c r="F1016" s="1769"/>
      <c r="G1016" s="1769"/>
      <c r="H1016" s="1769"/>
      <c r="I1016" s="1769"/>
      <c r="J1016" s="1769"/>
      <c r="K1016" s="1769"/>
      <c r="L1016" s="1769"/>
      <c r="M1016" s="1769"/>
      <c r="N1016" s="1769"/>
      <c r="O1016" s="1769"/>
      <c r="P1016" s="1769"/>
      <c r="Q1016" s="1769"/>
    </row>
    <row r="1017" spans="1:17" ht="14.25">
      <c r="A1017" s="1769"/>
      <c r="B1017" s="1769"/>
      <c r="C1017" s="1769"/>
      <c r="D1017" s="1769"/>
      <c r="E1017" s="1769"/>
      <c r="F1017" s="1769"/>
      <c r="G1017" s="1769"/>
      <c r="H1017" s="1769"/>
      <c r="I1017" s="1769"/>
      <c r="J1017" s="1769"/>
      <c r="K1017" s="1769"/>
      <c r="L1017" s="1769"/>
      <c r="M1017" s="1769"/>
      <c r="N1017" s="1769"/>
      <c r="O1017" s="1769"/>
      <c r="P1017" s="1769"/>
      <c r="Q1017" s="1769"/>
    </row>
    <row r="1018" spans="1:17" ht="15">
      <c r="A1018" s="2437" t="s">
        <v>1472</v>
      </c>
      <c r="B1018" s="2437" t="s">
        <v>1473</v>
      </c>
      <c r="C1018" s="2437"/>
      <c r="D1018" s="2441"/>
      <c r="E1018" s="2441"/>
      <c r="F1018" s="2441"/>
      <c r="G1018" s="2441"/>
      <c r="H1018" s="2441"/>
      <c r="I1018" s="2441"/>
      <c r="J1018" s="2441"/>
      <c r="K1018" s="2441"/>
      <c r="L1018" s="2441"/>
      <c r="M1018" s="2441"/>
      <c r="N1018" s="1769"/>
      <c r="O1018" s="2438" t="s">
        <v>1397</v>
      </c>
      <c r="P1018" s="2433"/>
      <c r="Q1018" s="2433"/>
    </row>
    <row r="1019" spans="1:17" ht="15">
      <c r="A1019" s="2445" t="s">
        <v>194</v>
      </c>
      <c r="B1019" s="2433" t="s">
        <v>1474</v>
      </c>
      <c r="C1019" s="1769"/>
      <c r="D1019" s="1769"/>
      <c r="E1019" s="1769"/>
      <c r="F1019" s="1769"/>
      <c r="G1019" s="1769"/>
      <c r="H1019" s="1769"/>
      <c r="I1019" s="1769"/>
      <c r="J1019" s="1769"/>
      <c r="K1019" s="1769"/>
      <c r="L1019" s="1769"/>
      <c r="M1019" s="1769"/>
      <c r="N1019" s="1769"/>
      <c r="O1019" s="2447"/>
      <c r="P1019" s="1769"/>
      <c r="Q1019" s="1769"/>
    </row>
    <row r="1020" spans="1:17" ht="15" customHeight="1">
      <c r="A1020" s="1769"/>
      <c r="B1020" s="2436" t="s">
        <v>7016</v>
      </c>
      <c r="C1020" s="2436"/>
      <c r="D1020" s="2436"/>
      <c r="E1020" s="2436"/>
      <c r="F1020" s="2436"/>
      <c r="G1020" s="2436"/>
      <c r="H1020" s="2436"/>
      <c r="I1020" s="2436"/>
      <c r="J1020" s="2436"/>
      <c r="K1020" s="2436"/>
      <c r="L1020" s="2436"/>
      <c r="M1020" s="2436"/>
      <c r="N1020" s="2436"/>
      <c r="O1020" s="2436"/>
      <c r="P1020" s="2433">
        <f>'Part VII-Threshold Criteria'!P169</f>
        <v>0</v>
      </c>
      <c r="Q1020" s="2433"/>
    </row>
    <row r="1021" spans="1:17" ht="15">
      <c r="A1021" s="2445" t="s">
        <v>206</v>
      </c>
      <c r="B1021" s="2433" t="s">
        <v>1476</v>
      </c>
      <c r="C1021" s="1769"/>
      <c r="D1021" s="1769"/>
      <c r="E1021" s="1769"/>
      <c r="F1021" s="1769"/>
      <c r="G1021" s="1769"/>
      <c r="H1021" s="2433" t="str">
        <f>'Part VII-Threshold Criteria'!H170</f>
        <v>&lt;&lt; Select a Sustainable Development Certification &gt;&gt;</v>
      </c>
      <c r="I1021" s="2433"/>
      <c r="J1021" s="2433"/>
      <c r="K1021" s="2433"/>
      <c r="L1021" s="2433"/>
      <c r="M1021" s="2433"/>
      <c r="N1021" s="2433"/>
      <c r="O1021" s="2433"/>
      <c r="P1021" s="2433"/>
      <c r="Q1021" s="2433"/>
    </row>
    <row r="1022" spans="1:17" ht="15">
      <c r="A1022" s="2445" t="s">
        <v>227</v>
      </c>
      <c r="B1022" s="2433" t="s">
        <v>1478</v>
      </c>
      <c r="C1022" s="1769"/>
      <c r="D1022" s="1769"/>
      <c r="E1022" s="1769"/>
      <c r="F1022" s="1769"/>
      <c r="G1022" s="1769"/>
      <c r="H1022" s="1769"/>
      <c r="I1022" s="1769"/>
      <c r="J1022" s="1769"/>
      <c r="K1022" s="1769"/>
      <c r="L1022" s="1769"/>
      <c r="M1022" s="1769"/>
      <c r="N1022" s="1769"/>
      <c r="O1022" s="1769"/>
      <c r="P1022" s="1769"/>
      <c r="Q1022" s="1769"/>
    </row>
    <row r="1023" spans="1:17" ht="15" customHeight="1">
      <c r="A1023" s="2445"/>
      <c r="B1023" s="2434" t="s">
        <v>1479</v>
      </c>
      <c r="C1023" s="2434"/>
      <c r="D1023" s="2434"/>
      <c r="E1023" s="2434"/>
      <c r="F1023" s="2434"/>
      <c r="G1023" s="2434"/>
      <c r="H1023" s="2434"/>
      <c r="I1023" s="2434"/>
      <c r="J1023" s="2434"/>
      <c r="K1023" s="2434"/>
      <c r="L1023" s="2434"/>
      <c r="M1023" s="2434"/>
      <c r="N1023" s="2184" t="s">
        <v>1480</v>
      </c>
      <c r="O1023" s="2447" t="s">
        <v>227</v>
      </c>
      <c r="P1023" s="2433">
        <f>'Part VII-Threshold Criteria'!P172</f>
        <v>0</v>
      </c>
      <c r="Q1023" s="2433"/>
    </row>
    <row r="1024" spans="1:17" ht="15">
      <c r="A1024" s="1769"/>
      <c r="B1024" s="2442" t="s">
        <v>1403</v>
      </c>
      <c r="C1024" s="1769"/>
      <c r="D1024" s="1769"/>
      <c r="E1024" s="1769"/>
      <c r="F1024" s="1769"/>
      <c r="G1024" s="1769"/>
      <c r="H1024" s="1769"/>
      <c r="I1024" s="1769"/>
      <c r="J1024" s="1769"/>
      <c r="K1024" s="1769"/>
      <c r="L1024" s="1769"/>
      <c r="M1024" s="1771"/>
      <c r="N1024" s="1771"/>
      <c r="O1024" s="2467"/>
      <c r="P1024" s="1772"/>
      <c r="Q1024" s="1769"/>
    </row>
    <row r="1025" spans="1:17" ht="71.25">
      <c r="A1025" s="2434" t="str">
        <f>'Part VII-Threshold Criteria'!A174</f>
        <v>Not Due at Competitive Review</v>
      </c>
      <c r="B1025" s="2434"/>
      <c r="C1025" s="2434"/>
      <c r="D1025" s="2434"/>
      <c r="E1025" s="2434"/>
      <c r="F1025" s="2434"/>
      <c r="G1025" s="2434"/>
      <c r="H1025" s="2434"/>
      <c r="I1025" s="2434"/>
      <c r="J1025" s="2434"/>
      <c r="K1025" s="2434"/>
      <c r="L1025" s="2434"/>
      <c r="M1025" s="2434"/>
      <c r="N1025" s="2434"/>
      <c r="O1025" s="2434"/>
      <c r="P1025" s="2434"/>
      <c r="Q1025" s="2434"/>
    </row>
    <row r="1026" spans="1:17" ht="14.25">
      <c r="A1026" s="1769"/>
      <c r="B1026" s="2439" t="s">
        <v>1399</v>
      </c>
      <c r="C1026" s="2440"/>
      <c r="D1026" s="2441"/>
      <c r="E1026" s="2441"/>
      <c r="F1026" s="2441"/>
      <c r="G1026" s="2441"/>
      <c r="H1026" s="2441"/>
      <c r="I1026" s="2441"/>
      <c r="J1026" s="2441"/>
      <c r="K1026" s="2441"/>
      <c r="L1026" s="2441"/>
      <c r="M1026" s="2441"/>
      <c r="N1026" s="2441"/>
      <c r="O1026" s="2441"/>
      <c r="P1026" s="2441"/>
      <c r="Q1026" s="2441"/>
    </row>
    <row r="1027" spans="1:17" ht="14.25">
      <c r="A1027" s="2434"/>
      <c r="B1027" s="2434"/>
      <c r="C1027" s="2434"/>
      <c r="D1027" s="2434"/>
      <c r="E1027" s="2434"/>
      <c r="F1027" s="2434"/>
      <c r="G1027" s="2434"/>
      <c r="H1027" s="2434"/>
      <c r="I1027" s="2434"/>
      <c r="J1027" s="2434"/>
      <c r="K1027" s="2434"/>
      <c r="L1027" s="2434"/>
      <c r="M1027" s="2434"/>
      <c r="N1027" s="2434"/>
      <c r="O1027" s="2434"/>
      <c r="P1027" s="2434"/>
      <c r="Q1027" s="2434"/>
    </row>
    <row r="1028" spans="1:17" ht="15">
      <c r="A1028" s="1769"/>
      <c r="B1028" s="1769"/>
      <c r="C1028" s="1769"/>
      <c r="D1028" s="1769"/>
      <c r="E1028" s="1769"/>
      <c r="F1028" s="1772"/>
      <c r="G1028" s="1772"/>
      <c r="H1028" s="1772"/>
      <c r="I1028" s="1772"/>
      <c r="J1028" s="1770"/>
      <c r="K1028" s="1770"/>
      <c r="L1028" s="1770"/>
      <c r="M1028" s="1771"/>
      <c r="N1028" s="1772"/>
      <c r="O1028" s="1772"/>
      <c r="P1028" s="2467"/>
      <c r="Q1028" s="1769"/>
    </row>
    <row r="1029" spans="1:17" ht="15">
      <c r="A1029" s="1769"/>
      <c r="B1029" s="1769"/>
      <c r="C1029" s="1769"/>
      <c r="D1029" s="1769"/>
      <c r="E1029" s="1769"/>
      <c r="F1029" s="1772"/>
      <c r="G1029" s="1772"/>
      <c r="H1029" s="1772"/>
      <c r="I1029" s="1772"/>
      <c r="J1029" s="1770"/>
      <c r="K1029" s="1770"/>
      <c r="L1029" s="1770"/>
      <c r="M1029" s="1771"/>
      <c r="N1029" s="1772"/>
      <c r="O1029" s="1772"/>
      <c r="P1029" s="2467"/>
      <c r="Q1029" s="1769"/>
    </row>
    <row r="1030" spans="1:17" ht="15">
      <c r="A1030" s="2437" t="s">
        <v>1481</v>
      </c>
      <c r="B1030" s="2437" t="s">
        <v>1482</v>
      </c>
      <c r="C1030" s="2468"/>
      <c r="D1030" s="2468"/>
      <c r="E1030" s="2441"/>
      <c r="F1030" s="2441"/>
      <c r="G1030" s="2441"/>
      <c r="H1030" s="2441"/>
      <c r="I1030" s="2441"/>
      <c r="J1030" s="2441"/>
      <c r="K1030" s="2441"/>
      <c r="L1030" s="2441"/>
      <c r="M1030" s="2441"/>
      <c r="N1030" s="1769"/>
      <c r="O1030" s="2438" t="s">
        <v>1397</v>
      </c>
      <c r="P1030" s="2433"/>
      <c r="Q1030" s="2433"/>
    </row>
    <row r="1031" spans="1:17" ht="15">
      <c r="A1031" s="1769"/>
      <c r="B1031" s="1769" t="s">
        <v>1467</v>
      </c>
      <c r="C1031" s="1769"/>
      <c r="D1031" s="1769"/>
      <c r="E1031" s="1769"/>
      <c r="F1031" s="1769"/>
      <c r="G1031" s="1769"/>
      <c r="H1031" s="1769"/>
      <c r="I1031" s="1769"/>
      <c r="J1031" s="1769"/>
      <c r="K1031" s="1769"/>
      <c r="L1031" s="1769"/>
      <c r="M1031" s="1769"/>
      <c r="N1031" s="1771"/>
      <c r="O1031" s="1769"/>
      <c r="P1031" s="2433">
        <f>'Part VII-Threshold Criteria'!P180</f>
        <v>0</v>
      </c>
      <c r="Q1031" s="2433"/>
    </row>
    <row r="1032" spans="1:17" ht="15" customHeight="1">
      <c r="A1032" s="1769"/>
      <c r="B1032" s="2434" t="s">
        <v>7017</v>
      </c>
      <c r="C1032" s="2434"/>
      <c r="D1032" s="2434"/>
      <c r="E1032" s="2434"/>
      <c r="F1032" s="2434"/>
      <c r="G1032" s="2434"/>
      <c r="H1032" s="2434"/>
      <c r="I1032" s="2434"/>
      <c r="J1032" s="2434"/>
      <c r="K1032" s="2434"/>
      <c r="L1032" s="2434"/>
      <c r="M1032" s="2434"/>
      <c r="N1032" s="2434"/>
      <c r="O1032" s="2434"/>
      <c r="P1032" s="2433">
        <f>'Part VII-Threshold Criteria'!P181</f>
        <v>0</v>
      </c>
      <c r="Q1032" s="2433"/>
    </row>
    <row r="1033" spans="1:17" ht="15">
      <c r="A1033" s="1769"/>
      <c r="B1033" s="1769"/>
      <c r="C1033" s="1769"/>
      <c r="D1033" s="1769"/>
      <c r="E1033" s="1769"/>
      <c r="F1033" s="1769"/>
      <c r="G1033" s="1769"/>
      <c r="H1033" s="1769"/>
      <c r="I1033" s="1769"/>
      <c r="J1033" s="1769"/>
      <c r="K1033" s="1769"/>
      <c r="L1033" s="2469" t="s">
        <v>1484</v>
      </c>
      <c r="M1033" s="2469"/>
      <c r="N1033" s="1771"/>
      <c r="O1033" s="1769"/>
      <c r="P1033" s="1772"/>
      <c r="Q1033" s="1772"/>
    </row>
    <row r="1034" spans="1:17" ht="15">
      <c r="A1034" s="2445" t="s">
        <v>206</v>
      </c>
      <c r="B1034" s="2437" t="s">
        <v>1485</v>
      </c>
      <c r="C1034" s="1769"/>
      <c r="D1034" s="2470"/>
      <c r="E1034" s="2470"/>
      <c r="F1034" s="2470"/>
      <c r="G1034" s="2470"/>
      <c r="H1034" s="2470"/>
      <c r="I1034" s="2470"/>
      <c r="J1034" s="2470"/>
      <c r="K1034" s="2470"/>
      <c r="L1034" s="1769" t="s">
        <v>1486</v>
      </c>
      <c r="M1034" s="1771" t="s">
        <v>1487</v>
      </c>
      <c r="N1034" s="2470"/>
      <c r="O1034" s="2447"/>
      <c r="P1034" s="2447"/>
      <c r="Q1034" s="2447"/>
    </row>
    <row r="1035" spans="1:17" ht="15">
      <c r="A1035" s="2445"/>
      <c r="B1035" s="1769" t="s">
        <v>1488</v>
      </c>
      <c r="C1035" s="1769"/>
      <c r="D1035" s="2434"/>
      <c r="E1035" s="2434"/>
      <c r="F1035" s="2434"/>
      <c r="G1035" s="2434"/>
      <c r="H1035" s="1769"/>
      <c r="I1035" s="1769"/>
      <c r="J1035" s="1769"/>
      <c r="K1035" s="2185"/>
      <c r="L1035" s="2471">
        <f>ROUNDUP('Part V-Revenues &amp; Expenses'!$P$67*M1035,0)</f>
        <v>10</v>
      </c>
      <c r="M1035" s="2472">
        <f>'DCA Underwriting Assumptions'!$Q$122</f>
        <v>0.05</v>
      </c>
      <c r="N1035" s="1769"/>
      <c r="O1035" s="2447"/>
      <c r="P1035" s="2433">
        <f>'Part VII-Threshold Criteria'!P184</f>
        <v>0</v>
      </c>
      <c r="Q1035" s="2433"/>
    </row>
    <row r="1036" spans="1:17" ht="15" customHeight="1">
      <c r="A1036" s="2445"/>
      <c r="B1036" s="1770"/>
      <c r="C1036" s="1769"/>
      <c r="D1036" s="2434" t="s">
        <v>1489</v>
      </c>
      <c r="E1036" s="2434"/>
      <c r="F1036" s="2434"/>
      <c r="G1036" s="2434"/>
      <c r="H1036" s="2434"/>
      <c r="I1036" s="2434"/>
      <c r="J1036" s="2434"/>
      <c r="K1036" s="2185"/>
      <c r="L1036" s="2471">
        <f>ROUNDUP(L1035*M1036,0)</f>
        <v>4</v>
      </c>
      <c r="M1036" s="2472">
        <f>'DCA Underwriting Assumptions'!$Q$123</f>
        <v>0.4</v>
      </c>
      <c r="N1036" s="1769"/>
      <c r="O1036" s="2447"/>
      <c r="P1036" s="2433">
        <f>'Part VII-Threshold Criteria'!P185</f>
        <v>0</v>
      </c>
      <c r="Q1036" s="2433"/>
    </row>
    <row r="1037" spans="1:17" ht="15" customHeight="1">
      <c r="A1037" s="2445"/>
      <c r="B1037" s="2434" t="s">
        <v>1490</v>
      </c>
      <c r="C1037" s="2434"/>
      <c r="D1037" s="2434"/>
      <c r="E1037" s="2434"/>
      <c r="F1037" s="2434"/>
      <c r="G1037" s="2434"/>
      <c r="H1037" s="2434"/>
      <c r="I1037" s="2434"/>
      <c r="J1037" s="2434"/>
      <c r="K1037" s="1769"/>
      <c r="L1037" s="2471">
        <f>ROUNDUP('Part V-Revenues &amp; Expenses'!$P$67*M1037,0)</f>
        <v>4</v>
      </c>
      <c r="M1037" s="2472">
        <f>'DCA Underwriting Assumptions'!$Q$124</f>
        <v>0.02</v>
      </c>
      <c r="N1037" s="1769"/>
      <c r="O1037" s="2447"/>
      <c r="P1037" s="2433">
        <f>'Part VII-Threshold Criteria'!P186</f>
        <v>0</v>
      </c>
      <c r="Q1037" s="2433"/>
    </row>
    <row r="1038" spans="1:17" ht="15">
      <c r="A1038" s="1769"/>
      <c r="B1038" s="2442" t="s">
        <v>1403</v>
      </c>
      <c r="C1038" s="1769"/>
      <c r="D1038" s="2442"/>
      <c r="E1038" s="2442"/>
      <c r="F1038" s="2442"/>
      <c r="G1038" s="2442"/>
      <c r="H1038" s="1770"/>
      <c r="I1038" s="1771"/>
      <c r="J1038" s="1771"/>
      <c r="K1038" s="1771"/>
      <c r="L1038" s="1772"/>
      <c r="M1038" s="1772"/>
      <c r="N1038" s="1772"/>
      <c r="O1038" s="1772"/>
      <c r="P1038" s="1772"/>
      <c r="Q1038" s="1772"/>
    </row>
    <row r="1039" spans="1:17" ht="71.25">
      <c r="A1039" s="2434" t="str">
        <f>'Part VII-Threshold Criteria'!A188</f>
        <v>Not Due at Competitive Review</v>
      </c>
      <c r="B1039" s="2434"/>
      <c r="C1039" s="2434"/>
      <c r="D1039" s="2434"/>
      <c r="E1039" s="2434"/>
      <c r="F1039" s="2434"/>
      <c r="G1039" s="2434"/>
      <c r="H1039" s="2434"/>
      <c r="I1039" s="2434"/>
      <c r="J1039" s="2434"/>
      <c r="K1039" s="2434"/>
      <c r="L1039" s="2434"/>
      <c r="M1039" s="2434"/>
      <c r="N1039" s="2434"/>
      <c r="O1039" s="2434"/>
      <c r="P1039" s="2434"/>
      <c r="Q1039" s="2434"/>
    </row>
    <row r="1040" spans="1:17" ht="14.25">
      <c r="A1040" s="1769"/>
      <c r="B1040" s="2439" t="s">
        <v>1399</v>
      </c>
      <c r="C1040" s="2440"/>
      <c r="D1040" s="2441"/>
      <c r="E1040" s="2441"/>
      <c r="F1040" s="2441"/>
      <c r="G1040" s="2441"/>
      <c r="H1040" s="2441"/>
      <c r="I1040" s="2441"/>
      <c r="J1040" s="2441"/>
      <c r="K1040" s="2441"/>
      <c r="L1040" s="2441"/>
      <c r="M1040" s="2441"/>
      <c r="N1040" s="2441"/>
      <c r="O1040" s="2441"/>
      <c r="P1040" s="2441"/>
      <c r="Q1040" s="2441"/>
    </row>
    <row r="1041" spans="1:17" ht="14.25">
      <c r="A1041" s="2434"/>
      <c r="B1041" s="2434"/>
      <c r="C1041" s="2434"/>
      <c r="D1041" s="2434"/>
      <c r="E1041" s="2434"/>
      <c r="F1041" s="2434"/>
      <c r="G1041" s="2434"/>
      <c r="H1041" s="2434"/>
      <c r="I1041" s="2434"/>
      <c r="J1041" s="2434"/>
      <c r="K1041" s="2434"/>
      <c r="L1041" s="2434"/>
      <c r="M1041" s="2434"/>
      <c r="N1041" s="2434"/>
      <c r="O1041" s="2434"/>
      <c r="P1041" s="2434"/>
      <c r="Q1041" s="2434"/>
    </row>
    <row r="1042" spans="1:17" ht="14.25">
      <c r="A1042" s="2441"/>
      <c r="B1042" s="2441"/>
      <c r="C1042" s="2441"/>
      <c r="D1042" s="2441"/>
      <c r="E1042" s="2441"/>
      <c r="F1042" s="2441"/>
      <c r="G1042" s="2441"/>
      <c r="H1042" s="2441"/>
      <c r="I1042" s="2441"/>
      <c r="J1042" s="2441"/>
      <c r="K1042" s="2441"/>
      <c r="L1042" s="2441"/>
      <c r="M1042" s="2441"/>
      <c r="N1042" s="2441"/>
      <c r="O1042" s="2441"/>
      <c r="P1042" s="2441"/>
      <c r="Q1042" s="2441"/>
    </row>
    <row r="1043" spans="1:17" ht="14.25">
      <c r="A1043" s="2441"/>
      <c r="B1043" s="2441"/>
      <c r="C1043" s="2441"/>
      <c r="D1043" s="2441"/>
      <c r="E1043" s="2441"/>
      <c r="F1043" s="2441"/>
      <c r="G1043" s="2441"/>
      <c r="H1043" s="2441"/>
      <c r="I1043" s="2441"/>
      <c r="J1043" s="2441"/>
      <c r="K1043" s="2441"/>
      <c r="L1043" s="2441"/>
      <c r="M1043" s="2441"/>
      <c r="N1043" s="2441"/>
      <c r="O1043" s="2441"/>
      <c r="P1043" s="2441"/>
      <c r="Q1043" s="2441"/>
    </row>
    <row r="1044" spans="1:17" ht="15">
      <c r="A1044" s="2437" t="s">
        <v>1491</v>
      </c>
      <c r="B1044" s="2433" t="s">
        <v>1492</v>
      </c>
      <c r="C1044" s="2433"/>
      <c r="D1044" s="2433"/>
      <c r="E1044" s="2433"/>
      <c r="F1044" s="2433"/>
      <c r="G1044" s="2433"/>
      <c r="H1044" s="2441"/>
      <c r="I1044" s="2441"/>
      <c r="J1044" s="2441"/>
      <c r="K1044" s="2441"/>
      <c r="L1044" s="2441"/>
      <c r="M1044" s="2441"/>
      <c r="N1044" s="1769"/>
      <c r="O1044" s="2438" t="s">
        <v>1397</v>
      </c>
      <c r="P1044" s="2433"/>
      <c r="Q1044" s="2433"/>
    </row>
    <row r="1045" spans="1:17" ht="15">
      <c r="A1045" s="1769"/>
      <c r="B1045" s="1769" t="s">
        <v>1467</v>
      </c>
      <c r="C1045" s="1769"/>
      <c r="D1045" s="1769"/>
      <c r="E1045" s="1769"/>
      <c r="F1045" s="1769"/>
      <c r="G1045" s="1769"/>
      <c r="H1045" s="1769"/>
      <c r="I1045" s="1769"/>
      <c r="J1045" s="1769"/>
      <c r="K1045" s="1769"/>
      <c r="L1045" s="1769"/>
      <c r="M1045" s="1769"/>
      <c r="N1045" s="1769"/>
      <c r="O1045" s="1769"/>
      <c r="P1045" s="2433">
        <f>'Part VII-Threshold Criteria'!P194</f>
        <v>0</v>
      </c>
      <c r="Q1045" s="2433"/>
    </row>
    <row r="1046" spans="1:17" ht="15" customHeight="1">
      <c r="A1046" s="1769"/>
      <c r="B1046" s="2434" t="s">
        <v>7018</v>
      </c>
      <c r="C1046" s="2434"/>
      <c r="D1046" s="2434"/>
      <c r="E1046" s="2434"/>
      <c r="F1046" s="2434"/>
      <c r="G1046" s="2434"/>
      <c r="H1046" s="2434"/>
      <c r="I1046" s="2434"/>
      <c r="J1046" s="2434"/>
      <c r="K1046" s="2434"/>
      <c r="L1046" s="2434"/>
      <c r="M1046" s="2434"/>
      <c r="N1046" s="2434"/>
      <c r="O1046" s="1769"/>
      <c r="P1046" s="2433">
        <f>'Part VII-Threshold Criteria'!P195</f>
        <v>0</v>
      </c>
      <c r="Q1046" s="2433"/>
    </row>
    <row r="1047" spans="1:17" ht="15">
      <c r="A1047" s="2445" t="s">
        <v>206</v>
      </c>
      <c r="B1047" s="2433" t="s">
        <v>1494</v>
      </c>
      <c r="C1047" s="1769"/>
      <c r="D1047" s="2433"/>
      <c r="E1047" s="2433"/>
      <c r="F1047" s="2433"/>
      <c r="G1047" s="2433"/>
      <c r="H1047" s="2433"/>
      <c r="I1047" s="2433"/>
      <c r="J1047" s="2433"/>
      <c r="K1047" s="2433"/>
      <c r="L1047" s="2433"/>
      <c r="M1047" s="2433"/>
      <c r="N1047" s="1769"/>
      <c r="O1047" s="2447"/>
      <c r="P1047" s="1772"/>
      <c r="Q1047" s="1772"/>
    </row>
    <row r="1048" spans="1:17" ht="14.25" customHeight="1">
      <c r="A1048" s="1769"/>
      <c r="B1048" s="2457" t="s">
        <v>1459</v>
      </c>
      <c r="C1048" s="2436" t="s">
        <v>1495</v>
      </c>
      <c r="D1048" s="2436"/>
      <c r="E1048" s="2436"/>
      <c r="F1048" s="2436" t="str">
        <f>'Part VII-Threshold Criteria'!F197</f>
        <v>&lt;&lt;Select exterior material /finish upgrade choice from options provided here&gt;&gt;</v>
      </c>
      <c r="G1048" s="2436"/>
      <c r="H1048" s="2436"/>
      <c r="I1048" s="2436"/>
      <c r="J1048" s="2436"/>
      <c r="K1048" s="2436"/>
      <c r="L1048" s="2436"/>
      <c r="M1048" s="2436"/>
      <c r="N1048" s="2436"/>
      <c r="O1048" s="2436"/>
      <c r="P1048" s="2436"/>
      <c r="Q1048" s="2436"/>
    </row>
    <row r="1049" spans="1:17" ht="14.25" customHeight="1">
      <c r="A1049" s="1769"/>
      <c r="B1049" s="2457" t="s">
        <v>1462</v>
      </c>
      <c r="C1049" s="2436" t="s">
        <v>1497</v>
      </c>
      <c r="D1049" s="2436"/>
      <c r="E1049" s="2436"/>
      <c r="F1049" s="2436"/>
      <c r="G1049" s="2436"/>
      <c r="H1049" s="2436" t="str">
        <f>'Part VII-Threshold Criteria'!H198</f>
        <v>&lt;&lt;Select materials&gt;&gt;</v>
      </c>
      <c r="I1049" s="2436"/>
      <c r="J1049" s="2436"/>
      <c r="K1049" s="2436"/>
      <c r="L1049" s="2436"/>
      <c r="M1049" s="2436"/>
      <c r="N1049" s="2436"/>
      <c r="O1049" s="2436"/>
      <c r="P1049" s="2436"/>
      <c r="Q1049" s="2436"/>
    </row>
    <row r="1050" spans="1:17" ht="15" customHeight="1">
      <c r="A1050" s="2445"/>
      <c r="B1050" s="2457" t="s">
        <v>1463</v>
      </c>
      <c r="C1050" s="2434" t="s">
        <v>1499</v>
      </c>
      <c r="D1050" s="2434"/>
      <c r="E1050" s="2434"/>
      <c r="F1050" s="2434"/>
      <c r="G1050" s="2434"/>
      <c r="H1050" s="2434"/>
      <c r="I1050" s="2434"/>
      <c r="J1050" s="2434"/>
      <c r="K1050" s="2434"/>
      <c r="L1050" s="2434"/>
      <c r="M1050" s="2434"/>
      <c r="N1050" s="2434"/>
      <c r="O1050" s="2434"/>
      <c r="P1050" s="2434"/>
      <c r="Q1050" s="2434"/>
    </row>
    <row r="1051" spans="1:17" ht="15">
      <c r="A1051" s="2445"/>
      <c r="B1051" s="2447"/>
      <c r="C1051" s="2434">
        <f>'Part VII-Threshold Criteria'!C200</f>
        <v>0</v>
      </c>
      <c r="D1051" s="2434"/>
      <c r="E1051" s="2434"/>
      <c r="F1051" s="2434"/>
      <c r="G1051" s="2434"/>
      <c r="H1051" s="2434"/>
      <c r="I1051" s="2434"/>
      <c r="J1051" s="2434"/>
      <c r="K1051" s="2434"/>
      <c r="L1051" s="2434"/>
      <c r="M1051" s="2434"/>
      <c r="N1051" s="2434"/>
      <c r="O1051" s="2434"/>
      <c r="P1051" s="2434"/>
      <c r="Q1051" s="2434"/>
    </row>
    <row r="1052" spans="1:17" ht="15">
      <c r="A1052" s="2445"/>
      <c r="B1052" s="2447"/>
      <c r="C1052" s="2434">
        <f>'Part VII-Threshold Criteria'!C201</f>
        <v>0</v>
      </c>
      <c r="D1052" s="2434"/>
      <c r="E1052" s="2434"/>
      <c r="F1052" s="2434"/>
      <c r="G1052" s="2434"/>
      <c r="H1052" s="2434"/>
      <c r="I1052" s="2434"/>
      <c r="J1052" s="2434"/>
      <c r="K1052" s="2434"/>
      <c r="L1052" s="2434"/>
      <c r="M1052" s="2434"/>
      <c r="N1052" s="2434"/>
      <c r="O1052" s="2434"/>
      <c r="P1052" s="2434"/>
      <c r="Q1052" s="2434"/>
    </row>
    <row r="1053" spans="1:17" ht="15">
      <c r="A1053" s="1769"/>
      <c r="B1053" s="2442" t="s">
        <v>1403</v>
      </c>
      <c r="C1053" s="1769"/>
      <c r="D1053" s="2442"/>
      <c r="E1053" s="2442"/>
      <c r="F1053" s="2442"/>
      <c r="G1053" s="2442"/>
      <c r="H1053" s="1770"/>
      <c r="I1053" s="1771"/>
      <c r="J1053" s="1771"/>
      <c r="K1053" s="1771"/>
      <c r="L1053" s="1772"/>
      <c r="M1053" s="1772"/>
      <c r="N1053" s="1772"/>
      <c r="O1053" s="1772"/>
      <c r="P1053" s="1772"/>
      <c r="Q1053" s="1772"/>
    </row>
    <row r="1054" spans="1:17" ht="71.25">
      <c r="A1054" s="2434" t="str">
        <f>'Part VII-Threshold Criteria'!A203</f>
        <v>Not Due at Competitive Review</v>
      </c>
      <c r="B1054" s="2434"/>
      <c r="C1054" s="2434"/>
      <c r="D1054" s="2434"/>
      <c r="E1054" s="2434"/>
      <c r="F1054" s="2434"/>
      <c r="G1054" s="2434"/>
      <c r="H1054" s="2434"/>
      <c r="I1054" s="2434"/>
      <c r="J1054" s="2434"/>
      <c r="K1054" s="2434"/>
      <c r="L1054" s="2434"/>
      <c r="M1054" s="2434"/>
      <c r="N1054" s="2434"/>
      <c r="O1054" s="2434"/>
      <c r="P1054" s="2434"/>
      <c r="Q1054" s="2434"/>
    </row>
    <row r="1055" spans="1:17" ht="14.25">
      <c r="A1055" s="1769"/>
      <c r="B1055" s="2439" t="s">
        <v>1399</v>
      </c>
      <c r="C1055" s="2440"/>
      <c r="D1055" s="2441"/>
      <c r="E1055" s="2441"/>
      <c r="F1055" s="2441"/>
      <c r="G1055" s="2441"/>
      <c r="H1055" s="2441"/>
      <c r="I1055" s="2441"/>
      <c r="J1055" s="2441"/>
      <c r="K1055" s="2441"/>
      <c r="L1055" s="2441"/>
      <c r="M1055" s="2441"/>
      <c r="N1055" s="2441"/>
      <c r="O1055" s="2441"/>
      <c r="P1055" s="2441"/>
      <c r="Q1055" s="2441"/>
    </row>
    <row r="1056" spans="1:17" ht="14.25">
      <c r="A1056" s="2434"/>
      <c r="B1056" s="2434"/>
      <c r="C1056" s="2434"/>
      <c r="D1056" s="2434"/>
      <c r="E1056" s="2434"/>
      <c r="F1056" s="2434"/>
      <c r="G1056" s="2434"/>
      <c r="H1056" s="2434"/>
      <c r="I1056" s="2434"/>
      <c r="J1056" s="2434"/>
      <c r="K1056" s="2434"/>
      <c r="L1056" s="2434"/>
      <c r="M1056" s="2434"/>
      <c r="N1056" s="2434"/>
      <c r="O1056" s="2434"/>
      <c r="P1056" s="2434"/>
      <c r="Q1056" s="2434"/>
    </row>
    <row r="1057" spans="1:17" ht="14.25">
      <c r="A1057" s="2441"/>
      <c r="B1057" s="2441"/>
      <c r="C1057" s="2441"/>
      <c r="D1057" s="2441"/>
      <c r="E1057" s="2441"/>
      <c r="F1057" s="2441"/>
      <c r="G1057" s="2441"/>
      <c r="H1057" s="2441"/>
      <c r="I1057" s="2441"/>
      <c r="J1057" s="2441"/>
      <c r="K1057" s="2441"/>
      <c r="L1057" s="2441"/>
      <c r="M1057" s="2441"/>
      <c r="N1057" s="2441"/>
      <c r="O1057" s="2441"/>
      <c r="P1057" s="2441"/>
      <c r="Q1057" s="2441"/>
    </row>
    <row r="1058" spans="1:17" ht="14.25">
      <c r="A1058" s="2441"/>
      <c r="B1058" s="2441"/>
      <c r="C1058" s="2441"/>
      <c r="D1058" s="2441"/>
      <c r="E1058" s="2441"/>
      <c r="F1058" s="2441"/>
      <c r="G1058" s="2441"/>
      <c r="H1058" s="2441"/>
      <c r="I1058" s="2441"/>
      <c r="J1058" s="2441"/>
      <c r="K1058" s="2441"/>
      <c r="L1058" s="2441"/>
      <c r="M1058" s="2441"/>
      <c r="N1058" s="2441"/>
      <c r="O1058" s="2441"/>
      <c r="P1058" s="2441"/>
      <c r="Q1058" s="2441"/>
    </row>
    <row r="1059" spans="1:17" ht="15">
      <c r="A1059" s="2437" t="s">
        <v>1500</v>
      </c>
      <c r="B1059" s="2437" t="s">
        <v>1501</v>
      </c>
      <c r="C1059" s="2437"/>
      <c r="D1059" s="2441"/>
      <c r="E1059" s="2441"/>
      <c r="F1059" s="2441"/>
      <c r="G1059" s="2441"/>
      <c r="H1059" s="2441"/>
      <c r="I1059" s="1769"/>
      <c r="J1059" s="1769"/>
      <c r="K1059" s="1769"/>
      <c r="L1059" s="1769"/>
      <c r="M1059" s="1769"/>
      <c r="N1059" s="1769"/>
      <c r="O1059" s="2438" t="s">
        <v>1397</v>
      </c>
      <c r="P1059" s="2433"/>
      <c r="Q1059" s="2433"/>
    </row>
    <row r="1060" spans="1:17" ht="15">
      <c r="A1060" s="2445"/>
      <c r="B1060" s="1769" t="s">
        <v>1502</v>
      </c>
      <c r="C1060" s="1769"/>
      <c r="D1060" s="1769"/>
      <c r="E1060" s="1769"/>
      <c r="F1060" s="1769"/>
      <c r="G1060" s="1769"/>
      <c r="H1060" s="1769"/>
      <c r="I1060" s="1769"/>
      <c r="J1060" s="1769"/>
      <c r="K1060" s="1769"/>
      <c r="L1060" s="1769"/>
      <c r="M1060" s="1769"/>
      <c r="N1060" s="1769"/>
      <c r="O1060" s="2447"/>
      <c r="P1060" s="1769" t="str">
        <f>'Part VII-Threshold Criteria'!P209</f>
        <v>Yes - see Comment</v>
      </c>
      <c r="Q1060" s="1769"/>
    </row>
    <row r="1061" spans="1:17" ht="15">
      <c r="A1061" s="2445"/>
      <c r="B1061" s="1769" t="s">
        <v>1503</v>
      </c>
      <c r="C1061" s="1769"/>
      <c r="D1061" s="1769"/>
      <c r="E1061" s="1769"/>
      <c r="F1061" s="1769"/>
      <c r="G1061" s="1769"/>
      <c r="H1061" s="1769"/>
      <c r="I1061" s="1769"/>
      <c r="J1061" s="1769"/>
      <c r="K1061" s="1769"/>
      <c r="L1061" s="1769"/>
      <c r="M1061" s="1769"/>
      <c r="N1061" s="1769"/>
      <c r="O1061" s="2447"/>
      <c r="P1061" s="1769" t="str">
        <f>'Part VII-Threshold Criteria'!P210</f>
        <v>N/A - no pre-app</v>
      </c>
      <c r="Q1061" s="1769"/>
    </row>
    <row r="1062" spans="1:17" ht="15">
      <c r="A1062" s="2445"/>
      <c r="B1062" s="1769" t="s">
        <v>1504</v>
      </c>
      <c r="C1062" s="1769"/>
      <c r="D1062" s="1769"/>
      <c r="E1062" s="1769"/>
      <c r="F1062" s="1769"/>
      <c r="G1062" s="1769"/>
      <c r="H1062" s="1769"/>
      <c r="I1062" s="1769"/>
      <c r="J1062" s="1769"/>
      <c r="K1062" s="1771"/>
      <c r="L1062" s="1769"/>
      <c r="M1062" s="2447"/>
      <c r="N1062" s="1769"/>
      <c r="O1062" s="1769"/>
      <c r="P1062" s="1769" t="str">
        <f>'Part VII-Threshold Criteria'!P211</f>
        <v>N/A - no pre-app</v>
      </c>
      <c r="Q1062" s="1769"/>
    </row>
    <row r="1063" spans="1:17" ht="15" customHeight="1">
      <c r="A1063" s="2445"/>
      <c r="B1063" s="2434" t="s">
        <v>1505</v>
      </c>
      <c r="C1063" s="2434"/>
      <c r="D1063" s="2434"/>
      <c r="E1063" s="2434"/>
      <c r="F1063" s="2434"/>
      <c r="G1063" s="2434"/>
      <c r="H1063" s="2434"/>
      <c r="I1063" s="2434"/>
      <c r="J1063" s="2434"/>
      <c r="K1063" s="2434"/>
      <c r="L1063" s="2434"/>
      <c r="M1063" s="2434"/>
      <c r="N1063" s="2434"/>
      <c r="O1063" s="2434"/>
      <c r="P1063" s="1769" t="str">
        <f>'Part VII-Threshold Criteria'!P212</f>
        <v>N/A - no pre-app</v>
      </c>
      <c r="Q1063" s="1769"/>
    </row>
    <row r="1064" spans="1:17" ht="15">
      <c r="A1064" s="2445"/>
      <c r="B1064" s="1769" t="s">
        <v>1506</v>
      </c>
      <c r="C1064" s="1769"/>
      <c r="D1064" s="1769"/>
      <c r="E1064" s="1769"/>
      <c r="F1064" s="1769"/>
      <c r="G1064" s="1769"/>
      <c r="H1064" s="1769"/>
      <c r="I1064" s="1769"/>
      <c r="J1064" s="1769"/>
      <c r="K1064" s="1769"/>
      <c r="L1064" s="1769"/>
      <c r="M1064" s="1769"/>
      <c r="N1064" s="1769"/>
      <c r="O1064" s="1769">
        <f>'Part VII-Threshold Criteria'!O213</f>
        <v>0</v>
      </c>
      <c r="P1064" s="1769"/>
      <c r="Q1064" s="1769"/>
    </row>
    <row r="1065" spans="1:17" ht="15">
      <c r="A1065" s="2445"/>
      <c r="B1065" s="2433" t="s">
        <v>1507</v>
      </c>
      <c r="C1065" s="1769"/>
      <c r="D1065" s="1769"/>
      <c r="E1065" s="1769"/>
      <c r="F1065" s="1769"/>
      <c r="G1065" s="2433"/>
      <c r="H1065" s="2433"/>
      <c r="I1065" s="2433"/>
      <c r="J1065" s="2433"/>
      <c r="K1065" s="2433"/>
      <c r="L1065" s="2433"/>
      <c r="M1065" s="1769"/>
      <c r="N1065" s="1769"/>
      <c r="O1065" s="1769"/>
      <c r="P1065" s="1769"/>
      <c r="Q1065" s="1769"/>
    </row>
    <row r="1066" spans="1:17" ht="15">
      <c r="A1066" s="1769"/>
      <c r="B1066" s="2442" t="s">
        <v>1403</v>
      </c>
      <c r="C1066" s="1769"/>
      <c r="D1066" s="2442"/>
      <c r="E1066" s="2442"/>
      <c r="F1066" s="2442"/>
      <c r="G1066" s="2442"/>
      <c r="H1066" s="1770"/>
      <c r="I1066" s="1771"/>
      <c r="J1066" s="1771"/>
      <c r="K1066" s="1771"/>
      <c r="L1066" s="1772"/>
      <c r="M1066" s="1772"/>
      <c r="N1066" s="1772"/>
      <c r="O1066" s="1772"/>
      <c r="P1066" s="1772"/>
      <c r="Q1066" s="1772"/>
    </row>
    <row r="1067" spans="1:17" ht="14.25">
      <c r="A1067" s="2434">
        <f>'Part VII-Threshold Criteria'!A216</f>
        <v>0</v>
      </c>
      <c r="B1067" s="2434"/>
      <c r="C1067" s="2434"/>
      <c r="D1067" s="2434"/>
      <c r="E1067" s="2434"/>
      <c r="F1067" s="2434"/>
      <c r="G1067" s="2434"/>
      <c r="H1067" s="2434"/>
      <c r="I1067" s="2434"/>
      <c r="J1067" s="2434"/>
      <c r="K1067" s="2434"/>
      <c r="L1067" s="2434"/>
      <c r="M1067" s="2434"/>
      <c r="N1067" s="2434"/>
      <c r="O1067" s="2434"/>
      <c r="P1067" s="2434"/>
      <c r="Q1067" s="2434"/>
    </row>
    <row r="1068" spans="1:17" ht="14.25">
      <c r="A1068" s="1769"/>
      <c r="B1068" s="2439" t="s">
        <v>1399</v>
      </c>
      <c r="C1068" s="2440"/>
      <c r="D1068" s="2441"/>
      <c r="E1068" s="2441"/>
      <c r="F1068" s="2441"/>
      <c r="G1068" s="2441"/>
      <c r="H1068" s="2441"/>
      <c r="I1068" s="2441"/>
      <c r="J1068" s="2441"/>
      <c r="K1068" s="2441"/>
      <c r="L1068" s="2441"/>
      <c r="M1068" s="2441"/>
      <c r="N1068" s="2441"/>
      <c r="O1068" s="1769"/>
      <c r="P1068" s="2441"/>
      <c r="Q1068" s="2441"/>
    </row>
    <row r="1069" spans="1:17" ht="14.25">
      <c r="A1069" s="2434"/>
      <c r="B1069" s="2434"/>
      <c r="C1069" s="2434"/>
      <c r="D1069" s="2434"/>
      <c r="E1069" s="2434"/>
      <c r="F1069" s="2434"/>
      <c r="G1069" s="2434"/>
      <c r="H1069" s="2434"/>
      <c r="I1069" s="2434"/>
      <c r="J1069" s="2434"/>
      <c r="K1069" s="2434"/>
      <c r="L1069" s="2434"/>
      <c r="M1069" s="2434"/>
      <c r="N1069" s="2434"/>
      <c r="O1069" s="2434"/>
      <c r="P1069" s="2434"/>
      <c r="Q1069" s="2434"/>
    </row>
    <row r="1070" spans="1:17" ht="15">
      <c r="A1070" s="1772"/>
      <c r="B1070" s="1771"/>
      <c r="C1070" s="2441"/>
      <c r="D1070" s="2441"/>
      <c r="E1070" s="2441"/>
      <c r="F1070" s="2441"/>
      <c r="G1070" s="2441"/>
      <c r="H1070" s="2441"/>
      <c r="I1070" s="2441"/>
      <c r="J1070" s="2441"/>
      <c r="K1070" s="2441"/>
      <c r="L1070" s="2441"/>
      <c r="M1070" s="2441"/>
      <c r="N1070" s="2441"/>
      <c r="O1070" s="2441"/>
      <c r="P1070" s="2441"/>
      <c r="Q1070" s="1772"/>
    </row>
    <row r="1071" spans="1:17" ht="15">
      <c r="A1071" s="1772"/>
      <c r="B1071" s="1771"/>
      <c r="C1071" s="2441"/>
      <c r="D1071" s="2441"/>
      <c r="E1071" s="2441"/>
      <c r="F1071" s="2441"/>
      <c r="G1071" s="2441"/>
      <c r="H1071" s="2441"/>
      <c r="I1071" s="2441"/>
      <c r="J1071" s="2441"/>
      <c r="K1071" s="2441"/>
      <c r="L1071" s="2441"/>
      <c r="M1071" s="2441"/>
      <c r="N1071" s="2441"/>
      <c r="O1071" s="2441"/>
      <c r="P1071" s="2441"/>
      <c r="Q1071" s="1772"/>
    </row>
    <row r="1072" spans="1:17" ht="15">
      <c r="A1072" s="2437" t="s">
        <v>1508</v>
      </c>
      <c r="B1072" s="2433" t="s">
        <v>1509</v>
      </c>
      <c r="C1072" s="2433"/>
      <c r="D1072" s="2433"/>
      <c r="E1072" s="2433"/>
      <c r="F1072" s="2433"/>
      <c r="G1072" s="2433"/>
      <c r="H1072" s="2441"/>
      <c r="I1072" s="2441"/>
      <c r="J1072" s="2441"/>
      <c r="K1072" s="2441"/>
      <c r="L1072" s="2441"/>
      <c r="M1072" s="2441"/>
      <c r="N1072" s="2447"/>
      <c r="O1072" s="2438" t="s">
        <v>1397</v>
      </c>
      <c r="P1072" s="2433"/>
      <c r="Q1072" s="2433"/>
    </row>
    <row r="1073" spans="1:17" ht="15" customHeight="1">
      <c r="A1073" s="2437"/>
      <c r="B1073" s="2434" t="s">
        <v>1510</v>
      </c>
      <c r="C1073" s="2434"/>
      <c r="D1073" s="2434"/>
      <c r="E1073" s="2434"/>
      <c r="F1073" s="2434"/>
      <c r="G1073" s="2434"/>
      <c r="H1073" s="2434"/>
      <c r="I1073" s="2434"/>
      <c r="J1073" s="2434"/>
      <c r="K1073" s="2434"/>
      <c r="L1073" s="2434"/>
      <c r="M1073" s="2434"/>
      <c r="N1073" s="2434"/>
      <c r="O1073" s="2434"/>
      <c r="P1073" s="1769">
        <f>'Part VII-Threshold Criteria'!P222</f>
        <v>0</v>
      </c>
      <c r="Q1073" s="1769"/>
    </row>
    <row r="1074" spans="1:17" ht="15" customHeight="1">
      <c r="A1074" s="2451" t="s">
        <v>194</v>
      </c>
      <c r="B1074" s="2473" t="s">
        <v>7019</v>
      </c>
      <c r="C1074" s="2473"/>
      <c r="D1074" s="2473"/>
      <c r="E1074" s="2473"/>
      <c r="F1074" s="2473"/>
      <c r="G1074" s="2473"/>
      <c r="H1074" s="2473"/>
      <c r="I1074" s="2473"/>
      <c r="J1074" s="2473"/>
      <c r="K1074" s="2473"/>
      <c r="L1074" s="2473"/>
      <c r="M1074" s="2473"/>
      <c r="N1074" s="2473"/>
      <c r="O1074" s="2473"/>
      <c r="P1074" s="1772">
        <f>'Part VII-Threshold Criteria'!P223</f>
        <v>0</v>
      </c>
      <c r="Q1074" s="2437"/>
    </row>
    <row r="1075" spans="1:17" ht="15" customHeight="1">
      <c r="A1075" s="2451" t="s">
        <v>206</v>
      </c>
      <c r="B1075" s="2436" t="s">
        <v>7020</v>
      </c>
      <c r="C1075" s="2436"/>
      <c r="D1075" s="2436"/>
      <c r="E1075" s="2436"/>
      <c r="F1075" s="2436"/>
      <c r="G1075" s="2436"/>
      <c r="H1075" s="2436"/>
      <c r="I1075" s="2436"/>
      <c r="J1075" s="2436"/>
      <c r="K1075" s="2436"/>
      <c r="L1075" s="2436"/>
      <c r="M1075" s="2436"/>
      <c r="N1075" s="2436"/>
      <c r="O1075" s="2436"/>
      <c r="P1075" s="1772">
        <f>'Part VII-Threshold Criteria'!P224</f>
        <v>0</v>
      </c>
      <c r="Q1075" s="1772"/>
    </row>
    <row r="1076" spans="1:17" ht="15">
      <c r="A1076" s="2445" t="s">
        <v>227</v>
      </c>
      <c r="B1076" s="1769" t="s">
        <v>7021</v>
      </c>
      <c r="C1076" s="1769"/>
      <c r="D1076" s="1769"/>
      <c r="E1076" s="1769"/>
      <c r="F1076" s="1769"/>
      <c r="G1076" s="1769"/>
      <c r="H1076" s="1769"/>
      <c r="I1076" s="1769"/>
      <c r="J1076" s="1769"/>
      <c r="K1076" s="1769"/>
      <c r="L1076" s="1769"/>
      <c r="M1076" s="1769"/>
      <c r="N1076" s="1769"/>
      <c r="O1076" s="1769"/>
      <c r="P1076" s="1772" t="str">
        <f>'Part VII-Threshold Criteria'!P225</f>
        <v>Agree</v>
      </c>
      <c r="Q1076" s="1772"/>
    </row>
    <row r="1077" spans="1:17" ht="15" customHeight="1">
      <c r="A1077" s="2451" t="s">
        <v>229</v>
      </c>
      <c r="B1077" s="2436" t="s">
        <v>7022</v>
      </c>
      <c r="C1077" s="2436"/>
      <c r="D1077" s="2436"/>
      <c r="E1077" s="2436"/>
      <c r="F1077" s="2436"/>
      <c r="G1077" s="2436"/>
      <c r="H1077" s="2436"/>
      <c r="I1077" s="2436"/>
      <c r="J1077" s="2436"/>
      <c r="K1077" s="2436"/>
      <c r="L1077" s="2436"/>
      <c r="M1077" s="2436"/>
      <c r="N1077" s="2436"/>
      <c r="O1077" s="2436"/>
      <c r="P1077" s="1772">
        <f>'Part VII-Threshold Criteria'!P226</f>
        <v>0</v>
      </c>
      <c r="Q1077" s="1772"/>
    </row>
    <row r="1078" spans="1:17" ht="15">
      <c r="A1078" s="1769"/>
      <c r="B1078" s="2442" t="s">
        <v>1403</v>
      </c>
      <c r="C1078" s="1769"/>
      <c r="D1078" s="2442"/>
      <c r="E1078" s="2442"/>
      <c r="F1078" s="2442"/>
      <c r="G1078" s="2442"/>
      <c r="H1078" s="1770"/>
      <c r="I1078" s="1771"/>
      <c r="J1078" s="1771"/>
      <c r="K1078" s="1771"/>
      <c r="L1078" s="1772"/>
      <c r="M1078" s="1772"/>
      <c r="N1078" s="1772"/>
      <c r="O1078" s="1772"/>
      <c r="P1078" s="1772"/>
      <c r="Q1078" s="1772"/>
    </row>
    <row r="1079" spans="1:17" ht="14.25">
      <c r="A1079" s="2434">
        <f>'Part VII-Threshold Criteria'!A228</f>
        <v>0</v>
      </c>
      <c r="B1079" s="2434"/>
      <c r="C1079" s="2434"/>
      <c r="D1079" s="2434"/>
      <c r="E1079" s="2434"/>
      <c r="F1079" s="2434"/>
      <c r="G1079" s="2434"/>
      <c r="H1079" s="2434"/>
      <c r="I1079" s="2434"/>
      <c r="J1079" s="2434"/>
      <c r="K1079" s="2434"/>
      <c r="L1079" s="2434"/>
      <c r="M1079" s="2434"/>
      <c r="N1079" s="2434"/>
      <c r="O1079" s="2434"/>
      <c r="P1079" s="2434"/>
      <c r="Q1079" s="2434"/>
    </row>
    <row r="1080" spans="1:17" ht="14.25">
      <c r="A1080" s="1769"/>
      <c r="B1080" s="2439" t="s">
        <v>1399</v>
      </c>
      <c r="C1080" s="2440"/>
      <c r="D1080" s="2441"/>
      <c r="E1080" s="2441"/>
      <c r="F1080" s="2441"/>
      <c r="G1080" s="2441"/>
      <c r="H1080" s="2441"/>
      <c r="I1080" s="2441"/>
      <c r="J1080" s="2441"/>
      <c r="K1080" s="2441"/>
      <c r="L1080" s="2441"/>
      <c r="M1080" s="2441"/>
      <c r="N1080" s="2441"/>
      <c r="O1080" s="2441"/>
      <c r="P1080" s="2441"/>
      <c r="Q1080" s="2441"/>
    </row>
    <row r="1081" spans="1:17" ht="14.25">
      <c r="A1081" s="2434"/>
      <c r="B1081" s="2434"/>
      <c r="C1081" s="2434"/>
      <c r="D1081" s="2434"/>
      <c r="E1081" s="2434"/>
      <c r="F1081" s="2434"/>
      <c r="G1081" s="2434"/>
      <c r="H1081" s="2434"/>
      <c r="I1081" s="2434"/>
      <c r="J1081" s="2434"/>
      <c r="K1081" s="2434"/>
      <c r="L1081" s="2434"/>
      <c r="M1081" s="2434"/>
      <c r="N1081" s="2434"/>
      <c r="O1081" s="2434"/>
      <c r="P1081" s="2434"/>
      <c r="Q1081" s="2434"/>
    </row>
    <row r="1082" spans="1:17" ht="15">
      <c r="A1082" s="1772"/>
      <c r="B1082" s="1771"/>
      <c r="C1082" s="2441"/>
      <c r="D1082" s="2441"/>
      <c r="E1082" s="2441"/>
      <c r="F1082" s="2441"/>
      <c r="G1082" s="2441"/>
      <c r="H1082" s="2441"/>
      <c r="I1082" s="2441"/>
      <c r="J1082" s="2441"/>
      <c r="K1082" s="2441"/>
      <c r="L1082" s="2441"/>
      <c r="M1082" s="2441"/>
      <c r="N1082" s="2441"/>
      <c r="O1082" s="2441"/>
      <c r="P1082" s="2441"/>
      <c r="Q1082" s="1772"/>
    </row>
    <row r="1083" spans="1:17" ht="15">
      <c r="A1083" s="1772"/>
      <c r="B1083" s="1771"/>
      <c r="C1083" s="2441"/>
      <c r="D1083" s="2441"/>
      <c r="E1083" s="2441"/>
      <c r="F1083" s="2441"/>
      <c r="G1083" s="2441"/>
      <c r="H1083" s="2441"/>
      <c r="I1083" s="2441"/>
      <c r="J1083" s="2441"/>
      <c r="K1083" s="2441"/>
      <c r="L1083" s="2441"/>
      <c r="M1083" s="2441"/>
      <c r="N1083" s="2441"/>
      <c r="O1083" s="2441"/>
      <c r="P1083" s="2441"/>
      <c r="Q1083" s="1772"/>
    </row>
    <row r="1084" spans="1:17" ht="15">
      <c r="A1084" s="2437" t="s">
        <v>1515</v>
      </c>
      <c r="B1084" s="2433" t="s">
        <v>1516</v>
      </c>
      <c r="C1084" s="2433"/>
      <c r="D1084" s="2433"/>
      <c r="E1084" s="2433"/>
      <c r="F1084" s="2433"/>
      <c r="G1084" s="2433"/>
      <c r="H1084" s="2441"/>
      <c r="I1084" s="2441"/>
      <c r="J1084" s="2441"/>
      <c r="K1084" s="2441"/>
      <c r="L1084" s="2441"/>
      <c r="M1084" s="2441"/>
      <c r="N1084" s="2445"/>
      <c r="O1084" s="2438" t="s">
        <v>1397</v>
      </c>
      <c r="P1084" s="2433"/>
      <c r="Q1084" s="2433"/>
    </row>
    <row r="1085" spans="1:17" ht="15">
      <c r="A1085" s="2445"/>
      <c r="B1085" s="1769" t="s">
        <v>1517</v>
      </c>
      <c r="C1085" s="1769"/>
      <c r="D1085" s="1769"/>
      <c r="E1085" s="1769"/>
      <c r="F1085" s="1769"/>
      <c r="G1085" s="2433">
        <f>'Part VII-Threshold Criteria'!G234</f>
        <v>0</v>
      </c>
      <c r="H1085" s="2433"/>
      <c r="I1085" s="2433"/>
      <c r="J1085" s="2433"/>
      <c r="K1085" s="2433"/>
      <c r="L1085" s="2433"/>
      <c r="M1085" s="2433"/>
      <c r="N1085" s="2433"/>
      <c r="O1085" s="2433"/>
      <c r="P1085" s="2433"/>
      <c r="Q1085" s="2433"/>
    </row>
    <row r="1086" spans="1:17" ht="15">
      <c r="A1086" s="2445"/>
      <c r="B1086" s="1769" t="s">
        <v>1518</v>
      </c>
      <c r="C1086" s="1769"/>
      <c r="D1086" s="1769"/>
      <c r="E1086" s="1769"/>
      <c r="F1086" s="1769"/>
      <c r="G1086" s="2433">
        <f>'Part VII-Threshold Criteria'!G235</f>
        <v>0</v>
      </c>
      <c r="H1086" s="2433"/>
      <c r="I1086" s="2433"/>
      <c r="J1086" s="2433"/>
      <c r="K1086" s="2433"/>
      <c r="L1086" s="2433"/>
      <c r="M1086" s="2433"/>
      <c r="N1086" s="2433"/>
      <c r="O1086" s="2433"/>
      <c r="P1086" s="2433"/>
      <c r="Q1086" s="2433"/>
    </row>
    <row r="1087" spans="1:17" ht="15">
      <c r="A1087" s="2445"/>
      <c r="B1087" s="1769" t="s">
        <v>1519</v>
      </c>
      <c r="C1087" s="1769"/>
      <c r="D1087" s="2434"/>
      <c r="E1087" s="2434"/>
      <c r="F1087" s="2434"/>
      <c r="G1087" s="2433"/>
      <c r="H1087" s="2433"/>
      <c r="I1087" s="2433"/>
      <c r="J1087" s="2433"/>
      <c r="K1087" s="2433"/>
      <c r="L1087" s="2433"/>
      <c r="M1087" s="2433"/>
      <c r="N1087" s="2433"/>
      <c r="O1087" s="2433"/>
      <c r="P1087" s="1769">
        <f>'Part VII-Threshold Criteria'!P236</f>
        <v>0</v>
      </c>
      <c r="Q1087" s="1769"/>
    </row>
    <row r="1088" spans="1:17" ht="15" customHeight="1">
      <c r="A1088" s="2445"/>
      <c r="B1088" s="2457" t="s">
        <v>211</v>
      </c>
      <c r="C1088" s="2436" t="s">
        <v>1520</v>
      </c>
      <c r="D1088" s="2436"/>
      <c r="E1088" s="2436"/>
      <c r="F1088" s="2436"/>
      <c r="G1088" s="2436"/>
      <c r="H1088" s="2436"/>
      <c r="I1088" s="2436"/>
      <c r="J1088" s="2436"/>
      <c r="K1088" s="2436"/>
      <c r="L1088" s="2436"/>
      <c r="M1088" s="2436"/>
      <c r="N1088" s="2436"/>
      <c r="O1088" s="2436"/>
      <c r="P1088" s="2436"/>
      <c r="Q1088" s="2436"/>
    </row>
    <row r="1089" spans="1:17" ht="15" customHeight="1">
      <c r="A1089" s="2445"/>
      <c r="B1089" s="2457" t="s">
        <v>214</v>
      </c>
      <c r="C1089" s="2436" t="s">
        <v>1521</v>
      </c>
      <c r="D1089" s="2436"/>
      <c r="E1089" s="2436"/>
      <c r="F1089" s="2436"/>
      <c r="G1089" s="2436"/>
      <c r="H1089" s="2436"/>
      <c r="I1089" s="2436"/>
      <c r="J1089" s="2436"/>
      <c r="K1089" s="2436"/>
      <c r="L1089" s="2436"/>
      <c r="M1089" s="2436"/>
      <c r="N1089" s="2436"/>
      <c r="O1089" s="2436"/>
      <c r="P1089" s="2436"/>
      <c r="Q1089" s="2436"/>
    </row>
    <row r="1090" spans="1:17" ht="15" customHeight="1">
      <c r="A1090" s="2445"/>
      <c r="B1090" s="2457" t="s">
        <v>216</v>
      </c>
      <c r="C1090" s="2436" t="s">
        <v>1522</v>
      </c>
      <c r="D1090" s="2436"/>
      <c r="E1090" s="2436"/>
      <c r="F1090" s="2436"/>
      <c r="G1090" s="2436"/>
      <c r="H1090" s="2436"/>
      <c r="I1090" s="2436"/>
      <c r="J1090" s="2436"/>
      <c r="K1090" s="2436"/>
      <c r="L1090" s="2436"/>
      <c r="M1090" s="2436"/>
      <c r="N1090" s="2436"/>
      <c r="O1090" s="2436"/>
      <c r="P1090" s="2436"/>
      <c r="Q1090" s="2436"/>
    </row>
    <row r="1091" spans="1:17" ht="15" customHeight="1">
      <c r="A1091" s="2445"/>
      <c r="B1091" s="2457" t="s">
        <v>1523</v>
      </c>
      <c r="C1091" s="2436" t="s">
        <v>1524</v>
      </c>
      <c r="D1091" s="2436"/>
      <c r="E1091" s="2436"/>
      <c r="F1091" s="2436"/>
      <c r="G1091" s="2436"/>
      <c r="H1091" s="2436"/>
      <c r="I1091" s="2436"/>
      <c r="J1091" s="2436"/>
      <c r="K1091" s="2436"/>
      <c r="L1091" s="2436"/>
      <c r="M1091" s="2436"/>
      <c r="N1091" s="2436"/>
      <c r="O1091" s="2436"/>
      <c r="P1091" s="2436"/>
      <c r="Q1091" s="2436"/>
    </row>
    <row r="1092" spans="1:17" ht="15" customHeight="1">
      <c r="A1092" s="2445"/>
      <c r="B1092" s="2457" t="s">
        <v>1525</v>
      </c>
      <c r="C1092" s="2436" t="s">
        <v>1526</v>
      </c>
      <c r="D1092" s="2436"/>
      <c r="E1092" s="2436"/>
      <c r="F1092" s="2436"/>
      <c r="G1092" s="2436"/>
      <c r="H1092" s="2436"/>
      <c r="I1092" s="2436"/>
      <c r="J1092" s="2436"/>
      <c r="K1092" s="2436"/>
      <c r="L1092" s="2436"/>
      <c r="M1092" s="2436"/>
      <c r="N1092" s="2436"/>
      <c r="O1092" s="2436"/>
      <c r="P1092" s="2436"/>
      <c r="Q1092" s="2436"/>
    </row>
    <row r="1093" spans="1:17" ht="15">
      <c r="A1093" s="1769"/>
      <c r="B1093" s="2447" t="s">
        <v>1527</v>
      </c>
      <c r="C1093" s="1770" t="s">
        <v>7023</v>
      </c>
      <c r="D1093" s="1769"/>
      <c r="E1093" s="2441"/>
      <c r="F1093" s="2441"/>
      <c r="G1093" s="2441"/>
      <c r="H1093" s="2441"/>
      <c r="I1093" s="2441"/>
      <c r="J1093" s="2441"/>
      <c r="K1093" s="2441"/>
      <c r="L1093" s="2441"/>
      <c r="M1093" s="2441"/>
      <c r="N1093" s="2441"/>
      <c r="O1093" s="1769"/>
      <c r="P1093" s="1769"/>
      <c r="Q1093" s="1769"/>
    </row>
    <row r="1094" spans="1:17" ht="15">
      <c r="A1094" s="1769"/>
      <c r="B1094" s="2442" t="s">
        <v>1403</v>
      </c>
      <c r="C1094" s="1769"/>
      <c r="D1094" s="2442"/>
      <c r="E1094" s="2442"/>
      <c r="F1094" s="2442"/>
      <c r="G1094" s="2442"/>
      <c r="H1094" s="1770"/>
      <c r="I1094" s="1771"/>
      <c r="J1094" s="1771"/>
      <c r="K1094" s="1771"/>
      <c r="L1094" s="1772"/>
      <c r="M1094" s="1772"/>
      <c r="N1094" s="1772"/>
      <c r="O1094" s="1772"/>
      <c r="P1094" s="1772"/>
      <c r="Q1094" s="1772"/>
    </row>
    <row r="1095" spans="1:17" ht="14.25">
      <c r="A1095" s="2434" t="str">
        <f>'Part VII-Threshold Criteria'!A244</f>
        <v>NA</v>
      </c>
      <c r="B1095" s="2434"/>
      <c r="C1095" s="2434"/>
      <c r="D1095" s="2434"/>
      <c r="E1095" s="2434"/>
      <c r="F1095" s="2434"/>
      <c r="G1095" s="2434"/>
      <c r="H1095" s="2434"/>
      <c r="I1095" s="2434"/>
      <c r="J1095" s="2434"/>
      <c r="K1095" s="2434"/>
      <c r="L1095" s="2434"/>
      <c r="M1095" s="2434"/>
      <c r="N1095" s="2434"/>
      <c r="O1095" s="2434"/>
      <c r="P1095" s="2434"/>
      <c r="Q1095" s="2434"/>
    </row>
    <row r="1096" spans="1:17" ht="14.25">
      <c r="A1096" s="1769"/>
      <c r="B1096" s="2439" t="s">
        <v>1399</v>
      </c>
      <c r="C1096" s="2440"/>
      <c r="D1096" s="2441"/>
      <c r="E1096" s="2441"/>
      <c r="F1096" s="2441"/>
      <c r="G1096" s="2441"/>
      <c r="H1096" s="2441"/>
      <c r="I1096" s="2441"/>
      <c r="J1096" s="2441"/>
      <c r="K1096" s="2441"/>
      <c r="L1096" s="2441"/>
      <c r="M1096" s="2441"/>
      <c r="N1096" s="2441"/>
      <c r="O1096" s="2441"/>
      <c r="P1096" s="2441"/>
      <c r="Q1096" s="2441"/>
    </row>
    <row r="1097" spans="1:17" ht="14.25">
      <c r="A1097" s="2434"/>
      <c r="B1097" s="2434"/>
      <c r="C1097" s="2434"/>
      <c r="D1097" s="2434"/>
      <c r="E1097" s="2434"/>
      <c r="F1097" s="2434"/>
      <c r="G1097" s="2434"/>
      <c r="H1097" s="2434"/>
      <c r="I1097" s="2434"/>
      <c r="J1097" s="2434"/>
      <c r="K1097" s="2434"/>
      <c r="L1097" s="2434"/>
      <c r="M1097" s="2434"/>
      <c r="N1097" s="2434"/>
      <c r="O1097" s="2434"/>
      <c r="P1097" s="2434"/>
      <c r="Q1097" s="2434"/>
    </row>
    <row r="1098" spans="1:17" ht="15">
      <c r="A1098" s="1772"/>
      <c r="B1098" s="1771"/>
      <c r="C1098" s="2441"/>
      <c r="D1098" s="2441"/>
      <c r="E1098" s="2441"/>
      <c r="F1098" s="2441"/>
      <c r="G1098" s="2441"/>
      <c r="H1098" s="2441"/>
      <c r="I1098" s="2441"/>
      <c r="J1098" s="2441"/>
      <c r="K1098" s="2441"/>
      <c r="L1098" s="2441"/>
      <c r="M1098" s="2441"/>
      <c r="N1098" s="1769"/>
      <c r="O1098" s="1769"/>
      <c r="P1098" s="1769"/>
      <c r="Q1098" s="1772"/>
    </row>
    <row r="1099" spans="1:17" ht="15">
      <c r="A1099" s="1772"/>
      <c r="B1099" s="1771"/>
      <c r="C1099" s="2441"/>
      <c r="D1099" s="2441"/>
      <c r="E1099" s="2441"/>
      <c r="F1099" s="2441"/>
      <c r="G1099" s="2441"/>
      <c r="H1099" s="2441"/>
      <c r="I1099" s="2441"/>
      <c r="J1099" s="2441"/>
      <c r="K1099" s="2441"/>
      <c r="L1099" s="2441"/>
      <c r="M1099" s="2441"/>
      <c r="N1099" s="1769"/>
      <c r="O1099" s="1769"/>
      <c r="P1099" s="1769"/>
      <c r="Q1099" s="1772"/>
    </row>
    <row r="1100" spans="1:17" ht="15">
      <c r="A1100" s="2437" t="s">
        <v>1529</v>
      </c>
      <c r="B1100" s="2433" t="s">
        <v>1530</v>
      </c>
      <c r="C1100" s="2433"/>
      <c r="D1100" s="2433"/>
      <c r="E1100" s="2441"/>
      <c r="F1100" s="1769"/>
      <c r="G1100" s="1769" t="s">
        <v>1531</v>
      </c>
      <c r="H1100" s="2441"/>
      <c r="I1100" s="2441"/>
      <c r="J1100" s="2441"/>
      <c r="K1100" s="2441"/>
      <c r="L1100" s="2441"/>
      <c r="M1100" s="2441"/>
      <c r="N1100" s="1769"/>
      <c r="O1100" s="2438" t="s">
        <v>1397</v>
      </c>
      <c r="P1100" s="2433"/>
      <c r="Q1100" s="2433"/>
    </row>
    <row r="1101" spans="1:17" ht="15">
      <c r="A1101" s="2445"/>
      <c r="B1101" s="1769" t="s">
        <v>1532</v>
      </c>
      <c r="C1101" s="1769"/>
      <c r="D1101" s="2434"/>
      <c r="E1101" s="2434"/>
      <c r="F1101" s="1769"/>
      <c r="G1101" s="1769"/>
      <c r="H1101" s="1769"/>
      <c r="I1101" s="1769"/>
      <c r="J1101" s="1769"/>
      <c r="K1101" s="1769"/>
      <c r="L1101" s="1769"/>
      <c r="M1101" s="1769"/>
      <c r="N1101" s="1769"/>
      <c r="O1101" s="2447"/>
      <c r="P1101" s="2433">
        <f>'Part VII-Threshold Criteria'!P250</f>
        <v>0</v>
      </c>
      <c r="Q1101" s="2433"/>
    </row>
    <row r="1102" spans="1:17" ht="15">
      <c r="A1102" s="2445"/>
      <c r="B1102" s="1769" t="s">
        <v>1533</v>
      </c>
      <c r="C1102" s="1769"/>
      <c r="D1102" s="2434"/>
      <c r="E1102" s="2434"/>
      <c r="F1102" s="1769"/>
      <c r="G1102" s="1769"/>
      <c r="H1102" s="1769"/>
      <c r="I1102" s="1769"/>
      <c r="J1102" s="1769"/>
      <c r="K1102" s="1769"/>
      <c r="L1102" s="1769"/>
      <c r="M1102" s="1769"/>
      <c r="N1102" s="1769"/>
      <c r="O1102" s="2447"/>
      <c r="P1102" s="2433">
        <f>'Part VII-Threshold Criteria'!P251</f>
        <v>0</v>
      </c>
      <c r="Q1102" s="2433"/>
    </row>
    <row r="1103" spans="1:17" ht="15">
      <c r="A1103" s="2445"/>
      <c r="B1103" s="1769" t="s">
        <v>1534</v>
      </c>
      <c r="C1103" s="1769"/>
      <c r="D1103" s="2434"/>
      <c r="E1103" s="2434"/>
      <c r="F1103" s="1769"/>
      <c r="G1103" s="1769"/>
      <c r="H1103" s="1769"/>
      <c r="I1103" s="1769"/>
      <c r="J1103" s="1769"/>
      <c r="K1103" s="1769"/>
      <c r="L1103" s="1769"/>
      <c r="M1103" s="1769"/>
      <c r="N1103" s="1769"/>
      <c r="O1103" s="2447"/>
      <c r="P1103" s="2433">
        <f>'Part VII-Threshold Criteria'!P252</f>
        <v>0</v>
      </c>
      <c r="Q1103" s="2433"/>
    </row>
    <row r="1104" spans="1:17" ht="15">
      <c r="A1104" s="2445"/>
      <c r="B1104" s="1769" t="s">
        <v>1535</v>
      </c>
      <c r="C1104" s="1769"/>
      <c r="D1104" s="1769"/>
      <c r="E1104" s="1769"/>
      <c r="F1104" s="1769"/>
      <c r="G1104" s="1769"/>
      <c r="H1104" s="1769"/>
      <c r="I1104" s="1769"/>
      <c r="J1104" s="1769"/>
      <c r="K1104" s="1769"/>
      <c r="L1104" s="1769"/>
      <c r="M1104" s="1769"/>
      <c r="N1104" s="1769"/>
      <c r="O1104" s="2447"/>
      <c r="P1104" s="2433">
        <f>'Part VII-Threshold Criteria'!P253</f>
        <v>0</v>
      </c>
      <c r="Q1104" s="2433"/>
    </row>
    <row r="1105" spans="1:17" ht="15">
      <c r="A1105" s="2445"/>
      <c r="B1105" s="1769" t="s">
        <v>440</v>
      </c>
      <c r="C1105" s="1769"/>
      <c r="D1105" s="2434">
        <f>'Part VII-Threshold Criteria'!D254</f>
        <v>0</v>
      </c>
      <c r="E1105" s="2434"/>
      <c r="F1105" s="2434"/>
      <c r="G1105" s="2434"/>
      <c r="H1105" s="2434"/>
      <c r="I1105" s="2434"/>
      <c r="J1105" s="2434"/>
      <c r="K1105" s="2434"/>
      <c r="L1105" s="2434"/>
      <c r="M1105" s="2434"/>
      <c r="N1105" s="2434"/>
      <c r="O1105" s="2434"/>
      <c r="P1105" s="2434"/>
      <c r="Q1105" s="2434"/>
    </row>
    <row r="1106" spans="1:17" ht="15">
      <c r="A1106" s="1769"/>
      <c r="B1106" s="2442" t="s">
        <v>1403</v>
      </c>
      <c r="C1106" s="1769"/>
      <c r="D1106" s="2442"/>
      <c r="E1106" s="2442"/>
      <c r="F1106" s="2442"/>
      <c r="G1106" s="2442"/>
      <c r="H1106" s="1770"/>
      <c r="I1106" s="1771"/>
      <c r="J1106" s="1771"/>
      <c r="K1106" s="1771"/>
      <c r="L1106" s="1772"/>
      <c r="M1106" s="1772"/>
      <c r="N1106" s="1772"/>
      <c r="O1106" s="1772"/>
      <c r="P1106" s="1772"/>
      <c r="Q1106" s="1772"/>
    </row>
    <row r="1107" spans="1:17" ht="71.25">
      <c r="A1107" s="2434" t="str">
        <f>'Part VII-Threshold Criteria'!A256</f>
        <v>Not Due at Competitive Review</v>
      </c>
      <c r="B1107" s="2434"/>
      <c r="C1107" s="2434"/>
      <c r="D1107" s="2434"/>
      <c r="E1107" s="2434"/>
      <c r="F1107" s="2434"/>
      <c r="G1107" s="2434"/>
      <c r="H1107" s="2434"/>
      <c r="I1107" s="2434"/>
      <c r="J1107" s="2434"/>
      <c r="K1107" s="2434"/>
      <c r="L1107" s="2434"/>
      <c r="M1107" s="2434"/>
      <c r="N1107" s="2434"/>
      <c r="O1107" s="2434"/>
      <c r="P1107" s="2434"/>
      <c r="Q1107" s="2434"/>
    </row>
    <row r="1108" spans="1:17" ht="14.25">
      <c r="A1108" s="1769"/>
      <c r="B1108" s="2439" t="s">
        <v>1399</v>
      </c>
      <c r="C1108" s="2440"/>
      <c r="D1108" s="2441"/>
      <c r="E1108" s="2441"/>
      <c r="F1108" s="2441"/>
      <c r="G1108" s="2441"/>
      <c r="H1108" s="2441"/>
      <c r="I1108" s="2441"/>
      <c r="J1108" s="2441"/>
      <c r="K1108" s="2441"/>
      <c r="L1108" s="2441"/>
      <c r="M1108" s="2441"/>
      <c r="N1108" s="2441"/>
      <c r="O1108" s="2441"/>
      <c r="P1108" s="2441"/>
      <c r="Q1108" s="2441"/>
    </row>
    <row r="1109" spans="1:17" ht="14.25">
      <c r="A1109" s="2434"/>
      <c r="B1109" s="2434"/>
      <c r="C1109" s="2434"/>
      <c r="D1109" s="2434"/>
      <c r="E1109" s="2434"/>
      <c r="F1109" s="2434"/>
      <c r="G1109" s="2434"/>
      <c r="H1109" s="2434"/>
      <c r="I1109" s="2434"/>
      <c r="J1109" s="2434"/>
      <c r="K1109" s="2434"/>
      <c r="L1109" s="2434"/>
      <c r="M1109" s="2434"/>
      <c r="N1109" s="2434"/>
      <c r="O1109" s="2434"/>
      <c r="P1109" s="2434"/>
      <c r="Q1109" s="2434"/>
    </row>
    <row r="1110" spans="1:17" ht="15">
      <c r="A1110" s="1772"/>
      <c r="B1110" s="1771"/>
      <c r="C1110" s="2441"/>
      <c r="D1110" s="2441"/>
      <c r="E1110" s="2441"/>
      <c r="F1110" s="2441"/>
      <c r="G1110" s="2441"/>
      <c r="H1110" s="2441"/>
      <c r="I1110" s="2441"/>
      <c r="J1110" s="2441"/>
      <c r="K1110" s="2441"/>
      <c r="L1110" s="2441"/>
      <c r="M1110" s="2441"/>
      <c r="N1110" s="2441"/>
      <c r="O1110" s="2441"/>
      <c r="P1110" s="2441"/>
      <c r="Q1110" s="1772"/>
    </row>
    <row r="1111" spans="1:17" ht="15">
      <c r="A1111" s="1772"/>
      <c r="B1111" s="1771"/>
      <c r="C1111" s="2441"/>
      <c r="D1111" s="2441"/>
      <c r="E1111" s="2441"/>
      <c r="F1111" s="2441"/>
      <c r="G1111" s="2441"/>
      <c r="H1111" s="2441"/>
      <c r="I1111" s="2441"/>
      <c r="J1111" s="2441"/>
      <c r="K1111" s="2441"/>
      <c r="L1111" s="2441"/>
      <c r="M1111" s="2441"/>
      <c r="N1111" s="2441"/>
      <c r="O1111" s="2441"/>
      <c r="P1111" s="2441"/>
      <c r="Q1111" s="1772"/>
    </row>
    <row r="1112" spans="1:17" ht="15">
      <c r="A1112" s="2437" t="s">
        <v>1536</v>
      </c>
      <c r="B1112" s="2433" t="s">
        <v>1537</v>
      </c>
      <c r="C1112" s="2433"/>
      <c r="D1112" s="2433"/>
      <c r="E1112" s="2433"/>
      <c r="F1112" s="2433"/>
      <c r="G1112" s="2433"/>
      <c r="H1112" s="2441"/>
      <c r="I1112" s="2441"/>
      <c r="J1112" s="2441"/>
      <c r="K1112" s="2441"/>
      <c r="L1112" s="2441"/>
      <c r="M1112" s="2441"/>
      <c r="N1112" s="1769"/>
      <c r="O1112" s="2438" t="s">
        <v>1397</v>
      </c>
      <c r="P1112" s="2433"/>
      <c r="Q1112" s="2433"/>
    </row>
    <row r="1113" spans="1:17" ht="14.25">
      <c r="A1113" s="1769"/>
      <c r="B1113" s="1769" t="s">
        <v>1538</v>
      </c>
      <c r="C1113" s="1769"/>
      <c r="D1113" s="1769"/>
      <c r="E1113" s="1769"/>
      <c r="F1113" s="1769"/>
      <c r="G1113" s="1769"/>
      <c r="H1113" s="1769"/>
      <c r="I1113" s="1769"/>
      <c r="J1113" s="1769"/>
      <c r="K1113" s="1769"/>
      <c r="L1113" s="1769"/>
      <c r="M1113" s="1769"/>
      <c r="N1113" s="1769"/>
      <c r="O1113" s="2447"/>
      <c r="P1113" s="1769">
        <f>'Part VII-Threshold Criteria'!P262</f>
        <v>0</v>
      </c>
      <c r="Q1113" s="1769"/>
    </row>
    <row r="1114" spans="1:17" ht="15">
      <c r="A1114" s="2445" t="s">
        <v>194</v>
      </c>
      <c r="B1114" s="2433" t="s">
        <v>1539</v>
      </c>
      <c r="C1114" s="1769"/>
      <c r="D1114" s="1769"/>
      <c r="E1114" s="1769"/>
      <c r="F1114" s="1769"/>
      <c r="G1114" s="1769"/>
      <c r="H1114" s="1769"/>
      <c r="I1114" s="1769"/>
      <c r="J1114" s="1769"/>
      <c r="K1114" s="1769"/>
      <c r="L1114" s="1769"/>
      <c r="M1114" s="1769"/>
      <c r="N1114" s="1769"/>
      <c r="O1114" s="1769"/>
      <c r="P1114" s="1769"/>
      <c r="Q1114" s="1769"/>
    </row>
    <row r="1115" spans="1:17" ht="15">
      <c r="A1115" s="2445"/>
      <c r="B1115" s="1769" t="s">
        <v>1540</v>
      </c>
      <c r="C1115" s="1769"/>
      <c r="D1115" s="1769"/>
      <c r="E1115" s="1769"/>
      <c r="F1115" s="1769"/>
      <c r="G1115" s="1769"/>
      <c r="H1115" s="1769"/>
      <c r="I1115" s="1769"/>
      <c r="J1115" s="1769"/>
      <c r="K1115" s="1769"/>
      <c r="L1115" s="1769"/>
      <c r="M1115" s="1769"/>
      <c r="N1115" s="1769"/>
      <c r="O1115" s="1769"/>
      <c r="P1115" s="1769">
        <f>'Part VII-Threshold Criteria'!P264</f>
        <v>0</v>
      </c>
      <c r="Q1115" s="1769"/>
    </row>
    <row r="1116" spans="1:17" ht="14.25">
      <c r="A1116" s="1769"/>
      <c r="B1116" s="1769" t="s">
        <v>1541</v>
      </c>
      <c r="C1116" s="1769"/>
      <c r="D1116" s="1769"/>
      <c r="E1116" s="1769"/>
      <c r="F1116" s="1769"/>
      <c r="G1116" s="1769"/>
      <c r="H1116" s="1769"/>
      <c r="I1116" s="1769"/>
      <c r="J1116" s="1769"/>
      <c r="K1116" s="1769"/>
      <c r="L1116" s="1769"/>
      <c r="M1116" s="1769"/>
      <c r="N1116" s="1769"/>
      <c r="O1116" s="1769"/>
      <c r="P1116" s="1769">
        <f>'Part VII-Threshold Criteria'!P265</f>
        <v>0</v>
      </c>
      <c r="Q1116" s="1769"/>
    </row>
    <row r="1117" spans="1:17" ht="15" customHeight="1">
      <c r="A1117" s="2445"/>
      <c r="B1117" s="2434" t="s">
        <v>1542</v>
      </c>
      <c r="C1117" s="2434"/>
      <c r="D1117" s="2434"/>
      <c r="E1117" s="2434"/>
      <c r="F1117" s="2434"/>
      <c r="G1117" s="2434"/>
      <c r="H1117" s="2434"/>
      <c r="I1117" s="2434"/>
      <c r="J1117" s="2434"/>
      <c r="K1117" s="2434"/>
      <c r="L1117" s="2434"/>
      <c r="M1117" s="2434"/>
      <c r="N1117" s="2434"/>
      <c r="O1117" s="2434"/>
      <c r="P1117" s="1769">
        <f>'Part VII-Threshold Criteria'!P266</f>
        <v>0</v>
      </c>
      <c r="Q1117" s="1769"/>
    </row>
    <row r="1118" spans="1:17" ht="14.25">
      <c r="A1118" s="1769"/>
      <c r="B1118" s="2442" t="s">
        <v>1403</v>
      </c>
      <c r="C1118" s="1769"/>
      <c r="D1118" s="2442"/>
      <c r="E1118" s="2442"/>
      <c r="F1118" s="2442"/>
      <c r="G1118" s="2442"/>
      <c r="H1118" s="1770"/>
      <c r="I1118" s="1771"/>
      <c r="J1118" s="1771"/>
      <c r="K1118" s="1771"/>
      <c r="L1118" s="1769"/>
      <c r="M1118" s="1769"/>
      <c r="N1118" s="1769"/>
      <c r="O1118" s="1769"/>
      <c r="P1118" s="1769"/>
      <c r="Q1118" s="1769"/>
    </row>
    <row r="1119" spans="1:17" ht="71.25">
      <c r="A1119" s="2434" t="str">
        <f>'Part VII-Threshold Criteria'!A268</f>
        <v>Not Due at Competitive Review</v>
      </c>
      <c r="B1119" s="2434"/>
      <c r="C1119" s="2434"/>
      <c r="D1119" s="2434"/>
      <c r="E1119" s="2434"/>
      <c r="F1119" s="2434"/>
      <c r="G1119" s="2434"/>
      <c r="H1119" s="2434"/>
      <c r="I1119" s="2434"/>
      <c r="J1119" s="2434"/>
      <c r="K1119" s="2434"/>
      <c r="L1119" s="2434"/>
      <c r="M1119" s="2434"/>
      <c r="N1119" s="2434"/>
      <c r="O1119" s="2434"/>
      <c r="P1119" s="2434"/>
      <c r="Q1119" s="2434"/>
    </row>
    <row r="1120" spans="1:17" ht="14.25">
      <c r="A1120" s="1769"/>
      <c r="B1120" s="2439" t="s">
        <v>1399</v>
      </c>
      <c r="C1120" s="2440"/>
      <c r="D1120" s="2441"/>
      <c r="E1120" s="2441"/>
      <c r="F1120" s="2441"/>
      <c r="G1120" s="2441"/>
      <c r="H1120" s="2441"/>
      <c r="I1120" s="2441"/>
      <c r="J1120" s="2441"/>
      <c r="K1120" s="2441"/>
      <c r="L1120" s="2441"/>
      <c r="M1120" s="2441"/>
      <c r="N1120" s="2441"/>
      <c r="O1120" s="2441"/>
      <c r="P1120" s="2441"/>
      <c r="Q1120" s="2441"/>
    </row>
    <row r="1121" spans="1:17" ht="14.25">
      <c r="A1121" s="2434"/>
      <c r="B1121" s="2434"/>
      <c r="C1121" s="2434"/>
      <c r="D1121" s="2434"/>
      <c r="E1121" s="2434"/>
      <c r="F1121" s="2434"/>
      <c r="G1121" s="2434"/>
      <c r="H1121" s="2434"/>
      <c r="I1121" s="2434"/>
      <c r="J1121" s="2434"/>
      <c r="K1121" s="2434"/>
      <c r="L1121" s="2434"/>
      <c r="M1121" s="2434"/>
      <c r="N1121" s="2434"/>
      <c r="O1121" s="2434"/>
      <c r="P1121" s="2434"/>
      <c r="Q1121" s="2434"/>
    </row>
    <row r="1122" spans="1:17" ht="15">
      <c r="A1122" s="1772"/>
      <c r="B1122" s="1771"/>
      <c r="C1122" s="2441"/>
      <c r="D1122" s="2441"/>
      <c r="E1122" s="2441"/>
      <c r="F1122" s="2441"/>
      <c r="G1122" s="2441"/>
      <c r="H1122" s="2441"/>
      <c r="I1122" s="2441"/>
      <c r="J1122" s="2441"/>
      <c r="K1122" s="2441"/>
      <c r="L1122" s="2441"/>
      <c r="M1122" s="2441"/>
      <c r="N1122" s="1769"/>
      <c r="O1122" s="1769"/>
      <c r="P1122" s="1769"/>
      <c r="Q1122" s="1772"/>
    </row>
    <row r="1123" spans="1:17" ht="15">
      <c r="A1123" s="1772"/>
      <c r="B1123" s="1771"/>
      <c r="C1123" s="2441"/>
      <c r="D1123" s="2441"/>
      <c r="E1123" s="2441"/>
      <c r="F1123" s="2441"/>
      <c r="G1123" s="2441"/>
      <c r="H1123" s="2441"/>
      <c r="I1123" s="2441"/>
      <c r="J1123" s="2441"/>
      <c r="K1123" s="2441"/>
      <c r="L1123" s="2441"/>
      <c r="M1123" s="2441"/>
      <c r="N1123" s="1769"/>
      <c r="O1123" s="1769"/>
      <c r="P1123" s="1769"/>
      <c r="Q1123" s="1772"/>
    </row>
    <row r="1124" spans="1:17" ht="15">
      <c r="A1124" s="2437" t="s">
        <v>1543</v>
      </c>
      <c r="B1124" s="2433" t="s">
        <v>1544</v>
      </c>
      <c r="C1124" s="2433"/>
      <c r="D1124" s="2433"/>
      <c r="E1124" s="2441"/>
      <c r="F1124" s="2441"/>
      <c r="G1124" s="2441"/>
      <c r="H1124" s="2441"/>
      <c r="I1124" s="1769"/>
      <c r="J1124" s="1769"/>
      <c r="K1124" s="1769"/>
      <c r="L1124" s="1769"/>
      <c r="M1124" s="1769"/>
      <c r="N1124" s="1769"/>
      <c r="O1124" s="2438" t="s">
        <v>1397</v>
      </c>
      <c r="P1124" s="2433"/>
      <c r="Q1124" s="2433"/>
    </row>
    <row r="1125" spans="1:17" ht="15" customHeight="1">
      <c r="A1125" s="1769"/>
      <c r="B1125" s="2434" t="s">
        <v>1545</v>
      </c>
      <c r="C1125" s="2434"/>
      <c r="D1125" s="2434"/>
      <c r="E1125" s="2434"/>
      <c r="F1125" s="2434"/>
      <c r="G1125" s="2434"/>
      <c r="H1125" s="2434"/>
      <c r="I1125" s="2434"/>
      <c r="J1125" s="2434"/>
      <c r="K1125" s="2434"/>
      <c r="L1125" s="2434"/>
      <c r="M1125" s="2434"/>
      <c r="N1125" s="2434"/>
      <c r="O1125" s="2464"/>
      <c r="P1125" s="1769">
        <f>'Part VII-Threshold Criteria'!P274</f>
        <v>0</v>
      </c>
      <c r="Q1125" s="1769"/>
    </row>
    <row r="1126" spans="1:17" ht="14.25" customHeight="1">
      <c r="A1126" s="1769"/>
      <c r="B1126" s="2457" t="s">
        <v>194</v>
      </c>
      <c r="C1126" s="2436" t="s">
        <v>1546</v>
      </c>
      <c r="D1126" s="2436"/>
      <c r="E1126" s="2436"/>
      <c r="F1126" s="2436"/>
      <c r="G1126" s="2436"/>
      <c r="H1126" s="2436"/>
      <c r="I1126" s="2436"/>
      <c r="J1126" s="2436"/>
      <c r="K1126" s="2436"/>
      <c r="L1126" s="2436"/>
      <c r="M1126" s="2436"/>
      <c r="N1126" s="2436"/>
      <c r="O1126" s="2436"/>
      <c r="P1126" s="2434"/>
      <c r="Q1126" s="1769"/>
    </row>
    <row r="1127" spans="1:17" ht="15" customHeight="1">
      <c r="A1127" s="1769"/>
      <c r="B1127" s="2457" t="s">
        <v>206</v>
      </c>
      <c r="C1127" s="2436" t="s">
        <v>1547</v>
      </c>
      <c r="D1127" s="2436"/>
      <c r="E1127" s="2436"/>
      <c r="F1127" s="2436"/>
      <c r="G1127" s="2436"/>
      <c r="H1127" s="2436"/>
      <c r="I1127" s="2436"/>
      <c r="J1127" s="2436"/>
      <c r="K1127" s="2436"/>
      <c r="L1127" s="2436"/>
      <c r="M1127" s="2436"/>
      <c r="N1127" s="2436"/>
      <c r="O1127" s="2436"/>
      <c r="P1127" s="2434"/>
      <c r="Q1127" s="1772"/>
    </row>
    <row r="1128" spans="1:17" ht="15" customHeight="1">
      <c r="A1128" s="1769"/>
      <c r="B1128" s="1769"/>
      <c r="C1128" s="2474" t="s">
        <v>209</v>
      </c>
      <c r="D1128" s="2436" t="s">
        <v>1548</v>
      </c>
      <c r="E1128" s="2436"/>
      <c r="F1128" s="2436"/>
      <c r="G1128" s="2436"/>
      <c r="H1128" s="2436"/>
      <c r="I1128" s="2436"/>
      <c r="J1128" s="2436"/>
      <c r="K1128" s="2436"/>
      <c r="L1128" s="2436"/>
      <c r="M1128" s="2436"/>
      <c r="N1128" s="2436"/>
      <c r="O1128" s="2436"/>
      <c r="P1128" s="2447"/>
      <c r="Q1128" s="1772"/>
    </row>
    <row r="1129" spans="1:17" ht="15">
      <c r="A1129" s="1769"/>
      <c r="B1129" s="1769"/>
      <c r="C1129" s="2474" t="s">
        <v>217</v>
      </c>
      <c r="D1129" s="2455" t="s">
        <v>1549</v>
      </c>
      <c r="E1129" s="2455"/>
      <c r="F1129" s="2455"/>
      <c r="G1129" s="2455"/>
      <c r="H1129" s="2455"/>
      <c r="I1129" s="2455"/>
      <c r="J1129" s="2455"/>
      <c r="K1129" s="2455"/>
      <c r="L1129" s="2455"/>
      <c r="M1129" s="2455"/>
      <c r="N1129" s="2455"/>
      <c r="O1129" s="2455"/>
      <c r="P1129" s="2447"/>
      <c r="Q1129" s="1772"/>
    </row>
    <row r="1130" spans="1:17" ht="15" customHeight="1">
      <c r="A1130" s="1769"/>
      <c r="B1130" s="1769"/>
      <c r="C1130" s="2474" t="s">
        <v>221</v>
      </c>
      <c r="D1130" s="2436" t="s">
        <v>1550</v>
      </c>
      <c r="E1130" s="2436"/>
      <c r="F1130" s="2436"/>
      <c r="G1130" s="2436"/>
      <c r="H1130" s="2436"/>
      <c r="I1130" s="2436"/>
      <c r="J1130" s="2436"/>
      <c r="K1130" s="2436"/>
      <c r="L1130" s="2436"/>
      <c r="M1130" s="2436"/>
      <c r="N1130" s="2436"/>
      <c r="O1130" s="2436"/>
      <c r="P1130" s="2447"/>
      <c r="Q1130" s="1772"/>
    </row>
    <row r="1131" spans="1:17" ht="15" customHeight="1">
      <c r="A1131" s="1769"/>
      <c r="B1131" s="1769"/>
      <c r="C1131" s="2474" t="s">
        <v>261</v>
      </c>
      <c r="D1131" s="2436" t="s">
        <v>1551</v>
      </c>
      <c r="E1131" s="2436"/>
      <c r="F1131" s="2436"/>
      <c r="G1131" s="2436"/>
      <c r="H1131" s="2436"/>
      <c r="I1131" s="2436"/>
      <c r="J1131" s="2436"/>
      <c r="K1131" s="2436"/>
      <c r="L1131" s="2436"/>
      <c r="M1131" s="2436"/>
      <c r="N1131" s="2436"/>
      <c r="O1131" s="2436"/>
      <c r="P1131" s="2447"/>
      <c r="Q1131" s="1772"/>
    </row>
    <row r="1132" spans="1:17" ht="15" customHeight="1">
      <c r="A1132" s="1769"/>
      <c r="B1132" s="2457" t="s">
        <v>227</v>
      </c>
      <c r="C1132" s="2436" t="s">
        <v>1552</v>
      </c>
      <c r="D1132" s="2436"/>
      <c r="E1132" s="2436"/>
      <c r="F1132" s="2436"/>
      <c r="G1132" s="2436"/>
      <c r="H1132" s="2436"/>
      <c r="I1132" s="2436"/>
      <c r="J1132" s="2436"/>
      <c r="K1132" s="2436"/>
      <c r="L1132" s="2436"/>
      <c r="M1132" s="2436"/>
      <c r="N1132" s="2436"/>
      <c r="O1132" s="2436"/>
      <c r="P1132" s="2436"/>
      <c r="Q1132" s="1772"/>
    </row>
    <row r="1133" spans="1:17" ht="15" customHeight="1">
      <c r="A1133" s="1769"/>
      <c r="B1133" s="2457" t="s">
        <v>229</v>
      </c>
      <c r="C1133" s="2436" t="s">
        <v>1553</v>
      </c>
      <c r="D1133" s="2436"/>
      <c r="E1133" s="2436"/>
      <c r="F1133" s="2436"/>
      <c r="G1133" s="2436"/>
      <c r="H1133" s="2436"/>
      <c r="I1133" s="2436"/>
      <c r="J1133" s="2436"/>
      <c r="K1133" s="2436"/>
      <c r="L1133" s="2436"/>
      <c r="M1133" s="2436"/>
      <c r="N1133" s="2436"/>
      <c r="O1133" s="2436"/>
      <c r="P1133" s="2436"/>
      <c r="Q1133" s="1772"/>
    </row>
    <row r="1134" spans="1:17" ht="15" customHeight="1">
      <c r="A1134" s="1769"/>
      <c r="B1134" s="2457" t="s">
        <v>236</v>
      </c>
      <c r="C1134" s="2436" t="s">
        <v>1554</v>
      </c>
      <c r="D1134" s="2436"/>
      <c r="E1134" s="2436"/>
      <c r="F1134" s="2436"/>
      <c r="G1134" s="2436"/>
      <c r="H1134" s="2436"/>
      <c r="I1134" s="2436"/>
      <c r="J1134" s="2436"/>
      <c r="K1134" s="2436"/>
      <c r="L1134" s="2436"/>
      <c r="M1134" s="2436"/>
      <c r="N1134" s="2436"/>
      <c r="O1134" s="2436"/>
      <c r="P1134" s="2436"/>
      <c r="Q1134" s="1772"/>
    </row>
    <row r="1135" spans="1:17" ht="15" customHeight="1">
      <c r="A1135" s="2451"/>
      <c r="B1135" s="2436" t="s">
        <v>1555</v>
      </c>
      <c r="C1135" s="2436"/>
      <c r="D1135" s="2436"/>
      <c r="E1135" s="2436"/>
      <c r="F1135" s="2436"/>
      <c r="G1135" s="2436"/>
      <c r="H1135" s="2436"/>
      <c r="I1135" s="2436"/>
      <c r="J1135" s="2436"/>
      <c r="K1135" s="2436"/>
      <c r="L1135" s="2436"/>
      <c r="M1135" s="2436"/>
      <c r="N1135" s="2436"/>
      <c r="O1135" s="2436"/>
      <c r="P1135" s="1769">
        <f>'Part VII-Threshold Criteria'!P284</f>
        <v>0</v>
      </c>
      <c r="Q1135" s="1769"/>
    </row>
    <row r="1136" spans="1:17" ht="15">
      <c r="A1136" s="1769"/>
      <c r="B1136" s="2442" t="s">
        <v>1403</v>
      </c>
      <c r="C1136" s="1769"/>
      <c r="D1136" s="2442"/>
      <c r="E1136" s="2442"/>
      <c r="F1136" s="2442"/>
      <c r="G1136" s="2442"/>
      <c r="H1136" s="1770"/>
      <c r="I1136" s="1771"/>
      <c r="J1136" s="1771"/>
      <c r="K1136" s="1771"/>
      <c r="L1136" s="1772"/>
      <c r="M1136" s="1772"/>
      <c r="N1136" s="1772"/>
      <c r="O1136" s="1772"/>
      <c r="P1136" s="1772"/>
      <c r="Q1136" s="1772"/>
    </row>
    <row r="1137" spans="1:64" ht="71.25">
      <c r="A1137" s="2434" t="str">
        <f>'Part VII-Threshold Criteria'!A286</f>
        <v>Not Due at Competitive Review</v>
      </c>
      <c r="B1137" s="2434"/>
      <c r="C1137" s="2434"/>
      <c r="D1137" s="2434"/>
      <c r="E1137" s="2434"/>
      <c r="F1137" s="2434"/>
      <c r="G1137" s="2434"/>
      <c r="H1137" s="2434"/>
      <c r="I1137" s="2434"/>
      <c r="J1137" s="2434"/>
      <c r="K1137" s="2434"/>
      <c r="L1137" s="2434"/>
      <c r="M1137" s="2434"/>
      <c r="N1137" s="2434"/>
      <c r="O1137" s="2434"/>
      <c r="P1137" s="2434"/>
      <c r="Q1137" s="2434"/>
    </row>
    <row r="1138" spans="1:64" ht="14.25">
      <c r="A1138" s="1769"/>
      <c r="B1138" s="2439" t="s">
        <v>1399</v>
      </c>
      <c r="C1138" s="2440"/>
      <c r="D1138" s="2441"/>
      <c r="E1138" s="2441"/>
      <c r="F1138" s="2441"/>
      <c r="G1138" s="2441"/>
      <c r="H1138" s="2441"/>
      <c r="I1138" s="2441"/>
      <c r="J1138" s="2441"/>
      <c r="K1138" s="2441"/>
      <c r="L1138" s="2441"/>
      <c r="M1138" s="2441"/>
      <c r="N1138" s="2441"/>
      <c r="O1138" s="2441"/>
      <c r="P1138" s="2441"/>
      <c r="Q1138" s="2441"/>
    </row>
    <row r="1139" spans="1:64" ht="14.25">
      <c r="A1139" s="2434"/>
      <c r="B1139" s="2434"/>
      <c r="C1139" s="2434"/>
      <c r="D1139" s="2434"/>
      <c r="E1139" s="2434"/>
      <c r="F1139" s="2434"/>
      <c r="G1139" s="2434"/>
      <c r="H1139" s="2434"/>
      <c r="I1139" s="2434"/>
      <c r="J1139" s="2434"/>
      <c r="K1139" s="2434"/>
      <c r="L1139" s="2434"/>
      <c r="M1139" s="2434"/>
      <c r="N1139" s="2434"/>
      <c r="O1139" s="2434"/>
      <c r="P1139" s="2434"/>
      <c r="Q1139" s="2434"/>
    </row>
    <row r="1140" spans="1:64" ht="15">
      <c r="A1140" s="1772"/>
      <c r="B1140" s="1771"/>
      <c r="C1140" s="2441"/>
      <c r="D1140" s="2441"/>
      <c r="E1140" s="2441"/>
      <c r="F1140" s="2441"/>
      <c r="G1140" s="2441"/>
      <c r="H1140" s="2441"/>
      <c r="I1140" s="2441"/>
      <c r="J1140" s="2441"/>
      <c r="K1140" s="2441"/>
      <c r="L1140" s="2441"/>
      <c r="M1140" s="2441"/>
      <c r="N1140" s="1769"/>
      <c r="O1140" s="1769"/>
      <c r="P1140" s="1769"/>
      <c r="Q1140" s="1772"/>
    </row>
    <row r="1141" spans="1:64" ht="15">
      <c r="A1141" s="1772"/>
      <c r="B1141" s="1771"/>
      <c r="C1141" s="2441"/>
      <c r="D1141" s="2441"/>
      <c r="E1141" s="2441"/>
      <c r="F1141" s="2441"/>
      <c r="G1141" s="2441"/>
      <c r="H1141" s="2441"/>
      <c r="I1141" s="2441"/>
      <c r="J1141" s="2441"/>
      <c r="K1141" s="2441"/>
      <c r="L1141" s="2441"/>
      <c r="M1141" s="2441"/>
      <c r="N1141" s="1769"/>
      <c r="O1141" s="1769"/>
      <c r="P1141" s="1769"/>
      <c r="Q1141" s="1772"/>
    </row>
    <row r="1142" spans="1:64" ht="15">
      <c r="A1142" s="2437" t="s">
        <v>1556</v>
      </c>
      <c r="B1142" s="2433" t="s">
        <v>1557</v>
      </c>
      <c r="C1142" s="1769"/>
      <c r="D1142" s="2433"/>
      <c r="E1142" s="2441"/>
      <c r="F1142" s="2441"/>
      <c r="G1142" s="2441"/>
      <c r="H1142" s="2441"/>
      <c r="I1142" s="1769"/>
      <c r="J1142" s="2441"/>
      <c r="K1142" s="2441"/>
      <c r="L1142" s="2441"/>
      <c r="M1142" s="2441"/>
      <c r="N1142" s="1769"/>
      <c r="O1142" s="2438" t="s">
        <v>1397</v>
      </c>
      <c r="P1142" s="2433"/>
      <c r="Q1142" s="2433"/>
    </row>
    <row r="1143" spans="1:64" ht="15">
      <c r="A1143" s="2437"/>
      <c r="B1143" s="2442" t="s">
        <v>1403</v>
      </c>
      <c r="C1143" s="1769"/>
      <c r="D1143" s="2442"/>
      <c r="E1143" s="2442"/>
      <c r="F1143" s="2442"/>
      <c r="G1143" s="2442"/>
      <c r="H1143" s="1770"/>
      <c r="I1143" s="1771"/>
      <c r="J1143" s="1771"/>
      <c r="K1143" s="1771"/>
      <c r="L1143" s="1772"/>
      <c r="M1143" s="1772"/>
      <c r="N1143" s="1772"/>
      <c r="O1143" s="1772"/>
      <c r="P1143" s="1772"/>
      <c r="Q1143" s="1772"/>
    </row>
    <row r="1144" spans="1:64" ht="14.25">
      <c r="A1144" s="2434">
        <f>'Part VII-Threshold Criteria'!A293</f>
        <v>0</v>
      </c>
      <c r="B1144" s="2434"/>
      <c r="C1144" s="2434"/>
      <c r="D1144" s="2434"/>
      <c r="E1144" s="2434"/>
      <c r="F1144" s="2434"/>
      <c r="G1144" s="2434"/>
      <c r="H1144" s="2434"/>
      <c r="I1144" s="2434"/>
      <c r="J1144" s="2434"/>
      <c r="K1144" s="2434"/>
      <c r="L1144" s="2434"/>
      <c r="M1144" s="2434"/>
      <c r="N1144" s="2434"/>
      <c r="O1144" s="2434"/>
      <c r="P1144" s="2434"/>
      <c r="Q1144" s="2434"/>
    </row>
    <row r="1145" spans="1:64" ht="14.25">
      <c r="A1145" s="1769"/>
      <c r="B1145" s="2439" t="s">
        <v>1399</v>
      </c>
      <c r="C1145" s="2440"/>
      <c r="D1145" s="2441"/>
      <c r="E1145" s="2441"/>
      <c r="F1145" s="2441"/>
      <c r="G1145" s="2441"/>
      <c r="H1145" s="2441"/>
      <c r="I1145" s="2441"/>
      <c r="J1145" s="2441"/>
      <c r="K1145" s="2441"/>
      <c r="L1145" s="2441"/>
      <c r="M1145" s="2441"/>
      <c r="N1145" s="2441"/>
      <c r="O1145" s="2441"/>
      <c r="P1145" s="2441"/>
      <c r="Q1145" s="2441"/>
    </row>
    <row r="1146" spans="1:64" ht="14.25">
      <c r="A1146" s="2434"/>
      <c r="B1146" s="2434"/>
      <c r="C1146" s="2434"/>
      <c r="D1146" s="2434"/>
      <c r="E1146" s="2434"/>
      <c r="F1146" s="2434"/>
      <c r="G1146" s="2434"/>
      <c r="H1146" s="2434"/>
      <c r="I1146" s="2434"/>
      <c r="J1146" s="2434"/>
      <c r="K1146" s="2434"/>
      <c r="L1146" s="2434"/>
      <c r="M1146" s="2434"/>
      <c r="N1146" s="2434"/>
      <c r="O1146" s="2434"/>
      <c r="P1146" s="2434"/>
      <c r="Q1146" s="2434"/>
    </row>
    <row r="1152" spans="1:64" ht="15">
      <c r="A1152" s="1854" t="str">
        <f>CONCATENATE("PART EIGHT - SCORING CRITERIA","  -  ",'Part I-Project Identification'!$O$7," ",'Part I-Project Identification'!$F$25,", ",'Part I-Project Identification'!F1182,", ",'Part I-Project Identification'!J1182," County")</f>
        <v>PART EIGHT - SCORING CRITERIA  -  2023-5 Ashley Collegetown Phase I, ,  County</v>
      </c>
      <c r="B1152" s="1854"/>
      <c r="C1152" s="1854"/>
      <c r="D1152" s="1854"/>
      <c r="E1152" s="1854"/>
      <c r="F1152" s="1854"/>
      <c r="G1152" s="1854"/>
      <c r="H1152" s="1854"/>
      <c r="I1152" s="1854"/>
      <c r="J1152" s="1854"/>
      <c r="K1152" s="1854"/>
      <c r="L1152" s="1854"/>
      <c r="M1152" s="1854"/>
      <c r="N1152" s="1854"/>
      <c r="O1152" s="1854"/>
      <c r="P1152" s="1854"/>
      <c r="Q1152" s="2108"/>
      <c r="R1152" s="2108"/>
      <c r="S1152" s="2108"/>
      <c r="T1152" s="2108"/>
      <c r="U1152" s="2108"/>
      <c r="V1152" s="2108"/>
      <c r="W1152" s="2108"/>
      <c r="X1152" s="2475"/>
      <c r="Y1152" s="2043"/>
      <c r="Z1152" s="2043"/>
      <c r="AA1152" s="2043"/>
      <c r="AB1152" s="2043"/>
      <c r="AC1152" s="2043"/>
      <c r="AD1152" s="2043"/>
      <c r="AE1152" s="2043"/>
      <c r="AF1152" s="2043"/>
      <c r="AG1152" s="2043"/>
      <c r="AH1152" s="2043"/>
      <c r="AI1152" s="2043"/>
      <c r="AJ1152" s="2043"/>
      <c r="AK1152" s="2043"/>
      <c r="AL1152" s="2043"/>
      <c r="AM1152" s="2043"/>
      <c r="AN1152" s="2043"/>
      <c r="AO1152" s="2043"/>
      <c r="AP1152" s="2043"/>
      <c r="AQ1152" s="2043"/>
      <c r="AR1152" s="2043"/>
      <c r="AS1152" s="2043"/>
      <c r="AT1152" s="2043"/>
      <c r="AU1152" s="2043"/>
      <c r="AV1152" s="2043"/>
      <c r="AW1152" s="2043"/>
      <c r="AX1152" s="2043"/>
      <c r="AY1152" s="2043"/>
      <c r="AZ1152" s="2043"/>
      <c r="BA1152" s="2043"/>
      <c r="BB1152" s="2043"/>
      <c r="BC1152" s="2043"/>
      <c r="BD1152" s="2043"/>
      <c r="BE1152" s="2043"/>
      <c r="BF1152" s="2043"/>
      <c r="BG1152" s="2043"/>
      <c r="BH1152" s="2043"/>
      <c r="BI1152" s="2043"/>
      <c r="BJ1152" s="2043"/>
      <c r="BK1152" s="2043"/>
      <c r="BL1152" s="2043"/>
    </row>
    <row r="1153" spans="1:64" ht="15">
      <c r="A1153" s="1855"/>
      <c r="B1153" s="1855"/>
      <c r="C1153" s="2476"/>
      <c r="D1153" s="1855"/>
      <c r="E1153" s="1855"/>
      <c r="F1153" s="1855"/>
      <c r="G1153" s="1855"/>
      <c r="H1153" s="1855"/>
      <c r="I1153" s="1855"/>
      <c r="J1153" s="1855"/>
      <c r="K1153" s="1855"/>
      <c r="L1153" s="1855"/>
      <c r="M1153" s="1964"/>
      <c r="N1153" s="1964"/>
      <c r="O1153" s="2113"/>
      <c r="P1153" s="2113"/>
      <c r="Q1153" s="2108"/>
      <c r="R1153" s="2108"/>
      <c r="S1153" s="2108"/>
      <c r="T1153" s="2108"/>
      <c r="U1153" s="2108"/>
      <c r="V1153" s="2108"/>
      <c r="W1153" s="2108"/>
      <c r="X1153" s="2475"/>
      <c r="Y1153" s="2043"/>
      <c r="Z1153" s="2043"/>
      <c r="AA1153" s="2043"/>
      <c r="AB1153" s="2043"/>
      <c r="AC1153" s="2043"/>
      <c r="AD1153" s="2043"/>
      <c r="AE1153" s="2043"/>
      <c r="AF1153" s="2043"/>
      <c r="AG1153" s="2043"/>
      <c r="AH1153" s="2043"/>
      <c r="AI1153" s="2043"/>
      <c r="AJ1153" s="2043"/>
      <c r="AK1153" s="2043"/>
      <c r="AL1153" s="2043"/>
      <c r="AM1153" s="2043"/>
      <c r="AN1153" s="2043"/>
      <c r="AO1153" s="2043"/>
      <c r="AP1153" s="2043"/>
      <c r="AQ1153" s="2043"/>
      <c r="AR1153" s="2043"/>
      <c r="AS1153" s="2043"/>
      <c r="AT1153" s="2043"/>
      <c r="AU1153" s="2043"/>
      <c r="AV1153" s="2043"/>
      <c r="AW1153" s="2043"/>
      <c r="AX1153" s="2043"/>
      <c r="AY1153" s="2043"/>
      <c r="AZ1153" s="2043"/>
      <c r="BA1153" s="2043"/>
      <c r="BB1153" s="2043"/>
      <c r="BC1153" s="2043"/>
      <c r="BD1153" s="2043"/>
      <c r="BE1153" s="2043"/>
      <c r="BF1153" s="2043"/>
      <c r="BG1153" s="2043"/>
      <c r="BH1153" s="2043"/>
      <c r="BI1153" s="2043"/>
      <c r="BJ1153" s="2043"/>
      <c r="BK1153" s="2043"/>
      <c r="BL1153" s="2043"/>
    </row>
    <row r="1154" spans="1:64" ht="15" customHeight="1">
      <c r="A1154" s="2477" t="s">
        <v>1664</v>
      </c>
      <c r="B1154" s="2477"/>
      <c r="C1154" s="2477"/>
      <c r="D1154" s="2477"/>
      <c r="E1154" s="2477"/>
      <c r="F1154" s="2477"/>
      <c r="G1154" s="2477"/>
      <c r="H1154" s="2477"/>
      <c r="I1154" s="2477"/>
      <c r="J1154" s="2477"/>
      <c r="K1154" s="2477"/>
      <c r="L1154" s="2477"/>
      <c r="M1154" s="2478"/>
      <c r="N1154" s="1964"/>
      <c r="O1154" s="2113" t="s">
        <v>1665</v>
      </c>
      <c r="P1154" s="2113" t="s">
        <v>1666</v>
      </c>
      <c r="Q1154" s="2108"/>
      <c r="R1154" s="2108"/>
      <c r="S1154" s="2108"/>
      <c r="T1154" s="2108"/>
      <c r="U1154" s="2108"/>
      <c r="V1154" s="2108"/>
      <c r="W1154" s="2108"/>
      <c r="X1154" s="2475"/>
      <c r="Y1154" s="1855"/>
      <c r="Z1154" s="1855"/>
      <c r="AA1154" s="1855"/>
      <c r="AB1154" s="1855"/>
      <c r="AC1154" s="1855"/>
      <c r="AD1154" s="1855"/>
      <c r="AE1154" s="1855"/>
      <c r="AF1154" s="1855"/>
      <c r="AG1154" s="1855"/>
      <c r="AH1154" s="1855"/>
      <c r="AI1154" s="1855"/>
      <c r="AJ1154" s="1855"/>
      <c r="AK1154" s="1855"/>
      <c r="AL1154" s="1855"/>
      <c r="AM1154" s="1855"/>
      <c r="AN1154" s="1855"/>
      <c r="AO1154" s="1855"/>
      <c r="AP1154" s="1855"/>
      <c r="AQ1154" s="1855"/>
      <c r="AR1154" s="1855"/>
      <c r="AS1154" s="1855"/>
      <c r="AT1154" s="1855"/>
      <c r="AU1154" s="1855"/>
      <c r="AV1154" s="1855"/>
      <c r="AW1154" s="1855"/>
      <c r="AX1154" s="1855"/>
      <c r="AY1154" s="1855"/>
      <c r="AZ1154" s="1855"/>
      <c r="BA1154" s="1855"/>
      <c r="BB1154" s="1855"/>
      <c r="BC1154" s="1855"/>
      <c r="BD1154" s="1855"/>
      <c r="BE1154" s="1855"/>
      <c r="BF1154" s="1855"/>
      <c r="BG1154" s="1855"/>
      <c r="BH1154" s="1855"/>
      <c r="BI1154" s="1855"/>
      <c r="BJ1154" s="1855"/>
      <c r="BK1154" s="1855"/>
      <c r="BL1154" s="1855"/>
    </row>
    <row r="1155" spans="1:64" ht="15" customHeight="1">
      <c r="A1155" s="2477"/>
      <c r="B1155" s="2477"/>
      <c r="C1155" s="2477"/>
      <c r="D1155" s="2477"/>
      <c r="E1155" s="2477"/>
      <c r="F1155" s="2477"/>
      <c r="G1155" s="2477"/>
      <c r="H1155" s="2477"/>
      <c r="I1155" s="2477"/>
      <c r="J1155" s="2477"/>
      <c r="K1155" s="2477"/>
      <c r="L1155" s="2477"/>
      <c r="M1155" s="2478"/>
      <c r="N1155" s="1854"/>
      <c r="O1155" s="2113" t="s">
        <v>1667</v>
      </c>
      <c r="P1155" s="2113" t="s">
        <v>1667</v>
      </c>
      <c r="Q1155" s="2108"/>
      <c r="R1155" s="2108"/>
      <c r="S1155" s="2108"/>
      <c r="T1155" s="2108"/>
      <c r="U1155" s="2108"/>
      <c r="V1155" s="2108"/>
      <c r="W1155" s="1855"/>
      <c r="X1155" s="1855"/>
      <c r="Y1155" s="1855"/>
      <c r="Z1155" s="1855"/>
      <c r="AA1155" s="1855"/>
      <c r="AB1155" s="1855"/>
      <c r="AC1155" s="1855"/>
      <c r="AD1155" s="1855"/>
      <c r="AE1155" s="1855"/>
      <c r="AF1155" s="1855"/>
      <c r="AG1155" s="1855"/>
      <c r="AH1155" s="1855"/>
      <c r="AI1155" s="1855"/>
      <c r="AJ1155" s="1855"/>
      <c r="AK1155" s="1855"/>
      <c r="AL1155" s="1855"/>
      <c r="AM1155" s="1855"/>
      <c r="AN1155" s="1855"/>
      <c r="AO1155" s="1855"/>
      <c r="AP1155" s="1855"/>
      <c r="AQ1155" s="1855"/>
      <c r="AR1155" s="1855"/>
      <c r="AS1155" s="1855"/>
      <c r="AT1155" s="1855"/>
      <c r="AU1155" s="1855"/>
      <c r="AV1155" s="1855"/>
      <c r="AW1155" s="1855"/>
      <c r="AX1155" s="1855"/>
      <c r="AY1155" s="1855"/>
      <c r="AZ1155" s="1855"/>
      <c r="BA1155" s="1855"/>
      <c r="BB1155" s="1855"/>
      <c r="BC1155" s="1855"/>
      <c r="BD1155" s="1855"/>
      <c r="BE1155" s="1855"/>
      <c r="BF1155" s="1855"/>
      <c r="BG1155" s="1855"/>
      <c r="BH1155" s="1855"/>
      <c r="BI1155" s="1855"/>
      <c r="BJ1155" s="1855"/>
      <c r="BK1155" s="1855"/>
      <c r="BL1155" s="1855"/>
    </row>
    <row r="1156" spans="1:64" ht="15">
      <c r="A1156" s="1855"/>
      <c r="B1156" s="1855"/>
      <c r="C1156" s="1855"/>
      <c r="D1156" s="1855"/>
      <c r="E1156" s="1855"/>
      <c r="F1156" s="1855"/>
      <c r="G1156" s="1855"/>
      <c r="H1156" s="1855"/>
      <c r="I1156" s="1855"/>
      <c r="J1156" s="1855"/>
      <c r="K1156" s="1855"/>
      <c r="L1156" s="1855"/>
      <c r="M1156" s="2479"/>
      <c r="N1156" s="1854"/>
      <c r="O1156" s="2113"/>
      <c r="P1156" s="2045"/>
      <c r="Q1156" s="2108"/>
      <c r="R1156" s="2108"/>
      <c r="S1156" s="2108"/>
      <c r="T1156" s="2108"/>
      <c r="U1156" s="2108"/>
      <c r="V1156" s="2108"/>
      <c r="W1156" s="1855"/>
      <c r="X1156" s="1855"/>
      <c r="Y1156" s="1855"/>
      <c r="Z1156" s="1855"/>
      <c r="AA1156" s="1855"/>
      <c r="AB1156" s="1855"/>
      <c r="AC1156" s="1855"/>
      <c r="AD1156" s="1855"/>
      <c r="AE1156" s="1855"/>
      <c r="AF1156" s="1855"/>
      <c r="AG1156" s="1855"/>
      <c r="AH1156" s="1855"/>
      <c r="AI1156" s="1855"/>
      <c r="AJ1156" s="1855"/>
      <c r="AK1156" s="1855"/>
      <c r="AL1156" s="1855"/>
      <c r="AM1156" s="1855"/>
      <c r="AN1156" s="1855"/>
      <c r="AO1156" s="1855"/>
      <c r="AP1156" s="1855"/>
      <c r="AQ1156" s="1855"/>
      <c r="AR1156" s="1855"/>
      <c r="AS1156" s="1855"/>
      <c r="AT1156" s="1855"/>
      <c r="AU1156" s="1855"/>
      <c r="AV1156" s="1855"/>
      <c r="AW1156" s="1855"/>
      <c r="AX1156" s="1855"/>
      <c r="AY1156" s="1855"/>
      <c r="AZ1156" s="1855"/>
      <c r="BA1156" s="1855"/>
      <c r="BB1156" s="1855"/>
      <c r="BC1156" s="1855"/>
      <c r="BD1156" s="1855"/>
      <c r="BE1156" s="1855"/>
      <c r="BF1156" s="1855"/>
      <c r="BG1156" s="1855"/>
      <c r="BH1156" s="1855"/>
      <c r="BI1156" s="1855"/>
      <c r="BJ1156" s="1855"/>
      <c r="BK1156" s="1855"/>
      <c r="BL1156" s="1855"/>
    </row>
    <row r="1157" spans="1:64" ht="15">
      <c r="A1157" s="1855"/>
      <c r="B1157" s="2480" t="str">
        <f>'Part I-Project Identification'!$A$6</f>
        <v>Sept 2023</v>
      </c>
      <c r="C1157" s="2480"/>
      <c r="D1157" s="2480"/>
      <c r="E1157" s="2480"/>
      <c r="F1157" s="2480"/>
      <c r="G1157" s="1855"/>
      <c r="H1157" s="1855"/>
      <c r="I1157" s="1855"/>
      <c r="J1157" s="1855"/>
      <c r="K1157" s="1855"/>
      <c r="L1157" s="2113" t="s">
        <v>1668</v>
      </c>
      <c r="M1157" s="2042"/>
      <c r="N1157" s="2481"/>
      <c r="O1157" s="2482">
        <f>O1555</f>
        <v>42</v>
      </c>
      <c r="P1157" s="2482">
        <f>P1555</f>
        <v>22</v>
      </c>
      <c r="Q1157" s="1854" t="s">
        <v>1669</v>
      </c>
      <c r="R1157" s="2083"/>
      <c r="S1157" s="2083"/>
      <c r="T1157" s="2083"/>
      <c r="U1157" s="2083"/>
      <c r="V1157" s="2083"/>
      <c r="W1157" s="2083"/>
      <c r="X1157" s="2083"/>
      <c r="Y1157" s="2083"/>
      <c r="Z1157" s="1855"/>
      <c r="AA1157" s="1855"/>
      <c r="AB1157" s="1855"/>
      <c r="AC1157" s="1855"/>
      <c r="AD1157" s="1855"/>
      <c r="AE1157" s="1855"/>
      <c r="AF1157" s="1855"/>
      <c r="AG1157" s="1855"/>
      <c r="AH1157" s="1855"/>
      <c r="AI1157" s="1855"/>
      <c r="AJ1157" s="1855"/>
      <c r="AK1157" s="1855"/>
      <c r="AL1157" s="1855"/>
      <c r="AM1157" s="1855"/>
      <c r="AN1157" s="1855"/>
      <c r="AO1157" s="1855"/>
      <c r="AP1157" s="1855"/>
      <c r="AQ1157" s="1855"/>
      <c r="AR1157" s="1855"/>
      <c r="AS1157" s="1855"/>
      <c r="AT1157" s="1855"/>
      <c r="AU1157" s="1855"/>
      <c r="AV1157" s="1855"/>
      <c r="AW1157" s="1855"/>
      <c r="AX1157" s="1855"/>
      <c r="AY1157" s="1855"/>
      <c r="AZ1157" s="1855"/>
      <c r="BA1157" s="1855"/>
      <c r="BB1157" s="1855"/>
      <c r="BC1157" s="1855"/>
      <c r="BD1157" s="1855"/>
      <c r="BE1157" s="1855"/>
      <c r="BF1157" s="1855"/>
      <c r="BG1157" s="1855"/>
      <c r="BH1157" s="1855"/>
      <c r="BI1157" s="1855"/>
      <c r="BJ1157" s="1855"/>
      <c r="BK1157" s="1855"/>
      <c r="BL1157" s="1855"/>
    </row>
    <row r="1158" spans="1:64" ht="15">
      <c r="A1158" s="1855"/>
      <c r="B1158" s="2114"/>
      <c r="C1158" s="1855"/>
      <c r="D1158" s="1855"/>
      <c r="E1158" s="1855"/>
      <c r="F1158" s="1855"/>
      <c r="G1158" s="1855"/>
      <c r="H1158" s="1855"/>
      <c r="I1158" s="1855"/>
      <c r="J1158" s="1855"/>
      <c r="K1158" s="1855"/>
      <c r="L1158" s="1855"/>
      <c r="M1158" s="1964"/>
      <c r="N1158" s="1994"/>
      <c r="O1158" s="2042"/>
      <c r="P1158" s="2113"/>
      <c r="Q1158" s="2083"/>
      <c r="R1158" s="2083"/>
      <c r="S1158" s="2083"/>
      <c r="T1158" s="2083"/>
      <c r="U1158" s="2083"/>
      <c r="V1158" s="2083"/>
      <c r="W1158" s="2083"/>
      <c r="X1158" s="2083"/>
      <c r="Y1158" s="2083"/>
      <c r="Z1158" s="2043"/>
      <c r="AA1158" s="2043"/>
      <c r="AB1158" s="2043"/>
      <c r="AC1158" s="2043"/>
      <c r="AD1158" s="2043"/>
      <c r="AE1158" s="2043"/>
      <c r="AF1158" s="2043"/>
      <c r="AG1158" s="2043"/>
      <c r="AH1158" s="2043"/>
      <c r="AI1158" s="2043"/>
      <c r="AJ1158" s="2043"/>
      <c r="AK1158" s="2043"/>
      <c r="AL1158" s="2043"/>
      <c r="AM1158" s="2043"/>
      <c r="AN1158" s="2043"/>
      <c r="AO1158" s="2043"/>
      <c r="AP1158" s="2043"/>
      <c r="AQ1158" s="2043"/>
      <c r="AR1158" s="2043"/>
      <c r="AS1158" s="2043"/>
      <c r="AT1158" s="2043"/>
      <c r="AU1158" s="2043"/>
      <c r="AV1158" s="2043"/>
      <c r="AW1158" s="2043"/>
      <c r="AX1158" s="2043"/>
      <c r="AY1158" s="2043"/>
      <c r="AZ1158" s="2043"/>
      <c r="BA1158" s="2043"/>
      <c r="BB1158" s="2043"/>
      <c r="BC1158" s="2043"/>
      <c r="BD1158" s="2043"/>
      <c r="BE1158" s="2043"/>
      <c r="BF1158" s="2043"/>
      <c r="BG1158" s="2043"/>
      <c r="BH1158" s="2043"/>
      <c r="BI1158" s="2043"/>
      <c r="BJ1158" s="2043"/>
      <c r="BK1158" s="2043"/>
      <c r="BL1158" s="2043"/>
    </row>
    <row r="1159" spans="1:64" ht="15">
      <c r="A1159" s="2483"/>
      <c r="B1159" s="1855"/>
      <c r="C1159" s="1855"/>
      <c r="D1159" s="1855"/>
      <c r="E1159" s="1855"/>
      <c r="F1159" s="1855"/>
      <c r="G1159" s="2484"/>
      <c r="H1159" s="1855"/>
      <c r="I1159" s="2484"/>
      <c r="J1159" s="2484"/>
      <c r="K1159" s="2484"/>
      <c r="L1159" s="2484"/>
      <c r="M1159" s="2484"/>
      <c r="N1159" s="2484"/>
      <c r="O1159" s="2484"/>
      <c r="P1159" s="2484"/>
      <c r="Q1159" s="1855"/>
      <c r="R1159" s="1855"/>
      <c r="S1159" s="1855"/>
      <c r="T1159" s="1855"/>
      <c r="U1159" s="1855"/>
      <c r="V1159" s="1855"/>
      <c r="W1159" s="1855"/>
      <c r="X1159" s="1855"/>
      <c r="Y1159" s="1855"/>
      <c r="Z1159" s="1855"/>
      <c r="AA1159" s="1855"/>
      <c r="AB1159" s="1855"/>
      <c r="AC1159" s="1855"/>
      <c r="AD1159" s="1855"/>
      <c r="AE1159" s="1855"/>
      <c r="AF1159" s="1855"/>
      <c r="AG1159" s="1855"/>
      <c r="AH1159" s="1855"/>
      <c r="AI1159" s="1855"/>
      <c r="AJ1159" s="1855"/>
      <c r="AK1159" s="1855"/>
      <c r="AL1159" s="1855"/>
      <c r="AM1159" s="1855"/>
      <c r="AN1159" s="1855"/>
      <c r="AO1159" s="1855"/>
      <c r="AP1159" s="1855"/>
      <c r="AQ1159" s="1855"/>
      <c r="AR1159" s="1855"/>
      <c r="AS1159" s="1855"/>
      <c r="AT1159" s="1855"/>
      <c r="AU1159" s="1855"/>
      <c r="AV1159" s="1855"/>
      <c r="AW1159" s="1855"/>
      <c r="AX1159" s="1855"/>
      <c r="AY1159" s="1855"/>
      <c r="AZ1159" s="1855"/>
      <c r="BA1159" s="1855"/>
      <c r="BB1159" s="1855"/>
      <c r="BC1159" s="1855"/>
      <c r="BD1159" s="1855"/>
      <c r="BE1159" s="1855"/>
      <c r="BF1159" s="1855"/>
      <c r="BG1159" s="1855"/>
      <c r="BH1159" s="1855"/>
      <c r="BI1159" s="1855"/>
      <c r="BJ1159" s="1855"/>
      <c r="BK1159" s="1855"/>
      <c r="BL1159" s="1855"/>
    </row>
    <row r="1160" spans="1:64" ht="15">
      <c r="A1160" s="2109" t="s">
        <v>21</v>
      </c>
      <c r="B1160" s="2110" t="s">
        <v>1670</v>
      </c>
      <c r="C1160" s="1854"/>
      <c r="D1160" s="1855"/>
      <c r="E1160" s="1855"/>
      <c r="F1160" s="1855"/>
      <c r="G1160" s="2484"/>
      <c r="H1160" s="1855"/>
      <c r="I1160" s="2484"/>
      <c r="J1160" s="2484"/>
      <c r="K1160" s="2484"/>
      <c r="L1160" s="2484"/>
      <c r="M1160" s="2484"/>
      <c r="N1160" s="2484"/>
      <c r="O1160" s="2484"/>
      <c r="P1160" s="2484"/>
      <c r="Q1160" s="2083"/>
      <c r="R1160" s="2083"/>
      <c r="S1160" s="2083"/>
      <c r="T1160" s="2083"/>
      <c r="U1160" s="2083"/>
      <c r="V1160" s="2083"/>
      <c r="W1160" s="2083"/>
      <c r="X1160" s="2083"/>
      <c r="Y1160" s="2083"/>
      <c r="Z1160" s="1855"/>
      <c r="AA1160" s="1855"/>
      <c r="AB1160" s="1855"/>
      <c r="AC1160" s="1855"/>
      <c r="AD1160" s="1855"/>
      <c r="AE1160" s="1855"/>
      <c r="AF1160" s="1855"/>
      <c r="AG1160" s="1855"/>
      <c r="AH1160" s="1855"/>
      <c r="AI1160" s="1855"/>
      <c r="AJ1160" s="1855"/>
      <c r="AK1160" s="1855"/>
      <c r="AL1160" s="1855"/>
      <c r="AM1160" s="1855"/>
      <c r="AN1160" s="1855"/>
      <c r="AO1160" s="1855"/>
      <c r="AP1160" s="1855"/>
      <c r="AQ1160" s="1855"/>
      <c r="AR1160" s="1855"/>
      <c r="AS1160" s="1855"/>
      <c r="AT1160" s="1855"/>
      <c r="AU1160" s="1855"/>
      <c r="AV1160" s="1855"/>
      <c r="AW1160" s="1855"/>
      <c r="AX1160" s="1855"/>
      <c r="AY1160" s="1855"/>
      <c r="AZ1160" s="1855"/>
      <c r="BA1160" s="1855"/>
      <c r="BB1160" s="1855"/>
      <c r="BC1160" s="1855"/>
      <c r="BD1160" s="1855"/>
      <c r="BE1160" s="1855"/>
      <c r="BF1160" s="1855"/>
      <c r="BG1160" s="1855"/>
      <c r="BH1160" s="1855"/>
      <c r="BI1160" s="1855"/>
      <c r="BJ1160" s="1855"/>
      <c r="BK1160" s="1855"/>
      <c r="BL1160" s="1855"/>
    </row>
    <row r="1161" spans="1:64" ht="15">
      <c r="A1161" s="2483" t="s">
        <v>1671</v>
      </c>
      <c r="B1161" s="1855"/>
      <c r="C1161" s="1855"/>
      <c r="D1161" s="1855"/>
      <c r="E1161" s="1855"/>
      <c r="F1161" s="1855"/>
      <c r="G1161" s="2484"/>
      <c r="H1161" s="1855"/>
      <c r="I1161" s="2484"/>
      <c r="J1161" s="2484"/>
      <c r="K1161" s="2484"/>
      <c r="L1161" s="2484"/>
      <c r="M1161" s="2485" t="s">
        <v>7024</v>
      </c>
      <c r="N1161" s="2484"/>
      <c r="O1161" s="2484"/>
      <c r="P1161" s="2113">
        <f>IF(P1163&lt;2,0,IF(AND(P1163&gt;1,P1163&lt;5),1,IF(P1163&gt;4,P1163-3)))</f>
        <v>0</v>
      </c>
      <c r="Q1161" s="2083"/>
      <c r="R1161" s="2083"/>
      <c r="S1161" s="2083"/>
      <c r="T1161" s="2083"/>
      <c r="U1161" s="2083"/>
      <c r="V1161" s="2083"/>
      <c r="W1161" s="2083"/>
      <c r="X1161" s="2083"/>
      <c r="Y1161" s="2083"/>
      <c r="Z1161" s="1855"/>
      <c r="AA1161" s="1855"/>
      <c r="AB1161" s="1855"/>
      <c r="AC1161" s="1855"/>
      <c r="AD1161" s="1855"/>
      <c r="AE1161" s="1855"/>
      <c r="AF1161" s="1855"/>
      <c r="AG1161" s="1855"/>
      <c r="AH1161" s="1855"/>
      <c r="AI1161" s="1855"/>
      <c r="AJ1161" s="1855"/>
      <c r="AK1161" s="1855"/>
      <c r="AL1161" s="1855"/>
      <c r="AM1161" s="1855"/>
      <c r="AN1161" s="1855"/>
      <c r="AO1161" s="1855"/>
      <c r="AP1161" s="1855"/>
      <c r="AQ1161" s="1855"/>
      <c r="AR1161" s="1855"/>
      <c r="AS1161" s="1855"/>
      <c r="AT1161" s="1855"/>
      <c r="AU1161" s="1855"/>
      <c r="AV1161" s="1855"/>
      <c r="AW1161" s="1855"/>
      <c r="AX1161" s="1855"/>
      <c r="AY1161" s="1855"/>
      <c r="AZ1161" s="1855"/>
      <c r="BA1161" s="1855"/>
      <c r="BB1161" s="1855"/>
      <c r="BC1161" s="1855"/>
      <c r="BD1161" s="1855"/>
      <c r="BE1161" s="1855"/>
      <c r="BF1161" s="1855"/>
      <c r="BG1161" s="1855"/>
      <c r="BH1161" s="1855"/>
      <c r="BI1161" s="1855"/>
      <c r="BJ1161" s="1855"/>
      <c r="BK1161" s="1855"/>
      <c r="BL1161" s="1855"/>
    </row>
    <row r="1162" spans="1:64" ht="15">
      <c r="A1162" s="1855"/>
      <c r="B1162" s="2114"/>
      <c r="C1162" s="1855"/>
      <c r="D1162" s="1855"/>
      <c r="E1162" s="1855"/>
      <c r="F1162" s="1855"/>
      <c r="G1162" s="1855"/>
      <c r="H1162" s="1855"/>
      <c r="I1162" s="1855"/>
      <c r="J1162" s="1855"/>
      <c r="K1162" s="1855"/>
      <c r="L1162" s="1855"/>
      <c r="M1162" s="1964"/>
      <c r="N1162" s="1994"/>
      <c r="O1162" s="2042"/>
      <c r="P1162" s="2113"/>
      <c r="Q1162" s="2043"/>
      <c r="R1162" s="1855"/>
      <c r="S1162" s="1855"/>
      <c r="T1162" s="2043"/>
      <c r="U1162" s="2043"/>
      <c r="V1162" s="2043"/>
      <c r="W1162" s="2043"/>
      <c r="X1162" s="2043"/>
      <c r="Y1162" s="2043"/>
      <c r="Z1162" s="2043"/>
      <c r="AA1162" s="2043"/>
      <c r="AB1162" s="2043"/>
      <c r="AC1162" s="2043"/>
      <c r="AD1162" s="2043"/>
      <c r="AE1162" s="2043"/>
      <c r="AF1162" s="2043"/>
      <c r="AG1162" s="2043"/>
      <c r="AH1162" s="2043"/>
      <c r="AI1162" s="2043"/>
      <c r="AJ1162" s="2043"/>
      <c r="AK1162" s="2043"/>
      <c r="AL1162" s="2043"/>
      <c r="AM1162" s="2043"/>
      <c r="AN1162" s="2043"/>
      <c r="AO1162" s="2043"/>
      <c r="AP1162" s="2043"/>
      <c r="AQ1162" s="2043"/>
      <c r="AR1162" s="2043"/>
      <c r="AS1162" s="2043"/>
      <c r="AT1162" s="2043"/>
      <c r="AU1162" s="2043"/>
      <c r="AV1162" s="2043"/>
      <c r="AW1162" s="2043"/>
      <c r="AX1162" s="2043"/>
      <c r="AY1162" s="2043"/>
      <c r="AZ1162" s="2043"/>
      <c r="BA1162" s="2043"/>
      <c r="BB1162" s="2043"/>
      <c r="BC1162" s="2043"/>
      <c r="BD1162" s="2043"/>
      <c r="BE1162" s="2043"/>
      <c r="BF1162" s="2043"/>
      <c r="BG1162" s="2043"/>
      <c r="BH1162" s="2043"/>
      <c r="BI1162" s="2043"/>
      <c r="BJ1162" s="2043"/>
      <c r="BK1162" s="2043"/>
      <c r="BL1162" s="2043"/>
    </row>
    <row r="1163" spans="1:64" ht="14.25" customHeight="1">
      <c r="A1163" s="2043" t="s">
        <v>1673</v>
      </c>
      <c r="B1163" s="2043" t="s">
        <v>1674</v>
      </c>
      <c r="C1163" s="1855"/>
      <c r="D1163" s="1855"/>
      <c r="E1163" s="2043" t="s">
        <v>1675</v>
      </c>
      <c r="F1163" s="2043" t="s">
        <v>1676</v>
      </c>
      <c r="G1163" s="2043"/>
      <c r="H1163" s="2043"/>
      <c r="I1163" s="2043"/>
      <c r="J1163" s="2043"/>
      <c r="K1163" s="2043"/>
      <c r="L1163" s="2043"/>
      <c r="M1163" s="2043"/>
      <c r="N1163" s="2043"/>
      <c r="O1163" s="2486" t="s">
        <v>1677</v>
      </c>
      <c r="P1163" s="1964">
        <f>SUM(P1164:P1182)</f>
        <v>0</v>
      </c>
      <c r="Q1163" s="2475"/>
      <c r="R1163" s="2475"/>
      <c r="S1163" s="2475"/>
      <c r="T1163" s="2475"/>
      <c r="U1163" s="2475"/>
      <c r="V1163" s="2083"/>
      <c r="W1163" s="1855"/>
      <c r="X1163" s="1855"/>
      <c r="Y1163" s="1855"/>
      <c r="Z1163" s="1855"/>
      <c r="AA1163" s="1855"/>
      <c r="AB1163" s="1855"/>
      <c r="AC1163" s="1855"/>
      <c r="AD1163" s="1855"/>
      <c r="AE1163" s="1855"/>
      <c r="AF1163" s="1855"/>
      <c r="AG1163" s="1855"/>
      <c r="AH1163" s="1855"/>
      <c r="AI1163" s="1855"/>
      <c r="AJ1163" s="1855"/>
      <c r="AK1163" s="1855"/>
      <c r="AL1163" s="1855"/>
      <c r="AM1163" s="1855"/>
      <c r="AN1163" s="1855"/>
      <c r="AO1163" s="1855"/>
      <c r="AP1163" s="1855"/>
      <c r="AQ1163" s="1855"/>
      <c r="AR1163" s="1855"/>
      <c r="AS1163" s="1855"/>
      <c r="AT1163" s="1855"/>
      <c r="AU1163" s="1855"/>
      <c r="AV1163" s="1855"/>
      <c r="AW1163" s="1855"/>
      <c r="AX1163" s="1855"/>
      <c r="AY1163" s="1855"/>
      <c r="AZ1163" s="1855"/>
      <c r="BA1163" s="1855"/>
      <c r="BB1163" s="1855"/>
      <c r="BC1163" s="1855"/>
      <c r="BD1163" s="1855"/>
      <c r="BE1163" s="1855"/>
      <c r="BF1163" s="1855"/>
      <c r="BG1163" s="1855"/>
      <c r="BH1163" s="1855"/>
      <c r="BI1163" s="1855"/>
      <c r="BJ1163" s="1855"/>
      <c r="BK1163" s="1855"/>
      <c r="BL1163" s="1855"/>
    </row>
    <row r="1164" spans="1:64" ht="42.75">
      <c r="A1164" s="2487" t="s">
        <v>66</v>
      </c>
      <c r="B1164" s="2049" t="s">
        <v>1678</v>
      </c>
      <c r="C1164" s="2052"/>
      <c r="D1164" s="2052"/>
      <c r="E1164" s="2488">
        <f>'Part VIII Scoring Criteria'!E13</f>
        <v>0</v>
      </c>
      <c r="F1164" s="2487" t="str">
        <f>'Part VIII Scoring Criteria'!F13</f>
        <v>NA 4% Preservation</v>
      </c>
      <c r="G1164" s="2052"/>
      <c r="H1164" s="2052"/>
      <c r="I1164" s="2052"/>
      <c r="J1164" s="2052"/>
      <c r="K1164" s="2052"/>
      <c r="L1164" s="2052"/>
      <c r="M1164" s="2052"/>
      <c r="N1164" s="2052"/>
      <c r="O1164" s="2052"/>
      <c r="P1164" s="2489"/>
      <c r="Q1164" s="2475"/>
      <c r="R1164" s="2475"/>
      <c r="S1164" s="2475"/>
      <c r="T1164" s="2475"/>
      <c r="U1164" s="2475"/>
      <c r="V1164" s="2083"/>
      <c r="W1164" s="1855"/>
      <c r="X1164" s="1855"/>
      <c r="Y1164" s="1855"/>
      <c r="Z1164" s="1855"/>
      <c r="AA1164" s="1855"/>
      <c r="AB1164" s="1855"/>
      <c r="AC1164" s="1855"/>
      <c r="AD1164" s="1855"/>
      <c r="AE1164" s="1855"/>
      <c r="AF1164" s="1855"/>
      <c r="AG1164" s="1855"/>
      <c r="AH1164" s="1855"/>
      <c r="AI1164" s="1855"/>
      <c r="AJ1164" s="1855"/>
      <c r="AK1164" s="1855"/>
      <c r="AL1164" s="1855"/>
      <c r="AM1164" s="1855"/>
      <c r="AN1164" s="1855"/>
      <c r="AO1164" s="1855"/>
      <c r="AP1164" s="1855"/>
      <c r="AQ1164" s="1855"/>
      <c r="AR1164" s="1855"/>
      <c r="AS1164" s="1855"/>
      <c r="AT1164" s="1855"/>
      <c r="AU1164" s="1855"/>
      <c r="AV1164" s="1855"/>
      <c r="AW1164" s="1855"/>
      <c r="AX1164" s="1855"/>
      <c r="AY1164" s="1855"/>
      <c r="AZ1164" s="1855"/>
      <c r="BA1164" s="1855"/>
      <c r="BB1164" s="1855"/>
      <c r="BC1164" s="1855"/>
      <c r="BD1164" s="1855"/>
      <c r="BE1164" s="1855"/>
      <c r="BF1164" s="1855"/>
      <c r="BG1164" s="1855"/>
      <c r="BH1164" s="1855"/>
      <c r="BI1164" s="1855"/>
      <c r="BJ1164" s="1855"/>
      <c r="BK1164" s="1855"/>
      <c r="BL1164" s="1855"/>
    </row>
    <row r="1165" spans="1:64" ht="42.75">
      <c r="A1165" s="2487" t="s">
        <v>75</v>
      </c>
      <c r="B1165" s="2049" t="s">
        <v>1679</v>
      </c>
      <c r="C1165" s="2052"/>
      <c r="D1165" s="2052"/>
      <c r="E1165" s="2490">
        <f>'Part VIII Scoring Criteria'!E14</f>
        <v>0</v>
      </c>
      <c r="F1165" s="2487" t="str">
        <f>'Part VIII Scoring Criteria'!F14</f>
        <v>NA 4% Preservation</v>
      </c>
      <c r="G1165" s="2052"/>
      <c r="H1165" s="2052"/>
      <c r="I1165" s="2052"/>
      <c r="J1165" s="2052"/>
      <c r="K1165" s="2052"/>
      <c r="L1165" s="2052"/>
      <c r="M1165" s="2052"/>
      <c r="N1165" s="2052"/>
      <c r="O1165" s="2052"/>
      <c r="P1165" s="2489"/>
      <c r="Q1165" s="2475"/>
      <c r="R1165" s="2475"/>
      <c r="S1165" s="2475"/>
      <c r="T1165" s="2475"/>
      <c r="U1165" s="2475"/>
      <c r="V1165" s="1855"/>
      <c r="W1165" s="1855"/>
      <c r="X1165" s="1855"/>
      <c r="Y1165" s="1855"/>
      <c r="Z1165" s="1855"/>
      <c r="AA1165" s="1855"/>
      <c r="AB1165" s="1855"/>
      <c r="AC1165" s="1855"/>
      <c r="AD1165" s="1855"/>
      <c r="AE1165" s="1855"/>
      <c r="AF1165" s="1855"/>
      <c r="AG1165" s="1855"/>
      <c r="AH1165" s="1855"/>
      <c r="AI1165" s="1855"/>
      <c r="AJ1165" s="1855"/>
      <c r="AK1165" s="1855"/>
      <c r="AL1165" s="1855"/>
      <c r="AM1165" s="1855"/>
      <c r="AN1165" s="1855"/>
      <c r="AO1165" s="1855"/>
      <c r="AP1165" s="1855"/>
      <c r="AQ1165" s="1855"/>
      <c r="AR1165" s="1855"/>
      <c r="AS1165" s="1855"/>
      <c r="AT1165" s="1855"/>
      <c r="AU1165" s="1855"/>
      <c r="AV1165" s="1855"/>
      <c r="AW1165" s="1855"/>
      <c r="AX1165" s="1855"/>
      <c r="AY1165" s="1855"/>
      <c r="AZ1165" s="1855"/>
      <c r="BA1165" s="1855"/>
      <c r="BB1165" s="1855"/>
      <c r="BC1165" s="1855"/>
      <c r="BD1165" s="1855"/>
      <c r="BE1165" s="1855"/>
      <c r="BF1165" s="1855"/>
      <c r="BG1165" s="1855"/>
      <c r="BH1165" s="1855"/>
      <c r="BI1165" s="1855"/>
      <c r="BJ1165" s="1855"/>
      <c r="BK1165" s="1855"/>
      <c r="BL1165" s="1855"/>
    </row>
    <row r="1166" spans="1:64" ht="42.75">
      <c r="A1166" s="2487" t="s">
        <v>77</v>
      </c>
      <c r="B1166" s="2049" t="s">
        <v>1680</v>
      </c>
      <c r="C1166" s="2052"/>
      <c r="D1166" s="2052"/>
      <c r="E1166" s="2490">
        <f>'Part VIII Scoring Criteria'!E15</f>
        <v>0</v>
      </c>
      <c r="F1166" s="2487" t="str">
        <f>'Part VIII Scoring Criteria'!F15</f>
        <v>NA 4% Preservation</v>
      </c>
      <c r="G1166" s="2052"/>
      <c r="H1166" s="2052"/>
      <c r="I1166" s="2052"/>
      <c r="J1166" s="2052"/>
      <c r="K1166" s="2052"/>
      <c r="L1166" s="2052"/>
      <c r="M1166" s="2052"/>
      <c r="N1166" s="2052"/>
      <c r="O1166" s="2052"/>
      <c r="P1166" s="2489"/>
      <c r="Q1166" s="2475"/>
      <c r="R1166" s="2475"/>
      <c r="S1166" s="2475"/>
      <c r="T1166" s="2475"/>
      <c r="U1166" s="2475"/>
      <c r="V1166" s="1855"/>
      <c r="W1166" s="1855"/>
      <c r="X1166" s="1855"/>
      <c r="Y1166" s="1855"/>
      <c r="Z1166" s="1855"/>
      <c r="AA1166" s="1855"/>
      <c r="AB1166" s="1855"/>
      <c r="AC1166" s="1855"/>
      <c r="AD1166" s="1855"/>
      <c r="AE1166" s="1855"/>
      <c r="AF1166" s="1855"/>
      <c r="AG1166" s="1855"/>
      <c r="AH1166" s="1855"/>
      <c r="AI1166" s="1855"/>
      <c r="AJ1166" s="1855"/>
      <c r="AK1166" s="1855"/>
      <c r="AL1166" s="1855"/>
      <c r="AM1166" s="1855"/>
      <c r="AN1166" s="1855"/>
      <c r="AO1166" s="1855"/>
      <c r="AP1166" s="1855"/>
      <c r="AQ1166" s="1855"/>
      <c r="AR1166" s="1855"/>
      <c r="AS1166" s="1855"/>
      <c r="AT1166" s="1855"/>
      <c r="AU1166" s="1855"/>
      <c r="AV1166" s="1855"/>
      <c r="AW1166" s="1855"/>
      <c r="AX1166" s="1855"/>
      <c r="AY1166" s="1855"/>
      <c r="AZ1166" s="1855"/>
      <c r="BA1166" s="1855"/>
      <c r="BB1166" s="1855"/>
      <c r="BC1166" s="1855"/>
      <c r="BD1166" s="1855"/>
      <c r="BE1166" s="1855"/>
      <c r="BF1166" s="1855"/>
      <c r="BG1166" s="1855"/>
      <c r="BH1166" s="1855"/>
      <c r="BI1166" s="1855"/>
      <c r="BJ1166" s="1855"/>
      <c r="BK1166" s="1855"/>
      <c r="BL1166" s="1855"/>
    </row>
    <row r="1167" spans="1:64" ht="42.75">
      <c r="A1167" s="2487" t="s">
        <v>1427</v>
      </c>
      <c r="B1167" s="2049" t="s">
        <v>1681</v>
      </c>
      <c r="C1167" s="2052"/>
      <c r="D1167" s="2052"/>
      <c r="E1167" s="2490">
        <f>'Part VIII Scoring Criteria'!E16</f>
        <v>0</v>
      </c>
      <c r="F1167" s="2487" t="str">
        <f>'Part VIII Scoring Criteria'!F16</f>
        <v>NA 4% Preservation</v>
      </c>
      <c r="G1167" s="2052"/>
      <c r="H1167" s="2052"/>
      <c r="I1167" s="2052"/>
      <c r="J1167" s="2052"/>
      <c r="K1167" s="2052"/>
      <c r="L1167" s="2052"/>
      <c r="M1167" s="2052"/>
      <c r="N1167" s="2052"/>
      <c r="O1167" s="2052"/>
      <c r="P1167" s="2489"/>
      <c r="Q1167" s="2475"/>
      <c r="R1167" s="2475"/>
      <c r="S1167" s="2475"/>
      <c r="T1167" s="2475"/>
      <c r="U1167" s="2475"/>
      <c r="V1167" s="1855"/>
      <c r="W1167" s="1855"/>
      <c r="X1167" s="1855"/>
      <c r="Y1167" s="1855"/>
      <c r="Z1167" s="1855"/>
      <c r="AA1167" s="1855"/>
      <c r="AB1167" s="1855"/>
      <c r="AC1167" s="1855"/>
      <c r="AD1167" s="1855"/>
      <c r="AE1167" s="1855"/>
      <c r="AF1167" s="1855"/>
      <c r="AG1167" s="1855"/>
      <c r="AH1167" s="1855"/>
      <c r="AI1167" s="1855"/>
      <c r="AJ1167" s="1855"/>
      <c r="AK1167" s="1855"/>
      <c r="AL1167" s="1855"/>
      <c r="AM1167" s="1855"/>
      <c r="AN1167" s="1855"/>
      <c r="AO1167" s="1855"/>
      <c r="AP1167" s="1855"/>
      <c r="AQ1167" s="1855"/>
      <c r="AR1167" s="1855"/>
      <c r="AS1167" s="1855"/>
      <c r="AT1167" s="1855"/>
      <c r="AU1167" s="1855"/>
      <c r="AV1167" s="1855"/>
      <c r="AW1167" s="1855"/>
      <c r="AX1167" s="1855"/>
      <c r="AY1167" s="1855"/>
      <c r="AZ1167" s="1855"/>
      <c r="BA1167" s="1855"/>
      <c r="BB1167" s="1855"/>
      <c r="BC1167" s="1855"/>
      <c r="BD1167" s="1855"/>
      <c r="BE1167" s="1855"/>
      <c r="BF1167" s="1855"/>
      <c r="BG1167" s="1855"/>
      <c r="BH1167" s="1855"/>
      <c r="BI1167" s="1855"/>
      <c r="BJ1167" s="1855"/>
      <c r="BK1167" s="1855"/>
      <c r="BL1167" s="1855"/>
    </row>
    <row r="1168" spans="1:64" ht="15">
      <c r="A1168" s="2487" t="s">
        <v>1432</v>
      </c>
      <c r="B1168" s="2049" t="s">
        <v>1682</v>
      </c>
      <c r="C1168" s="2052"/>
      <c r="D1168" s="2052"/>
      <c r="E1168" s="2488" t="str">
        <f>'Part VIII Scoring Criteria'!E17</f>
        <v>n/a</v>
      </c>
      <c r="F1168" s="2487">
        <f>'Part VIII Scoring Criteria'!F17</f>
        <v>0</v>
      </c>
      <c r="G1168" s="2052"/>
      <c r="H1168" s="2052"/>
      <c r="I1168" s="2052"/>
      <c r="J1168" s="2052"/>
      <c r="K1168" s="2052"/>
      <c r="L1168" s="2052"/>
      <c r="M1168" s="2052"/>
      <c r="N1168" s="2052"/>
      <c r="O1168" s="2052"/>
      <c r="P1168" s="2489"/>
      <c r="Q1168" s="2475"/>
      <c r="R1168" s="2475"/>
      <c r="S1168" s="2475"/>
      <c r="T1168" s="2475"/>
      <c r="U1168" s="2475"/>
      <c r="V1168" s="1855"/>
      <c r="W1168" s="1855"/>
      <c r="X1168" s="1855"/>
      <c r="Y1168" s="1855"/>
      <c r="Z1168" s="1855"/>
      <c r="AA1168" s="1855"/>
      <c r="AB1168" s="1855"/>
      <c r="AC1168" s="1855"/>
      <c r="AD1168" s="1855"/>
      <c r="AE1168" s="1855"/>
      <c r="AF1168" s="1855"/>
      <c r="AG1168" s="1855"/>
      <c r="AH1168" s="1855"/>
      <c r="AI1168" s="1855"/>
      <c r="AJ1168" s="1855"/>
      <c r="AK1168" s="1855"/>
      <c r="AL1168" s="1855"/>
      <c r="AM1168" s="1855"/>
      <c r="AN1168" s="1855"/>
      <c r="AO1168" s="1855"/>
      <c r="AP1168" s="1855"/>
      <c r="AQ1168" s="1855"/>
      <c r="AR1168" s="1855"/>
      <c r="AS1168" s="1855"/>
      <c r="AT1168" s="1855"/>
      <c r="AU1168" s="1855"/>
      <c r="AV1168" s="1855"/>
      <c r="AW1168" s="1855"/>
      <c r="AX1168" s="1855"/>
      <c r="AY1168" s="1855"/>
      <c r="AZ1168" s="1855"/>
      <c r="BA1168" s="1855"/>
      <c r="BB1168" s="1855"/>
      <c r="BC1168" s="1855"/>
      <c r="BD1168" s="1855"/>
      <c r="BE1168" s="1855"/>
      <c r="BF1168" s="1855"/>
      <c r="BG1168" s="1855"/>
      <c r="BH1168" s="1855"/>
      <c r="BI1168" s="1855"/>
      <c r="BJ1168" s="1855"/>
      <c r="BK1168" s="1855"/>
      <c r="BL1168" s="1855"/>
    </row>
    <row r="1169" spans="1:64" ht="15" customHeight="1">
      <c r="A1169" s="2487" t="s">
        <v>1434</v>
      </c>
      <c r="B1169" s="2049" t="s">
        <v>1684</v>
      </c>
      <c r="C1169" s="2052"/>
      <c r="D1169" s="2052"/>
      <c r="E1169" s="2488">
        <f>'Part VIII Scoring Criteria'!E18</f>
        <v>0</v>
      </c>
      <c r="F1169" s="2487" t="str">
        <f>'Part VIII Scoring Criteria'!F18</f>
        <v>NA 4% Preservation</v>
      </c>
      <c r="G1169" s="2052"/>
      <c r="H1169" s="2052"/>
      <c r="I1169" s="2052"/>
      <c r="J1169" s="2052"/>
      <c r="K1169" s="2052"/>
      <c r="L1169" s="2052"/>
      <c r="M1169" s="2052"/>
      <c r="N1169" s="2052"/>
      <c r="O1169" s="2052"/>
      <c r="P1169" s="2489"/>
      <c r="Q1169" s="2083" t="str">
        <f>'Part VIII Scoring Criteria'!Q18</f>
        <v>Some Applicant Scoring Justification boxes are empty! Check to see if points claimed.</v>
      </c>
      <c r="R1169" s="2083"/>
      <c r="S1169" s="2083"/>
      <c r="T1169" s="1855"/>
      <c r="U1169" s="1855"/>
      <c r="V1169" s="1855"/>
      <c r="W1169" s="1855"/>
      <c r="X1169" s="1855"/>
      <c r="Y1169" s="1855"/>
      <c r="Z1169" s="1855"/>
      <c r="AA1169" s="1855"/>
      <c r="AB1169" s="1855"/>
      <c r="AC1169" s="1855"/>
      <c r="AD1169" s="1855"/>
      <c r="AE1169" s="1855"/>
      <c r="AF1169" s="1855"/>
      <c r="AG1169" s="1855"/>
      <c r="AH1169" s="1855"/>
      <c r="AI1169" s="1855"/>
      <c r="AJ1169" s="1855"/>
      <c r="AK1169" s="1855"/>
      <c r="AL1169" s="1855"/>
      <c r="AM1169" s="1855"/>
      <c r="AN1169" s="1855"/>
      <c r="AO1169" s="1855"/>
      <c r="AP1169" s="1855"/>
      <c r="AQ1169" s="1855"/>
      <c r="AR1169" s="1855"/>
      <c r="AS1169" s="1855"/>
      <c r="AT1169" s="1855"/>
      <c r="AU1169" s="1855"/>
      <c r="AV1169" s="1855"/>
      <c r="AW1169" s="1855"/>
      <c r="AX1169" s="1855"/>
      <c r="AY1169" s="1855"/>
      <c r="AZ1169" s="1855"/>
      <c r="BA1169" s="1855"/>
      <c r="BB1169" s="1855"/>
      <c r="BC1169" s="1855"/>
      <c r="BD1169" s="1855"/>
      <c r="BE1169" s="1855"/>
      <c r="BF1169" s="1855"/>
      <c r="BG1169" s="1855"/>
      <c r="BH1169" s="1855"/>
      <c r="BI1169" s="1855"/>
      <c r="BJ1169" s="1855"/>
      <c r="BK1169" s="1855"/>
      <c r="BL1169" s="1855"/>
    </row>
    <row r="1170" spans="1:64" ht="42.75">
      <c r="A1170" s="2487" t="s">
        <v>1685</v>
      </c>
      <c r="B1170" s="2049" t="s">
        <v>1686</v>
      </c>
      <c r="C1170" s="2052"/>
      <c r="D1170" s="2052"/>
      <c r="E1170" s="2488">
        <f>'Part VIII Scoring Criteria'!E19</f>
        <v>0</v>
      </c>
      <c r="F1170" s="2487" t="str">
        <f>'Part VIII Scoring Criteria'!F19</f>
        <v>NA 4% Preservation</v>
      </c>
      <c r="G1170" s="2052"/>
      <c r="H1170" s="2052"/>
      <c r="I1170" s="2052"/>
      <c r="J1170" s="2052"/>
      <c r="K1170" s="2052"/>
      <c r="L1170" s="2052"/>
      <c r="M1170" s="2052"/>
      <c r="N1170" s="2052"/>
      <c r="O1170" s="2052"/>
      <c r="P1170" s="2489"/>
      <c r="Q1170" s="2083"/>
      <c r="R1170" s="2083"/>
      <c r="S1170" s="2083"/>
      <c r="T1170" s="1855"/>
      <c r="U1170" s="1855"/>
      <c r="V1170" s="1855"/>
      <c r="W1170" s="1855"/>
      <c r="X1170" s="1855"/>
      <c r="Y1170" s="1855"/>
      <c r="Z1170" s="1855"/>
      <c r="AA1170" s="1855"/>
      <c r="AB1170" s="1855"/>
      <c r="AC1170" s="1855"/>
      <c r="AD1170" s="1855"/>
      <c r="AE1170" s="1855"/>
      <c r="AF1170" s="1855"/>
      <c r="AG1170" s="1855"/>
      <c r="AH1170" s="1855"/>
      <c r="AI1170" s="1855"/>
      <c r="AJ1170" s="1855"/>
      <c r="AK1170" s="1855"/>
      <c r="AL1170" s="1855"/>
      <c r="AM1170" s="1855"/>
      <c r="AN1170" s="1855"/>
      <c r="AO1170" s="1855"/>
      <c r="AP1170" s="1855"/>
      <c r="AQ1170" s="1855"/>
      <c r="AR1170" s="1855"/>
      <c r="AS1170" s="1855"/>
      <c r="AT1170" s="1855"/>
      <c r="AU1170" s="1855"/>
      <c r="AV1170" s="1855"/>
      <c r="AW1170" s="1855"/>
      <c r="AX1170" s="1855"/>
      <c r="AY1170" s="1855"/>
      <c r="AZ1170" s="1855"/>
      <c r="BA1170" s="1855"/>
      <c r="BB1170" s="1855"/>
      <c r="BC1170" s="1855"/>
      <c r="BD1170" s="1855"/>
      <c r="BE1170" s="1855"/>
      <c r="BF1170" s="1855"/>
      <c r="BG1170" s="1855"/>
      <c r="BH1170" s="1855"/>
      <c r="BI1170" s="1855"/>
      <c r="BJ1170" s="1855"/>
      <c r="BK1170" s="1855"/>
      <c r="BL1170" s="1855"/>
    </row>
    <row r="1171" spans="1:64" ht="15">
      <c r="A1171" s="2487" t="s">
        <v>1687</v>
      </c>
      <c r="B1171" s="2049" t="s">
        <v>1688</v>
      </c>
      <c r="C1171" s="2052"/>
      <c r="D1171" s="2052"/>
      <c r="E1171" s="2488">
        <f>'Part VIII Scoring Criteria'!E20</f>
        <v>0</v>
      </c>
      <c r="F1171" s="2487">
        <f>'Part VIII Scoring Criteria'!F20</f>
        <v>0</v>
      </c>
      <c r="G1171" s="2052"/>
      <c r="H1171" s="2052"/>
      <c r="I1171" s="2052"/>
      <c r="J1171" s="2052"/>
      <c r="K1171" s="2052"/>
      <c r="L1171" s="2052"/>
      <c r="M1171" s="2052"/>
      <c r="N1171" s="2052"/>
      <c r="O1171" s="2052"/>
      <c r="P1171" s="2489"/>
      <c r="Q1171" s="2083"/>
      <c r="R1171" s="2083"/>
      <c r="S1171" s="2083"/>
      <c r="T1171" s="1855"/>
      <c r="U1171" s="1855"/>
      <c r="V1171" s="1855"/>
      <c r="W1171" s="1855"/>
      <c r="X1171" s="1855"/>
      <c r="Y1171" s="1855"/>
      <c r="Z1171" s="1855"/>
      <c r="AA1171" s="1855"/>
      <c r="AB1171" s="1855"/>
      <c r="AC1171" s="1855"/>
      <c r="AD1171" s="1855"/>
      <c r="AE1171" s="1855"/>
      <c r="AF1171" s="1855"/>
      <c r="AG1171" s="1855"/>
      <c r="AH1171" s="1855"/>
      <c r="AI1171" s="1855"/>
      <c r="AJ1171" s="1855"/>
      <c r="AK1171" s="1855"/>
      <c r="AL1171" s="1855"/>
      <c r="AM1171" s="1855"/>
      <c r="AN1171" s="1855"/>
      <c r="AO1171" s="1855"/>
      <c r="AP1171" s="1855"/>
      <c r="AQ1171" s="1855"/>
      <c r="AR1171" s="1855"/>
      <c r="AS1171" s="1855"/>
      <c r="AT1171" s="1855"/>
      <c r="AU1171" s="1855"/>
      <c r="AV1171" s="1855"/>
      <c r="AW1171" s="1855"/>
      <c r="AX1171" s="1855"/>
      <c r="AY1171" s="1855"/>
      <c r="AZ1171" s="1855"/>
      <c r="BA1171" s="1855"/>
      <c r="BB1171" s="1855"/>
      <c r="BC1171" s="1855"/>
      <c r="BD1171" s="1855"/>
      <c r="BE1171" s="1855"/>
      <c r="BF1171" s="1855"/>
      <c r="BG1171" s="1855"/>
      <c r="BH1171" s="1855"/>
      <c r="BI1171" s="1855"/>
      <c r="BJ1171" s="1855"/>
      <c r="BK1171" s="1855"/>
      <c r="BL1171" s="1855"/>
    </row>
    <row r="1172" spans="1:64" ht="15">
      <c r="A1172" s="2487" t="s">
        <v>1689</v>
      </c>
      <c r="B1172" s="2049" t="s">
        <v>1690</v>
      </c>
      <c r="C1172" s="2052"/>
      <c r="D1172" s="2052"/>
      <c r="E1172" s="2488">
        <f>'Part VIII Scoring Criteria'!E21</f>
        <v>0</v>
      </c>
      <c r="F1172" s="2487">
        <f>'Part VIII Scoring Criteria'!F21</f>
        <v>0</v>
      </c>
      <c r="G1172" s="2052"/>
      <c r="H1172" s="2052"/>
      <c r="I1172" s="2052"/>
      <c r="J1172" s="2052"/>
      <c r="K1172" s="2052"/>
      <c r="L1172" s="2052"/>
      <c r="M1172" s="2052"/>
      <c r="N1172" s="2052"/>
      <c r="O1172" s="2052"/>
      <c r="P1172" s="2489"/>
      <c r="Q1172" s="2083"/>
      <c r="R1172" s="2083"/>
      <c r="S1172" s="2083"/>
      <c r="T1172" s="1855"/>
      <c r="U1172" s="1855"/>
      <c r="V1172" s="1855"/>
      <c r="W1172" s="1855"/>
      <c r="X1172" s="1855"/>
      <c r="Y1172" s="1855"/>
      <c r="Z1172" s="1855"/>
      <c r="AA1172" s="1855"/>
      <c r="AB1172" s="1855"/>
      <c r="AC1172" s="1855"/>
      <c r="AD1172" s="1855"/>
      <c r="AE1172" s="1855"/>
      <c r="AF1172" s="1855"/>
      <c r="AG1172" s="1855"/>
      <c r="AH1172" s="1855"/>
      <c r="AI1172" s="1855"/>
      <c r="AJ1172" s="1855"/>
      <c r="AK1172" s="1855"/>
      <c r="AL1172" s="1855"/>
      <c r="AM1172" s="1855"/>
      <c r="AN1172" s="1855"/>
      <c r="AO1172" s="1855"/>
      <c r="AP1172" s="1855"/>
      <c r="AQ1172" s="1855"/>
      <c r="AR1172" s="1855"/>
      <c r="AS1172" s="1855"/>
      <c r="AT1172" s="1855"/>
      <c r="AU1172" s="1855"/>
      <c r="AV1172" s="1855"/>
      <c r="AW1172" s="1855"/>
      <c r="AX1172" s="1855"/>
      <c r="AY1172" s="1855"/>
      <c r="AZ1172" s="1855"/>
      <c r="BA1172" s="1855"/>
      <c r="BB1172" s="1855"/>
      <c r="BC1172" s="1855"/>
      <c r="BD1172" s="1855"/>
      <c r="BE1172" s="1855"/>
      <c r="BF1172" s="1855"/>
      <c r="BG1172" s="1855"/>
      <c r="BH1172" s="1855"/>
      <c r="BI1172" s="1855"/>
      <c r="BJ1172" s="1855"/>
      <c r="BK1172" s="1855"/>
      <c r="BL1172" s="1855"/>
    </row>
    <row r="1173" spans="1:64" ht="15">
      <c r="A1173" s="2487" t="s">
        <v>1691</v>
      </c>
      <c r="B1173" s="2049" t="s">
        <v>1692</v>
      </c>
      <c r="C1173" s="2052"/>
      <c r="D1173" s="2052"/>
      <c r="E1173" s="2488">
        <f>'Part VIII Scoring Criteria'!E22</f>
        <v>0</v>
      </c>
      <c r="F1173" s="2487">
        <f>'Part VIII Scoring Criteria'!F22</f>
        <v>0</v>
      </c>
      <c r="G1173" s="2052"/>
      <c r="H1173" s="2052"/>
      <c r="I1173" s="2052"/>
      <c r="J1173" s="2052"/>
      <c r="K1173" s="2052"/>
      <c r="L1173" s="2052"/>
      <c r="M1173" s="2052"/>
      <c r="N1173" s="2052"/>
      <c r="O1173" s="2052"/>
      <c r="P1173" s="2489"/>
      <c r="Q1173" s="2083"/>
      <c r="R1173" s="2083"/>
      <c r="S1173" s="2083"/>
      <c r="T1173" s="1855"/>
      <c r="U1173" s="1855"/>
      <c r="V1173" s="1855"/>
      <c r="W1173" s="1855"/>
      <c r="X1173" s="1855"/>
      <c r="Y1173" s="1855"/>
      <c r="Z1173" s="1855"/>
      <c r="AA1173" s="1855"/>
      <c r="AB1173" s="1855"/>
      <c r="AC1173" s="1855"/>
      <c r="AD1173" s="1855"/>
      <c r="AE1173" s="1855"/>
      <c r="AF1173" s="1855"/>
      <c r="AG1173" s="1855"/>
      <c r="AH1173" s="1855"/>
      <c r="AI1173" s="1855"/>
      <c r="AJ1173" s="1855"/>
      <c r="AK1173" s="1855"/>
      <c r="AL1173" s="1855"/>
      <c r="AM1173" s="1855"/>
      <c r="AN1173" s="1855"/>
      <c r="AO1173" s="1855"/>
      <c r="AP1173" s="1855"/>
      <c r="AQ1173" s="1855"/>
      <c r="AR1173" s="1855"/>
      <c r="AS1173" s="1855"/>
      <c r="AT1173" s="1855"/>
      <c r="AU1173" s="1855"/>
      <c r="AV1173" s="1855"/>
      <c r="AW1173" s="1855"/>
      <c r="AX1173" s="1855"/>
      <c r="AY1173" s="1855"/>
      <c r="AZ1173" s="1855"/>
      <c r="BA1173" s="1855"/>
      <c r="BB1173" s="1855"/>
      <c r="BC1173" s="1855"/>
      <c r="BD1173" s="1855"/>
      <c r="BE1173" s="1855"/>
      <c r="BF1173" s="1855"/>
      <c r="BG1173" s="1855"/>
      <c r="BH1173" s="1855"/>
      <c r="BI1173" s="1855"/>
      <c r="BJ1173" s="1855"/>
      <c r="BK1173" s="1855"/>
      <c r="BL1173" s="1855"/>
    </row>
    <row r="1174" spans="1:64" ht="409.5">
      <c r="A1174" s="2487" t="s">
        <v>1693</v>
      </c>
      <c r="B1174" s="2049" t="s">
        <v>1694</v>
      </c>
      <c r="C1174" s="2052"/>
      <c r="D1174" s="2052"/>
      <c r="E1174" s="2488">
        <f>'Part VIII Scoring Criteria'!E23</f>
        <v>2</v>
      </c>
      <c r="F1174" s="2487" t="str">
        <f>'Part VIII Scoring Criteria'!F23</f>
        <v xml:space="preserve">As an MBE, Integral is committed to the advancement of other MBEs and will engage MBEs in the development or operations of the proposed property in amounts equal to approx. 5% of total hard construction costs. </v>
      </c>
      <c r="G1174" s="2052"/>
      <c r="H1174" s="2052"/>
      <c r="I1174" s="2052"/>
      <c r="J1174" s="2052"/>
      <c r="K1174" s="2052"/>
      <c r="L1174" s="2052"/>
      <c r="M1174" s="2052"/>
      <c r="N1174" s="2052"/>
      <c r="O1174" s="2052"/>
      <c r="P1174" s="2489"/>
      <c r="Q1174" s="2083"/>
      <c r="R1174" s="2083"/>
      <c r="S1174" s="2083"/>
      <c r="T1174" s="1855"/>
      <c r="U1174" s="1855"/>
      <c r="V1174" s="1855"/>
      <c r="W1174" s="1855"/>
      <c r="X1174" s="1855"/>
      <c r="Y1174" s="1855"/>
      <c r="Z1174" s="1855"/>
      <c r="AA1174" s="1855"/>
      <c r="AB1174" s="1855"/>
      <c r="AC1174" s="1855"/>
      <c r="AD1174" s="1855"/>
      <c r="AE1174" s="1855"/>
      <c r="AF1174" s="1855"/>
      <c r="AG1174" s="1855"/>
      <c r="AH1174" s="1855"/>
      <c r="AI1174" s="1855"/>
      <c r="AJ1174" s="1855"/>
      <c r="AK1174" s="1855"/>
      <c r="AL1174" s="1855"/>
      <c r="AM1174" s="1855"/>
      <c r="AN1174" s="1855"/>
      <c r="AO1174" s="1855"/>
      <c r="AP1174" s="1855"/>
      <c r="AQ1174" s="1855"/>
      <c r="AR1174" s="1855"/>
      <c r="AS1174" s="1855"/>
      <c r="AT1174" s="1855"/>
      <c r="AU1174" s="1855"/>
      <c r="AV1174" s="1855"/>
      <c r="AW1174" s="1855"/>
      <c r="AX1174" s="1855"/>
      <c r="AY1174" s="1855"/>
      <c r="AZ1174" s="1855"/>
      <c r="BA1174" s="1855"/>
      <c r="BB1174" s="1855"/>
      <c r="BC1174" s="1855"/>
      <c r="BD1174" s="1855"/>
      <c r="BE1174" s="1855"/>
      <c r="BF1174" s="1855"/>
      <c r="BG1174" s="1855"/>
      <c r="BH1174" s="1855"/>
      <c r="BI1174" s="1855"/>
      <c r="BJ1174" s="1855"/>
      <c r="BK1174" s="1855"/>
      <c r="BL1174" s="1855"/>
    </row>
    <row r="1175" spans="1:64" ht="15">
      <c r="A1175" s="2487" t="s">
        <v>1491</v>
      </c>
      <c r="B1175" s="2049" t="s">
        <v>1695</v>
      </c>
      <c r="C1175" s="2052"/>
      <c r="D1175" s="2052"/>
      <c r="E1175" s="2488">
        <f>'Part VIII Scoring Criteria'!E24</f>
        <v>0</v>
      </c>
      <c r="F1175" s="2487">
        <f>'Part VIII Scoring Criteria'!F24</f>
        <v>0</v>
      </c>
      <c r="G1175" s="2052"/>
      <c r="H1175" s="2052"/>
      <c r="I1175" s="2052"/>
      <c r="J1175" s="2052"/>
      <c r="K1175" s="2052"/>
      <c r="L1175" s="2052"/>
      <c r="M1175" s="2052"/>
      <c r="N1175" s="2052"/>
      <c r="O1175" s="2052"/>
      <c r="P1175" s="2489"/>
      <c r="Q1175" s="2083"/>
      <c r="R1175" s="2083"/>
      <c r="S1175" s="2083"/>
      <c r="T1175" s="1855"/>
      <c r="U1175" s="1855"/>
      <c r="V1175" s="1855"/>
      <c r="W1175" s="1855"/>
      <c r="X1175" s="1855"/>
      <c r="Y1175" s="1855"/>
      <c r="Z1175" s="1855"/>
      <c r="AA1175" s="1855"/>
      <c r="AB1175" s="1855"/>
      <c r="AC1175" s="1855"/>
      <c r="AD1175" s="1855"/>
      <c r="AE1175" s="1855"/>
      <c r="AF1175" s="1855"/>
      <c r="AG1175" s="1855"/>
      <c r="AH1175" s="1855"/>
      <c r="AI1175" s="1855"/>
      <c r="AJ1175" s="1855"/>
      <c r="AK1175" s="1855"/>
      <c r="AL1175" s="1855"/>
      <c r="AM1175" s="1855"/>
      <c r="AN1175" s="1855"/>
      <c r="AO1175" s="1855"/>
      <c r="AP1175" s="1855"/>
      <c r="AQ1175" s="1855"/>
      <c r="AR1175" s="1855"/>
      <c r="AS1175" s="1855"/>
      <c r="AT1175" s="1855"/>
      <c r="AU1175" s="1855"/>
      <c r="AV1175" s="1855"/>
      <c r="AW1175" s="1855"/>
      <c r="AX1175" s="1855"/>
      <c r="AY1175" s="1855"/>
      <c r="AZ1175" s="1855"/>
      <c r="BA1175" s="1855"/>
      <c r="BB1175" s="1855"/>
      <c r="BC1175" s="1855"/>
      <c r="BD1175" s="1855"/>
      <c r="BE1175" s="1855"/>
      <c r="BF1175" s="1855"/>
      <c r="BG1175" s="1855"/>
      <c r="BH1175" s="1855"/>
      <c r="BI1175" s="1855"/>
      <c r="BJ1175" s="1855"/>
      <c r="BK1175" s="1855"/>
      <c r="BL1175" s="1855"/>
    </row>
    <row r="1176" spans="1:64" ht="15">
      <c r="A1176" s="2487" t="s">
        <v>1508</v>
      </c>
      <c r="B1176" s="2049" t="s">
        <v>1696</v>
      </c>
      <c r="C1176" s="2052"/>
      <c r="D1176" s="2052"/>
      <c r="E1176" s="2488">
        <f>'Part VIII Scoring Criteria'!E25</f>
        <v>0</v>
      </c>
      <c r="F1176" s="2487">
        <f>'Part VIII Scoring Criteria'!F25</f>
        <v>0</v>
      </c>
      <c r="G1176" s="2052"/>
      <c r="H1176" s="2052"/>
      <c r="I1176" s="2052"/>
      <c r="J1176" s="2052"/>
      <c r="K1176" s="2052"/>
      <c r="L1176" s="2052"/>
      <c r="M1176" s="2052"/>
      <c r="N1176" s="2052"/>
      <c r="O1176" s="2052"/>
      <c r="P1176" s="2489"/>
      <c r="Q1176" s="2083"/>
      <c r="R1176" s="2083"/>
      <c r="S1176" s="2083"/>
      <c r="T1176" s="1855"/>
      <c r="U1176" s="1855"/>
      <c r="V1176" s="1855"/>
      <c r="W1176" s="1855"/>
      <c r="X1176" s="1855"/>
      <c r="Y1176" s="1855"/>
      <c r="Z1176" s="1855"/>
      <c r="AA1176" s="1855"/>
      <c r="AB1176" s="1855"/>
      <c r="AC1176" s="1855"/>
      <c r="AD1176" s="1855"/>
      <c r="AE1176" s="1855"/>
      <c r="AF1176" s="1855"/>
      <c r="AG1176" s="1855"/>
      <c r="AH1176" s="1855"/>
      <c r="AI1176" s="1855"/>
      <c r="AJ1176" s="1855"/>
      <c r="AK1176" s="1855"/>
      <c r="AL1176" s="1855"/>
      <c r="AM1176" s="1855"/>
      <c r="AN1176" s="1855"/>
      <c r="AO1176" s="1855"/>
      <c r="AP1176" s="1855"/>
      <c r="AQ1176" s="1855"/>
      <c r="AR1176" s="1855"/>
      <c r="AS1176" s="1855"/>
      <c r="AT1176" s="1855"/>
      <c r="AU1176" s="1855"/>
      <c r="AV1176" s="1855"/>
      <c r="AW1176" s="1855"/>
      <c r="AX1176" s="1855"/>
      <c r="AY1176" s="1855"/>
      <c r="AZ1176" s="1855"/>
      <c r="BA1176" s="1855"/>
      <c r="BB1176" s="1855"/>
      <c r="BC1176" s="1855"/>
      <c r="BD1176" s="1855"/>
      <c r="BE1176" s="1855"/>
      <c r="BF1176" s="1855"/>
      <c r="BG1176" s="1855"/>
      <c r="BH1176" s="1855"/>
      <c r="BI1176" s="1855"/>
      <c r="BJ1176" s="1855"/>
      <c r="BK1176" s="1855"/>
      <c r="BL1176" s="1855"/>
    </row>
    <row r="1177" spans="1:64" ht="409.5">
      <c r="A1177" s="2487" t="s">
        <v>1515</v>
      </c>
      <c r="B1177" s="2049" t="s">
        <v>1697</v>
      </c>
      <c r="C1177" s="2052"/>
      <c r="D1177" s="2052"/>
      <c r="E1177" s="2488">
        <f>'Part VIII Scoring Criteria'!E26</f>
        <v>4</v>
      </c>
      <c r="F1177" s="2487" t="str">
        <f>'Part VIII Scoring Criteria'!F26</f>
        <v xml:space="preserve">Applicant will receive a loan from Atlanta Housing at 1% interest.  Seller will assign the existing nominal ground lease to the Application, and per the terms of AH's commitment letter, AH will extend the term of the ground lease for at least 45 years. </v>
      </c>
      <c r="G1177" s="2052"/>
      <c r="H1177" s="2052"/>
      <c r="I1177" s="2052"/>
      <c r="J1177" s="2052"/>
      <c r="K1177" s="2052"/>
      <c r="L1177" s="2052"/>
      <c r="M1177" s="2052"/>
      <c r="N1177" s="2052"/>
      <c r="O1177" s="2052"/>
      <c r="P1177" s="2489"/>
      <c r="Q1177" s="2083"/>
      <c r="R1177" s="2083"/>
      <c r="S1177" s="2083"/>
      <c r="T1177" s="1855"/>
      <c r="U1177" s="1855"/>
      <c r="V1177" s="1855"/>
      <c r="W1177" s="1855"/>
      <c r="X1177" s="1855"/>
      <c r="Y1177" s="1855"/>
      <c r="Z1177" s="1855"/>
      <c r="AA1177" s="1855"/>
      <c r="AB1177" s="1855"/>
      <c r="AC1177" s="1855"/>
      <c r="AD1177" s="1855"/>
      <c r="AE1177" s="1855"/>
      <c r="AF1177" s="1855"/>
      <c r="AG1177" s="1855"/>
      <c r="AH1177" s="1855"/>
      <c r="AI1177" s="1855"/>
      <c r="AJ1177" s="1855"/>
      <c r="AK1177" s="1855"/>
      <c r="AL1177" s="1855"/>
      <c r="AM1177" s="1855"/>
      <c r="AN1177" s="1855"/>
      <c r="AO1177" s="1855"/>
      <c r="AP1177" s="1855"/>
      <c r="AQ1177" s="1855"/>
      <c r="AR1177" s="1855"/>
      <c r="AS1177" s="1855"/>
      <c r="AT1177" s="1855"/>
      <c r="AU1177" s="1855"/>
      <c r="AV1177" s="1855"/>
      <c r="AW1177" s="1855"/>
      <c r="AX1177" s="1855"/>
      <c r="AY1177" s="1855"/>
      <c r="AZ1177" s="1855"/>
      <c r="BA1177" s="1855"/>
      <c r="BB1177" s="1855"/>
      <c r="BC1177" s="1855"/>
      <c r="BD1177" s="1855"/>
      <c r="BE1177" s="1855"/>
      <c r="BF1177" s="1855"/>
      <c r="BG1177" s="1855"/>
      <c r="BH1177" s="1855"/>
      <c r="BI1177" s="1855"/>
      <c r="BJ1177" s="1855"/>
      <c r="BK1177" s="1855"/>
      <c r="BL1177" s="1855"/>
    </row>
    <row r="1178" spans="1:64" ht="15">
      <c r="A1178" s="2487" t="s">
        <v>1529</v>
      </c>
      <c r="B1178" s="2049" t="s">
        <v>1698</v>
      </c>
      <c r="C1178" s="2052"/>
      <c r="D1178" s="2052"/>
      <c r="E1178" s="2488">
        <f>'Part VIII Scoring Criteria'!E27</f>
        <v>0</v>
      </c>
      <c r="F1178" s="2487">
        <f>'Part VIII Scoring Criteria'!F27</f>
        <v>0</v>
      </c>
      <c r="G1178" s="2052"/>
      <c r="H1178" s="2052"/>
      <c r="I1178" s="2052"/>
      <c r="J1178" s="2052"/>
      <c r="K1178" s="2052"/>
      <c r="L1178" s="2052"/>
      <c r="M1178" s="2052"/>
      <c r="N1178" s="2052"/>
      <c r="O1178" s="2052"/>
      <c r="P1178" s="2489"/>
      <c r="Q1178" s="2108"/>
      <c r="R1178" s="2108"/>
      <c r="S1178" s="2108"/>
      <c r="T1178" s="1855"/>
      <c r="U1178" s="1855"/>
      <c r="V1178" s="1855"/>
      <c r="W1178" s="1855"/>
      <c r="X1178" s="1855"/>
      <c r="Y1178" s="1855"/>
      <c r="Z1178" s="1855"/>
      <c r="AA1178" s="1854"/>
      <c r="AB1178" s="1854"/>
      <c r="AC1178" s="1854"/>
      <c r="AD1178" s="1854"/>
      <c r="AE1178" s="1854"/>
      <c r="AF1178" s="1854"/>
      <c r="AG1178" s="1855"/>
      <c r="AH1178" s="1855"/>
      <c r="AI1178" s="1855"/>
      <c r="AJ1178" s="1855"/>
      <c r="AK1178" s="1855"/>
      <c r="AL1178" s="1855"/>
      <c r="AM1178" s="1855"/>
      <c r="AN1178" s="1855"/>
      <c r="AO1178" s="1855"/>
      <c r="AP1178" s="1855"/>
      <c r="AQ1178" s="1855"/>
      <c r="AR1178" s="1855"/>
      <c r="AS1178" s="1855"/>
      <c r="AT1178" s="1855"/>
      <c r="AU1178" s="1855"/>
      <c r="AV1178" s="1855"/>
      <c r="AW1178" s="1855"/>
      <c r="AX1178" s="1855"/>
      <c r="AY1178" s="1855"/>
      <c r="AZ1178" s="1855"/>
      <c r="BA1178" s="1855"/>
      <c r="BB1178" s="1855"/>
      <c r="BC1178" s="1855"/>
      <c r="BD1178" s="1855"/>
      <c r="BE1178" s="1855"/>
      <c r="BF1178" s="1855"/>
      <c r="BG1178" s="1855"/>
      <c r="BH1178" s="1855"/>
      <c r="BI1178" s="1855"/>
      <c r="BJ1178" s="1855"/>
      <c r="BK1178" s="1855"/>
      <c r="BL1178" s="1855"/>
    </row>
    <row r="1179" spans="1:64" ht="15" customHeight="1">
      <c r="A1179" s="2487" t="s">
        <v>1543</v>
      </c>
      <c r="B1179" s="2049" t="s">
        <v>1699</v>
      </c>
      <c r="C1179" s="2052"/>
      <c r="D1179" s="2052"/>
      <c r="E1179" s="2488">
        <f>'Part VIII Scoring Criteria'!E28</f>
        <v>3</v>
      </c>
      <c r="F1179" s="2487" t="str">
        <f>'Part VIII Scoring Criteria'!F28</f>
        <v xml:space="preserve">Applicant certifies that the property meets the requirements for the DCA PBRA Agreement.  Principals of the Applicant have multiple successful properties that participate in the Section 811 program. </v>
      </c>
      <c r="G1179" s="2052"/>
      <c r="H1179" s="2052"/>
      <c r="I1179" s="2052"/>
      <c r="J1179" s="2052"/>
      <c r="K1179" s="2052"/>
      <c r="L1179" s="2052"/>
      <c r="M1179" s="2052"/>
      <c r="N1179" s="2052"/>
      <c r="O1179" s="2052"/>
      <c r="P1179" s="2489"/>
      <c r="Q1179" s="2108"/>
      <c r="R1179" s="2108"/>
      <c r="S1179" s="2108"/>
      <c r="T1179" s="1855"/>
      <c r="U1179" s="1855"/>
      <c r="V1179" s="1855"/>
      <c r="W1179" s="1855"/>
      <c r="X1179" s="1854"/>
      <c r="Y1179" s="1854"/>
      <c r="Z1179" s="1854"/>
      <c r="AA1179" s="1854"/>
      <c r="AB1179" s="1854"/>
      <c r="AC1179" s="1854"/>
      <c r="AD1179" s="1854"/>
      <c r="AE1179" s="1854"/>
      <c r="AF1179" s="1854"/>
      <c r="AG1179" s="1854"/>
      <c r="AH1179" s="1854"/>
      <c r="AI1179" s="1854"/>
      <c r="AJ1179" s="1855"/>
      <c r="AK1179" s="1855"/>
      <c r="AL1179" s="1855"/>
      <c r="AM1179" s="1855"/>
      <c r="AN1179" s="1855"/>
      <c r="AO1179" s="1855"/>
      <c r="AP1179" s="1855"/>
      <c r="AQ1179" s="1855"/>
      <c r="AR1179" s="1855"/>
      <c r="AS1179" s="1855"/>
      <c r="AT1179" s="1855"/>
      <c r="AU1179" s="1855"/>
      <c r="AV1179" s="1855"/>
      <c r="AW1179" s="1855"/>
      <c r="AX1179" s="1855"/>
      <c r="AY1179" s="1855"/>
      <c r="AZ1179" s="1855"/>
      <c r="BA1179" s="1855"/>
      <c r="BB1179" s="1855"/>
      <c r="BC1179" s="1855"/>
      <c r="BD1179" s="1855"/>
      <c r="BE1179" s="1855"/>
      <c r="BF1179" s="1855"/>
      <c r="BG1179" s="1855"/>
      <c r="BH1179" s="1855"/>
      <c r="BI1179" s="1855"/>
      <c r="BJ1179" s="1855"/>
      <c r="BK1179" s="1855"/>
      <c r="BL1179" s="1855"/>
    </row>
    <row r="1180" spans="1:64" ht="15" customHeight="1">
      <c r="A1180" s="2487" t="s">
        <v>1556</v>
      </c>
      <c r="B1180" s="2049" t="s">
        <v>1700</v>
      </c>
      <c r="C1180" s="2052"/>
      <c r="D1180" s="2052"/>
      <c r="E1180" s="2488">
        <f>'Part VIII Scoring Criteria'!E29</f>
        <v>4</v>
      </c>
      <c r="F1180" s="2487" t="str">
        <f>'Part VIII Scoring Criteria'!F29</f>
        <v>Ashley Collegetown has an average occupancy of 94.89 for the 24 month period through July 2023.  Please see documentation in tab 46.</v>
      </c>
      <c r="G1180" s="2052"/>
      <c r="H1180" s="2052"/>
      <c r="I1180" s="2052"/>
      <c r="J1180" s="2052"/>
      <c r="K1180" s="2052"/>
      <c r="L1180" s="2052"/>
      <c r="M1180" s="2052"/>
      <c r="N1180" s="2052"/>
      <c r="O1180" s="2052"/>
      <c r="P1180" s="2489"/>
      <c r="Q1180" s="2108"/>
      <c r="R1180" s="2108"/>
      <c r="S1180" s="2108"/>
      <c r="T1180" s="1855"/>
      <c r="U1180" s="1855"/>
      <c r="V1180" s="1855"/>
      <c r="W1180" s="1855"/>
      <c r="X1180" s="1855"/>
      <c r="Y1180" s="1855"/>
      <c r="Z1180" s="1855"/>
      <c r="AA1180" s="1855"/>
      <c r="AB1180" s="1855"/>
      <c r="AC1180" s="1855"/>
      <c r="AD1180" s="1855"/>
      <c r="AE1180" s="1855"/>
      <c r="AF1180" s="1855"/>
      <c r="AG1180" s="1855"/>
      <c r="AH1180" s="1855"/>
      <c r="AI1180" s="1855"/>
      <c r="AJ1180" s="1855"/>
      <c r="AK1180" s="1855"/>
      <c r="AL1180" s="1855"/>
      <c r="AM1180" s="1855"/>
      <c r="AN1180" s="1855"/>
      <c r="AO1180" s="1855"/>
      <c r="AP1180" s="1855"/>
      <c r="AQ1180" s="1855"/>
      <c r="AR1180" s="1855"/>
      <c r="AS1180" s="1855"/>
      <c r="AT1180" s="1855"/>
      <c r="AU1180" s="1855"/>
      <c r="AV1180" s="1855"/>
      <c r="AW1180" s="1855"/>
      <c r="AX1180" s="1855"/>
      <c r="AY1180" s="1855"/>
      <c r="AZ1180" s="1855"/>
      <c r="BA1180" s="1855"/>
      <c r="BB1180" s="1855"/>
      <c r="BC1180" s="1855"/>
      <c r="BD1180" s="1855"/>
      <c r="BE1180" s="1855"/>
      <c r="BF1180" s="1855"/>
      <c r="BG1180" s="1855"/>
      <c r="BH1180" s="1855"/>
      <c r="BI1180" s="1855"/>
      <c r="BJ1180" s="1855"/>
      <c r="BK1180" s="1855"/>
      <c r="BL1180" s="1855"/>
    </row>
    <row r="1181" spans="1:64" ht="313.5">
      <c r="A1181" s="2487" t="s">
        <v>1701</v>
      </c>
      <c r="B1181" s="2049" t="s">
        <v>1702</v>
      </c>
      <c r="C1181" s="2052"/>
      <c r="D1181" s="2052"/>
      <c r="E1181" s="2488">
        <f>'Part VIII Scoring Criteria'!E30</f>
        <v>3</v>
      </c>
      <c r="F1181" s="2487" t="str">
        <f>'Part VIII Scoring Criteria'!F30</f>
        <v xml:space="preserve">Ashley Collegetown will undergo a RAD/Section 18 conversion, placing PBRA vouchers on 78 existing Section 9 units.  Please see commitment letter from AH.  </v>
      </c>
      <c r="G1181" s="2052"/>
      <c r="H1181" s="2052"/>
      <c r="I1181" s="2052"/>
      <c r="J1181" s="2052"/>
      <c r="K1181" s="2052"/>
      <c r="L1181" s="2052"/>
      <c r="M1181" s="2052"/>
      <c r="N1181" s="2052"/>
      <c r="O1181" s="2052"/>
      <c r="P1181" s="2489"/>
      <c r="Q1181" s="2108"/>
      <c r="R1181" s="1855"/>
      <c r="S1181" s="1855"/>
      <c r="T1181" s="1855"/>
      <c r="U1181" s="1855"/>
      <c r="V1181" s="1855"/>
      <c r="W1181" s="1855"/>
      <c r="X1181" s="1855"/>
      <c r="Y1181" s="1855"/>
      <c r="Z1181" s="1855"/>
      <c r="AA1181" s="1855"/>
      <c r="AB1181" s="1855"/>
      <c r="AC1181" s="1855"/>
      <c r="AD1181" s="1855"/>
      <c r="AE1181" s="1855"/>
      <c r="AF1181" s="1855"/>
      <c r="AG1181" s="1855"/>
      <c r="AH1181" s="1855"/>
      <c r="AI1181" s="1855"/>
      <c r="AJ1181" s="1855"/>
      <c r="AK1181" s="1855"/>
      <c r="AL1181" s="1855"/>
      <c r="AM1181" s="1855"/>
      <c r="AN1181" s="1855"/>
      <c r="AO1181" s="1855"/>
      <c r="AP1181" s="1855"/>
      <c r="AQ1181" s="1855"/>
      <c r="AR1181" s="1855"/>
      <c r="AS1181" s="1855"/>
      <c r="AT1181" s="1855"/>
      <c r="AU1181" s="1855"/>
      <c r="AV1181" s="1855"/>
      <c r="AW1181" s="1855"/>
      <c r="AX1181" s="1855"/>
      <c r="AY1181" s="1855"/>
      <c r="AZ1181" s="1855"/>
      <c r="BA1181" s="1855"/>
      <c r="BB1181" s="1855"/>
      <c r="BC1181" s="1855"/>
      <c r="BD1181" s="1855"/>
      <c r="BE1181" s="1855"/>
      <c r="BF1181" s="1855"/>
      <c r="BG1181" s="1855"/>
      <c r="BH1181" s="1855"/>
      <c r="BI1181" s="1855"/>
      <c r="BJ1181" s="1855"/>
      <c r="BK1181" s="1855"/>
      <c r="BL1181" s="1855"/>
    </row>
    <row r="1182" spans="1:64" ht="15" customHeight="1">
      <c r="A1182" s="2487" t="s">
        <v>1703</v>
      </c>
      <c r="B1182" s="2049" t="s">
        <v>1704</v>
      </c>
      <c r="C1182" s="2052"/>
      <c r="D1182" s="2052"/>
      <c r="E1182" s="2488">
        <f>'Part VIII Scoring Criteria'!E31</f>
        <v>2</v>
      </c>
      <c r="F1182" s="2487" t="str">
        <f>'Part VIII Scoring Criteria'!F31</f>
        <v xml:space="preserve">Ashley Collegetown I reached Placed in Service in 2005.  Please see documentation Tab 49. </v>
      </c>
      <c r="G1182" s="2052"/>
      <c r="H1182" s="2052"/>
      <c r="I1182" s="2052"/>
      <c r="J1182" s="2052"/>
      <c r="K1182" s="2052"/>
      <c r="L1182" s="2052"/>
      <c r="M1182" s="2052"/>
      <c r="N1182" s="2052"/>
      <c r="O1182" s="2052"/>
      <c r="P1182" s="2489"/>
      <c r="Q1182" s="2108"/>
      <c r="R1182" s="1855"/>
      <c r="S1182" s="1855"/>
      <c r="T1182" s="1855"/>
      <c r="U1182" s="1855"/>
      <c r="V1182" s="1855"/>
      <c r="W1182" s="1855"/>
      <c r="X1182" s="1855"/>
      <c r="Y1182" s="1855"/>
      <c r="Z1182" s="1855"/>
      <c r="AA1182" s="1855"/>
      <c r="AB1182" s="1855"/>
      <c r="AC1182" s="1855"/>
      <c r="AD1182" s="1855"/>
      <c r="AE1182" s="1855"/>
      <c r="AF1182" s="1855"/>
      <c r="AG1182" s="1855"/>
      <c r="AH1182" s="1855"/>
      <c r="AI1182" s="1855"/>
      <c r="AJ1182" s="1855"/>
      <c r="AK1182" s="1855"/>
      <c r="AL1182" s="1855"/>
      <c r="AM1182" s="1855"/>
      <c r="AN1182" s="1855"/>
      <c r="AO1182" s="1855"/>
      <c r="AP1182" s="1855"/>
      <c r="AQ1182" s="1855"/>
      <c r="AR1182" s="1855"/>
      <c r="AS1182" s="1855"/>
      <c r="AT1182" s="1855"/>
      <c r="AU1182" s="1855"/>
      <c r="AV1182" s="1855"/>
      <c r="AW1182" s="1855"/>
      <c r="AX1182" s="1855"/>
      <c r="AY1182" s="1855"/>
      <c r="AZ1182" s="1855"/>
      <c r="BA1182" s="1855"/>
      <c r="BB1182" s="1855"/>
      <c r="BC1182" s="1855"/>
      <c r="BD1182" s="1855"/>
      <c r="BE1182" s="1855"/>
      <c r="BF1182" s="1855"/>
      <c r="BG1182" s="1855"/>
      <c r="BH1182" s="1855"/>
      <c r="BI1182" s="1855"/>
      <c r="BJ1182" s="1855"/>
      <c r="BK1182" s="1855"/>
      <c r="BL1182" s="1855"/>
    </row>
    <row r="1183" spans="1:64" s="1855" customFormat="1" ht="14.45" customHeight="1">
      <c r="A1183" s="2491" t="s">
        <v>1705</v>
      </c>
      <c r="B1183" s="2049" t="s">
        <v>1706</v>
      </c>
      <c r="C1183" s="2052"/>
      <c r="D1183" s="2052"/>
      <c r="E1183" s="2488">
        <f>'Part VIII Scoring Criteria'!E32</f>
        <v>0</v>
      </c>
      <c r="F1183" s="2487">
        <f>'Part VIII Scoring Criteria'!F32</f>
        <v>0</v>
      </c>
      <c r="G1183" s="2052"/>
      <c r="H1183" s="2052"/>
      <c r="I1183" s="2052"/>
      <c r="J1183" s="2052"/>
      <c r="K1183" s="2052"/>
      <c r="L1183" s="2052"/>
      <c r="M1183" s="2052"/>
      <c r="N1183" s="2052"/>
      <c r="O1183" s="2052"/>
      <c r="P1183" s="2489"/>
      <c r="Q1183" s="2108"/>
    </row>
    <row r="1184" spans="1:64" ht="15">
      <c r="A1184" s="2043"/>
      <c r="B1184" s="2043"/>
      <c r="C1184" s="2043"/>
      <c r="D1184" s="2043"/>
      <c r="E1184" s="2043"/>
      <c r="F1184" s="2043"/>
      <c r="G1184" s="2043"/>
      <c r="H1184" s="2043"/>
      <c r="I1184" s="2043"/>
      <c r="J1184" s="2043"/>
      <c r="K1184" s="2043"/>
      <c r="L1184" s="2043"/>
      <c r="M1184" s="2043"/>
      <c r="N1184" s="1994"/>
      <c r="O1184" s="2045"/>
      <c r="P1184" s="2045"/>
      <c r="Q1184" s="2111"/>
      <c r="R1184" s="2043"/>
      <c r="S1184" s="2043"/>
      <c r="T1184" s="2043"/>
      <c r="U1184" s="2043"/>
      <c r="V1184" s="2043"/>
      <c r="W1184" s="2043"/>
      <c r="X1184" s="2043"/>
      <c r="Y1184" s="2043"/>
      <c r="Z1184" s="2043"/>
      <c r="AA1184" s="2043"/>
      <c r="AB1184" s="2043"/>
      <c r="AC1184" s="2043"/>
      <c r="AD1184" s="2043"/>
      <c r="AE1184" s="2043"/>
      <c r="AF1184" s="2043"/>
      <c r="AG1184" s="2043"/>
      <c r="AH1184" s="2043"/>
      <c r="AI1184" s="2043"/>
      <c r="AJ1184" s="2043"/>
      <c r="AK1184" s="2043"/>
      <c r="AL1184" s="2043"/>
      <c r="AM1184" s="2043"/>
      <c r="AN1184" s="2043"/>
      <c r="AO1184" s="2043"/>
      <c r="AP1184" s="2043"/>
      <c r="AQ1184" s="2043"/>
      <c r="AR1184" s="2043"/>
      <c r="AS1184" s="2043"/>
      <c r="AT1184" s="2043"/>
      <c r="AU1184" s="2043"/>
      <c r="AV1184" s="2043"/>
      <c r="AW1184" s="2043"/>
      <c r="AX1184" s="2043"/>
      <c r="AY1184" s="2043"/>
      <c r="AZ1184" s="2043"/>
      <c r="BA1184" s="2043"/>
      <c r="BB1184" s="2043"/>
      <c r="BC1184" s="2043"/>
      <c r="BD1184" s="2043"/>
      <c r="BE1184" s="2043"/>
      <c r="BF1184" s="2043"/>
      <c r="BG1184" s="2043"/>
      <c r="BH1184" s="2043"/>
      <c r="BI1184" s="2043"/>
      <c r="BJ1184" s="2043"/>
      <c r="BK1184" s="2043"/>
      <c r="BL1184" s="2043"/>
    </row>
    <row r="1185" spans="1:64" ht="14.25" customHeight="1">
      <c r="A1185" s="3854" t="s">
        <v>7025</v>
      </c>
      <c r="B1185" s="3854"/>
      <c r="C1185" s="3854"/>
      <c r="D1185" s="3854"/>
      <c r="E1185" s="2043"/>
      <c r="F1185" s="2108" t="s">
        <v>1708</v>
      </c>
      <c r="G1185" s="2108"/>
      <c r="H1185" s="2108"/>
      <c r="I1185" s="2108"/>
      <c r="J1185" s="1854" t="s">
        <v>1709</v>
      </c>
      <c r="K1185" s="1854"/>
      <c r="L1185" s="1854"/>
      <c r="M1185" s="1854"/>
      <c r="N1185" s="1994"/>
      <c r="O1185" s="1855" t="s">
        <v>1710</v>
      </c>
      <c r="P1185" s="1855"/>
      <c r="Q1185" s="2111"/>
      <c r="R1185" s="2043"/>
      <c r="S1185" s="2043"/>
      <c r="T1185" s="2043"/>
      <c r="U1185" s="2043"/>
      <c r="V1185" s="2043"/>
      <c r="W1185" s="2043"/>
      <c r="X1185" s="2043"/>
      <c r="Y1185" s="2043"/>
      <c r="Z1185" s="2043"/>
      <c r="AA1185" s="2043"/>
      <c r="AB1185" s="2043"/>
      <c r="AC1185" s="2043"/>
      <c r="AD1185" s="2043"/>
      <c r="AE1185" s="2043"/>
      <c r="AF1185" s="2043"/>
      <c r="AG1185" s="2043"/>
      <c r="AH1185" s="2043"/>
      <c r="AI1185" s="2043"/>
      <c r="AJ1185" s="2043"/>
      <c r="AK1185" s="2043"/>
      <c r="AL1185" s="2043"/>
      <c r="AM1185" s="2043"/>
      <c r="AN1185" s="2043"/>
      <c r="AO1185" s="2043"/>
      <c r="AP1185" s="2043"/>
      <c r="AQ1185" s="2043"/>
      <c r="AR1185" s="2043"/>
      <c r="AS1185" s="2043"/>
      <c r="AT1185" s="2043"/>
      <c r="AU1185" s="2043"/>
      <c r="AV1185" s="2043"/>
      <c r="AW1185" s="2043"/>
      <c r="AX1185" s="2043"/>
      <c r="AY1185" s="2043"/>
      <c r="AZ1185" s="2043"/>
      <c r="BA1185" s="2043"/>
      <c r="BB1185" s="2043"/>
      <c r="BC1185" s="2043"/>
      <c r="BD1185" s="2043"/>
      <c r="BE1185" s="2043"/>
      <c r="BF1185" s="2043"/>
      <c r="BG1185" s="2043"/>
      <c r="BH1185" s="2043"/>
      <c r="BI1185" s="2043"/>
      <c r="BJ1185" s="2043"/>
      <c r="BK1185" s="2043"/>
      <c r="BL1185" s="2043"/>
    </row>
    <row r="1186" spans="1:64" ht="14.25" customHeight="1">
      <c r="A1186" s="1964" t="s">
        <v>1711</v>
      </c>
      <c r="B1186" s="2043"/>
      <c r="C1186" s="1964" t="s">
        <v>1712</v>
      </c>
      <c r="D1186" s="1964" t="s">
        <v>1666</v>
      </c>
      <c r="E1186" s="2043"/>
      <c r="F1186" s="2108"/>
      <c r="G1186" s="2108"/>
      <c r="H1186" s="2108"/>
      <c r="I1186" s="2108"/>
      <c r="J1186" s="1854"/>
      <c r="K1186" s="1854"/>
      <c r="L1186" s="1854"/>
      <c r="M1186" s="1854"/>
      <c r="N1186" s="1994"/>
      <c r="O1186" s="1855"/>
      <c r="P1186" s="1855"/>
      <c r="Q1186" s="2043"/>
      <c r="R1186" s="2043"/>
      <c r="S1186" s="2043"/>
      <c r="T1186" s="2043"/>
      <c r="U1186" s="2043"/>
      <c r="V1186" s="2043"/>
      <c r="W1186" s="2043"/>
      <c r="X1186" s="2043"/>
      <c r="Y1186" s="2043"/>
      <c r="Z1186" s="2043"/>
      <c r="AA1186" s="2043"/>
      <c r="AB1186" s="2043"/>
      <c r="AC1186" s="2043"/>
      <c r="AD1186" s="2043"/>
      <c r="AE1186" s="2043"/>
      <c r="AF1186" s="2043"/>
      <c r="AG1186" s="2043"/>
      <c r="AH1186" s="2043"/>
      <c r="AI1186" s="2043"/>
      <c r="AJ1186" s="2043"/>
      <c r="AK1186" s="2043"/>
      <c r="AL1186" s="2043"/>
      <c r="AM1186" s="2043"/>
      <c r="AN1186" s="2043"/>
      <c r="AO1186" s="2043"/>
      <c r="AP1186" s="2043"/>
      <c r="AQ1186" s="2043"/>
      <c r="AR1186" s="2043"/>
      <c r="AS1186" s="2043"/>
      <c r="AT1186" s="2043"/>
      <c r="AU1186" s="2043"/>
      <c r="AV1186" s="2043"/>
      <c r="AW1186" s="2043"/>
      <c r="AX1186" s="2043"/>
      <c r="AY1186" s="2043"/>
      <c r="AZ1186" s="2043"/>
      <c r="BA1186" s="2043"/>
      <c r="BB1186" s="2043"/>
      <c r="BC1186" s="2043"/>
      <c r="BD1186" s="2043"/>
      <c r="BE1186" s="2043"/>
      <c r="BF1186" s="2043"/>
      <c r="BG1186" s="2043"/>
      <c r="BH1186" s="2043"/>
      <c r="BI1186" s="2043"/>
      <c r="BJ1186" s="2043"/>
      <c r="BK1186" s="2043"/>
      <c r="BL1186" s="2043"/>
    </row>
    <row r="1187" spans="1:64" ht="14.25" customHeight="1">
      <c r="A1187" s="2113">
        <v>33</v>
      </c>
      <c r="B1187" s="2043"/>
      <c r="C1187" s="2113">
        <f>'Part VIII Scoring Criteria'!C36</f>
        <v>0</v>
      </c>
      <c r="D1187" s="2113">
        <f>'Part VIII Scoring Criteria'!D36</f>
        <v>0</v>
      </c>
      <c r="E1187" s="2043"/>
      <c r="F1187" s="1854" t="str">
        <f>'Part VIII Scoring Criteria'!F36</f>
        <v>Preservation</v>
      </c>
      <c r="G1187" s="1854"/>
      <c r="H1187" s="1854"/>
      <c r="I1187" s="1854"/>
      <c r="J1187" s="1854" t="str">
        <f>'Part VIII Scoring Criteria'!J36</f>
        <v>Atlanta Metro</v>
      </c>
      <c r="K1187" s="1854"/>
      <c r="L1187" s="1854"/>
      <c r="M1187" s="1854"/>
      <c r="N1187" s="1994"/>
      <c r="O1187" s="1854" t="str">
        <f>'Part VIII Scoring Criteria'!O36</f>
        <v>4%</v>
      </c>
      <c r="P1187" s="1854"/>
      <c r="Q1187" s="2043"/>
      <c r="R1187" s="2043"/>
      <c r="S1187" s="2043"/>
      <c r="T1187" s="2043"/>
      <c r="U1187" s="2043"/>
      <c r="V1187" s="2043"/>
      <c r="W1187" s="2043"/>
      <c r="X1187" s="2043"/>
      <c r="Y1187" s="2043"/>
      <c r="Z1187" s="2043"/>
      <c r="AA1187" s="2043"/>
      <c r="AB1187" s="2043"/>
      <c r="AC1187" s="2043"/>
      <c r="AD1187" s="2043"/>
      <c r="AE1187" s="2043"/>
      <c r="AF1187" s="2043"/>
      <c r="AG1187" s="2043"/>
      <c r="AH1187" s="2043"/>
      <c r="AI1187" s="2043"/>
      <c r="AJ1187" s="2043"/>
      <c r="AK1187" s="2043"/>
      <c r="AL1187" s="2043"/>
      <c r="AM1187" s="2043"/>
      <c r="AN1187" s="2043"/>
      <c r="AO1187" s="2043"/>
      <c r="AP1187" s="2043"/>
      <c r="AQ1187" s="2043"/>
      <c r="AR1187" s="2043"/>
      <c r="AS1187" s="2043"/>
      <c r="AT1187" s="2043"/>
      <c r="AU1187" s="2043"/>
      <c r="AV1187" s="2043"/>
      <c r="AW1187" s="2043"/>
      <c r="AX1187" s="2043"/>
      <c r="AY1187" s="2043"/>
      <c r="AZ1187" s="2043"/>
      <c r="BA1187" s="2043"/>
      <c r="BB1187" s="2043"/>
      <c r="BC1187" s="2043"/>
      <c r="BD1187" s="2043"/>
      <c r="BE1187" s="2043"/>
      <c r="BF1187" s="2043"/>
      <c r="BG1187" s="2043"/>
      <c r="BH1187" s="2043"/>
      <c r="BI1187" s="2043"/>
      <c r="BJ1187" s="2043"/>
      <c r="BK1187" s="2043"/>
      <c r="BL1187" s="2043"/>
    </row>
    <row r="1188" spans="1:64" ht="14.25" customHeight="1">
      <c r="A1188" s="1854"/>
      <c r="B1188" s="2043"/>
      <c r="C1188" s="1854"/>
      <c r="D1188" s="1854"/>
      <c r="E1188" s="2043"/>
      <c r="F1188" s="1854"/>
      <c r="G1188" s="1854"/>
      <c r="H1188" s="1854"/>
      <c r="I1188" s="1854"/>
      <c r="J1188" s="1854"/>
      <c r="K1188" s="1854"/>
      <c r="L1188" s="1854"/>
      <c r="M1188" s="1854"/>
      <c r="N1188" s="1994"/>
      <c r="O1188" s="1854"/>
      <c r="P1188" s="1854"/>
      <c r="Q1188" s="2043"/>
      <c r="R1188" s="2043"/>
      <c r="S1188" s="2043"/>
      <c r="T1188" s="2043"/>
      <c r="U1188" s="2043"/>
      <c r="V1188" s="2043"/>
      <c r="W1188" s="2043"/>
      <c r="X1188" s="2043"/>
      <c r="Y1188" s="2043"/>
      <c r="Z1188" s="2043"/>
      <c r="AA1188" s="2043"/>
      <c r="AB1188" s="2043"/>
      <c r="AC1188" s="2043"/>
      <c r="AD1188" s="2043"/>
      <c r="AE1188" s="2043"/>
      <c r="AF1188" s="2043"/>
      <c r="AG1188" s="2043"/>
      <c r="AH1188" s="2043"/>
      <c r="AI1188" s="2043"/>
      <c r="AJ1188" s="2043"/>
      <c r="AK1188" s="2043"/>
      <c r="AL1188" s="2043"/>
      <c r="AM1188" s="2043"/>
      <c r="AN1188" s="2043"/>
      <c r="AO1188" s="2043"/>
      <c r="AP1188" s="2043"/>
      <c r="AQ1188" s="2043"/>
      <c r="AR1188" s="2043"/>
      <c r="AS1188" s="2043"/>
      <c r="AT1188" s="2043"/>
      <c r="AU1188" s="2043"/>
      <c r="AV1188" s="2043"/>
      <c r="AW1188" s="2043"/>
      <c r="AX1188" s="2043"/>
      <c r="AY1188" s="2043"/>
      <c r="AZ1188" s="2043"/>
      <c r="BA1188" s="2043"/>
      <c r="BB1188" s="2043"/>
      <c r="BC1188" s="2043"/>
      <c r="BD1188" s="2043"/>
      <c r="BE1188" s="2043"/>
      <c r="BF1188" s="2043"/>
      <c r="BG1188" s="2043"/>
      <c r="BH1188" s="2043"/>
      <c r="BI1188" s="2043"/>
      <c r="BJ1188" s="2043"/>
      <c r="BK1188" s="2043"/>
      <c r="BL1188" s="2043"/>
    </row>
    <row r="1189" spans="1:64" ht="15">
      <c r="A1189" s="1855"/>
      <c r="B1189" s="2114"/>
      <c r="C1189" s="1855"/>
      <c r="D1189" s="1854"/>
      <c r="E1189" s="1855"/>
      <c r="F1189" s="1855"/>
      <c r="G1189" s="2115"/>
      <c r="H1189" s="2115"/>
      <c r="I1189" s="2115"/>
      <c r="J1189" s="2115"/>
      <c r="K1189" s="2115"/>
      <c r="L1189" s="2115"/>
      <c r="M1189" s="1964"/>
      <c r="N1189" s="1994"/>
      <c r="O1189" s="2042"/>
      <c r="P1189" s="2113"/>
      <c r="Q1189" s="2043"/>
      <c r="R1189" s="1855"/>
      <c r="S1189" s="1855"/>
      <c r="T1189" s="1855"/>
      <c r="U1189" s="1855"/>
      <c r="V1189" s="1855"/>
      <c r="W1189" s="1855"/>
      <c r="X1189" s="2116"/>
      <c r="Y1189" s="2116"/>
      <c r="Z1189" s="2116"/>
      <c r="AA1189" s="2116"/>
      <c r="AB1189" s="2116"/>
      <c r="AC1189" s="2116"/>
      <c r="AD1189" s="2116"/>
      <c r="AE1189" s="2116"/>
      <c r="AF1189" s="2116"/>
      <c r="AG1189" s="2116"/>
      <c r="AH1189" s="2116"/>
      <c r="AI1189" s="2116"/>
      <c r="AJ1189" s="2043"/>
      <c r="AK1189" s="2043"/>
      <c r="AL1189" s="2043"/>
      <c r="AM1189" s="2043"/>
      <c r="AN1189" s="2043"/>
      <c r="AO1189" s="2043"/>
      <c r="AP1189" s="2043"/>
      <c r="AQ1189" s="2043"/>
      <c r="AR1189" s="2043"/>
      <c r="AS1189" s="2043"/>
      <c r="AT1189" s="2043"/>
      <c r="AU1189" s="2043"/>
      <c r="AV1189" s="2043"/>
      <c r="AW1189" s="2043"/>
      <c r="AX1189" s="2043"/>
      <c r="AY1189" s="2043"/>
      <c r="AZ1189" s="2043"/>
      <c r="BA1189" s="2043"/>
      <c r="BB1189" s="2043"/>
      <c r="BC1189" s="2043"/>
      <c r="BD1189" s="2043"/>
      <c r="BE1189" s="2043"/>
      <c r="BF1189" s="2043"/>
      <c r="BG1189" s="2043"/>
      <c r="BH1189" s="2043"/>
      <c r="BI1189" s="2043"/>
      <c r="BJ1189" s="2043"/>
      <c r="BK1189" s="2043"/>
      <c r="BL1189" s="2043"/>
    </row>
    <row r="1190" spans="1:64" ht="15">
      <c r="A1190" s="1855"/>
      <c r="B1190" s="2114"/>
      <c r="C1190" s="1855"/>
      <c r="D1190" s="1854"/>
      <c r="E1190" s="1855"/>
      <c r="F1190" s="1855"/>
      <c r="G1190" s="2115"/>
      <c r="H1190" s="2115"/>
      <c r="I1190" s="2115"/>
      <c r="J1190" s="2115"/>
      <c r="K1190" s="2115"/>
      <c r="L1190" s="2115"/>
      <c r="M1190" s="1964"/>
      <c r="N1190" s="1994"/>
      <c r="O1190" s="2042"/>
      <c r="P1190" s="2113"/>
      <c r="Q1190" s="2043"/>
      <c r="R1190" s="1855"/>
      <c r="S1190" s="1855"/>
      <c r="T1190" s="1855"/>
      <c r="U1190" s="1855"/>
      <c r="V1190" s="1855"/>
      <c r="W1190" s="1855"/>
      <c r="X1190" s="2116"/>
      <c r="Y1190" s="2116"/>
      <c r="Z1190" s="2116"/>
      <c r="AA1190" s="2116"/>
      <c r="AB1190" s="2116"/>
      <c r="AC1190" s="2116"/>
      <c r="AD1190" s="2116"/>
      <c r="AE1190" s="2116"/>
      <c r="AF1190" s="2116"/>
      <c r="AG1190" s="2116"/>
      <c r="AH1190" s="2116"/>
      <c r="AI1190" s="2116"/>
      <c r="AJ1190" s="2043"/>
      <c r="AK1190" s="2043"/>
      <c r="AL1190" s="2043"/>
      <c r="AM1190" s="2043"/>
      <c r="AN1190" s="2043"/>
      <c r="AO1190" s="2043"/>
      <c r="AP1190" s="2043"/>
      <c r="AQ1190" s="2043"/>
      <c r="AR1190" s="2043"/>
      <c r="AS1190" s="2043"/>
      <c r="AT1190" s="2043"/>
      <c r="AU1190" s="2043"/>
      <c r="AV1190" s="2043"/>
      <c r="AW1190" s="2043"/>
      <c r="AX1190" s="2043"/>
      <c r="AY1190" s="2043"/>
      <c r="AZ1190" s="2043"/>
      <c r="BA1190" s="2043"/>
      <c r="BB1190" s="2043"/>
      <c r="BC1190" s="2043"/>
      <c r="BD1190" s="2043"/>
      <c r="BE1190" s="2043"/>
      <c r="BF1190" s="2043"/>
      <c r="BG1190" s="2043"/>
      <c r="BH1190" s="2043"/>
      <c r="BI1190" s="2043"/>
      <c r="BJ1190" s="2043"/>
      <c r="BK1190" s="2043"/>
      <c r="BL1190" s="2043"/>
    </row>
    <row r="1191" spans="1:64" ht="15">
      <c r="A1191" s="2109" t="s">
        <v>31</v>
      </c>
      <c r="B1191" s="2110" t="s">
        <v>1715</v>
      </c>
      <c r="C1191" s="1854"/>
      <c r="D1191" s="1854"/>
      <c r="E1191" s="1854"/>
      <c r="F1191" s="1855"/>
      <c r="G1191" s="1855"/>
      <c r="H1191" s="1855"/>
      <c r="I1191" s="1855"/>
      <c r="J1191" s="1855"/>
      <c r="K1191" s="1855"/>
      <c r="L1191" s="1855"/>
      <c r="M1191" s="2113">
        <v>10</v>
      </c>
      <c r="N1191" s="1964"/>
      <c r="O1191" s="2042">
        <f>'Part VIII Scoring Criteria'!O40</f>
        <v>10</v>
      </c>
      <c r="P1191" s="2042">
        <f>'Part VIII Scoring Criteria'!P40</f>
        <v>10</v>
      </c>
      <c r="Q1191" s="2113" t="s">
        <v>1716</v>
      </c>
      <c r="R1191" s="1855"/>
      <c r="S1191" s="1855"/>
      <c r="T1191" s="1855"/>
      <c r="U1191" s="1855"/>
      <c r="V1191" s="1855"/>
      <c r="W1191" s="1855"/>
      <c r="X1191" s="1855"/>
      <c r="Y1191" s="1855"/>
      <c r="Z1191" s="1855"/>
      <c r="AA1191" s="1855"/>
      <c r="AB1191" s="1855"/>
      <c r="AC1191" s="1855"/>
      <c r="AD1191" s="1855"/>
      <c r="AE1191" s="1855"/>
      <c r="AF1191" s="1855"/>
      <c r="AG1191" s="1855"/>
      <c r="AH1191" s="1855"/>
      <c r="AI1191" s="1855"/>
      <c r="AJ1191" s="1855"/>
      <c r="AK1191" s="1855"/>
      <c r="AL1191" s="1855"/>
      <c r="AM1191" s="1855"/>
      <c r="AN1191" s="1855"/>
      <c r="AO1191" s="1855"/>
      <c r="AP1191" s="1855"/>
      <c r="AQ1191" s="1855"/>
      <c r="AR1191" s="1855"/>
      <c r="AS1191" s="1855"/>
      <c r="AT1191" s="1855"/>
      <c r="AU1191" s="1855"/>
      <c r="AV1191" s="1855"/>
      <c r="AW1191" s="1855"/>
      <c r="AX1191" s="1855"/>
      <c r="AY1191" s="1855"/>
      <c r="AZ1191" s="1855"/>
      <c r="BA1191" s="1855"/>
      <c r="BB1191" s="1855"/>
      <c r="BC1191" s="1855"/>
      <c r="BD1191" s="1855"/>
      <c r="BE1191" s="1855"/>
      <c r="BF1191" s="1855"/>
      <c r="BG1191" s="1855"/>
      <c r="BH1191" s="1855"/>
      <c r="BI1191" s="1855"/>
      <c r="BJ1191" s="1855"/>
      <c r="BK1191" s="1855"/>
      <c r="BL1191" s="1855"/>
    </row>
    <row r="1192" spans="1:64" ht="15">
      <c r="A1192" s="1855"/>
      <c r="B1192" s="2114"/>
      <c r="C1192" s="1855"/>
      <c r="D1192" s="1855"/>
      <c r="E1192" s="1855"/>
      <c r="F1192" s="1855"/>
      <c r="G1192" s="1855"/>
      <c r="H1192" s="1855"/>
      <c r="I1192" s="1855"/>
      <c r="J1192" s="1855"/>
      <c r="K1192" s="1855"/>
      <c r="L1192" s="1855"/>
      <c r="M1192" s="1964"/>
      <c r="N1192" s="1994"/>
      <c r="O1192" s="2042"/>
      <c r="P1192" s="2113"/>
      <c r="Q1192" s="2043"/>
      <c r="R1192" s="1855"/>
      <c r="S1192" s="1855"/>
      <c r="T1192" s="2043"/>
      <c r="U1192" s="2043"/>
      <c r="V1192" s="2043"/>
      <c r="W1192" s="2043"/>
      <c r="X1192" s="2043"/>
      <c r="Y1192" s="2043"/>
      <c r="Z1192" s="2043"/>
      <c r="AA1192" s="2043"/>
      <c r="AB1192" s="2043"/>
      <c r="AC1192" s="2043"/>
      <c r="AD1192" s="2043"/>
      <c r="AE1192" s="2043"/>
      <c r="AF1192" s="2043"/>
      <c r="AG1192" s="2043"/>
      <c r="AH1192" s="2043"/>
      <c r="AI1192" s="2043"/>
      <c r="AJ1192" s="2043"/>
      <c r="AK1192" s="2043"/>
      <c r="AL1192" s="2043"/>
      <c r="AM1192" s="2043"/>
      <c r="AN1192" s="2043"/>
      <c r="AO1192" s="2043"/>
      <c r="AP1192" s="2043"/>
      <c r="AQ1192" s="2043"/>
      <c r="AR1192" s="2043"/>
      <c r="AS1192" s="2043"/>
      <c r="AT1192" s="2043"/>
      <c r="AU1192" s="2043"/>
      <c r="AV1192" s="2043"/>
      <c r="AW1192" s="2043"/>
      <c r="AX1192" s="2043"/>
      <c r="AY1192" s="2043"/>
      <c r="AZ1192" s="2043"/>
      <c r="BA1192" s="2043"/>
      <c r="BB1192" s="2043"/>
      <c r="BC1192" s="2043"/>
      <c r="BD1192" s="2043"/>
      <c r="BE1192" s="2043"/>
      <c r="BF1192" s="2043"/>
      <c r="BG1192" s="2043"/>
      <c r="BH1192" s="2043"/>
      <c r="BI1192" s="2043"/>
      <c r="BJ1192" s="2043"/>
      <c r="BK1192" s="2043"/>
      <c r="BL1192" s="2043"/>
    </row>
    <row r="1193" spans="1:64" ht="15">
      <c r="A1193" s="2114" t="s">
        <v>194</v>
      </c>
      <c r="B1193" s="1854" t="s">
        <v>1717</v>
      </c>
      <c r="C1193" s="1855"/>
      <c r="D1193" s="1855"/>
      <c r="E1193" s="1855"/>
      <c r="F1193" s="1964"/>
      <c r="G1193" s="1855"/>
      <c r="H1193" s="1855"/>
      <c r="I1193" s="1855"/>
      <c r="J1193" s="1855"/>
      <c r="K1193" s="1855"/>
      <c r="L1193" s="1855"/>
      <c r="M1193" s="1855"/>
      <c r="N1193" s="2112"/>
      <c r="O1193" s="1855"/>
      <c r="P1193" s="2492">
        <f>SUM(P1194:P1196)</f>
        <v>0</v>
      </c>
      <c r="Q1193" s="1855"/>
      <c r="R1193" s="1855"/>
      <c r="S1193" s="1855"/>
      <c r="T1193" s="1855"/>
      <c r="U1193" s="1855"/>
      <c r="V1193" s="1855"/>
      <c r="W1193" s="1855"/>
      <c r="X1193" s="1855"/>
      <c r="Y1193" s="1855"/>
      <c r="Z1193" s="1855"/>
      <c r="AA1193" s="1855"/>
      <c r="AB1193" s="1855"/>
      <c r="AC1193" s="1855"/>
      <c r="AD1193" s="1855"/>
      <c r="AE1193" s="1855"/>
      <c r="AF1193" s="1855"/>
      <c r="AG1193" s="1855"/>
      <c r="AH1193" s="1855"/>
      <c r="AI1193" s="1855"/>
      <c r="AJ1193" s="1855"/>
      <c r="AK1193" s="1855"/>
      <c r="AL1193" s="1855"/>
      <c r="AM1193" s="1855"/>
      <c r="AN1193" s="1855"/>
      <c r="AO1193" s="1855"/>
      <c r="AP1193" s="1855"/>
      <c r="AQ1193" s="1855"/>
      <c r="AR1193" s="1855"/>
      <c r="AS1193" s="1855"/>
      <c r="AT1193" s="1855"/>
      <c r="AU1193" s="1855"/>
      <c r="AV1193" s="1855"/>
      <c r="AW1193" s="1855"/>
      <c r="AX1193" s="1855"/>
      <c r="AY1193" s="1855"/>
      <c r="AZ1193" s="1855"/>
      <c r="BA1193" s="1855"/>
      <c r="BB1193" s="1855"/>
      <c r="BC1193" s="1855"/>
      <c r="BD1193" s="1855"/>
      <c r="BE1193" s="1855"/>
      <c r="BF1193" s="1855"/>
      <c r="BG1193" s="1855"/>
      <c r="BH1193" s="1855"/>
      <c r="BI1193" s="1855"/>
      <c r="BJ1193" s="1855"/>
      <c r="BK1193" s="1855"/>
      <c r="BL1193" s="1855"/>
    </row>
    <row r="1194" spans="1:64" ht="15">
      <c r="A1194" s="2114"/>
      <c r="B1194" s="2493" t="s">
        <v>209</v>
      </c>
      <c r="C1194" s="1855" t="s">
        <v>1718</v>
      </c>
      <c r="D1194" s="1855"/>
      <c r="E1194" s="1855"/>
      <c r="F1194" s="1964"/>
      <c r="G1194" s="2043"/>
      <c r="H1194" s="1855"/>
      <c r="I1194" s="2043"/>
      <c r="J1194" s="2484"/>
      <c r="K1194" s="2043"/>
      <c r="L1194" s="2043"/>
      <c r="M1194" s="2043"/>
      <c r="N1194" s="2494"/>
      <c r="O1194" s="2043"/>
      <c r="P1194" s="2115">
        <f>F1202</f>
        <v>0</v>
      </c>
      <c r="Q1194" s="2043"/>
      <c r="R1194" s="2043"/>
      <c r="S1194" s="2043"/>
      <c r="T1194" s="2043"/>
      <c r="U1194" s="2043"/>
      <c r="V1194" s="2043"/>
      <c r="W1194" s="2043"/>
      <c r="X1194" s="2043"/>
      <c r="Y1194" s="2043"/>
      <c r="Z1194" s="2043"/>
      <c r="AA1194" s="2043"/>
      <c r="AB1194" s="2043"/>
      <c r="AC1194" s="2043"/>
      <c r="AD1194" s="2043"/>
      <c r="AE1194" s="2043"/>
      <c r="AF1194" s="2043"/>
      <c r="AG1194" s="2043"/>
      <c r="AH1194" s="2043"/>
      <c r="AI1194" s="2043"/>
      <c r="AJ1194" s="2043"/>
      <c r="AK1194" s="2043"/>
      <c r="AL1194" s="2043"/>
      <c r="AM1194" s="2043"/>
      <c r="AN1194" s="2043"/>
      <c r="AO1194" s="2043"/>
      <c r="AP1194" s="2043"/>
      <c r="AQ1194" s="2043"/>
      <c r="AR1194" s="2043"/>
      <c r="AS1194" s="2043"/>
      <c r="AT1194" s="2043"/>
      <c r="AU1194" s="2043"/>
      <c r="AV1194" s="2043"/>
      <c r="AW1194" s="2043"/>
      <c r="AX1194" s="2043"/>
      <c r="AY1194" s="2043"/>
      <c r="AZ1194" s="2043"/>
      <c r="BA1194" s="2043"/>
      <c r="BB1194" s="2043"/>
      <c r="BC1194" s="2043"/>
      <c r="BD1194" s="2043"/>
      <c r="BE1194" s="2043"/>
      <c r="BF1194" s="2043"/>
      <c r="BG1194" s="2043"/>
      <c r="BH1194" s="2043"/>
      <c r="BI1194" s="2043"/>
      <c r="BJ1194" s="2043"/>
      <c r="BK1194" s="2043"/>
      <c r="BL1194" s="2043"/>
    </row>
    <row r="1195" spans="1:64" ht="15">
      <c r="A1195" s="2114"/>
      <c r="B1195" s="2493" t="s">
        <v>217</v>
      </c>
      <c r="C1195" s="1855" t="s">
        <v>1719</v>
      </c>
      <c r="D1195" s="1855"/>
      <c r="E1195" s="1855"/>
      <c r="F1195" s="1964"/>
      <c r="G1195" s="2043"/>
      <c r="H1195" s="1855"/>
      <c r="I1195" s="2043"/>
      <c r="J1195" s="2484"/>
      <c r="K1195" s="2043"/>
      <c r="L1195" s="2043"/>
      <c r="M1195" s="2043"/>
      <c r="N1195" s="2494"/>
      <c r="O1195" s="2043"/>
      <c r="P1195" s="2115">
        <f>J1202</f>
        <v>0</v>
      </c>
      <c r="Q1195" s="2043"/>
      <c r="R1195" s="2043"/>
      <c r="S1195" s="2043"/>
      <c r="T1195" s="2043"/>
      <c r="U1195" s="2043"/>
      <c r="V1195" s="2043"/>
      <c r="W1195" s="2043"/>
      <c r="X1195" s="2043"/>
      <c r="Y1195" s="2043"/>
      <c r="Z1195" s="2043"/>
      <c r="AA1195" s="2043"/>
      <c r="AB1195" s="2043"/>
      <c r="AC1195" s="2043"/>
      <c r="AD1195" s="2043"/>
      <c r="AE1195" s="2043"/>
      <c r="AF1195" s="2043"/>
      <c r="AG1195" s="2043"/>
      <c r="AH1195" s="2043"/>
      <c r="AI1195" s="2043"/>
      <c r="AJ1195" s="2043"/>
      <c r="AK1195" s="2043"/>
      <c r="AL1195" s="2043"/>
      <c r="AM1195" s="2043"/>
      <c r="AN1195" s="2043"/>
      <c r="AO1195" s="2043"/>
      <c r="AP1195" s="2043"/>
      <c r="AQ1195" s="2043"/>
      <c r="AR1195" s="2043"/>
      <c r="AS1195" s="2043"/>
      <c r="AT1195" s="2043"/>
      <c r="AU1195" s="2043"/>
      <c r="AV1195" s="2043"/>
      <c r="AW1195" s="2043"/>
      <c r="AX1195" s="2043"/>
      <c r="AY1195" s="2043"/>
      <c r="AZ1195" s="2043"/>
      <c r="BA1195" s="2043"/>
      <c r="BB1195" s="2043"/>
      <c r="BC1195" s="2043"/>
      <c r="BD1195" s="2043"/>
      <c r="BE1195" s="2043"/>
      <c r="BF1195" s="2043"/>
      <c r="BG1195" s="2043"/>
      <c r="BH1195" s="2043"/>
      <c r="BI1195" s="2043"/>
      <c r="BJ1195" s="2043"/>
      <c r="BK1195" s="2043"/>
      <c r="BL1195" s="2043"/>
    </row>
    <row r="1196" spans="1:64" ht="15">
      <c r="A1196" s="2114"/>
      <c r="B1196" s="2493" t="s">
        <v>221</v>
      </c>
      <c r="C1196" s="1855" t="s">
        <v>1720</v>
      </c>
      <c r="D1196" s="1855"/>
      <c r="E1196" s="1855"/>
      <c r="F1196" s="1964"/>
      <c r="G1196" s="2043"/>
      <c r="H1196" s="1855"/>
      <c r="I1196" s="2043"/>
      <c r="J1196" s="2484"/>
      <c r="K1196" s="2043"/>
      <c r="L1196" s="2043"/>
      <c r="M1196" s="2043"/>
      <c r="N1196" s="2494"/>
      <c r="O1196" s="2043"/>
      <c r="P1196" s="2115"/>
      <c r="Q1196" s="2043"/>
      <c r="R1196" s="2043"/>
      <c r="S1196" s="2043"/>
      <c r="T1196" s="2043"/>
      <c r="U1196" s="2043"/>
      <c r="V1196" s="2043"/>
      <c r="W1196" s="2043"/>
      <c r="X1196" s="2043"/>
      <c r="Y1196" s="2043"/>
      <c r="Z1196" s="2043"/>
      <c r="AA1196" s="2043"/>
      <c r="AB1196" s="2043"/>
      <c r="AC1196" s="2043"/>
      <c r="AD1196" s="2043"/>
      <c r="AE1196" s="2043"/>
      <c r="AF1196" s="2043"/>
      <c r="AG1196" s="2043"/>
      <c r="AH1196" s="2043"/>
      <c r="AI1196" s="2043"/>
      <c r="AJ1196" s="2043"/>
      <c r="AK1196" s="2043"/>
      <c r="AL1196" s="2043"/>
      <c r="AM1196" s="2043"/>
      <c r="AN1196" s="2043"/>
      <c r="AO1196" s="2043"/>
      <c r="AP1196" s="2043"/>
      <c r="AQ1196" s="2043"/>
      <c r="AR1196" s="2043"/>
      <c r="AS1196" s="2043"/>
      <c r="AT1196" s="2043"/>
      <c r="AU1196" s="2043"/>
      <c r="AV1196" s="2043"/>
      <c r="AW1196" s="2043"/>
      <c r="AX1196" s="2043"/>
      <c r="AY1196" s="2043"/>
      <c r="AZ1196" s="2043"/>
      <c r="BA1196" s="2043"/>
      <c r="BB1196" s="2043"/>
      <c r="BC1196" s="2043"/>
      <c r="BD1196" s="2043"/>
      <c r="BE1196" s="2043"/>
      <c r="BF1196" s="2043"/>
      <c r="BG1196" s="2043"/>
      <c r="BH1196" s="2043"/>
      <c r="BI1196" s="2043"/>
      <c r="BJ1196" s="2043"/>
      <c r="BK1196" s="2043"/>
      <c r="BL1196" s="2043"/>
    </row>
    <row r="1197" spans="1:64" ht="15" customHeight="1">
      <c r="A1197" s="2043"/>
      <c r="B1197" s="2043"/>
      <c r="C1197" s="2052" t="s">
        <v>7026</v>
      </c>
      <c r="D1197" s="2052"/>
      <c r="E1197" s="2052"/>
      <c r="F1197" s="2052"/>
      <c r="G1197" s="2052"/>
      <c r="H1197" s="2052"/>
      <c r="I1197" s="2052"/>
      <c r="J1197" s="2052"/>
      <c r="K1197" s="2052"/>
      <c r="L1197" s="2052"/>
      <c r="M1197" s="2052"/>
      <c r="N1197" s="2052"/>
      <c r="O1197" s="2052"/>
      <c r="P1197" s="2052"/>
      <c r="Q1197" s="1854"/>
      <c r="R1197" s="1854"/>
      <c r="S1197" s="2043"/>
      <c r="T1197" s="2043"/>
      <c r="U1197" s="2043"/>
      <c r="V1197" s="2043"/>
      <c r="W1197" s="2043"/>
      <c r="X1197" s="2043"/>
      <c r="Y1197" s="2043"/>
      <c r="Z1197" s="2043"/>
      <c r="AA1197" s="2043"/>
      <c r="AB1197" s="2043"/>
      <c r="AC1197" s="2043"/>
      <c r="AD1197" s="2043"/>
      <c r="AE1197" s="2043"/>
      <c r="AF1197" s="2043"/>
      <c r="AG1197" s="2043"/>
      <c r="AH1197" s="2043"/>
      <c r="AI1197" s="2043"/>
      <c r="AJ1197" s="2043"/>
      <c r="AK1197" s="2043"/>
      <c r="AL1197" s="2043"/>
      <c r="AM1197" s="2043"/>
      <c r="AN1197" s="2043"/>
      <c r="AO1197" s="2043"/>
      <c r="AP1197" s="2043"/>
      <c r="AQ1197" s="2043"/>
      <c r="AR1197" s="2043"/>
      <c r="AS1197" s="2043"/>
      <c r="AT1197" s="2043"/>
      <c r="AU1197" s="2043"/>
      <c r="AV1197" s="2043"/>
      <c r="AW1197" s="2043"/>
      <c r="AX1197" s="2043"/>
      <c r="AY1197" s="2043"/>
      <c r="AZ1197" s="2043"/>
      <c r="BA1197" s="2043"/>
      <c r="BB1197" s="2043"/>
      <c r="BC1197" s="2043"/>
      <c r="BD1197" s="2043"/>
      <c r="BE1197" s="2043"/>
      <c r="BF1197" s="2043"/>
      <c r="BG1197" s="2043"/>
      <c r="BH1197" s="2043"/>
      <c r="BI1197" s="2043"/>
      <c r="BJ1197" s="2043"/>
      <c r="BK1197" s="2043"/>
      <c r="BL1197" s="2043"/>
    </row>
    <row r="1198" spans="1:64" ht="15">
      <c r="A1198" s="2113"/>
      <c r="B1198" s="2495"/>
      <c r="C1198" s="2186"/>
      <c r="D1198" s="2049"/>
      <c r="E1198" s="2043"/>
      <c r="F1198" s="2043"/>
      <c r="G1198" s="2043"/>
      <c r="H1198" s="2043"/>
      <c r="I1198" s="2043"/>
      <c r="J1198" s="2043"/>
      <c r="K1198" s="2496"/>
      <c r="L1198" s="2496"/>
      <c r="M1198" s="1964"/>
      <c r="N1198" s="2494"/>
      <c r="O1198" s="2481"/>
      <c r="P1198" s="2481"/>
      <c r="Q1198" s="2043"/>
      <c r="R1198" s="2043"/>
      <c r="S1198" s="2043"/>
      <c r="T1198" s="2043"/>
      <c r="U1198" s="2043"/>
      <c r="V1198" s="2043"/>
      <c r="W1198" s="2043"/>
      <c r="X1198" s="2043"/>
      <c r="Y1198" s="2043"/>
      <c r="Z1198" s="2043"/>
      <c r="AA1198" s="2043"/>
      <c r="AB1198" s="2043"/>
      <c r="AC1198" s="2043"/>
      <c r="AD1198" s="2043"/>
      <c r="AE1198" s="2043"/>
      <c r="AF1198" s="2043"/>
      <c r="AG1198" s="2043"/>
      <c r="AH1198" s="2043"/>
      <c r="AI1198" s="2043"/>
      <c r="AJ1198" s="2043"/>
      <c r="AK1198" s="2043"/>
      <c r="AL1198" s="2043"/>
      <c r="AM1198" s="2043"/>
      <c r="AN1198" s="2043"/>
      <c r="AO1198" s="2043"/>
      <c r="AP1198" s="2043"/>
      <c r="AQ1198" s="2043"/>
      <c r="AR1198" s="2043"/>
      <c r="AS1198" s="2043"/>
      <c r="AT1198" s="2043"/>
      <c r="AU1198" s="2043"/>
      <c r="AV1198" s="2043"/>
      <c r="AW1198" s="2043"/>
      <c r="AX1198" s="2043"/>
      <c r="AY1198" s="2043"/>
      <c r="AZ1198" s="2043"/>
      <c r="BA1198" s="2043"/>
      <c r="BB1198" s="2043"/>
      <c r="BC1198" s="2043"/>
      <c r="BD1198" s="2043"/>
      <c r="BE1198" s="2043"/>
      <c r="BF1198" s="2043"/>
      <c r="BG1198" s="2043"/>
      <c r="BH1198" s="2043"/>
      <c r="BI1198" s="2043"/>
      <c r="BJ1198" s="2043"/>
      <c r="BK1198" s="2043"/>
      <c r="BL1198" s="2043"/>
    </row>
    <row r="1199" spans="1:64" ht="15">
      <c r="A1199" s="2114" t="s">
        <v>206</v>
      </c>
      <c r="B1199" s="1854" t="s">
        <v>1722</v>
      </c>
      <c r="C1199" s="1855"/>
      <c r="D1199" s="1855"/>
      <c r="E1199" s="1855"/>
      <c r="F1199" s="1964"/>
      <c r="G1199" s="1855"/>
      <c r="H1199" s="1855"/>
      <c r="I1199" s="1855"/>
      <c r="J1199" s="2484"/>
      <c r="K1199" s="1855"/>
      <c r="L1199" s="1855"/>
      <c r="M1199" s="1964"/>
      <c r="N1199" s="2112" t="s">
        <v>206</v>
      </c>
      <c r="O1199" s="1855"/>
      <c r="P1199" s="2115">
        <f>O1202</f>
        <v>0</v>
      </c>
      <c r="Q1199" s="1855"/>
      <c r="R1199" s="1855"/>
      <c r="S1199" s="1855"/>
      <c r="T1199" s="1855"/>
      <c r="U1199" s="1855"/>
      <c r="V1199" s="1855"/>
      <c r="W1199" s="1855"/>
      <c r="X1199" s="1855"/>
      <c r="Y1199" s="1855"/>
      <c r="Z1199" s="1855"/>
      <c r="AA1199" s="1855"/>
      <c r="AB1199" s="1855"/>
      <c r="AC1199" s="1855"/>
      <c r="AD1199" s="1855"/>
      <c r="AE1199" s="1855"/>
      <c r="AF1199" s="1855"/>
      <c r="AG1199" s="1855"/>
      <c r="AH1199" s="1855"/>
      <c r="AI1199" s="1855"/>
      <c r="AJ1199" s="1855"/>
      <c r="AK1199" s="1855"/>
      <c r="AL1199" s="1855"/>
      <c r="AM1199" s="1855"/>
      <c r="AN1199" s="1855"/>
      <c r="AO1199" s="1855"/>
      <c r="AP1199" s="1855"/>
      <c r="AQ1199" s="1855"/>
      <c r="AR1199" s="1855"/>
      <c r="AS1199" s="1855"/>
      <c r="AT1199" s="1855"/>
      <c r="AU1199" s="1855"/>
      <c r="AV1199" s="1855"/>
      <c r="AW1199" s="1855"/>
      <c r="AX1199" s="1855"/>
      <c r="AY1199" s="1855"/>
      <c r="AZ1199" s="1855"/>
      <c r="BA1199" s="1855"/>
      <c r="BB1199" s="1855"/>
      <c r="BC1199" s="1855"/>
      <c r="BD1199" s="1855"/>
      <c r="BE1199" s="1855"/>
      <c r="BF1199" s="1855"/>
      <c r="BG1199" s="1855"/>
      <c r="BH1199" s="1855"/>
      <c r="BI1199" s="1855"/>
      <c r="BJ1199" s="1855"/>
      <c r="BK1199" s="1855"/>
      <c r="BL1199" s="1855"/>
    </row>
    <row r="1200" spans="1:64" ht="15">
      <c r="A1200" s="2113"/>
      <c r="B1200" s="2495"/>
      <c r="C1200" s="2186"/>
      <c r="D1200" s="2049"/>
      <c r="E1200" s="2043"/>
      <c r="F1200" s="2043"/>
      <c r="G1200" s="2043"/>
      <c r="H1200" s="2043"/>
      <c r="I1200" s="2043"/>
      <c r="J1200" s="2043"/>
      <c r="K1200" s="2496"/>
      <c r="L1200" s="2496"/>
      <c r="M1200" s="1964"/>
      <c r="N1200" s="2494"/>
      <c r="O1200" s="2481"/>
      <c r="P1200" s="2481"/>
      <c r="Q1200" s="2043"/>
      <c r="R1200" s="2043"/>
      <c r="S1200" s="2043"/>
      <c r="T1200" s="2043"/>
      <c r="U1200" s="2043"/>
      <c r="V1200" s="2043"/>
      <c r="W1200" s="2043"/>
      <c r="X1200" s="2043"/>
      <c r="Y1200" s="2043"/>
      <c r="Z1200" s="2043"/>
      <c r="AA1200" s="2043"/>
      <c r="AB1200" s="2043"/>
      <c r="AC1200" s="2043"/>
      <c r="AD1200" s="2043"/>
      <c r="AE1200" s="2043"/>
      <c r="AF1200" s="2043"/>
      <c r="AG1200" s="2043"/>
      <c r="AH1200" s="2043"/>
      <c r="AI1200" s="2043"/>
      <c r="AJ1200" s="2043"/>
      <c r="AK1200" s="2043"/>
      <c r="AL1200" s="2043"/>
      <c r="AM1200" s="2043"/>
      <c r="AN1200" s="2043"/>
      <c r="AO1200" s="2043"/>
      <c r="AP1200" s="2043"/>
      <c r="AQ1200" s="2043"/>
      <c r="AR1200" s="2043"/>
      <c r="AS1200" s="2043"/>
      <c r="AT1200" s="2043"/>
      <c r="AU1200" s="2043"/>
      <c r="AV1200" s="2043"/>
      <c r="AW1200" s="2043"/>
      <c r="AX1200" s="2043"/>
      <c r="AY1200" s="2043"/>
      <c r="AZ1200" s="2043"/>
      <c r="BA1200" s="2043"/>
      <c r="BB1200" s="2043"/>
      <c r="BC1200" s="2043"/>
      <c r="BD1200" s="2043"/>
      <c r="BE1200" s="2043"/>
      <c r="BF1200" s="2043"/>
      <c r="BG1200" s="2043"/>
      <c r="BH1200" s="2043"/>
      <c r="BI1200" s="2043"/>
      <c r="BJ1200" s="2043"/>
      <c r="BK1200" s="2043"/>
      <c r="BL1200" s="2043"/>
    </row>
    <row r="1201" spans="1:64" ht="15" customHeight="1">
      <c r="A1201" s="2108" t="s">
        <v>7027</v>
      </c>
      <c r="B1201" s="2108"/>
      <c r="C1201" s="2108"/>
      <c r="D1201" s="2108"/>
      <c r="E1201" s="2108"/>
      <c r="F1201" s="1964" t="s">
        <v>1724</v>
      </c>
      <c r="G1201" s="2108" t="s">
        <v>7028</v>
      </c>
      <c r="H1201" s="2108"/>
      <c r="I1201" s="2108"/>
      <c r="J1201" s="1964" t="s">
        <v>1724</v>
      </c>
      <c r="K1201" s="2497" t="s">
        <v>7029</v>
      </c>
      <c r="L1201" s="2497"/>
      <c r="M1201" s="2497"/>
      <c r="N1201" s="2497"/>
      <c r="O1201" s="1855" t="s">
        <v>1724</v>
      </c>
      <c r="P1201" s="1855"/>
      <c r="Q1201" s="1855"/>
      <c r="R1201" s="1854"/>
      <c r="S1201" s="2108"/>
      <c r="T1201" s="1855"/>
      <c r="U1201" s="1855"/>
      <c r="V1201" s="1855"/>
      <c r="W1201" s="1855"/>
      <c r="X1201" s="1855"/>
      <c r="Y1201" s="1855"/>
      <c r="Z1201" s="1855"/>
      <c r="AA1201" s="1855"/>
      <c r="AB1201" s="1855"/>
      <c r="AC1201" s="1855"/>
      <c r="AD1201" s="1855"/>
      <c r="AE1201" s="1855"/>
      <c r="AF1201" s="1855"/>
      <c r="AG1201" s="1855"/>
      <c r="AH1201" s="1855"/>
      <c r="AI1201" s="1855"/>
      <c r="AJ1201" s="1855"/>
      <c r="AK1201" s="1855"/>
      <c r="AL1201" s="1855"/>
      <c r="AM1201" s="1855"/>
      <c r="AN1201" s="1855"/>
      <c r="AO1201" s="1855"/>
      <c r="AP1201" s="1855"/>
      <c r="AQ1201" s="1855"/>
      <c r="AR1201" s="1855"/>
      <c r="AS1201" s="1855"/>
      <c r="AT1201" s="1855"/>
      <c r="AU1201" s="1855"/>
      <c r="AV1201" s="1855"/>
      <c r="AW1201" s="1855"/>
      <c r="AX1201" s="1855"/>
      <c r="AY1201" s="1855"/>
      <c r="AZ1201" s="1855"/>
      <c r="BA1201" s="1855"/>
      <c r="BB1201" s="1855"/>
      <c r="BC1201" s="1855"/>
      <c r="BD1201" s="1855"/>
      <c r="BE1201" s="1855"/>
      <c r="BF1201" s="1855"/>
      <c r="BG1201" s="1855"/>
      <c r="BH1201" s="1855"/>
      <c r="BI1201" s="1855"/>
      <c r="BJ1201" s="1855"/>
      <c r="BK1201" s="1855"/>
      <c r="BL1201" s="1855"/>
    </row>
    <row r="1202" spans="1:64" ht="15">
      <c r="A1202" s="2108"/>
      <c r="B1202" s="2108"/>
      <c r="C1202" s="2108"/>
      <c r="D1202" s="2108"/>
      <c r="E1202" s="2108"/>
      <c r="F1202" s="2113">
        <f>SUM(F1203:F1214)</f>
        <v>0</v>
      </c>
      <c r="G1202" s="2108"/>
      <c r="H1202" s="2108"/>
      <c r="I1202" s="2108"/>
      <c r="J1202" s="2113">
        <f>SUM(J1203:J1214)</f>
        <v>0</v>
      </c>
      <c r="K1202" s="2497"/>
      <c r="L1202" s="2497"/>
      <c r="M1202" s="2497"/>
      <c r="N1202" s="2497"/>
      <c r="O1202" s="1854">
        <f>SUM(O1203:O1214)</f>
        <v>0</v>
      </c>
      <c r="P1202" s="1854"/>
      <c r="Q1202" s="1854"/>
      <c r="R1202" s="2108"/>
      <c r="S1202" s="1855"/>
      <c r="T1202" s="1855"/>
      <c r="U1202" s="1855"/>
      <c r="V1202" s="1855"/>
      <c r="W1202" s="1855"/>
      <c r="X1202" s="1855"/>
      <c r="Y1202" s="1855"/>
      <c r="Z1202" s="1855"/>
      <c r="AA1202" s="1855"/>
      <c r="AB1202" s="1855"/>
      <c r="AC1202" s="1855"/>
      <c r="AD1202" s="1855"/>
      <c r="AE1202" s="1855"/>
      <c r="AF1202" s="1855"/>
      <c r="AG1202" s="1855"/>
      <c r="AH1202" s="1855"/>
      <c r="AI1202" s="1855"/>
      <c r="AJ1202" s="1855"/>
      <c r="AK1202" s="1855"/>
      <c r="AL1202" s="1855"/>
      <c r="AM1202" s="1855"/>
      <c r="AN1202" s="1855"/>
      <c r="AO1202" s="1855"/>
      <c r="AP1202" s="1855"/>
      <c r="AQ1202" s="1855"/>
      <c r="AR1202" s="1855"/>
      <c r="AS1202" s="1855"/>
      <c r="AT1202" s="1855"/>
      <c r="AU1202" s="1855"/>
      <c r="AV1202" s="1855"/>
      <c r="AW1202" s="1855"/>
      <c r="AX1202" s="1855"/>
      <c r="AY1202" s="1855"/>
      <c r="AZ1202" s="1855"/>
      <c r="BA1202" s="1855"/>
      <c r="BB1202" s="1855"/>
      <c r="BC1202" s="1855"/>
      <c r="BD1202" s="1855"/>
      <c r="BE1202" s="1855"/>
      <c r="BF1202" s="1855"/>
      <c r="BG1202" s="1855"/>
      <c r="BH1202" s="1855"/>
      <c r="BI1202" s="1855"/>
      <c r="BJ1202" s="1855"/>
      <c r="BK1202" s="1855"/>
      <c r="BL1202" s="1855"/>
    </row>
    <row r="1203" spans="1:64" ht="15">
      <c r="A1203" s="2052">
        <v>1</v>
      </c>
      <c r="B1203" s="2052"/>
      <c r="C1203" s="2052"/>
      <c r="D1203" s="2052"/>
      <c r="E1203" s="2052"/>
      <c r="F1203" s="2489"/>
      <c r="G1203" s="2052">
        <v>1</v>
      </c>
      <c r="H1203" s="2052"/>
      <c r="I1203" s="2052"/>
      <c r="J1203" s="2489" t="s">
        <v>1683</v>
      </c>
      <c r="K1203" s="2052">
        <v>1</v>
      </c>
      <c r="L1203" s="2052"/>
      <c r="M1203" s="2052"/>
      <c r="N1203" s="2052"/>
      <c r="O1203" s="2475" t="s">
        <v>1683</v>
      </c>
      <c r="P1203" s="2475"/>
      <c r="Q1203" s="1854"/>
      <c r="R1203" s="2108"/>
      <c r="S1203" s="1855"/>
      <c r="T1203" s="1855"/>
      <c r="U1203" s="1855"/>
      <c r="V1203" s="1855"/>
      <c r="W1203" s="1855"/>
      <c r="X1203" s="1855"/>
      <c r="Y1203" s="1855"/>
      <c r="Z1203" s="1855"/>
      <c r="AA1203" s="1855"/>
      <c r="AB1203" s="1855"/>
      <c r="AC1203" s="1855"/>
      <c r="AD1203" s="1855"/>
      <c r="AE1203" s="1855"/>
      <c r="AF1203" s="1855"/>
      <c r="AG1203" s="1855"/>
      <c r="AH1203" s="1855"/>
      <c r="AI1203" s="1855"/>
      <c r="AJ1203" s="1855"/>
      <c r="AK1203" s="1855"/>
      <c r="AL1203" s="1855"/>
      <c r="AM1203" s="1855"/>
      <c r="AN1203" s="1855"/>
      <c r="AO1203" s="1855"/>
      <c r="AP1203" s="1855"/>
      <c r="AQ1203" s="1855"/>
      <c r="AR1203" s="1855"/>
      <c r="AS1203" s="1855"/>
      <c r="AT1203" s="1855"/>
      <c r="AU1203" s="1855"/>
      <c r="AV1203" s="1855"/>
      <c r="AW1203" s="1855"/>
      <c r="AX1203" s="1855"/>
      <c r="AY1203" s="1855"/>
      <c r="AZ1203" s="1855"/>
      <c r="BA1203" s="1855"/>
      <c r="BB1203" s="1855"/>
      <c r="BC1203" s="1855"/>
      <c r="BD1203" s="1855"/>
      <c r="BE1203" s="1855"/>
      <c r="BF1203" s="1855"/>
      <c r="BG1203" s="1855"/>
      <c r="BH1203" s="1855"/>
      <c r="BI1203" s="1855"/>
      <c r="BJ1203" s="1855"/>
      <c r="BK1203" s="1855"/>
      <c r="BL1203" s="1855"/>
    </row>
    <row r="1204" spans="1:64" ht="15">
      <c r="A1204" s="2052">
        <v>2</v>
      </c>
      <c r="B1204" s="2052"/>
      <c r="C1204" s="2052"/>
      <c r="D1204" s="2052"/>
      <c r="E1204" s="2052"/>
      <c r="F1204" s="2489"/>
      <c r="G1204" s="2052">
        <v>2</v>
      </c>
      <c r="H1204" s="2052"/>
      <c r="I1204" s="2052"/>
      <c r="J1204" s="2489"/>
      <c r="K1204" s="2052">
        <v>2</v>
      </c>
      <c r="L1204" s="2052"/>
      <c r="M1204" s="2052"/>
      <c r="N1204" s="2052"/>
      <c r="O1204" s="2475"/>
      <c r="P1204" s="2475"/>
      <c r="Q1204" s="1854"/>
      <c r="R1204" s="2108"/>
      <c r="S1204" s="1855"/>
      <c r="T1204" s="1855"/>
      <c r="U1204" s="1855"/>
      <c r="V1204" s="1855"/>
      <c r="W1204" s="1855"/>
      <c r="X1204" s="1855"/>
      <c r="Y1204" s="1855"/>
      <c r="Z1204" s="1855"/>
      <c r="AA1204" s="1855"/>
      <c r="AB1204" s="1855"/>
      <c r="AC1204" s="1855"/>
      <c r="AD1204" s="1855"/>
      <c r="AE1204" s="1855"/>
      <c r="AF1204" s="1855"/>
      <c r="AG1204" s="1855"/>
      <c r="AH1204" s="1855"/>
      <c r="AI1204" s="1855"/>
      <c r="AJ1204" s="1855"/>
      <c r="AK1204" s="1855"/>
      <c r="AL1204" s="1855"/>
      <c r="AM1204" s="1855"/>
      <c r="AN1204" s="1855"/>
      <c r="AO1204" s="1855"/>
      <c r="AP1204" s="1855"/>
      <c r="AQ1204" s="1855"/>
      <c r="AR1204" s="1855"/>
      <c r="AS1204" s="1855"/>
      <c r="AT1204" s="1855"/>
      <c r="AU1204" s="1855"/>
      <c r="AV1204" s="1855"/>
      <c r="AW1204" s="1855"/>
      <c r="AX1204" s="1855"/>
      <c r="AY1204" s="1855"/>
      <c r="AZ1204" s="1855"/>
      <c r="BA1204" s="1855"/>
      <c r="BB1204" s="1855"/>
      <c r="BC1204" s="1855"/>
      <c r="BD1204" s="1855"/>
      <c r="BE1204" s="1855"/>
      <c r="BF1204" s="1855"/>
      <c r="BG1204" s="1855"/>
      <c r="BH1204" s="1855"/>
      <c r="BI1204" s="1855"/>
      <c r="BJ1204" s="1855"/>
      <c r="BK1204" s="1855"/>
      <c r="BL1204" s="1855"/>
    </row>
    <row r="1205" spans="1:64" ht="15">
      <c r="A1205" s="2052">
        <v>3</v>
      </c>
      <c r="B1205" s="2052"/>
      <c r="C1205" s="2052"/>
      <c r="D1205" s="2052"/>
      <c r="E1205" s="2052"/>
      <c r="F1205" s="2489"/>
      <c r="G1205" s="2052">
        <v>3</v>
      </c>
      <c r="H1205" s="2052"/>
      <c r="I1205" s="2052"/>
      <c r="J1205" s="2489"/>
      <c r="K1205" s="2052">
        <v>3</v>
      </c>
      <c r="L1205" s="2052"/>
      <c r="M1205" s="2052"/>
      <c r="N1205" s="2052"/>
      <c r="O1205" s="2475"/>
      <c r="P1205" s="2475"/>
      <c r="Q1205" s="2083"/>
      <c r="R1205" s="2083"/>
      <c r="S1205" s="2083"/>
      <c r="T1205" s="2083"/>
      <c r="U1205" s="1855"/>
      <c r="V1205" s="1855"/>
      <c r="W1205" s="1855"/>
      <c r="X1205" s="1855"/>
      <c r="Y1205" s="1855"/>
      <c r="Z1205" s="1855"/>
      <c r="AA1205" s="1855"/>
      <c r="AB1205" s="1855"/>
      <c r="AC1205" s="1855"/>
      <c r="AD1205" s="1855"/>
      <c r="AE1205" s="1855"/>
      <c r="AF1205" s="1855"/>
      <c r="AG1205" s="1855"/>
      <c r="AH1205" s="1855"/>
      <c r="AI1205" s="1855"/>
      <c r="AJ1205" s="1855"/>
      <c r="AK1205" s="1855"/>
      <c r="AL1205" s="1855"/>
      <c r="AM1205" s="1855"/>
      <c r="AN1205" s="1855"/>
      <c r="AO1205" s="1855"/>
      <c r="AP1205" s="1855"/>
      <c r="AQ1205" s="1855"/>
      <c r="AR1205" s="1855"/>
      <c r="AS1205" s="1855"/>
      <c r="AT1205" s="1855"/>
      <c r="AU1205" s="1855"/>
      <c r="AV1205" s="1855"/>
      <c r="AW1205" s="1855"/>
      <c r="AX1205" s="1855"/>
      <c r="AY1205" s="1855"/>
      <c r="AZ1205" s="1855"/>
      <c r="BA1205" s="1855"/>
      <c r="BB1205" s="1855"/>
      <c r="BC1205" s="1855"/>
      <c r="BD1205" s="1855"/>
      <c r="BE1205" s="1855"/>
      <c r="BF1205" s="1855"/>
      <c r="BG1205" s="1855"/>
      <c r="BH1205" s="1855"/>
      <c r="BI1205" s="1855"/>
      <c r="BJ1205" s="1855"/>
      <c r="BK1205" s="1855"/>
      <c r="BL1205" s="1855"/>
    </row>
    <row r="1206" spans="1:64" ht="15">
      <c r="A1206" s="2052">
        <v>4</v>
      </c>
      <c r="B1206" s="2052"/>
      <c r="C1206" s="2052"/>
      <c r="D1206" s="2052"/>
      <c r="E1206" s="2052"/>
      <c r="F1206" s="2489"/>
      <c r="G1206" s="2052">
        <v>4</v>
      </c>
      <c r="H1206" s="2052"/>
      <c r="I1206" s="2052"/>
      <c r="J1206" s="2489"/>
      <c r="K1206" s="2052">
        <v>4</v>
      </c>
      <c r="L1206" s="2052"/>
      <c r="M1206" s="2052"/>
      <c r="N1206" s="2052"/>
      <c r="O1206" s="2475"/>
      <c r="P1206" s="2475"/>
      <c r="Q1206" s="2083"/>
      <c r="R1206" s="2083"/>
      <c r="S1206" s="2083"/>
      <c r="T1206" s="2083"/>
      <c r="U1206" s="1855"/>
      <c r="V1206" s="1855"/>
      <c r="W1206" s="1855"/>
      <c r="X1206" s="1855"/>
      <c r="Y1206" s="1855"/>
      <c r="Z1206" s="1855"/>
      <c r="AA1206" s="1855"/>
      <c r="AB1206" s="1855"/>
      <c r="AC1206" s="1855"/>
      <c r="AD1206" s="1855"/>
      <c r="AE1206" s="1855"/>
      <c r="AF1206" s="1855"/>
      <c r="AG1206" s="1855"/>
      <c r="AH1206" s="1855"/>
      <c r="AI1206" s="1855"/>
      <c r="AJ1206" s="1855"/>
      <c r="AK1206" s="1855"/>
      <c r="AL1206" s="1855"/>
      <c r="AM1206" s="1855"/>
      <c r="AN1206" s="1855"/>
      <c r="AO1206" s="1855"/>
      <c r="AP1206" s="1855"/>
      <c r="AQ1206" s="1855"/>
      <c r="AR1206" s="1855"/>
      <c r="AS1206" s="1855"/>
      <c r="AT1206" s="1855"/>
      <c r="AU1206" s="1855"/>
      <c r="AV1206" s="1855"/>
      <c r="AW1206" s="1855"/>
      <c r="AX1206" s="1855"/>
      <c r="AY1206" s="1855"/>
      <c r="AZ1206" s="1855"/>
      <c r="BA1206" s="1855"/>
      <c r="BB1206" s="1855"/>
      <c r="BC1206" s="1855"/>
      <c r="BD1206" s="1855"/>
      <c r="BE1206" s="1855"/>
      <c r="BF1206" s="1855"/>
      <c r="BG1206" s="1855"/>
      <c r="BH1206" s="1855"/>
      <c r="BI1206" s="1855"/>
      <c r="BJ1206" s="1855"/>
      <c r="BK1206" s="1855"/>
      <c r="BL1206" s="1855"/>
    </row>
    <row r="1207" spans="1:64" ht="15">
      <c r="A1207" s="2052">
        <v>5</v>
      </c>
      <c r="B1207" s="2052"/>
      <c r="C1207" s="2052"/>
      <c r="D1207" s="2052"/>
      <c r="E1207" s="2052"/>
      <c r="F1207" s="2489"/>
      <c r="G1207" s="2052">
        <v>5</v>
      </c>
      <c r="H1207" s="2052"/>
      <c r="I1207" s="2052"/>
      <c r="J1207" s="2489"/>
      <c r="K1207" s="2052">
        <v>5</v>
      </c>
      <c r="L1207" s="2052"/>
      <c r="M1207" s="2052"/>
      <c r="N1207" s="2052"/>
      <c r="O1207" s="2475"/>
      <c r="P1207" s="2475"/>
      <c r="Q1207" s="2083"/>
      <c r="R1207" s="2083"/>
      <c r="S1207" s="2083"/>
      <c r="T1207" s="2083"/>
      <c r="U1207" s="1855"/>
      <c r="V1207" s="1855"/>
      <c r="W1207" s="1855"/>
      <c r="X1207" s="1855"/>
      <c r="Y1207" s="1855"/>
      <c r="Z1207" s="1855"/>
      <c r="AA1207" s="1855"/>
      <c r="AB1207" s="1855"/>
      <c r="AC1207" s="1855"/>
      <c r="AD1207" s="1855"/>
      <c r="AE1207" s="1855"/>
      <c r="AF1207" s="1855"/>
      <c r="AG1207" s="1855"/>
      <c r="AH1207" s="1855"/>
      <c r="AI1207" s="1855"/>
      <c r="AJ1207" s="1855"/>
      <c r="AK1207" s="1855"/>
      <c r="AL1207" s="1855"/>
      <c r="AM1207" s="1855"/>
      <c r="AN1207" s="1855"/>
      <c r="AO1207" s="1855"/>
      <c r="AP1207" s="1855"/>
      <c r="AQ1207" s="1855"/>
      <c r="AR1207" s="1855"/>
      <c r="AS1207" s="1855"/>
      <c r="AT1207" s="1855"/>
      <c r="AU1207" s="1855"/>
      <c r="AV1207" s="1855"/>
      <c r="AW1207" s="1855"/>
      <c r="AX1207" s="1855"/>
      <c r="AY1207" s="1855"/>
      <c r="AZ1207" s="1855"/>
      <c r="BA1207" s="1855"/>
      <c r="BB1207" s="1855"/>
      <c r="BC1207" s="1855"/>
      <c r="BD1207" s="1855"/>
      <c r="BE1207" s="1855"/>
      <c r="BF1207" s="1855"/>
      <c r="BG1207" s="1855"/>
      <c r="BH1207" s="1855"/>
      <c r="BI1207" s="1855"/>
      <c r="BJ1207" s="1855"/>
      <c r="BK1207" s="1855"/>
      <c r="BL1207" s="1855"/>
    </row>
    <row r="1208" spans="1:64" ht="15">
      <c r="A1208" s="2052">
        <v>6</v>
      </c>
      <c r="B1208" s="2052"/>
      <c r="C1208" s="2052"/>
      <c r="D1208" s="2052"/>
      <c r="E1208" s="2052"/>
      <c r="F1208" s="2489"/>
      <c r="G1208" s="2052">
        <v>6</v>
      </c>
      <c r="H1208" s="2052"/>
      <c r="I1208" s="2052"/>
      <c r="J1208" s="2489"/>
      <c r="K1208" s="2052">
        <v>6</v>
      </c>
      <c r="L1208" s="2052"/>
      <c r="M1208" s="2052"/>
      <c r="N1208" s="2052"/>
      <c r="O1208" s="2475"/>
      <c r="P1208" s="2475"/>
      <c r="Q1208" s="2083"/>
      <c r="R1208" s="2083"/>
      <c r="S1208" s="1855"/>
      <c r="T1208" s="1855"/>
      <c r="U1208" s="1855"/>
      <c r="V1208" s="1855"/>
      <c r="W1208" s="1855"/>
      <c r="X1208" s="1855"/>
      <c r="Y1208" s="1855"/>
      <c r="Z1208" s="1855"/>
      <c r="AA1208" s="1855"/>
      <c r="AB1208" s="1855"/>
      <c r="AC1208" s="1855"/>
      <c r="AD1208" s="1855"/>
      <c r="AE1208" s="1855"/>
      <c r="AF1208" s="1855"/>
      <c r="AG1208" s="1855"/>
      <c r="AH1208" s="1855"/>
      <c r="AI1208" s="1855"/>
      <c r="AJ1208" s="1855"/>
      <c r="AK1208" s="1855"/>
      <c r="AL1208" s="1855"/>
      <c r="AM1208" s="1855"/>
      <c r="AN1208" s="1855"/>
      <c r="AO1208" s="1855"/>
      <c r="AP1208" s="1855"/>
      <c r="AQ1208" s="1855"/>
      <c r="AR1208" s="1855"/>
      <c r="AS1208" s="1855"/>
      <c r="AT1208" s="1855"/>
      <c r="AU1208" s="1855"/>
      <c r="AV1208" s="1855"/>
      <c r="AW1208" s="1855"/>
      <c r="AX1208" s="1855"/>
      <c r="AY1208" s="1855"/>
      <c r="AZ1208" s="1855"/>
      <c r="BA1208" s="1855"/>
      <c r="BB1208" s="1855"/>
      <c r="BC1208" s="1855"/>
      <c r="BD1208" s="1855"/>
      <c r="BE1208" s="1855"/>
      <c r="BF1208" s="1855"/>
      <c r="BG1208" s="1855"/>
      <c r="BH1208" s="1855"/>
      <c r="BI1208" s="1855"/>
      <c r="BJ1208" s="1855"/>
      <c r="BK1208" s="1855"/>
      <c r="BL1208" s="1855"/>
    </row>
    <row r="1209" spans="1:64" ht="15">
      <c r="A1209" s="2052">
        <v>7</v>
      </c>
      <c r="B1209" s="2052"/>
      <c r="C1209" s="2052"/>
      <c r="D1209" s="2052"/>
      <c r="E1209" s="2052"/>
      <c r="F1209" s="2489"/>
      <c r="G1209" s="2052">
        <v>7</v>
      </c>
      <c r="H1209" s="2052"/>
      <c r="I1209" s="2052"/>
      <c r="J1209" s="2489"/>
      <c r="K1209" s="2052">
        <v>7</v>
      </c>
      <c r="L1209" s="2052"/>
      <c r="M1209" s="2052"/>
      <c r="N1209" s="2052"/>
      <c r="O1209" s="2475"/>
      <c r="P1209" s="2475"/>
      <c r="Q1209" s="2108"/>
      <c r="R1209" s="2108"/>
      <c r="S1209" s="1855"/>
      <c r="T1209" s="1855"/>
      <c r="U1209" s="1855"/>
      <c r="V1209" s="1855"/>
      <c r="W1209" s="1855"/>
      <c r="X1209" s="1855"/>
      <c r="Y1209" s="1855"/>
      <c r="Z1209" s="1855"/>
      <c r="AA1209" s="1855"/>
      <c r="AB1209" s="1855"/>
      <c r="AC1209" s="1855"/>
      <c r="AD1209" s="1855"/>
      <c r="AE1209" s="1855"/>
      <c r="AF1209" s="1855"/>
      <c r="AG1209" s="1855"/>
      <c r="AH1209" s="1855"/>
      <c r="AI1209" s="1855"/>
      <c r="AJ1209" s="1855"/>
      <c r="AK1209" s="1855"/>
      <c r="AL1209" s="1855"/>
      <c r="AM1209" s="1855"/>
      <c r="AN1209" s="1855"/>
      <c r="AO1209" s="1855"/>
      <c r="AP1209" s="1855"/>
      <c r="AQ1209" s="1855"/>
      <c r="AR1209" s="1855"/>
      <c r="AS1209" s="1855"/>
      <c r="AT1209" s="1855"/>
      <c r="AU1209" s="1855"/>
      <c r="AV1209" s="1855"/>
      <c r="AW1209" s="1855"/>
      <c r="AX1209" s="1855"/>
      <c r="AY1209" s="1855"/>
      <c r="AZ1209" s="1855"/>
      <c r="BA1209" s="1855"/>
      <c r="BB1209" s="1855"/>
      <c r="BC1209" s="1855"/>
      <c r="BD1209" s="1855"/>
      <c r="BE1209" s="1855"/>
      <c r="BF1209" s="1855"/>
      <c r="BG1209" s="1855"/>
      <c r="BH1209" s="1855"/>
      <c r="BI1209" s="1855"/>
      <c r="BJ1209" s="1855"/>
      <c r="BK1209" s="1855"/>
      <c r="BL1209" s="1855"/>
    </row>
    <row r="1210" spans="1:64" ht="15">
      <c r="A1210" s="2052">
        <v>8</v>
      </c>
      <c r="B1210" s="2052"/>
      <c r="C1210" s="2052"/>
      <c r="D1210" s="2052"/>
      <c r="E1210" s="2052"/>
      <c r="F1210" s="2489"/>
      <c r="G1210" s="2052">
        <v>8</v>
      </c>
      <c r="H1210" s="2052"/>
      <c r="I1210" s="2052"/>
      <c r="J1210" s="2489"/>
      <c r="K1210" s="2052">
        <v>8</v>
      </c>
      <c r="L1210" s="2052"/>
      <c r="M1210" s="2052"/>
      <c r="N1210" s="2052"/>
      <c r="O1210" s="2475"/>
      <c r="P1210" s="2475"/>
      <c r="Q1210" s="2108"/>
      <c r="R1210" s="2108"/>
      <c r="S1210" s="1855"/>
      <c r="T1210" s="1855"/>
      <c r="U1210" s="1855"/>
      <c r="V1210" s="1855"/>
      <c r="W1210" s="1855"/>
      <c r="X1210" s="1855"/>
      <c r="Y1210" s="1855"/>
      <c r="Z1210" s="1855"/>
      <c r="AA1210" s="1855"/>
      <c r="AB1210" s="1855"/>
      <c r="AC1210" s="1855"/>
      <c r="AD1210" s="1855"/>
      <c r="AE1210" s="1855"/>
      <c r="AF1210" s="1855"/>
      <c r="AG1210" s="1855"/>
      <c r="AH1210" s="1855"/>
      <c r="AI1210" s="1855"/>
      <c r="AJ1210" s="1855"/>
      <c r="AK1210" s="1855"/>
      <c r="AL1210" s="1855"/>
      <c r="AM1210" s="1855"/>
      <c r="AN1210" s="1855"/>
      <c r="AO1210" s="1855"/>
      <c r="AP1210" s="1855"/>
      <c r="AQ1210" s="1855"/>
      <c r="AR1210" s="1855"/>
      <c r="AS1210" s="1855"/>
      <c r="AT1210" s="1855"/>
      <c r="AU1210" s="1855"/>
      <c r="AV1210" s="1855"/>
      <c r="AW1210" s="1855"/>
      <c r="AX1210" s="1855"/>
      <c r="AY1210" s="1855"/>
      <c r="AZ1210" s="1855"/>
      <c r="BA1210" s="1855"/>
      <c r="BB1210" s="1855"/>
      <c r="BC1210" s="1855"/>
      <c r="BD1210" s="1855"/>
      <c r="BE1210" s="1855"/>
      <c r="BF1210" s="1855"/>
      <c r="BG1210" s="1855"/>
      <c r="BH1210" s="1855"/>
      <c r="BI1210" s="1855"/>
      <c r="BJ1210" s="1855"/>
      <c r="BK1210" s="1855"/>
      <c r="BL1210" s="1855"/>
    </row>
    <row r="1211" spans="1:64" ht="15">
      <c r="A1211" s="2052">
        <v>9</v>
      </c>
      <c r="B1211" s="2052"/>
      <c r="C1211" s="2052"/>
      <c r="D1211" s="2052"/>
      <c r="E1211" s="2052"/>
      <c r="F1211" s="2489"/>
      <c r="G1211" s="2052">
        <v>9</v>
      </c>
      <c r="H1211" s="2052"/>
      <c r="I1211" s="2052"/>
      <c r="J1211" s="2489"/>
      <c r="K1211" s="2052">
        <v>9</v>
      </c>
      <c r="L1211" s="2052"/>
      <c r="M1211" s="2052"/>
      <c r="N1211" s="2052"/>
      <c r="O1211" s="2475"/>
      <c r="P1211" s="2475"/>
      <c r="Q1211" s="2108"/>
      <c r="R1211" s="2108"/>
      <c r="S1211" s="1855"/>
      <c r="T1211" s="1855"/>
      <c r="U1211" s="1855"/>
      <c r="V1211" s="1855"/>
      <c r="W1211" s="1855"/>
      <c r="X1211" s="1855"/>
      <c r="Y1211" s="1855"/>
      <c r="Z1211" s="1855"/>
      <c r="AA1211" s="1855"/>
      <c r="AB1211" s="1855"/>
      <c r="AC1211" s="1855"/>
      <c r="AD1211" s="1855"/>
      <c r="AE1211" s="1855"/>
      <c r="AF1211" s="1855"/>
      <c r="AG1211" s="1855"/>
      <c r="AH1211" s="1855"/>
      <c r="AI1211" s="1855"/>
      <c r="AJ1211" s="1855"/>
      <c r="AK1211" s="1855"/>
      <c r="AL1211" s="1855"/>
      <c r="AM1211" s="1855"/>
      <c r="AN1211" s="1855"/>
      <c r="AO1211" s="1855"/>
      <c r="AP1211" s="1855"/>
      <c r="AQ1211" s="1855"/>
      <c r="AR1211" s="1855"/>
      <c r="AS1211" s="1855"/>
      <c r="AT1211" s="1855"/>
      <c r="AU1211" s="1855"/>
      <c r="AV1211" s="1855"/>
      <c r="AW1211" s="1855"/>
      <c r="AX1211" s="1855"/>
      <c r="AY1211" s="1855"/>
      <c r="AZ1211" s="1855"/>
      <c r="BA1211" s="1855"/>
      <c r="BB1211" s="1855"/>
      <c r="BC1211" s="1855"/>
      <c r="BD1211" s="1855"/>
      <c r="BE1211" s="1855"/>
      <c r="BF1211" s="1855"/>
      <c r="BG1211" s="1855"/>
      <c r="BH1211" s="1855"/>
      <c r="BI1211" s="1855"/>
      <c r="BJ1211" s="1855"/>
      <c r="BK1211" s="1855"/>
      <c r="BL1211" s="1855"/>
    </row>
    <row r="1212" spans="1:64" ht="15">
      <c r="A1212" s="2052">
        <v>10</v>
      </c>
      <c r="B1212" s="2052"/>
      <c r="C1212" s="2052"/>
      <c r="D1212" s="2052"/>
      <c r="E1212" s="2052"/>
      <c r="F1212" s="2489"/>
      <c r="G1212" s="2052">
        <v>10</v>
      </c>
      <c r="H1212" s="2052"/>
      <c r="I1212" s="2052"/>
      <c r="J1212" s="2489"/>
      <c r="K1212" s="2052">
        <v>10</v>
      </c>
      <c r="L1212" s="2052"/>
      <c r="M1212" s="2052"/>
      <c r="N1212" s="2052"/>
      <c r="O1212" s="2475"/>
      <c r="P1212" s="2475"/>
      <c r="Q1212" s="2108"/>
      <c r="R1212" s="1855"/>
      <c r="S1212" s="1855"/>
      <c r="T1212" s="1855"/>
      <c r="U1212" s="1855"/>
      <c r="V1212" s="1855"/>
      <c r="W1212" s="1855"/>
      <c r="X1212" s="1855"/>
      <c r="Y1212" s="1855"/>
      <c r="Z1212" s="1855"/>
      <c r="AA1212" s="1855"/>
      <c r="AB1212" s="1855"/>
      <c r="AC1212" s="1855"/>
      <c r="AD1212" s="1855"/>
      <c r="AE1212" s="1855"/>
      <c r="AF1212" s="1855"/>
      <c r="AG1212" s="1855"/>
      <c r="AH1212" s="1855"/>
      <c r="AI1212" s="1855"/>
      <c r="AJ1212" s="1855"/>
      <c r="AK1212" s="1855"/>
      <c r="AL1212" s="1855"/>
      <c r="AM1212" s="1855"/>
      <c r="AN1212" s="1855"/>
      <c r="AO1212" s="1855"/>
      <c r="AP1212" s="1855"/>
      <c r="AQ1212" s="1855"/>
      <c r="AR1212" s="1855"/>
      <c r="AS1212" s="1855"/>
      <c r="AT1212" s="1855"/>
      <c r="AU1212" s="1855"/>
      <c r="AV1212" s="1855"/>
      <c r="AW1212" s="1855"/>
      <c r="AX1212" s="1855"/>
      <c r="AY1212" s="1855"/>
      <c r="AZ1212" s="1855"/>
      <c r="BA1212" s="1855"/>
      <c r="BB1212" s="1855"/>
      <c r="BC1212" s="1855"/>
      <c r="BD1212" s="1855"/>
      <c r="BE1212" s="1855"/>
      <c r="BF1212" s="1855"/>
      <c r="BG1212" s="1855"/>
      <c r="BH1212" s="1855"/>
      <c r="BI1212" s="1855"/>
      <c r="BJ1212" s="1855"/>
      <c r="BK1212" s="1855"/>
      <c r="BL1212" s="1855"/>
    </row>
    <row r="1213" spans="1:64" ht="15">
      <c r="A1213" s="2052">
        <v>11</v>
      </c>
      <c r="B1213" s="2052"/>
      <c r="C1213" s="2052"/>
      <c r="D1213" s="2052"/>
      <c r="E1213" s="2052"/>
      <c r="F1213" s="2489"/>
      <c r="G1213" s="2052">
        <v>11</v>
      </c>
      <c r="H1213" s="2052"/>
      <c r="I1213" s="2052"/>
      <c r="J1213" s="2489"/>
      <c r="K1213" s="2052">
        <v>11</v>
      </c>
      <c r="L1213" s="2052"/>
      <c r="M1213" s="2052"/>
      <c r="N1213" s="2052"/>
      <c r="O1213" s="2475"/>
      <c r="P1213" s="2475"/>
      <c r="Q1213" s="2108"/>
      <c r="R1213" s="2108"/>
      <c r="S1213" s="1855"/>
      <c r="T1213" s="1855"/>
      <c r="U1213" s="1855"/>
      <c r="V1213" s="1855"/>
      <c r="W1213" s="1855"/>
      <c r="X1213" s="1855"/>
      <c r="Y1213" s="1855"/>
      <c r="Z1213" s="1855"/>
      <c r="AA1213" s="1855"/>
      <c r="AB1213" s="1855"/>
      <c r="AC1213" s="1855"/>
      <c r="AD1213" s="1855"/>
      <c r="AE1213" s="1855"/>
      <c r="AF1213" s="1855"/>
      <c r="AG1213" s="1855"/>
      <c r="AH1213" s="1855"/>
      <c r="AI1213" s="1855"/>
      <c r="AJ1213" s="1855"/>
      <c r="AK1213" s="1855"/>
      <c r="AL1213" s="1855"/>
      <c r="AM1213" s="1855"/>
      <c r="AN1213" s="1855"/>
      <c r="AO1213" s="1855"/>
      <c r="AP1213" s="1855"/>
      <c r="AQ1213" s="1855"/>
      <c r="AR1213" s="1855"/>
      <c r="AS1213" s="1855"/>
      <c r="AT1213" s="1855"/>
      <c r="AU1213" s="1855"/>
      <c r="AV1213" s="1855"/>
      <c r="AW1213" s="1855"/>
      <c r="AX1213" s="1855"/>
      <c r="AY1213" s="1855"/>
      <c r="AZ1213" s="1855"/>
      <c r="BA1213" s="1855"/>
      <c r="BB1213" s="1855"/>
      <c r="BC1213" s="1855"/>
      <c r="BD1213" s="1855"/>
      <c r="BE1213" s="1855"/>
      <c r="BF1213" s="1855"/>
      <c r="BG1213" s="1855"/>
      <c r="BH1213" s="1855"/>
      <c r="BI1213" s="1855"/>
      <c r="BJ1213" s="1855"/>
      <c r="BK1213" s="1855"/>
      <c r="BL1213" s="1855"/>
    </row>
    <row r="1214" spans="1:64" ht="15">
      <c r="A1214" s="2052">
        <v>12</v>
      </c>
      <c r="B1214" s="2052"/>
      <c r="C1214" s="2052"/>
      <c r="D1214" s="2052"/>
      <c r="E1214" s="2052"/>
      <c r="F1214" s="2489"/>
      <c r="G1214" s="2052">
        <v>12</v>
      </c>
      <c r="H1214" s="2052"/>
      <c r="I1214" s="2052"/>
      <c r="J1214" s="2489"/>
      <c r="K1214" s="2052">
        <v>12</v>
      </c>
      <c r="L1214" s="2052"/>
      <c r="M1214" s="2052"/>
      <c r="N1214" s="2052"/>
      <c r="O1214" s="2475"/>
      <c r="P1214" s="2475"/>
      <c r="Q1214" s="1855"/>
      <c r="R1214" s="1855"/>
      <c r="S1214" s="1855"/>
      <c r="T1214" s="1855"/>
      <c r="U1214" s="1855"/>
      <c r="V1214" s="1855"/>
      <c r="W1214" s="1855"/>
      <c r="X1214" s="1855"/>
      <c r="Y1214" s="1855"/>
      <c r="Z1214" s="1855"/>
      <c r="AA1214" s="1855"/>
      <c r="AB1214" s="1855"/>
      <c r="AC1214" s="1855"/>
      <c r="AD1214" s="1855"/>
      <c r="AE1214" s="1855"/>
      <c r="AF1214" s="1855"/>
      <c r="AG1214" s="1855"/>
      <c r="AH1214" s="1855"/>
      <c r="AI1214" s="1855"/>
      <c r="AJ1214" s="1855"/>
      <c r="AK1214" s="1855"/>
      <c r="AL1214" s="1855"/>
      <c r="AM1214" s="1855"/>
      <c r="AN1214" s="1855"/>
      <c r="AO1214" s="1855"/>
      <c r="AP1214" s="1855"/>
      <c r="AQ1214" s="1855"/>
      <c r="AR1214" s="1855"/>
      <c r="AS1214" s="1855"/>
      <c r="AT1214" s="1855"/>
      <c r="AU1214" s="1855"/>
      <c r="AV1214" s="1855"/>
      <c r="AW1214" s="1855"/>
      <c r="AX1214" s="1855"/>
      <c r="AY1214" s="1855"/>
      <c r="AZ1214" s="1855"/>
      <c r="BA1214" s="1855"/>
      <c r="BB1214" s="1855"/>
      <c r="BC1214" s="1855"/>
      <c r="BD1214" s="1855"/>
      <c r="BE1214" s="1855"/>
      <c r="BF1214" s="1855"/>
      <c r="BG1214" s="1855"/>
      <c r="BH1214" s="1855"/>
      <c r="BI1214" s="1855"/>
      <c r="BJ1214" s="1855"/>
      <c r="BK1214" s="1855"/>
      <c r="BL1214" s="1855"/>
    </row>
    <row r="1215" spans="1:64" ht="15">
      <c r="A1215" s="2487"/>
      <c r="B1215" s="2487"/>
      <c r="C1215" s="2487"/>
      <c r="D1215" s="2487"/>
      <c r="E1215" s="2487"/>
      <c r="F1215" s="2489"/>
      <c r="G1215" s="2487"/>
      <c r="H1215" s="2487"/>
      <c r="I1215" s="2487"/>
      <c r="J1215" s="2489"/>
      <c r="K1215" s="2487"/>
      <c r="L1215" s="2487"/>
      <c r="M1215" s="2487"/>
      <c r="N1215" s="2487"/>
      <c r="O1215" s="2489"/>
      <c r="P1215" s="2489"/>
      <c r="Q1215" s="1855"/>
      <c r="R1215" s="1855"/>
      <c r="S1215" s="1855"/>
      <c r="T1215" s="1855"/>
      <c r="U1215" s="1855"/>
      <c r="V1215" s="1855"/>
      <c r="W1215" s="1855"/>
      <c r="X1215" s="1855"/>
      <c r="Y1215" s="1855"/>
      <c r="Z1215" s="1855"/>
      <c r="AA1215" s="1855"/>
      <c r="AB1215" s="1855"/>
      <c r="AC1215" s="1855"/>
      <c r="AD1215" s="1855"/>
      <c r="AE1215" s="1855"/>
      <c r="AF1215" s="1855"/>
      <c r="AG1215" s="1855"/>
      <c r="AH1215" s="1855"/>
      <c r="AI1215" s="1855"/>
      <c r="AJ1215" s="1855"/>
      <c r="AK1215" s="1855"/>
      <c r="AL1215" s="1855"/>
      <c r="AM1215" s="1855"/>
      <c r="AN1215" s="1855"/>
      <c r="AO1215" s="1855"/>
      <c r="AP1215" s="1855"/>
      <c r="AQ1215" s="1855"/>
      <c r="AR1215" s="1855"/>
      <c r="AS1215" s="1855"/>
      <c r="AT1215" s="1855"/>
      <c r="AU1215" s="1855"/>
      <c r="AV1215" s="1855"/>
      <c r="AW1215" s="1855"/>
      <c r="AX1215" s="1855"/>
      <c r="AY1215" s="1855"/>
      <c r="AZ1215" s="1855"/>
      <c r="BA1215" s="1855"/>
      <c r="BB1215" s="1855"/>
      <c r="BC1215" s="1855"/>
      <c r="BD1215" s="1855"/>
      <c r="BE1215" s="1855"/>
      <c r="BF1215" s="1855"/>
      <c r="BG1215" s="1855"/>
      <c r="BH1215" s="1855"/>
      <c r="BI1215" s="1855"/>
      <c r="BJ1215" s="1855"/>
      <c r="BK1215" s="1855"/>
      <c r="BL1215" s="1855"/>
    </row>
    <row r="1216" spans="1:64" ht="15">
      <c r="A1216" s="2043"/>
      <c r="B1216" s="2043"/>
      <c r="C1216" s="2043"/>
      <c r="D1216" s="1855"/>
      <c r="E1216" s="1855"/>
      <c r="F1216" s="2113"/>
      <c r="G1216" s="2113"/>
      <c r="H1216" s="2113"/>
      <c r="I1216" s="2113"/>
      <c r="J1216" s="2046"/>
      <c r="K1216" s="2046"/>
      <c r="L1216" s="2046"/>
      <c r="M1216" s="1964"/>
      <c r="N1216" s="2113"/>
      <c r="O1216" s="2045"/>
      <c r="P1216" s="2042"/>
      <c r="Q1216" s="2043"/>
      <c r="R1216" s="2043"/>
      <c r="S1216" s="2043"/>
      <c r="T1216" s="2043"/>
      <c r="U1216" s="2043"/>
      <c r="V1216" s="2043"/>
      <c r="W1216" s="2043"/>
      <c r="X1216" s="2043"/>
      <c r="Y1216" s="2043"/>
      <c r="Z1216" s="2043"/>
      <c r="AA1216" s="2043"/>
      <c r="AB1216" s="2043"/>
      <c r="AC1216" s="2043"/>
      <c r="AD1216" s="2043"/>
      <c r="AE1216" s="2043"/>
      <c r="AF1216" s="2043"/>
      <c r="AG1216" s="2043"/>
      <c r="AH1216" s="2043"/>
      <c r="AI1216" s="2043"/>
      <c r="AJ1216" s="2043"/>
      <c r="AK1216" s="2043"/>
      <c r="AL1216" s="2043"/>
      <c r="AM1216" s="2043"/>
      <c r="AN1216" s="2043"/>
      <c r="AO1216" s="2043"/>
      <c r="AP1216" s="2043"/>
      <c r="AQ1216" s="2043"/>
      <c r="AR1216" s="2043"/>
      <c r="AS1216" s="2043"/>
      <c r="AT1216" s="2043"/>
      <c r="AU1216" s="2043"/>
      <c r="AV1216" s="2043"/>
      <c r="AW1216" s="2043"/>
      <c r="AX1216" s="2043"/>
      <c r="AY1216" s="2043"/>
      <c r="AZ1216" s="2043"/>
      <c r="BA1216" s="2043"/>
      <c r="BB1216" s="2043"/>
      <c r="BC1216" s="2043"/>
      <c r="BD1216" s="2043"/>
      <c r="BE1216" s="2043"/>
      <c r="BF1216" s="2043"/>
      <c r="BG1216" s="2043"/>
      <c r="BH1216" s="2043"/>
      <c r="BI1216" s="2043"/>
      <c r="BJ1216" s="2043"/>
      <c r="BK1216" s="2043"/>
      <c r="BL1216" s="2043"/>
    </row>
    <row r="1217" spans="1:64" ht="15">
      <c r="A1217" s="2109" t="s">
        <v>50</v>
      </c>
      <c r="B1217" s="2110" t="s">
        <v>1727</v>
      </c>
      <c r="C1217" s="1855"/>
      <c r="D1217" s="1855"/>
      <c r="E1217" s="1855"/>
      <c r="F1217" s="1855"/>
      <c r="G1217" s="1854"/>
      <c r="H1217" s="1855"/>
      <c r="I1217" s="1854"/>
      <c r="J1217" s="2113"/>
      <c r="K1217" s="2113"/>
      <c r="L1217" s="2113"/>
      <c r="M1217" s="2113">
        <v>3</v>
      </c>
      <c r="N1217" s="1964"/>
      <c r="O1217" s="2042">
        <f>'Part VIII Scoring Criteria'!O66</f>
        <v>0</v>
      </c>
      <c r="P1217" s="2042">
        <f>'Part VIII Scoring Criteria'!P66</f>
        <v>0</v>
      </c>
      <c r="Q1217" s="2113" t="s">
        <v>1716</v>
      </c>
      <c r="R1217" s="1855"/>
      <c r="S1217" s="2051"/>
      <c r="T1217" s="1855"/>
      <c r="U1217" s="1855"/>
      <c r="V1217" s="1855"/>
      <c r="W1217" s="1855"/>
      <c r="X1217" s="1855"/>
      <c r="Y1217" s="1855"/>
      <c r="Z1217" s="1855"/>
      <c r="AA1217" s="1855"/>
      <c r="AB1217" s="1855"/>
      <c r="AC1217" s="1855"/>
      <c r="AD1217" s="1855"/>
      <c r="AE1217" s="1855"/>
      <c r="AF1217" s="1855"/>
      <c r="AG1217" s="1855"/>
      <c r="AH1217" s="1855"/>
      <c r="AI1217" s="1855"/>
      <c r="AJ1217" s="1855"/>
      <c r="AK1217" s="1855"/>
      <c r="AL1217" s="1855"/>
      <c r="AM1217" s="1855"/>
      <c r="AN1217" s="1855"/>
      <c r="AO1217" s="1855"/>
      <c r="AP1217" s="1855"/>
      <c r="AQ1217" s="1855"/>
      <c r="AR1217" s="1855"/>
      <c r="AS1217" s="1855"/>
      <c r="AT1217" s="1855"/>
      <c r="AU1217" s="1855"/>
      <c r="AV1217" s="1855"/>
      <c r="AW1217" s="1855"/>
      <c r="AX1217" s="1855"/>
      <c r="AY1217" s="1855"/>
      <c r="AZ1217" s="1855"/>
      <c r="BA1217" s="1855"/>
      <c r="BB1217" s="1855"/>
      <c r="BC1217" s="1855"/>
      <c r="BD1217" s="1855"/>
      <c r="BE1217" s="1855"/>
      <c r="BF1217" s="1855"/>
      <c r="BG1217" s="1855"/>
      <c r="BH1217" s="1855"/>
      <c r="BI1217" s="1855"/>
      <c r="BJ1217" s="1855"/>
      <c r="BK1217" s="1855"/>
      <c r="BL1217" s="1855"/>
    </row>
    <row r="1218" spans="1:64" ht="15">
      <c r="A1218" s="2498"/>
      <c r="B1218" s="2499"/>
      <c r="C1218" s="2043"/>
      <c r="D1218" s="2043"/>
      <c r="E1218" s="1855"/>
      <c r="F1218" s="2043" t="s">
        <v>1728</v>
      </c>
      <c r="G1218" s="2051"/>
      <c r="H1218" s="1855"/>
      <c r="I1218" s="2110"/>
      <c r="J1218" s="2043"/>
      <c r="K1218" s="2500"/>
      <c r="L1218" s="2501"/>
      <c r="M1218" s="2113"/>
      <c r="N1218" s="1964"/>
      <c r="O1218" s="2042"/>
      <c r="P1218" s="2042"/>
      <c r="Q1218" s="2113"/>
      <c r="R1218" s="2502"/>
      <c r="S1218" s="2043"/>
      <c r="T1218" s="2043"/>
      <c r="U1218" s="2043"/>
      <c r="V1218" s="2043"/>
      <c r="W1218" s="2043"/>
      <c r="X1218" s="2043"/>
      <c r="Y1218" s="2043"/>
      <c r="Z1218" s="2043"/>
      <c r="AA1218" s="2043"/>
      <c r="AB1218" s="2043"/>
      <c r="AC1218" s="2043"/>
      <c r="AD1218" s="2043"/>
      <c r="AE1218" s="2043"/>
      <c r="AF1218" s="2043"/>
      <c r="AG1218" s="2043"/>
      <c r="AH1218" s="2043"/>
      <c r="AI1218" s="2043"/>
      <c r="AJ1218" s="2043"/>
      <c r="AK1218" s="2043"/>
      <c r="AL1218" s="2043"/>
      <c r="AM1218" s="2043"/>
      <c r="AN1218" s="2043"/>
      <c r="AO1218" s="2043"/>
      <c r="AP1218" s="2043"/>
      <c r="AQ1218" s="2043"/>
      <c r="AR1218" s="2043"/>
      <c r="AS1218" s="2043"/>
      <c r="AT1218" s="2043"/>
      <c r="AU1218" s="2043"/>
      <c r="AV1218" s="2043"/>
      <c r="AW1218" s="2043"/>
      <c r="AX1218" s="2043"/>
      <c r="AY1218" s="2043"/>
      <c r="AZ1218" s="2043"/>
      <c r="BA1218" s="2043"/>
      <c r="BB1218" s="2043"/>
      <c r="BC1218" s="2043"/>
      <c r="BD1218" s="2043"/>
      <c r="BE1218" s="2043"/>
      <c r="BF1218" s="2043"/>
      <c r="BG1218" s="2043"/>
      <c r="BH1218" s="2043"/>
      <c r="BI1218" s="2043"/>
      <c r="BJ1218" s="2043"/>
      <c r="BK1218" s="2043"/>
      <c r="BL1218" s="2043"/>
    </row>
    <row r="1219" spans="1:64" ht="15">
      <c r="A1219" s="2114" t="s">
        <v>194</v>
      </c>
      <c r="B1219" s="2503" t="s">
        <v>1729</v>
      </c>
      <c r="C1219" s="2083"/>
      <c r="D1219" s="2083"/>
      <c r="E1219" s="2083"/>
      <c r="F1219" s="2083"/>
      <c r="G1219" s="2043" t="s">
        <v>634</v>
      </c>
      <c r="H1219" s="1855"/>
      <c r="I1219" s="1855"/>
      <c r="J1219" s="2504" t="str">
        <f>'Part V-Revenues &amp; Expenses'!$O$53</f>
        <v>40% of Units at 60% of AMI</v>
      </c>
      <c r="K1219" s="1855"/>
      <c r="L1219" s="2083"/>
      <c r="M1219" s="2113">
        <v>2</v>
      </c>
      <c r="N1219" s="2494"/>
      <c r="O1219" s="2481">
        <f>'Part VIII Scoring Criteria'!O68</f>
        <v>0</v>
      </c>
      <c r="P1219" s="2481">
        <f>'Part VIII Scoring Criteria'!P68</f>
        <v>0</v>
      </c>
      <c r="Q1219" s="1855"/>
      <c r="R1219" s="1855"/>
      <c r="S1219" s="1855"/>
      <c r="T1219" s="1855"/>
      <c r="U1219" s="1855"/>
      <c r="V1219" s="1855"/>
      <c r="W1219" s="1855"/>
      <c r="X1219" s="1855"/>
      <c r="Y1219" s="1855"/>
      <c r="Z1219" s="1855"/>
      <c r="AA1219" s="1855"/>
      <c r="AB1219" s="1855"/>
      <c r="AC1219" s="1855"/>
      <c r="AD1219" s="1855"/>
      <c r="AE1219" s="1855"/>
      <c r="AF1219" s="1855"/>
      <c r="AG1219" s="1855"/>
      <c r="AH1219" s="1855"/>
      <c r="AI1219" s="1855"/>
      <c r="AJ1219" s="1855"/>
      <c r="AK1219" s="1855"/>
      <c r="AL1219" s="1855"/>
      <c r="AM1219" s="1855"/>
      <c r="AN1219" s="1855"/>
      <c r="AO1219" s="1855"/>
      <c r="AP1219" s="1855"/>
      <c r="AQ1219" s="1855"/>
      <c r="AR1219" s="1855"/>
      <c r="AS1219" s="1855"/>
      <c r="AT1219" s="1855"/>
      <c r="AU1219" s="1855"/>
      <c r="AV1219" s="1855"/>
      <c r="AW1219" s="1855"/>
      <c r="AX1219" s="1855"/>
      <c r="AY1219" s="1855"/>
      <c r="AZ1219" s="1855"/>
      <c r="BA1219" s="1855"/>
      <c r="BB1219" s="1855"/>
      <c r="BC1219" s="1855"/>
      <c r="BD1219" s="1855"/>
      <c r="BE1219" s="1855"/>
      <c r="BF1219" s="1855"/>
      <c r="BG1219" s="1855"/>
      <c r="BH1219" s="1855"/>
      <c r="BI1219" s="1855"/>
      <c r="BJ1219" s="1855"/>
      <c r="BK1219" s="1855"/>
      <c r="BL1219" s="1855"/>
    </row>
    <row r="1220" spans="1:64" ht="15">
      <c r="A1220" s="2114"/>
      <c r="B1220" s="2505"/>
      <c r="C1220" s="2187" t="s">
        <v>1730</v>
      </c>
      <c r="D1220" s="1855"/>
      <c r="E1220" s="1855"/>
      <c r="F1220" s="1855"/>
      <c r="G1220" s="1855" t="s">
        <v>1731</v>
      </c>
      <c r="H1220" s="1855"/>
      <c r="I1220" s="1855"/>
      <c r="J1220" s="2506">
        <f>'Part V-Revenues &amp; Expenses'!$B$50</f>
        <v>60</v>
      </c>
      <c r="K1220" s="1855"/>
      <c r="L1220" s="2111"/>
      <c r="M1220" s="1964">
        <v>2</v>
      </c>
      <c r="N1220" s="2507"/>
      <c r="O1220" s="2042">
        <f>'Part VIII Scoring Criteria'!O69</f>
        <v>0</v>
      </c>
      <c r="P1220" s="2042"/>
      <c r="Q1220" s="2508" t="str">
        <f>IF(OR($O1220=$M1220,$O1220=0,$O1220=""),"","*CHECK!*")</f>
        <v/>
      </c>
      <c r="R1220" s="2503"/>
      <c r="S1220" s="1855"/>
      <c r="T1220" s="1855"/>
      <c r="U1220" s="1855"/>
      <c r="V1220" s="1855"/>
      <c r="W1220" s="1855"/>
      <c r="X1220" s="1855"/>
      <c r="Y1220" s="1855"/>
      <c r="Z1220" s="1855"/>
      <c r="AA1220" s="1855"/>
      <c r="AB1220" s="1855"/>
      <c r="AC1220" s="1855"/>
      <c r="AD1220" s="1855"/>
      <c r="AE1220" s="1855"/>
      <c r="AF1220" s="1855"/>
      <c r="AG1220" s="1855"/>
      <c r="AH1220" s="1855"/>
      <c r="AI1220" s="1855"/>
      <c r="AJ1220" s="1855"/>
      <c r="AK1220" s="1855"/>
      <c r="AL1220" s="1855"/>
      <c r="AM1220" s="1855"/>
      <c r="AN1220" s="1855"/>
      <c r="AO1220" s="1855"/>
      <c r="AP1220" s="1855"/>
      <c r="AQ1220" s="1855"/>
      <c r="AR1220" s="1855"/>
      <c r="AS1220" s="1855"/>
      <c r="AT1220" s="1855"/>
      <c r="AU1220" s="1855"/>
      <c r="AV1220" s="1855"/>
      <c r="AW1220" s="1855"/>
      <c r="AX1220" s="1855"/>
      <c r="AY1220" s="1855"/>
      <c r="AZ1220" s="1855"/>
      <c r="BA1220" s="1855"/>
      <c r="BB1220" s="1855"/>
      <c r="BC1220" s="1855"/>
      <c r="BD1220" s="1855"/>
      <c r="BE1220" s="1855"/>
      <c r="BF1220" s="1855"/>
      <c r="BG1220" s="1855"/>
      <c r="BH1220" s="1855"/>
      <c r="BI1220" s="1855"/>
      <c r="BJ1220" s="1855"/>
      <c r="BK1220" s="1855"/>
      <c r="BL1220" s="1855"/>
    </row>
    <row r="1221" spans="1:64" ht="15">
      <c r="A1221" s="2114"/>
      <c r="B1221" s="2505"/>
      <c r="C1221" s="2187" t="s">
        <v>1732</v>
      </c>
      <c r="D1221" s="1855"/>
      <c r="E1221" s="1855"/>
      <c r="F1221" s="1855"/>
      <c r="G1221" s="1855"/>
      <c r="H1221" s="1855"/>
      <c r="I1221" s="1855"/>
      <c r="J1221" s="1855"/>
      <c r="K1221" s="2111"/>
      <c r="L1221" s="2111"/>
      <c r="M1221" s="1964">
        <v>2</v>
      </c>
      <c r="N1221" s="2507"/>
      <c r="O1221" s="2042">
        <f>'Part VIII Scoring Criteria'!O70</f>
        <v>0</v>
      </c>
      <c r="P1221" s="2042"/>
      <c r="Q1221" s="2508" t="str">
        <f>IF(OR($O1221=$M1221,$O1221=0,$O1221=""),"","*CHECK!*")</f>
        <v/>
      </c>
      <c r="R1221" s="2503"/>
      <c r="S1221" s="1855"/>
      <c r="T1221" s="1855"/>
      <c r="U1221" s="1855"/>
      <c r="V1221" s="1855"/>
      <c r="W1221" s="1855"/>
      <c r="X1221" s="1855"/>
      <c r="Y1221" s="1855"/>
      <c r="Z1221" s="1855"/>
      <c r="AA1221" s="1855"/>
      <c r="AB1221" s="1855"/>
      <c r="AC1221" s="1855"/>
      <c r="AD1221" s="1855"/>
      <c r="AE1221" s="1855"/>
      <c r="AF1221" s="1855"/>
      <c r="AG1221" s="1855"/>
      <c r="AH1221" s="1855"/>
      <c r="AI1221" s="1855"/>
      <c r="AJ1221" s="1855"/>
      <c r="AK1221" s="1855"/>
      <c r="AL1221" s="1855"/>
      <c r="AM1221" s="1855"/>
      <c r="AN1221" s="1855"/>
      <c r="AO1221" s="1855"/>
      <c r="AP1221" s="1855"/>
      <c r="AQ1221" s="1855"/>
      <c r="AR1221" s="1855"/>
      <c r="AS1221" s="1855"/>
      <c r="AT1221" s="1855"/>
      <c r="AU1221" s="1855"/>
      <c r="AV1221" s="1855"/>
      <c r="AW1221" s="1855"/>
      <c r="AX1221" s="1855"/>
      <c r="AY1221" s="1855"/>
      <c r="AZ1221" s="1855"/>
      <c r="BA1221" s="1855"/>
      <c r="BB1221" s="1855"/>
      <c r="BC1221" s="1855"/>
      <c r="BD1221" s="1855"/>
      <c r="BE1221" s="1855"/>
      <c r="BF1221" s="1855"/>
      <c r="BG1221" s="1855"/>
      <c r="BH1221" s="1855"/>
      <c r="BI1221" s="1855"/>
      <c r="BJ1221" s="1855"/>
      <c r="BK1221" s="1855"/>
      <c r="BL1221" s="1855"/>
    </row>
    <row r="1222" spans="1:64" ht="15">
      <c r="A1222" s="2113"/>
      <c r="B1222" s="2495"/>
      <c r="C1222" s="2186"/>
      <c r="D1222" s="2049"/>
      <c r="E1222" s="2043"/>
      <c r="F1222" s="2043"/>
      <c r="G1222" s="2043"/>
      <c r="H1222" s="2043"/>
      <c r="I1222" s="2043"/>
      <c r="J1222" s="2043"/>
      <c r="K1222" s="2496"/>
      <c r="L1222" s="2496"/>
      <c r="M1222" s="1964"/>
      <c r="N1222" s="2494"/>
      <c r="O1222" s="2481"/>
      <c r="P1222" s="2481"/>
      <c r="Q1222" s="2043"/>
      <c r="R1222" s="2043"/>
      <c r="S1222" s="2043"/>
      <c r="T1222" s="2043"/>
      <c r="U1222" s="2043"/>
      <c r="V1222" s="2043"/>
      <c r="W1222" s="2043"/>
      <c r="X1222" s="2043"/>
      <c r="Y1222" s="2043"/>
      <c r="Z1222" s="2043"/>
      <c r="AA1222" s="2043"/>
      <c r="AB1222" s="2043"/>
      <c r="AC1222" s="2043"/>
      <c r="AD1222" s="2043"/>
      <c r="AE1222" s="2043"/>
      <c r="AF1222" s="2043"/>
      <c r="AG1222" s="2043"/>
      <c r="AH1222" s="2043"/>
      <c r="AI1222" s="2043"/>
      <c r="AJ1222" s="2043"/>
      <c r="AK1222" s="2043"/>
      <c r="AL1222" s="2043"/>
      <c r="AM1222" s="2043"/>
      <c r="AN1222" s="2043"/>
      <c r="AO1222" s="2043"/>
      <c r="AP1222" s="2043"/>
      <c r="AQ1222" s="2043"/>
      <c r="AR1222" s="2043"/>
      <c r="AS1222" s="2043"/>
      <c r="AT1222" s="2043"/>
      <c r="AU1222" s="2043"/>
      <c r="AV1222" s="2043"/>
      <c r="AW1222" s="2043"/>
      <c r="AX1222" s="2043"/>
      <c r="AY1222" s="2043"/>
      <c r="AZ1222" s="2043"/>
      <c r="BA1222" s="2043"/>
      <c r="BB1222" s="2043"/>
      <c r="BC1222" s="2043"/>
      <c r="BD1222" s="2043"/>
      <c r="BE1222" s="2043"/>
      <c r="BF1222" s="2043"/>
      <c r="BG1222" s="2043"/>
      <c r="BH1222" s="2043"/>
      <c r="BI1222" s="2043"/>
      <c r="BJ1222" s="2043"/>
      <c r="BK1222" s="2043"/>
      <c r="BL1222" s="2043"/>
    </row>
    <row r="1223" spans="1:64" ht="15">
      <c r="A1223" s="2114" t="s">
        <v>206</v>
      </c>
      <c r="B1223" s="2503" t="s">
        <v>1733</v>
      </c>
      <c r="C1223" s="2043"/>
      <c r="D1223" s="2043"/>
      <c r="E1223" s="2043"/>
      <c r="F1223" s="2043"/>
      <c r="G1223" s="2044" t="s">
        <v>1734</v>
      </c>
      <c r="H1223" s="2043"/>
      <c r="I1223" s="1855"/>
      <c r="J1223" s="2496">
        <f>IF(OR('Part V-Revenues &amp; Expenses'!$P$65="", 'Part V-Revenues &amp; Expenses'!$P$65=0),0,'Part V-Revenues &amp; Expenses'!$P$100/'Part V-Revenues &amp; Expenses'!$P$65)</f>
        <v>0.39195979899497485</v>
      </c>
      <c r="K1223" s="2043"/>
      <c r="L1223" s="2043"/>
      <c r="M1223" s="2113">
        <v>3</v>
      </c>
      <c r="N1223" s="2509"/>
      <c r="O1223" s="2042">
        <f>'Part VIII Scoring Criteria'!O72</f>
        <v>0</v>
      </c>
      <c r="P1223" s="2042"/>
      <c r="Q1223" s="2043"/>
      <c r="R1223" s="2043"/>
      <c r="S1223" s="2043"/>
      <c r="T1223" s="2043"/>
      <c r="U1223" s="2043"/>
      <c r="V1223" s="2043"/>
      <c r="W1223" s="2043"/>
      <c r="X1223" s="2043"/>
      <c r="Y1223" s="2043"/>
      <c r="Z1223" s="2043"/>
      <c r="AA1223" s="2043"/>
      <c r="AB1223" s="2043"/>
      <c r="AC1223" s="2043"/>
      <c r="AD1223" s="2043"/>
      <c r="AE1223" s="2043"/>
      <c r="AF1223" s="2043"/>
      <c r="AG1223" s="2043"/>
      <c r="AH1223" s="2043"/>
      <c r="AI1223" s="2043"/>
      <c r="AJ1223" s="2043"/>
      <c r="AK1223" s="2043"/>
      <c r="AL1223" s="2043"/>
      <c r="AM1223" s="2043"/>
      <c r="AN1223" s="2043"/>
      <c r="AO1223" s="2043"/>
      <c r="AP1223" s="2043"/>
      <c r="AQ1223" s="2043"/>
      <c r="AR1223" s="2043"/>
      <c r="AS1223" s="2043"/>
      <c r="AT1223" s="2043"/>
      <c r="AU1223" s="2043"/>
      <c r="AV1223" s="2043"/>
      <c r="AW1223" s="2043"/>
      <c r="AX1223" s="2043"/>
      <c r="AY1223" s="2043"/>
      <c r="AZ1223" s="2043"/>
      <c r="BA1223" s="2043"/>
      <c r="BB1223" s="2043"/>
      <c r="BC1223" s="2043"/>
      <c r="BD1223" s="2043"/>
      <c r="BE1223" s="2043"/>
      <c r="BF1223" s="2043"/>
      <c r="BG1223" s="2043"/>
      <c r="BH1223" s="2043"/>
      <c r="BI1223" s="2043"/>
      <c r="BJ1223" s="2043"/>
      <c r="BK1223" s="2043"/>
      <c r="BL1223" s="2043"/>
    </row>
    <row r="1224" spans="1:64" ht="15">
      <c r="A1224" s="1855"/>
      <c r="B1224" s="2484" t="s">
        <v>1399</v>
      </c>
      <c r="C1224" s="2043"/>
      <c r="D1224" s="2510"/>
      <c r="E1224" s="2487"/>
      <c r="F1224" s="2487"/>
      <c r="G1224" s="2487"/>
      <c r="H1224" s="2487"/>
      <c r="I1224" s="2487"/>
      <c r="J1224" s="2487"/>
      <c r="K1224" s="2487"/>
      <c r="L1224" s="2487"/>
      <c r="M1224" s="2487"/>
      <c r="N1224" s="2511"/>
      <c r="O1224" s="2489"/>
      <c r="P1224" s="2113"/>
      <c r="Q1224" s="2043"/>
      <c r="R1224" s="2043"/>
      <c r="S1224" s="2043"/>
      <c r="T1224" s="2043"/>
      <c r="U1224" s="2043"/>
      <c r="V1224" s="2043"/>
      <c r="W1224" s="2043"/>
      <c r="X1224" s="2043"/>
      <c r="Y1224" s="2043"/>
      <c r="Z1224" s="2043"/>
      <c r="AA1224" s="2043"/>
      <c r="AB1224" s="2043"/>
      <c r="AC1224" s="2043"/>
      <c r="AD1224" s="2043"/>
      <c r="AE1224" s="2043"/>
      <c r="AF1224" s="2043"/>
      <c r="AG1224" s="2043"/>
      <c r="AH1224" s="2043"/>
      <c r="AI1224" s="2043"/>
      <c r="AJ1224" s="2043"/>
      <c r="AK1224" s="2043"/>
      <c r="AL1224" s="2043"/>
      <c r="AM1224" s="2043"/>
      <c r="AN1224" s="2043"/>
      <c r="AO1224" s="2043"/>
      <c r="AP1224" s="2043"/>
      <c r="AQ1224" s="2043"/>
      <c r="AR1224" s="2043"/>
      <c r="AS1224" s="2043"/>
      <c r="AT1224" s="2043"/>
      <c r="AU1224" s="2043"/>
      <c r="AV1224" s="2043"/>
      <c r="AW1224" s="2043"/>
      <c r="AX1224" s="2043"/>
      <c r="AY1224" s="2043"/>
      <c r="AZ1224" s="2043"/>
      <c r="BA1224" s="2043"/>
      <c r="BB1224" s="2043"/>
      <c r="BC1224" s="2043"/>
      <c r="BD1224" s="2043"/>
      <c r="BE1224" s="2043"/>
      <c r="BF1224" s="2043"/>
      <c r="BG1224" s="2043"/>
      <c r="BH1224" s="2043"/>
      <c r="BI1224" s="2043"/>
      <c r="BJ1224" s="2043"/>
      <c r="BK1224" s="2043"/>
      <c r="BL1224" s="2043"/>
    </row>
    <row r="1225" spans="1:64" ht="15">
      <c r="A1225" s="2052"/>
      <c r="B1225" s="2052"/>
      <c r="C1225" s="2052"/>
      <c r="D1225" s="2052"/>
      <c r="E1225" s="2052"/>
      <c r="F1225" s="2052"/>
      <c r="G1225" s="2052"/>
      <c r="H1225" s="2052"/>
      <c r="I1225" s="2052"/>
      <c r="J1225" s="2052"/>
      <c r="K1225" s="2052"/>
      <c r="L1225" s="2052"/>
      <c r="M1225" s="2052"/>
      <c r="N1225" s="2052"/>
      <c r="O1225" s="2052"/>
      <c r="P1225" s="2052"/>
      <c r="Q1225" s="1854"/>
      <c r="R1225" s="2043"/>
      <c r="S1225" s="2043"/>
      <c r="T1225" s="2043"/>
      <c r="U1225" s="2043"/>
      <c r="V1225" s="2043"/>
      <c r="W1225" s="2043"/>
      <c r="X1225" s="2043"/>
      <c r="Y1225" s="2043"/>
      <c r="Z1225" s="2043"/>
      <c r="AA1225" s="2043"/>
      <c r="AB1225" s="2043"/>
      <c r="AC1225" s="2043"/>
      <c r="AD1225" s="2043"/>
      <c r="AE1225" s="2043"/>
      <c r="AF1225" s="2043"/>
      <c r="AG1225" s="2043"/>
      <c r="AH1225" s="2043"/>
      <c r="AI1225" s="2043"/>
      <c r="AJ1225" s="2043"/>
      <c r="AK1225" s="2043"/>
      <c r="AL1225" s="2043"/>
      <c r="AM1225" s="2043"/>
      <c r="AN1225" s="2043"/>
      <c r="AO1225" s="2043"/>
      <c r="AP1225" s="2043"/>
      <c r="AQ1225" s="2043"/>
      <c r="AR1225" s="2043"/>
      <c r="AS1225" s="2043"/>
      <c r="AT1225" s="2043"/>
      <c r="AU1225" s="2043"/>
      <c r="AV1225" s="2043"/>
      <c r="AW1225" s="2043"/>
      <c r="AX1225" s="2043"/>
      <c r="AY1225" s="2043"/>
      <c r="AZ1225" s="2043"/>
      <c r="BA1225" s="2043"/>
      <c r="BB1225" s="2043"/>
      <c r="BC1225" s="2043"/>
      <c r="BD1225" s="2043"/>
      <c r="BE1225" s="2043"/>
      <c r="BF1225" s="2043"/>
      <c r="BG1225" s="2043"/>
      <c r="BH1225" s="2043"/>
      <c r="BI1225" s="2043"/>
      <c r="BJ1225" s="2043"/>
      <c r="BK1225" s="2043"/>
      <c r="BL1225" s="2043"/>
    </row>
    <row r="1226" spans="1:64" ht="15">
      <c r="A1226" s="2487"/>
      <c r="B1226" s="2487"/>
      <c r="C1226" s="2487"/>
      <c r="D1226" s="2487"/>
      <c r="E1226" s="2487"/>
      <c r="F1226" s="2487"/>
      <c r="G1226" s="2487"/>
      <c r="H1226" s="2487"/>
      <c r="I1226" s="2487"/>
      <c r="J1226" s="2487"/>
      <c r="K1226" s="2487"/>
      <c r="L1226" s="2487"/>
      <c r="M1226" s="2487"/>
      <c r="N1226" s="2487"/>
      <c r="O1226" s="2487"/>
      <c r="P1226" s="2487"/>
      <c r="Q1226" s="1854"/>
      <c r="R1226" s="2043"/>
      <c r="S1226" s="2043"/>
      <c r="T1226" s="2043"/>
      <c r="U1226" s="2043"/>
      <c r="V1226" s="2043"/>
      <c r="W1226" s="2043"/>
      <c r="X1226" s="2043"/>
      <c r="Y1226" s="2043"/>
      <c r="Z1226" s="2043"/>
      <c r="AA1226" s="2043"/>
      <c r="AB1226" s="2043"/>
      <c r="AC1226" s="2043"/>
      <c r="AD1226" s="2043"/>
      <c r="AE1226" s="2043"/>
      <c r="AF1226" s="2043"/>
      <c r="AG1226" s="2043"/>
      <c r="AH1226" s="2043"/>
      <c r="AI1226" s="2043"/>
      <c r="AJ1226" s="2043"/>
      <c r="AK1226" s="2043"/>
      <c r="AL1226" s="2043"/>
      <c r="AM1226" s="2043"/>
      <c r="AN1226" s="2043"/>
      <c r="AO1226" s="2043"/>
      <c r="AP1226" s="2043"/>
      <c r="AQ1226" s="2043"/>
      <c r="AR1226" s="2043"/>
      <c r="AS1226" s="2043"/>
      <c r="AT1226" s="2043"/>
      <c r="AU1226" s="2043"/>
      <c r="AV1226" s="2043"/>
      <c r="AW1226" s="2043"/>
      <c r="AX1226" s="2043"/>
      <c r="AY1226" s="2043"/>
      <c r="AZ1226" s="2043"/>
      <c r="BA1226" s="2043"/>
      <c r="BB1226" s="2043"/>
      <c r="BC1226" s="2043"/>
      <c r="BD1226" s="2043"/>
      <c r="BE1226" s="2043"/>
      <c r="BF1226" s="2043"/>
      <c r="BG1226" s="2043"/>
      <c r="BH1226" s="2043"/>
      <c r="BI1226" s="2043"/>
      <c r="BJ1226" s="2043"/>
      <c r="BK1226" s="2043"/>
      <c r="BL1226" s="2043"/>
    </row>
    <row r="1227" spans="1:64" ht="15">
      <c r="A1227" s="2043"/>
      <c r="B1227" s="2043"/>
      <c r="C1227" s="2043"/>
      <c r="D1227" s="2043"/>
      <c r="E1227" s="2043"/>
      <c r="F1227" s="2043"/>
      <c r="G1227" s="2043"/>
      <c r="H1227" s="2043"/>
      <c r="I1227" s="2043"/>
      <c r="J1227" s="2043"/>
      <c r="K1227" s="2043"/>
      <c r="L1227" s="2043"/>
      <c r="M1227" s="2043"/>
      <c r="N1227" s="1994"/>
      <c r="O1227" s="2045"/>
      <c r="P1227" s="2045"/>
      <c r="Q1227" s="2043"/>
      <c r="R1227" s="2043"/>
      <c r="S1227" s="2043"/>
      <c r="T1227" s="2043"/>
      <c r="U1227" s="2043"/>
      <c r="V1227" s="2043"/>
      <c r="W1227" s="2043"/>
      <c r="X1227" s="2043"/>
      <c r="Y1227" s="2043"/>
      <c r="Z1227" s="2043"/>
      <c r="AA1227" s="2043"/>
      <c r="AB1227" s="2043"/>
      <c r="AC1227" s="2043"/>
      <c r="AD1227" s="2043"/>
      <c r="AE1227" s="2043"/>
      <c r="AF1227" s="2043"/>
      <c r="AG1227" s="2043"/>
      <c r="AH1227" s="2043"/>
      <c r="AI1227" s="2043"/>
      <c r="AJ1227" s="2043"/>
      <c r="AK1227" s="2043"/>
      <c r="AL1227" s="2043"/>
      <c r="AM1227" s="2043"/>
      <c r="AN1227" s="2043"/>
      <c r="AO1227" s="2043"/>
      <c r="AP1227" s="2043"/>
      <c r="AQ1227" s="2043"/>
      <c r="AR1227" s="2043"/>
      <c r="AS1227" s="2043"/>
      <c r="AT1227" s="2043"/>
      <c r="AU1227" s="2043"/>
      <c r="AV1227" s="2043"/>
      <c r="AW1227" s="2043"/>
      <c r="AX1227" s="2043"/>
      <c r="AY1227" s="2043"/>
      <c r="AZ1227" s="2043"/>
      <c r="BA1227" s="2043"/>
      <c r="BB1227" s="2043"/>
      <c r="BC1227" s="2043"/>
      <c r="BD1227" s="2043"/>
      <c r="BE1227" s="2043"/>
      <c r="BF1227" s="2043"/>
      <c r="BG1227" s="2043"/>
      <c r="BH1227" s="2043"/>
      <c r="BI1227" s="2043"/>
      <c r="BJ1227" s="2043"/>
      <c r="BK1227" s="2043"/>
      <c r="BL1227" s="2043"/>
    </row>
    <row r="1228" spans="1:64" ht="15">
      <c r="A1228" s="2109" t="s">
        <v>66</v>
      </c>
      <c r="B1228" s="2110" t="s">
        <v>1735</v>
      </c>
      <c r="C1228" s="2043"/>
      <c r="D1228" s="2043"/>
      <c r="E1228" s="2043"/>
      <c r="F1228" s="2043"/>
      <c r="G1228" s="2043"/>
      <c r="H1228" s="2043"/>
      <c r="I1228" s="2043"/>
      <c r="J1228" s="2043"/>
      <c r="K1228" s="2043"/>
      <c r="L1228" s="2043"/>
      <c r="M1228" s="2113">
        <f>IF(AND($AQ$408="4%",$F$31="New Supply"),$AH$409,IF(AND($AQ$408="4%",$F$31="Preservation"),$AI$409,$AG$409))</f>
        <v>0</v>
      </c>
      <c r="N1228" s="2112"/>
      <c r="O1228" s="2042">
        <f>'Part VIII Scoring Criteria'!O77</f>
        <v>0</v>
      </c>
      <c r="P1228" s="2042">
        <f>'Part VIII Scoring Criteria'!P77</f>
        <v>0</v>
      </c>
      <c r="Q1228" s="2113" t="s">
        <v>1716</v>
      </c>
      <c r="R1228" s="2043"/>
      <c r="S1228" s="2043"/>
      <c r="T1228" s="2043"/>
      <c r="U1228" s="2043"/>
      <c r="V1228" s="2043"/>
      <c r="W1228" s="2043"/>
      <c r="X1228" s="2043"/>
      <c r="Y1228" s="2043"/>
      <c r="Z1228" s="2043"/>
      <c r="AA1228" s="2043"/>
      <c r="AB1228" s="2043"/>
      <c r="AC1228" s="2043"/>
      <c r="AD1228" s="2043"/>
      <c r="AE1228" s="2043"/>
      <c r="AF1228" s="2043"/>
      <c r="AG1228" s="2043"/>
      <c r="AH1228" s="2043"/>
      <c r="AI1228" s="2043"/>
      <c r="AJ1228" s="2043"/>
      <c r="AK1228" s="2043"/>
      <c r="AL1228" s="2043"/>
      <c r="AM1228" s="2043"/>
      <c r="AN1228" s="2043"/>
      <c r="AO1228" s="2043"/>
      <c r="AP1228" s="2043"/>
      <c r="AQ1228" s="2043"/>
      <c r="AR1228" s="2043"/>
      <c r="AS1228" s="2043"/>
      <c r="AT1228" s="2043"/>
      <c r="AU1228" s="2043"/>
      <c r="AV1228" s="2043"/>
      <c r="AW1228" s="2043"/>
      <c r="AX1228" s="2043"/>
      <c r="AY1228" s="2043"/>
      <c r="AZ1228" s="2043"/>
      <c r="BA1228" s="2043"/>
      <c r="BB1228" s="2043"/>
      <c r="BC1228" s="2043"/>
      <c r="BD1228" s="2043"/>
      <c r="BE1228" s="2043"/>
      <c r="BF1228" s="2043"/>
      <c r="BG1228" s="2043"/>
      <c r="BH1228" s="2043"/>
      <c r="BI1228" s="2043"/>
      <c r="BJ1228" s="2043"/>
      <c r="BK1228" s="2043"/>
      <c r="BL1228" s="2043"/>
    </row>
    <row r="1229" spans="1:64" ht="15">
      <c r="A1229" s="2114" t="s">
        <v>194</v>
      </c>
      <c r="B1229" s="1854" t="s">
        <v>1736</v>
      </c>
      <c r="C1229" s="1854"/>
      <c r="D1229" s="1854"/>
      <c r="E1229" s="1855"/>
      <c r="F1229" s="1854"/>
      <c r="G1229" s="1855"/>
      <c r="H1229" s="2112"/>
      <c r="I1229" s="2108"/>
      <c r="J1229" s="2108"/>
      <c r="K1229" s="2108"/>
      <c r="L1229" s="2108"/>
      <c r="M1229" s="1964">
        <v>20</v>
      </c>
      <c r="N1229" s="2507"/>
      <c r="O1229" s="2482">
        <f>'Part VIII Scoring Criteria'!O78</f>
        <v>0</v>
      </c>
      <c r="P1229" s="2482"/>
      <c r="Q1229" s="2508"/>
      <c r="R1229" s="2503"/>
      <c r="S1229" s="1855"/>
      <c r="T1229" s="1855"/>
      <c r="U1229" s="1855"/>
      <c r="V1229" s="1855"/>
      <c r="W1229" s="1855"/>
      <c r="X1229" s="1855"/>
      <c r="Y1229" s="1855"/>
      <c r="Z1229" s="1855"/>
      <c r="AA1229" s="1855"/>
      <c r="AB1229" s="1855"/>
      <c r="AC1229" s="1855"/>
      <c r="AD1229" s="1855"/>
      <c r="AE1229" s="1855"/>
      <c r="AF1229" s="1855"/>
      <c r="AG1229" s="1855"/>
      <c r="AH1229" s="1855"/>
      <c r="AI1229" s="1855"/>
      <c r="AJ1229" s="1855"/>
      <c r="AK1229" s="1855"/>
      <c r="AL1229" s="1855"/>
      <c r="AM1229" s="1855"/>
      <c r="AN1229" s="1855"/>
      <c r="AO1229" s="1855"/>
      <c r="AP1229" s="1855"/>
      <c r="AQ1229" s="1855"/>
      <c r="AR1229" s="1855"/>
      <c r="AS1229" s="1855"/>
      <c r="AT1229" s="1855"/>
      <c r="AU1229" s="1855"/>
      <c r="AV1229" s="1855"/>
      <c r="AW1229" s="1855"/>
      <c r="AX1229" s="1855"/>
      <c r="AY1229" s="1855"/>
      <c r="AZ1229" s="1855"/>
      <c r="BA1229" s="1855"/>
      <c r="BB1229" s="1855"/>
      <c r="BC1229" s="1855"/>
      <c r="BD1229" s="1855"/>
      <c r="BE1229" s="1855"/>
      <c r="BF1229" s="1855"/>
      <c r="BG1229" s="1855"/>
      <c r="BH1229" s="1855"/>
      <c r="BI1229" s="1855"/>
      <c r="BJ1229" s="1855"/>
      <c r="BK1229" s="1855"/>
      <c r="BL1229" s="1855"/>
    </row>
    <row r="1230" spans="1:64" ht="15">
      <c r="A1230" s="2114" t="s">
        <v>206</v>
      </c>
      <c r="B1230" s="1854" t="s">
        <v>1737</v>
      </c>
      <c r="C1230" s="1855"/>
      <c r="D1230" s="1855"/>
      <c r="E1230" s="1855"/>
      <c r="F1230" s="1855"/>
      <c r="G1230" s="1855"/>
      <c r="H1230" s="2112"/>
      <c r="I1230" s="2108"/>
      <c r="J1230" s="2108"/>
      <c r="K1230" s="2108"/>
      <c r="L1230" s="2108"/>
      <c r="M1230" s="1964" t="s">
        <v>1738</v>
      </c>
      <c r="N1230" s="2112"/>
      <c r="O1230" s="2482">
        <f>'Part VIII Scoring Criteria'!O79</f>
        <v>0</v>
      </c>
      <c r="P1230" s="2482"/>
      <c r="Q1230" s="1855"/>
      <c r="R1230" s="2503"/>
      <c r="S1230" s="1855"/>
      <c r="T1230" s="1855"/>
      <c r="U1230" s="1855"/>
      <c r="V1230" s="1855"/>
      <c r="W1230" s="1855"/>
      <c r="X1230" s="1855"/>
      <c r="Y1230" s="1855"/>
      <c r="Z1230" s="1855"/>
      <c r="AA1230" s="1855"/>
      <c r="AB1230" s="1855"/>
      <c r="AC1230" s="1855"/>
      <c r="AD1230" s="1855"/>
      <c r="AE1230" s="1855"/>
      <c r="AF1230" s="1855"/>
      <c r="AG1230" s="1855"/>
      <c r="AH1230" s="1855"/>
      <c r="AI1230" s="1855"/>
      <c r="AJ1230" s="1855"/>
      <c r="AK1230" s="1855"/>
      <c r="AL1230" s="1855"/>
      <c r="AM1230" s="1855"/>
      <c r="AN1230" s="1855"/>
      <c r="AO1230" s="1855"/>
      <c r="AP1230" s="1855"/>
      <c r="AQ1230" s="1855"/>
      <c r="AR1230" s="1855"/>
      <c r="AS1230" s="1855"/>
      <c r="AT1230" s="1855"/>
      <c r="AU1230" s="1855"/>
      <c r="AV1230" s="1855"/>
      <c r="AW1230" s="1855"/>
      <c r="AX1230" s="1855"/>
      <c r="AY1230" s="1855"/>
      <c r="AZ1230" s="1855"/>
      <c r="BA1230" s="1855"/>
      <c r="BB1230" s="1855"/>
      <c r="BC1230" s="1855"/>
      <c r="BD1230" s="1855"/>
      <c r="BE1230" s="1855"/>
      <c r="BF1230" s="1855"/>
      <c r="BG1230" s="1855"/>
      <c r="BH1230" s="1855"/>
      <c r="BI1230" s="1855"/>
      <c r="BJ1230" s="1855"/>
      <c r="BK1230" s="1855"/>
      <c r="BL1230" s="1855"/>
    </row>
    <row r="1231" spans="1:64" ht="15">
      <c r="A1231" s="1855"/>
      <c r="B1231" s="2110" t="s">
        <v>1739</v>
      </c>
      <c r="C1231" s="1855"/>
      <c r="D1231" s="1855"/>
      <c r="E1231" s="1855"/>
      <c r="F1231" s="1855"/>
      <c r="G1231" s="1855"/>
      <c r="H1231" s="1855"/>
      <c r="I1231" s="2108"/>
      <c r="J1231" s="2108"/>
      <c r="K1231" s="2108"/>
      <c r="L1231" s="2108"/>
      <c r="M1231" s="1964"/>
      <c r="N1231" s="1994"/>
      <c r="O1231" s="2042"/>
      <c r="P1231" s="2045"/>
      <c r="Q1231" s="2043"/>
      <c r="R1231" s="2043"/>
      <c r="S1231" s="2043"/>
      <c r="T1231" s="2043"/>
      <c r="U1231" s="2043"/>
      <c r="V1231" s="2043"/>
      <c r="W1231" s="2043"/>
      <c r="X1231" s="2043"/>
      <c r="Y1231" s="2043"/>
      <c r="Z1231" s="2043"/>
      <c r="AA1231" s="2043"/>
      <c r="AB1231" s="2043"/>
      <c r="AC1231" s="2043"/>
      <c r="AD1231" s="2043"/>
      <c r="AE1231" s="2043"/>
      <c r="AF1231" s="2043"/>
      <c r="AG1231" s="2043"/>
      <c r="AH1231" s="2043"/>
      <c r="AI1231" s="2043"/>
      <c r="AJ1231" s="2043"/>
      <c r="AK1231" s="2043"/>
      <c r="AL1231" s="2043"/>
      <c r="AM1231" s="2043"/>
      <c r="AN1231" s="2043"/>
      <c r="AO1231" s="2043"/>
      <c r="AP1231" s="2043"/>
      <c r="AQ1231" s="2043"/>
      <c r="AR1231" s="2043"/>
      <c r="AS1231" s="2043"/>
      <c r="AT1231" s="2043"/>
      <c r="AU1231" s="2043"/>
      <c r="AV1231" s="2043"/>
      <c r="AW1231" s="2043"/>
      <c r="AX1231" s="2043"/>
      <c r="AY1231" s="2043"/>
      <c r="AZ1231" s="2043"/>
      <c r="BA1231" s="2043"/>
      <c r="BB1231" s="2043"/>
      <c r="BC1231" s="2043"/>
      <c r="BD1231" s="2043"/>
      <c r="BE1231" s="2043"/>
      <c r="BF1231" s="2043"/>
      <c r="BG1231" s="2043"/>
      <c r="BH1231" s="2043"/>
      <c r="BI1231" s="2043"/>
      <c r="BJ1231" s="2043"/>
      <c r="BK1231" s="2043"/>
      <c r="BL1231" s="2043"/>
    </row>
    <row r="1232" spans="1:64" ht="42.75">
      <c r="A1232" s="2052" t="str">
        <f>'Part VIII Scoring Criteria'!A81</f>
        <v>NA 4% Preservation</v>
      </c>
      <c r="B1232" s="2052"/>
      <c r="C1232" s="2052"/>
      <c r="D1232" s="2052"/>
      <c r="E1232" s="2052"/>
      <c r="F1232" s="2052"/>
      <c r="G1232" s="2052"/>
      <c r="H1232" s="2052"/>
      <c r="I1232" s="2052"/>
      <c r="J1232" s="2052"/>
      <c r="K1232" s="2052"/>
      <c r="L1232" s="2052"/>
      <c r="M1232" s="2052"/>
      <c r="N1232" s="2052"/>
      <c r="O1232" s="2052"/>
      <c r="P1232" s="2052"/>
      <c r="Q1232" s="1854"/>
      <c r="R1232" s="1854"/>
      <c r="S1232" s="2043"/>
      <c r="T1232" s="2043"/>
      <c r="U1232" s="2043"/>
      <c r="V1232" s="2043"/>
      <c r="W1232" s="2043"/>
      <c r="X1232" s="2043"/>
      <c r="Y1232" s="2043"/>
      <c r="Z1232" s="2043"/>
      <c r="AA1232" s="2043"/>
      <c r="AB1232" s="2043"/>
      <c r="AC1232" s="2043"/>
      <c r="AD1232" s="2043"/>
      <c r="AE1232" s="2043"/>
      <c r="AF1232" s="2043"/>
      <c r="AG1232" s="2043"/>
      <c r="AH1232" s="2043"/>
      <c r="AI1232" s="2043"/>
      <c r="AJ1232" s="2043"/>
      <c r="AK1232" s="2043"/>
      <c r="AL1232" s="2043"/>
      <c r="AM1232" s="2043"/>
      <c r="AN1232" s="2043"/>
      <c r="AO1232" s="2043"/>
      <c r="AP1232" s="2043"/>
      <c r="AQ1232" s="2043"/>
      <c r="AR1232" s="2043"/>
      <c r="AS1232" s="2043"/>
      <c r="AT1232" s="2043"/>
      <c r="AU1232" s="2043"/>
      <c r="AV1232" s="2043"/>
      <c r="AW1232" s="2043"/>
      <c r="AX1232" s="2043"/>
      <c r="AY1232" s="2043"/>
      <c r="AZ1232" s="2043"/>
      <c r="BA1232" s="2043"/>
      <c r="BB1232" s="2043"/>
      <c r="BC1232" s="2043"/>
      <c r="BD1232" s="2043"/>
      <c r="BE1232" s="2043"/>
      <c r="BF1232" s="2043"/>
      <c r="BG1232" s="2043"/>
      <c r="BH1232" s="2043"/>
      <c r="BI1232" s="2043"/>
      <c r="BJ1232" s="2043"/>
      <c r="BK1232" s="2043"/>
      <c r="BL1232" s="2043"/>
    </row>
    <row r="1233" spans="1:64" ht="15">
      <c r="A1233" s="1855"/>
      <c r="B1233" s="2484" t="s">
        <v>1399</v>
      </c>
      <c r="C1233" s="1855"/>
      <c r="D1233" s="2510"/>
      <c r="E1233" s="2487"/>
      <c r="F1233" s="2487"/>
      <c r="G1233" s="2487"/>
      <c r="H1233" s="2487"/>
      <c r="I1233" s="2487"/>
      <c r="J1233" s="2487"/>
      <c r="K1233" s="2487"/>
      <c r="L1233" s="2487"/>
      <c r="M1233" s="2487"/>
      <c r="N1233" s="2511"/>
      <c r="O1233" s="2489"/>
      <c r="P1233" s="2113"/>
      <c r="Q1233" s="2043"/>
      <c r="R1233" s="2043"/>
      <c r="S1233" s="2043"/>
      <c r="T1233" s="2043"/>
      <c r="U1233" s="2043"/>
      <c r="V1233" s="2043"/>
      <c r="W1233" s="2043"/>
      <c r="X1233" s="2043"/>
      <c r="Y1233" s="2043"/>
      <c r="Z1233" s="2043"/>
      <c r="AA1233" s="2043"/>
      <c r="AB1233" s="2043"/>
      <c r="AC1233" s="2043"/>
      <c r="AD1233" s="2043"/>
      <c r="AE1233" s="2043"/>
      <c r="AF1233" s="2043"/>
      <c r="AG1233" s="2043"/>
      <c r="AH1233" s="2043"/>
      <c r="AI1233" s="2043"/>
      <c r="AJ1233" s="2043"/>
      <c r="AK1233" s="2043"/>
      <c r="AL1233" s="2043"/>
      <c r="AM1233" s="2043"/>
      <c r="AN1233" s="2043"/>
      <c r="AO1233" s="2043"/>
      <c r="AP1233" s="2043"/>
      <c r="AQ1233" s="2043"/>
      <c r="AR1233" s="2043"/>
      <c r="AS1233" s="2043"/>
      <c r="AT1233" s="2043"/>
      <c r="AU1233" s="2043"/>
      <c r="AV1233" s="2043"/>
      <c r="AW1233" s="2043"/>
      <c r="AX1233" s="2043"/>
      <c r="AY1233" s="2043"/>
      <c r="AZ1233" s="2043"/>
      <c r="BA1233" s="2043"/>
      <c r="BB1233" s="2043"/>
      <c r="BC1233" s="2043"/>
      <c r="BD1233" s="2043"/>
      <c r="BE1233" s="2043"/>
      <c r="BF1233" s="2043"/>
      <c r="BG1233" s="2043"/>
      <c r="BH1233" s="2043"/>
      <c r="BI1233" s="2043"/>
      <c r="BJ1233" s="2043"/>
      <c r="BK1233" s="2043"/>
      <c r="BL1233" s="2043"/>
    </row>
    <row r="1234" spans="1:64" ht="15">
      <c r="A1234" s="2052"/>
      <c r="B1234" s="2052"/>
      <c r="C1234" s="2052"/>
      <c r="D1234" s="2052"/>
      <c r="E1234" s="2052"/>
      <c r="F1234" s="2052"/>
      <c r="G1234" s="2052"/>
      <c r="H1234" s="2052"/>
      <c r="I1234" s="2052"/>
      <c r="J1234" s="2052"/>
      <c r="K1234" s="2052"/>
      <c r="L1234" s="2052"/>
      <c r="M1234" s="2052"/>
      <c r="N1234" s="2052"/>
      <c r="O1234" s="2052"/>
      <c r="P1234" s="2052"/>
      <c r="Q1234" s="1854"/>
      <c r="R1234" s="1854"/>
      <c r="S1234" s="2043"/>
      <c r="T1234" s="2043"/>
      <c r="U1234" s="2043"/>
      <c r="V1234" s="2043"/>
      <c r="W1234" s="2043"/>
      <c r="X1234" s="2043"/>
      <c r="Y1234" s="2043"/>
      <c r="Z1234" s="2043"/>
      <c r="AA1234" s="2043"/>
      <c r="AB1234" s="2043"/>
      <c r="AC1234" s="2043"/>
      <c r="AD1234" s="2043"/>
      <c r="AE1234" s="2043"/>
      <c r="AF1234" s="2043"/>
      <c r="AG1234" s="2043"/>
      <c r="AH1234" s="2043"/>
      <c r="AI1234" s="2043"/>
      <c r="AJ1234" s="2043"/>
      <c r="AK1234" s="2043"/>
      <c r="AL1234" s="2043"/>
      <c r="AM1234" s="2043"/>
      <c r="AN1234" s="2043"/>
      <c r="AO1234" s="2043"/>
      <c r="AP1234" s="2043"/>
      <c r="AQ1234" s="2043"/>
      <c r="AR1234" s="2043"/>
      <c r="AS1234" s="2043"/>
      <c r="AT1234" s="2043"/>
      <c r="AU1234" s="2043"/>
      <c r="AV1234" s="2043"/>
      <c r="AW1234" s="2043"/>
      <c r="AX1234" s="2043"/>
      <c r="AY1234" s="2043"/>
      <c r="AZ1234" s="2043"/>
      <c r="BA1234" s="2043"/>
      <c r="BB1234" s="2043"/>
      <c r="BC1234" s="2043"/>
      <c r="BD1234" s="2043"/>
      <c r="BE1234" s="2043"/>
      <c r="BF1234" s="2043"/>
      <c r="BG1234" s="2043"/>
      <c r="BH1234" s="2043"/>
      <c r="BI1234" s="2043"/>
      <c r="BJ1234" s="2043"/>
      <c r="BK1234" s="2043"/>
      <c r="BL1234" s="2043"/>
    </row>
    <row r="1235" spans="1:64" ht="15">
      <c r="A1235" s="2043"/>
      <c r="B1235" s="2043"/>
      <c r="C1235" s="2043"/>
      <c r="D1235" s="2043"/>
      <c r="E1235" s="2043"/>
      <c r="F1235" s="2043"/>
      <c r="G1235" s="2043"/>
      <c r="H1235" s="2043"/>
      <c r="I1235" s="2043"/>
      <c r="J1235" s="2043"/>
      <c r="K1235" s="2043"/>
      <c r="L1235" s="2043"/>
      <c r="M1235" s="1855"/>
      <c r="N1235" s="1964"/>
      <c r="O1235" s="2113"/>
      <c r="P1235" s="2113"/>
      <c r="Q1235" s="2043"/>
      <c r="R1235" s="2043"/>
      <c r="S1235" s="2043"/>
      <c r="T1235" s="2043"/>
      <c r="U1235" s="2043"/>
      <c r="V1235" s="2043"/>
      <c r="W1235" s="2043"/>
      <c r="X1235" s="2043"/>
      <c r="Y1235" s="2043"/>
      <c r="Z1235" s="2043"/>
      <c r="AA1235" s="2043"/>
      <c r="AB1235" s="2043"/>
      <c r="AC1235" s="2043"/>
      <c r="AD1235" s="2043"/>
      <c r="AE1235" s="2043"/>
      <c r="AF1235" s="2043"/>
      <c r="AG1235" s="2043"/>
      <c r="AH1235" s="2043"/>
      <c r="AI1235" s="2043"/>
      <c r="AJ1235" s="2043"/>
      <c r="AK1235" s="2043"/>
      <c r="AL1235" s="2043"/>
      <c r="AM1235" s="2043"/>
      <c r="AN1235" s="2043"/>
      <c r="AO1235" s="2043"/>
      <c r="AP1235" s="2043"/>
      <c r="AQ1235" s="2043"/>
      <c r="AR1235" s="2043"/>
      <c r="AS1235" s="2043"/>
      <c r="AT1235" s="2043"/>
      <c r="AU1235" s="2043"/>
      <c r="AV1235" s="2043"/>
      <c r="AW1235" s="2043"/>
      <c r="AX1235" s="2043"/>
      <c r="AY1235" s="2043"/>
      <c r="AZ1235" s="2043"/>
      <c r="BA1235" s="2043"/>
      <c r="BB1235" s="2043"/>
      <c r="BC1235" s="2043"/>
      <c r="BD1235" s="2043"/>
      <c r="BE1235" s="2043"/>
      <c r="BF1235" s="2043"/>
      <c r="BG1235" s="2043"/>
      <c r="BH1235" s="2043"/>
      <c r="BI1235" s="2043"/>
      <c r="BJ1235" s="2043"/>
      <c r="BK1235" s="2043"/>
      <c r="BL1235" s="2043"/>
    </row>
    <row r="1236" spans="1:64" ht="15">
      <c r="A1236" s="2043"/>
      <c r="B1236" s="2043"/>
      <c r="C1236" s="2043"/>
      <c r="D1236" s="2043"/>
      <c r="E1236" s="2043"/>
      <c r="F1236" s="2043"/>
      <c r="G1236" s="2043"/>
      <c r="H1236" s="2043"/>
      <c r="I1236" s="2043"/>
      <c r="J1236" s="2043"/>
      <c r="K1236" s="2043"/>
      <c r="L1236" s="2043"/>
      <c r="M1236" s="1855"/>
      <c r="N1236" s="1964"/>
      <c r="O1236" s="2113"/>
      <c r="P1236" s="2113"/>
      <c r="Q1236" s="2043"/>
      <c r="R1236" s="2043"/>
      <c r="S1236" s="2043"/>
      <c r="T1236" s="2043"/>
      <c r="U1236" s="2043"/>
      <c r="V1236" s="2043"/>
      <c r="W1236" s="2043"/>
      <c r="X1236" s="2043"/>
      <c r="Y1236" s="2043"/>
      <c r="Z1236" s="2043"/>
      <c r="AA1236" s="2043"/>
      <c r="AB1236" s="2043"/>
      <c r="AC1236" s="2043"/>
      <c r="AD1236" s="2043"/>
      <c r="AE1236" s="2043"/>
      <c r="AF1236" s="2043"/>
      <c r="AG1236" s="2043"/>
      <c r="AH1236" s="2043"/>
      <c r="AI1236" s="2043"/>
      <c r="AJ1236" s="2043"/>
      <c r="AK1236" s="2043"/>
      <c r="AL1236" s="2043"/>
      <c r="AM1236" s="2043"/>
      <c r="AN1236" s="2043"/>
      <c r="AO1236" s="2043"/>
      <c r="AP1236" s="2043"/>
      <c r="AQ1236" s="2043"/>
      <c r="AR1236" s="2043"/>
      <c r="AS1236" s="2043"/>
      <c r="AT1236" s="2043"/>
      <c r="AU1236" s="2043"/>
      <c r="AV1236" s="2043"/>
      <c r="AW1236" s="2043"/>
      <c r="AX1236" s="2043"/>
      <c r="AY1236" s="2043"/>
      <c r="AZ1236" s="2043"/>
      <c r="BA1236" s="2043"/>
      <c r="BB1236" s="2043"/>
      <c r="BC1236" s="2043"/>
      <c r="BD1236" s="2043"/>
      <c r="BE1236" s="2043"/>
      <c r="BF1236" s="2043"/>
      <c r="BG1236" s="2043"/>
      <c r="BH1236" s="2043"/>
      <c r="BI1236" s="2043"/>
      <c r="BJ1236" s="2043"/>
      <c r="BK1236" s="2043"/>
      <c r="BL1236" s="2043"/>
    </row>
    <row r="1237" spans="1:64" ht="15">
      <c r="A1237" s="2109" t="s">
        <v>75</v>
      </c>
      <c r="B1237" s="2110" t="s">
        <v>1740</v>
      </c>
      <c r="C1237" s="2043"/>
      <c r="D1237" s="2043"/>
      <c r="E1237" s="2043"/>
      <c r="F1237" s="2043"/>
      <c r="G1237" s="2043"/>
      <c r="H1237" s="2512"/>
      <c r="I1237" s="2503"/>
      <c r="J1237" s="2113"/>
      <c r="K1237" s="2113"/>
      <c r="L1237" s="2113"/>
      <c r="M1237" s="2113">
        <v>6</v>
      </c>
      <c r="N1237" s="2112"/>
      <c r="O1237" s="2482">
        <f>'Part VIII Scoring Criteria'!O86</f>
        <v>0</v>
      </c>
      <c r="P1237" s="2482">
        <f>'Part VIII Scoring Criteria'!P86</f>
        <v>0</v>
      </c>
      <c r="Q1237" s="2113" t="s">
        <v>1716</v>
      </c>
      <c r="R1237" s="2083"/>
      <c r="S1237" s="2513" t="s">
        <v>1741</v>
      </c>
      <c r="T1237" s="2513" t="s">
        <v>1742</v>
      </c>
      <c r="U1237" s="2083"/>
      <c r="V1237" s="2043"/>
      <c r="W1237" s="2043"/>
      <c r="X1237" s="2043"/>
      <c r="Y1237" s="2043"/>
      <c r="Z1237" s="2043"/>
      <c r="AA1237" s="2043"/>
      <c r="AB1237" s="2043"/>
      <c r="AC1237" s="2043"/>
      <c r="AD1237" s="2043"/>
      <c r="AE1237" s="2043"/>
      <c r="AF1237" s="2043"/>
      <c r="AG1237" s="2043"/>
      <c r="AH1237" s="2043"/>
      <c r="AI1237" s="2043"/>
      <c r="AJ1237" s="2043"/>
      <c r="AK1237" s="2043"/>
      <c r="AL1237" s="2043"/>
      <c r="AM1237" s="2043"/>
      <c r="AN1237" s="2043"/>
      <c r="AO1237" s="2043"/>
      <c r="AP1237" s="2043"/>
      <c r="AQ1237" s="2043"/>
      <c r="AR1237" s="2043"/>
      <c r="AS1237" s="2043"/>
      <c r="AT1237" s="2043"/>
      <c r="AU1237" s="2043"/>
      <c r="AV1237" s="2043"/>
      <c r="AW1237" s="2043"/>
      <c r="AX1237" s="2043"/>
      <c r="AY1237" s="2043"/>
      <c r="AZ1237" s="2043"/>
      <c r="BA1237" s="2043"/>
      <c r="BB1237" s="2043"/>
      <c r="BC1237" s="2043"/>
      <c r="BD1237" s="2043"/>
      <c r="BE1237" s="2043"/>
      <c r="BF1237" s="2043"/>
      <c r="BG1237" s="2043"/>
      <c r="BH1237" s="2043"/>
      <c r="BI1237" s="2043"/>
      <c r="BJ1237" s="2043"/>
      <c r="BK1237" s="2043"/>
      <c r="BL1237" s="2043"/>
    </row>
    <row r="1238" spans="1:64" ht="15">
      <c r="A1238" s="2109"/>
      <c r="B1238" s="2110"/>
      <c r="C1238" s="2043"/>
      <c r="D1238" s="2043"/>
      <c r="E1238" s="2043"/>
      <c r="F1238" s="2043"/>
      <c r="G1238" s="2043"/>
      <c r="H1238" s="2110"/>
      <c r="I1238" s="2484"/>
      <c r="J1238" s="1855"/>
      <c r="K1238" s="1855"/>
      <c r="L1238" s="2043"/>
      <c r="M1238" s="2113"/>
      <c r="N1238" s="2112"/>
      <c r="O1238" s="2042"/>
      <c r="P1238" s="2042"/>
      <c r="Q1238" s="2113"/>
      <c r="R1238" s="2083"/>
      <c r="S1238" s="2514">
        <v>0.25</v>
      </c>
      <c r="T1238" s="2514">
        <v>5</v>
      </c>
      <c r="U1238" s="2083"/>
      <c r="V1238" s="2043"/>
      <c r="W1238" s="2043"/>
      <c r="X1238" s="2043"/>
      <c r="Y1238" s="2043"/>
      <c r="Z1238" s="2043"/>
      <c r="AA1238" s="2043"/>
      <c r="AB1238" s="2043"/>
      <c r="AC1238" s="2043"/>
      <c r="AD1238" s="2043"/>
      <c r="AE1238" s="2043"/>
      <c r="AF1238" s="2043"/>
      <c r="AG1238" s="2043"/>
      <c r="AH1238" s="2043"/>
      <c r="AI1238" s="2043"/>
      <c r="AJ1238" s="2043"/>
      <c r="AK1238" s="2043"/>
      <c r="AL1238" s="2043"/>
      <c r="AM1238" s="2043"/>
      <c r="AN1238" s="2043"/>
      <c r="AO1238" s="2043"/>
      <c r="AP1238" s="2043"/>
      <c r="AQ1238" s="2043"/>
      <c r="AR1238" s="2043"/>
      <c r="AS1238" s="2043"/>
      <c r="AT1238" s="2043"/>
      <c r="AU1238" s="2043"/>
      <c r="AV1238" s="2043"/>
      <c r="AW1238" s="2043"/>
      <c r="AX1238" s="2043"/>
      <c r="AY1238" s="2043"/>
      <c r="AZ1238" s="2043"/>
      <c r="BA1238" s="2043"/>
      <c r="BB1238" s="2043"/>
      <c r="BC1238" s="2043"/>
      <c r="BD1238" s="2043"/>
      <c r="BE1238" s="2043"/>
      <c r="BF1238" s="2043"/>
      <c r="BG1238" s="2043"/>
      <c r="BH1238" s="2043"/>
      <c r="BI1238" s="2043"/>
      <c r="BJ1238" s="2043"/>
      <c r="BK1238" s="2043"/>
      <c r="BL1238" s="2043"/>
    </row>
    <row r="1239" spans="1:64" ht="14.25" customHeight="1">
      <c r="A1239" s="2109"/>
      <c r="B1239" s="1855" t="s">
        <v>1743</v>
      </c>
      <c r="C1239" s="2043"/>
      <c r="D1239" s="2043"/>
      <c r="E1239" s="2043"/>
      <c r="F1239" s="1855" t="s">
        <v>1744</v>
      </c>
      <c r="G1239" s="1855"/>
      <c r="H1239" s="1855"/>
      <c r="I1239" s="1855"/>
      <c r="J1239" s="1855" t="s">
        <v>1745</v>
      </c>
      <c r="K1239" s="1855"/>
      <c r="L1239" s="1855"/>
      <c r="M1239" s="1855"/>
      <c r="N1239" s="2112"/>
      <c r="O1239" s="2515" t="s">
        <v>1746</v>
      </c>
      <c r="P1239" s="2515"/>
      <c r="Q1239" s="2043"/>
      <c r="R1239" s="2049"/>
      <c r="S1239" s="2514">
        <v>0.5</v>
      </c>
      <c r="T1239" s="2514">
        <v>4.5</v>
      </c>
      <c r="U1239" s="2083"/>
      <c r="V1239" s="2043"/>
      <c r="W1239" s="2043"/>
      <c r="X1239" s="2043"/>
      <c r="Y1239" s="2043"/>
      <c r="Z1239" s="2043"/>
      <c r="AA1239" s="2043"/>
      <c r="AB1239" s="2043"/>
      <c r="AC1239" s="2043"/>
      <c r="AD1239" s="2043"/>
      <c r="AE1239" s="2043"/>
      <c r="AF1239" s="2043"/>
      <c r="AG1239" s="2043"/>
      <c r="AH1239" s="2043"/>
      <c r="AI1239" s="2043"/>
      <c r="AJ1239" s="2043"/>
      <c r="AK1239" s="2043"/>
      <c r="AL1239" s="2043"/>
      <c r="AM1239" s="2043"/>
      <c r="AN1239" s="2043"/>
      <c r="AO1239" s="2043"/>
      <c r="AP1239" s="2043"/>
      <c r="AQ1239" s="2043"/>
      <c r="AR1239" s="2043"/>
      <c r="AS1239" s="2043"/>
      <c r="AT1239" s="2043"/>
      <c r="AU1239" s="2043"/>
      <c r="AV1239" s="2043"/>
      <c r="AW1239" s="2043"/>
      <c r="AX1239" s="2043"/>
      <c r="AY1239" s="2043"/>
      <c r="AZ1239" s="2043"/>
      <c r="BA1239" s="2043"/>
      <c r="BB1239" s="2043"/>
      <c r="BC1239" s="2043"/>
      <c r="BD1239" s="2043"/>
      <c r="BE1239" s="2043"/>
      <c r="BF1239" s="2043"/>
      <c r="BG1239" s="2043"/>
      <c r="BH1239" s="2043"/>
      <c r="BI1239" s="2043"/>
      <c r="BJ1239" s="2043"/>
      <c r="BK1239" s="2043"/>
      <c r="BL1239" s="2043"/>
    </row>
    <row r="1240" spans="1:64" ht="14.25">
      <c r="A1240" s="2043"/>
      <c r="B1240" s="2516"/>
      <c r="C1240" s="2046" t="s">
        <v>1747</v>
      </c>
      <c r="D1240" s="2043"/>
      <c r="E1240" s="2043"/>
      <c r="F1240" s="1855">
        <f>'Part VIII Scoring Criteria'!F89</f>
        <v>0</v>
      </c>
      <c r="G1240" s="1855"/>
      <c r="H1240" s="1855"/>
      <c r="I1240" s="1855"/>
      <c r="J1240" s="1855">
        <f>'Part VIII Scoring Criteria'!J89</f>
        <v>0</v>
      </c>
      <c r="K1240" s="1855"/>
      <c r="L1240" s="1855"/>
      <c r="M1240" s="1855"/>
      <c r="N1240" s="2043"/>
      <c r="O1240" s="2515"/>
      <c r="P1240" s="2515"/>
      <c r="Q1240" s="2043"/>
      <c r="R1240" s="2517" t="s">
        <v>1748</v>
      </c>
      <c r="S1240" s="2514">
        <v>1</v>
      </c>
      <c r="T1240" s="2514">
        <v>4</v>
      </c>
      <c r="U1240" s="2083"/>
      <c r="V1240" s="2043"/>
      <c r="W1240" s="2043"/>
      <c r="X1240" s="2043"/>
      <c r="Y1240" s="2043"/>
      <c r="Z1240" s="2043"/>
      <c r="AA1240" s="2043"/>
      <c r="AB1240" s="2043"/>
      <c r="AC1240" s="2043"/>
      <c r="AD1240" s="2043"/>
      <c r="AE1240" s="2043"/>
      <c r="AF1240" s="2043"/>
      <c r="AG1240" s="2043"/>
      <c r="AH1240" s="2043"/>
      <c r="AI1240" s="2043"/>
      <c r="AJ1240" s="2043"/>
      <c r="AK1240" s="2043"/>
      <c r="AL1240" s="2043"/>
      <c r="AM1240" s="2043"/>
      <c r="AN1240" s="2043"/>
      <c r="AO1240" s="2043"/>
      <c r="AP1240" s="2043"/>
      <c r="AQ1240" s="2043"/>
      <c r="AR1240" s="2043"/>
      <c r="AS1240" s="2043"/>
      <c r="AT1240" s="2043"/>
      <c r="AU1240" s="2043"/>
      <c r="AV1240" s="2043"/>
      <c r="AW1240" s="2043"/>
      <c r="AX1240" s="2043"/>
      <c r="AY1240" s="2043"/>
      <c r="AZ1240" s="2043"/>
      <c r="BA1240" s="2043"/>
      <c r="BB1240" s="2043"/>
      <c r="BC1240" s="2043"/>
      <c r="BD1240" s="2043"/>
      <c r="BE1240" s="2043"/>
      <c r="BF1240" s="2043"/>
      <c r="BG1240" s="2043"/>
      <c r="BH1240" s="2043"/>
      <c r="BI1240" s="2043"/>
      <c r="BJ1240" s="2043"/>
      <c r="BK1240" s="2043"/>
      <c r="BL1240" s="2043"/>
    </row>
    <row r="1241" spans="1:64" ht="14.25">
      <c r="A1241" s="2516"/>
      <c r="B1241" s="2052"/>
      <c r="C1241" s="2046" t="s">
        <v>1749</v>
      </c>
      <c r="D1241" s="2043"/>
      <c r="E1241" s="2043"/>
      <c r="F1241" s="1855">
        <f>'Part VIII Scoring Criteria'!F90</f>
        <v>0</v>
      </c>
      <c r="G1241" s="1855"/>
      <c r="H1241" s="1855"/>
      <c r="I1241" s="1855"/>
      <c r="J1241" s="1855">
        <f>'Part VIII Scoring Criteria'!J90</f>
        <v>0</v>
      </c>
      <c r="K1241" s="1855"/>
      <c r="L1241" s="1855"/>
      <c r="M1241" s="1855"/>
      <c r="N1241" s="2112"/>
      <c r="O1241" s="2518">
        <f>'Part VIII Scoring Criteria'!O90</f>
        <v>0</v>
      </c>
      <c r="P1241" s="2518"/>
      <c r="Q1241" s="2043"/>
      <c r="R1241" s="2519"/>
      <c r="S1241" s="2514">
        <v>0.25</v>
      </c>
      <c r="T1241" s="2514">
        <v>3</v>
      </c>
      <c r="U1241" s="2083"/>
      <c r="V1241" s="2043"/>
      <c r="W1241" s="2043"/>
      <c r="X1241" s="2043"/>
      <c r="Y1241" s="2043"/>
      <c r="Z1241" s="2043"/>
      <c r="AA1241" s="2043"/>
      <c r="AB1241" s="2043"/>
      <c r="AC1241" s="2043"/>
      <c r="AD1241" s="2043"/>
      <c r="AE1241" s="2043"/>
      <c r="AF1241" s="2043"/>
      <c r="AG1241" s="2043"/>
      <c r="AH1241" s="2043"/>
      <c r="AI1241" s="2043"/>
      <c r="AJ1241" s="2043"/>
      <c r="AK1241" s="2043"/>
      <c r="AL1241" s="2043"/>
      <c r="AM1241" s="2043"/>
      <c r="AN1241" s="2043"/>
      <c r="AO1241" s="2043"/>
      <c r="AP1241" s="2043"/>
      <c r="AQ1241" s="2043"/>
      <c r="AR1241" s="2043"/>
      <c r="AS1241" s="2043"/>
      <c r="AT1241" s="2043"/>
      <c r="AU1241" s="2043"/>
      <c r="AV1241" s="2043"/>
      <c r="AW1241" s="2043"/>
      <c r="AX1241" s="2043"/>
      <c r="AY1241" s="2043"/>
      <c r="AZ1241" s="2043"/>
      <c r="BA1241" s="2043"/>
      <c r="BB1241" s="2043"/>
      <c r="BC1241" s="2043"/>
      <c r="BD1241" s="2043"/>
      <c r="BE1241" s="2043"/>
      <c r="BF1241" s="2043"/>
      <c r="BG1241" s="2043"/>
      <c r="BH1241" s="2043"/>
      <c r="BI1241" s="2043"/>
      <c r="BJ1241" s="2043"/>
      <c r="BK1241" s="2043"/>
      <c r="BL1241" s="2043"/>
    </row>
    <row r="1242" spans="1:64" ht="14.25">
      <c r="A1242" s="2052"/>
      <c r="B1242" s="2043" t="s">
        <v>1750</v>
      </c>
      <c r="C1242" s="2043"/>
      <c r="D1242" s="2043"/>
      <c r="E1242" s="2043"/>
      <c r="F1242" s="1994" t="s">
        <v>1751</v>
      </c>
      <c r="G1242" s="1855" t="s">
        <v>1752</v>
      </c>
      <c r="H1242" s="1855"/>
      <c r="I1242" s="1855"/>
      <c r="J1242" s="1855" t="s">
        <v>1753</v>
      </c>
      <c r="K1242" s="1855"/>
      <c r="L1242" s="1855"/>
      <c r="M1242" s="1855"/>
      <c r="N1242" s="1855"/>
      <c r="O1242" s="1855"/>
      <c r="P1242" s="1855"/>
      <c r="Q1242" s="2043"/>
      <c r="R1242" s="2520"/>
      <c r="S1242" s="2514">
        <v>0.5</v>
      </c>
      <c r="T1242" s="2514">
        <v>2</v>
      </c>
      <c r="U1242" s="2083"/>
      <c r="V1242" s="2043"/>
      <c r="W1242" s="2043"/>
      <c r="X1242" s="2043"/>
      <c r="Y1242" s="2043"/>
      <c r="Z1242" s="2043"/>
      <c r="AA1242" s="2043"/>
      <c r="AB1242" s="2043"/>
      <c r="AC1242" s="2043"/>
      <c r="AD1242" s="2043"/>
      <c r="AE1242" s="2043"/>
      <c r="AF1242" s="2043"/>
      <c r="AG1242" s="2043"/>
      <c r="AH1242" s="2043"/>
      <c r="AI1242" s="2043"/>
      <c r="AJ1242" s="2043"/>
      <c r="AK1242" s="2043"/>
      <c r="AL1242" s="2043"/>
      <c r="AM1242" s="2043"/>
      <c r="AN1242" s="2043"/>
      <c r="AO1242" s="2043"/>
      <c r="AP1242" s="2043"/>
      <c r="AQ1242" s="2043"/>
      <c r="AR1242" s="2043"/>
      <c r="AS1242" s="2043"/>
      <c r="AT1242" s="2043"/>
      <c r="AU1242" s="2043"/>
      <c r="AV1242" s="2043"/>
      <c r="AW1242" s="2043"/>
      <c r="AX1242" s="2043"/>
      <c r="AY1242" s="2043"/>
      <c r="AZ1242" s="2043"/>
      <c r="BA1242" s="2043"/>
      <c r="BB1242" s="2043"/>
      <c r="BC1242" s="2043"/>
      <c r="BD1242" s="2043"/>
      <c r="BE1242" s="2043"/>
      <c r="BF1242" s="2043"/>
      <c r="BG1242" s="2043"/>
      <c r="BH1242" s="2043"/>
      <c r="BI1242" s="2043"/>
      <c r="BJ1242" s="2043"/>
      <c r="BK1242" s="2043"/>
      <c r="BL1242" s="2043"/>
    </row>
    <row r="1243" spans="1:64" ht="14.25">
      <c r="A1243" s="2052"/>
      <c r="B1243" s="1855">
        <f>'Part VIII Scoring Criteria'!B92</f>
        <v>0</v>
      </c>
      <c r="C1243" s="1855"/>
      <c r="D1243" s="1855"/>
      <c r="E1243" s="1855"/>
      <c r="F1243" s="2521">
        <f>'Part VIII Scoring Criteria'!F92</f>
        <v>0</v>
      </c>
      <c r="G1243" s="1855">
        <f>'Part VIII Scoring Criteria'!G92</f>
        <v>0</v>
      </c>
      <c r="H1243" s="1855"/>
      <c r="I1243" s="1855"/>
      <c r="J1243" s="1855">
        <f>'Part VIII Scoring Criteria'!J92</f>
        <v>0</v>
      </c>
      <c r="K1243" s="1855"/>
      <c r="L1243" s="1855"/>
      <c r="M1243" s="1855"/>
      <c r="N1243" s="1855"/>
      <c r="O1243" s="1855"/>
      <c r="P1243" s="1855"/>
      <c r="Q1243" s="2043"/>
      <c r="R1243" s="2517" t="s">
        <v>1754</v>
      </c>
      <c r="S1243" s="2514">
        <v>1</v>
      </c>
      <c r="T1243" s="2514">
        <v>1</v>
      </c>
      <c r="U1243" s="2083"/>
      <c r="V1243" s="2043"/>
      <c r="W1243" s="2043"/>
      <c r="X1243" s="2043"/>
      <c r="Y1243" s="2043"/>
      <c r="Z1243" s="2043"/>
      <c r="AA1243" s="2043"/>
      <c r="AB1243" s="2043"/>
      <c r="AC1243" s="2043"/>
      <c r="AD1243" s="2043"/>
      <c r="AE1243" s="2043"/>
      <c r="AF1243" s="2043"/>
      <c r="AG1243" s="2043"/>
      <c r="AH1243" s="2043"/>
      <c r="AI1243" s="2043"/>
      <c r="AJ1243" s="2043"/>
      <c r="AK1243" s="2043"/>
      <c r="AL1243" s="2043"/>
      <c r="AM1243" s="2043"/>
      <c r="AN1243" s="2043"/>
      <c r="AO1243" s="2043"/>
      <c r="AP1243" s="2043"/>
      <c r="AQ1243" s="2043"/>
      <c r="AR1243" s="2043"/>
      <c r="AS1243" s="2043"/>
      <c r="AT1243" s="2043"/>
      <c r="AU1243" s="2043"/>
      <c r="AV1243" s="2043"/>
      <c r="AW1243" s="2043"/>
      <c r="AX1243" s="2043"/>
      <c r="AY1243" s="2043"/>
      <c r="AZ1243" s="2043"/>
      <c r="BA1243" s="2043"/>
      <c r="BB1243" s="2043"/>
      <c r="BC1243" s="2043"/>
      <c r="BD1243" s="2043"/>
      <c r="BE1243" s="2043"/>
      <c r="BF1243" s="2043"/>
      <c r="BG1243" s="2043"/>
      <c r="BH1243" s="2043"/>
      <c r="BI1243" s="2043"/>
      <c r="BJ1243" s="2043"/>
      <c r="BK1243" s="2043"/>
      <c r="BL1243" s="2043"/>
    </row>
    <row r="1244" spans="1:64" ht="15">
      <c r="A1244" s="2483"/>
      <c r="B1244" s="2110"/>
      <c r="C1244" s="2043"/>
      <c r="D1244" s="2043"/>
      <c r="E1244" s="2043"/>
      <c r="F1244" s="2508"/>
      <c r="G1244" s="2043"/>
      <c r="H1244" s="2043"/>
      <c r="I1244" s="2043"/>
      <c r="J1244" s="2043"/>
      <c r="K1244" s="2043"/>
      <c r="L1244" s="2043"/>
      <c r="M1244" s="2113"/>
      <c r="N1244" s="2113"/>
      <c r="O1244" s="2113"/>
      <c r="P1244" s="2113"/>
      <c r="Q1244" s="2113"/>
      <c r="R1244" s="2083"/>
      <c r="S1244" s="2083"/>
      <c r="T1244" s="2083"/>
      <c r="U1244" s="2083"/>
      <c r="V1244" s="2043"/>
      <c r="W1244" s="2043"/>
      <c r="X1244" s="2043"/>
      <c r="Y1244" s="2043"/>
      <c r="Z1244" s="2043"/>
      <c r="AA1244" s="2043"/>
      <c r="AB1244" s="2043"/>
      <c r="AC1244" s="2043"/>
      <c r="AD1244" s="2043"/>
      <c r="AE1244" s="2043"/>
      <c r="AF1244" s="2043"/>
      <c r="AG1244" s="2043"/>
      <c r="AH1244" s="2043"/>
      <c r="AI1244" s="2043"/>
      <c r="AJ1244" s="2043"/>
      <c r="AK1244" s="2043"/>
      <c r="AL1244" s="2043"/>
      <c r="AM1244" s="2043"/>
      <c r="AN1244" s="2043"/>
      <c r="AO1244" s="2043"/>
      <c r="AP1244" s="2043"/>
      <c r="AQ1244" s="2043"/>
      <c r="AR1244" s="2043"/>
      <c r="AS1244" s="2043"/>
      <c r="AT1244" s="2043"/>
      <c r="AU1244" s="2043"/>
      <c r="AV1244" s="2043"/>
      <c r="AW1244" s="2043"/>
      <c r="AX1244" s="2043"/>
      <c r="AY1244" s="2043"/>
      <c r="AZ1244" s="2043"/>
      <c r="BA1244" s="2043"/>
      <c r="BB1244" s="2043"/>
      <c r="BC1244" s="2043"/>
      <c r="BD1244" s="2043"/>
      <c r="BE1244" s="2043"/>
      <c r="BF1244" s="2043"/>
      <c r="BG1244" s="2043"/>
      <c r="BH1244" s="2043"/>
      <c r="BI1244" s="2043"/>
      <c r="BJ1244" s="2043"/>
      <c r="BK1244" s="2043"/>
      <c r="BL1244" s="2043"/>
    </row>
    <row r="1245" spans="1:64" ht="15">
      <c r="A1245" s="2522" t="s">
        <v>194</v>
      </c>
      <c r="B1245" s="1854" t="s">
        <v>1755</v>
      </c>
      <c r="C1245" s="2043"/>
      <c r="D1245" s="2043"/>
      <c r="E1245" s="2043"/>
      <c r="F1245" s="2110"/>
      <c r="G1245" s="2043"/>
      <c r="H1245" s="2043"/>
      <c r="I1245" s="2043"/>
      <c r="J1245" s="2043"/>
      <c r="K1245" s="2043"/>
      <c r="L1245" s="2043"/>
      <c r="M1245" s="2113">
        <v>6</v>
      </c>
      <c r="N1245" s="2494"/>
      <c r="O1245" s="2523">
        <f>'Part VIII Scoring Criteria'!O94</f>
        <v>0</v>
      </c>
      <c r="P1245" s="2523">
        <f>'Part VIII Scoring Criteria'!P94</f>
        <v>0</v>
      </c>
      <c r="Q1245" s="2113"/>
      <c r="R1245" s="2043"/>
      <c r="S1245" s="2043"/>
      <c r="T1245" s="2043"/>
      <c r="U1245" s="2043"/>
      <c r="V1245" s="2043"/>
      <c r="W1245" s="2043"/>
      <c r="X1245" s="2043"/>
      <c r="Y1245" s="2043"/>
      <c r="Z1245" s="2043"/>
      <c r="AA1245" s="2043"/>
      <c r="AB1245" s="2043"/>
      <c r="AC1245" s="2043"/>
      <c r="AD1245" s="2043"/>
      <c r="AE1245" s="2043"/>
      <c r="AF1245" s="2043"/>
      <c r="AG1245" s="2043"/>
      <c r="AH1245" s="2043"/>
      <c r="AI1245" s="2043"/>
      <c r="AJ1245" s="2043"/>
      <c r="AK1245" s="2043"/>
      <c r="AL1245" s="2043"/>
      <c r="AM1245" s="2043"/>
      <c r="AN1245" s="2043"/>
      <c r="AO1245" s="2043"/>
      <c r="AP1245" s="2043"/>
      <c r="AQ1245" s="2043"/>
      <c r="AR1245" s="2043"/>
      <c r="AS1245" s="2043"/>
      <c r="AT1245" s="2043"/>
      <c r="AU1245" s="2043"/>
      <c r="AV1245" s="2043"/>
      <c r="AW1245" s="2043"/>
      <c r="AX1245" s="2043"/>
      <c r="AY1245" s="2043"/>
      <c r="AZ1245" s="2043"/>
      <c r="BA1245" s="2043"/>
      <c r="BB1245" s="2043"/>
      <c r="BC1245" s="2043"/>
      <c r="BD1245" s="2043"/>
      <c r="BE1245" s="2043"/>
      <c r="BF1245" s="2043"/>
      <c r="BG1245" s="2043"/>
      <c r="BH1245" s="2043"/>
      <c r="BI1245" s="2043"/>
      <c r="BJ1245" s="2043"/>
      <c r="BK1245" s="2043"/>
      <c r="BL1245" s="2043"/>
    </row>
    <row r="1246" spans="1:64" ht="15" customHeight="1">
      <c r="A1246" s="2049"/>
      <c r="B1246" s="2524" t="s">
        <v>209</v>
      </c>
      <c r="C1246" s="2052" t="s">
        <v>7030</v>
      </c>
      <c r="D1246" s="2052"/>
      <c r="E1246" s="2052"/>
      <c r="F1246" s="2052"/>
      <c r="G1246" s="2052"/>
      <c r="H1246" s="2052"/>
      <c r="I1246" s="2052"/>
      <c r="J1246" s="2052"/>
      <c r="K1246" s="2052"/>
      <c r="L1246" s="2052"/>
      <c r="M1246" s="2048">
        <v>6</v>
      </c>
      <c r="N1246" s="2525"/>
      <c r="O1246" s="2526">
        <f>'Part VIII Scoring Criteria'!O95</f>
        <v>0</v>
      </c>
      <c r="P1246" s="2526"/>
      <c r="Q1246" s="2049"/>
      <c r="R1246" s="2049"/>
      <c r="S1246" s="2503"/>
      <c r="T1246" s="2049"/>
      <c r="U1246" s="2049"/>
      <c r="V1246" s="2049"/>
      <c r="W1246" s="2049"/>
      <c r="X1246" s="2049"/>
      <c r="Y1246" s="2049"/>
      <c r="Z1246" s="2049"/>
      <c r="AA1246" s="2049"/>
      <c r="AB1246" s="2049"/>
      <c r="AC1246" s="2049"/>
      <c r="AD1246" s="2049"/>
      <c r="AE1246" s="2049"/>
      <c r="AF1246" s="2049"/>
      <c r="AG1246" s="2049"/>
      <c r="AH1246" s="2049"/>
      <c r="AI1246" s="2049"/>
      <c r="AJ1246" s="2049"/>
      <c r="AK1246" s="2049"/>
      <c r="AL1246" s="2049"/>
      <c r="AM1246" s="2049"/>
      <c r="AN1246" s="2049"/>
      <c r="AO1246" s="2049"/>
      <c r="AP1246" s="2049"/>
      <c r="AQ1246" s="2049"/>
      <c r="AR1246" s="2049"/>
      <c r="AS1246" s="2049"/>
      <c r="AT1246" s="2049"/>
      <c r="AU1246" s="2049"/>
      <c r="AV1246" s="2049"/>
      <c r="AW1246" s="2049"/>
      <c r="AX1246" s="2049"/>
      <c r="AY1246" s="2049"/>
      <c r="AZ1246" s="2049"/>
      <c r="BA1246" s="2049"/>
      <c r="BB1246" s="2049"/>
      <c r="BC1246" s="2049"/>
      <c r="BD1246" s="2049"/>
      <c r="BE1246" s="2049"/>
      <c r="BF1246" s="2049"/>
      <c r="BG1246" s="2049"/>
      <c r="BH1246" s="2049"/>
      <c r="BI1246" s="2049"/>
      <c r="BJ1246" s="2049"/>
      <c r="BK1246" s="2049"/>
      <c r="BL1246" s="2049"/>
    </row>
    <row r="1247" spans="1:64" ht="15">
      <c r="A1247" s="2113" t="s">
        <v>335</v>
      </c>
      <c r="B1247" s="2524" t="s">
        <v>217</v>
      </c>
      <c r="C1247" s="1855" t="s">
        <v>7031</v>
      </c>
      <c r="D1247" s="1855"/>
      <c r="E1247" s="1855"/>
      <c r="F1247" s="1855"/>
      <c r="G1247" s="1855"/>
      <c r="H1247" s="1855"/>
      <c r="I1247" s="1855"/>
      <c r="J1247" s="2083"/>
      <c r="K1247" s="2083"/>
      <c r="L1247" s="2083"/>
      <c r="M1247" s="1964">
        <v>5</v>
      </c>
      <c r="N1247" s="2485"/>
      <c r="O1247" s="2482">
        <f>'Part VIII Scoring Criteria'!O96</f>
        <v>0</v>
      </c>
      <c r="P1247" s="2482"/>
      <c r="Q1247" s="2049"/>
      <c r="R1247" s="2049"/>
      <c r="S1247" s="2049"/>
      <c r="T1247" s="2049"/>
      <c r="U1247" s="2049"/>
      <c r="V1247" s="2049"/>
      <c r="W1247" s="2049"/>
      <c r="X1247" s="2049"/>
      <c r="Y1247" s="2049"/>
      <c r="Z1247" s="2049"/>
      <c r="AA1247" s="2049"/>
      <c r="AB1247" s="2049"/>
      <c r="AC1247" s="2049"/>
      <c r="AD1247" s="2049"/>
      <c r="AE1247" s="2049"/>
      <c r="AF1247" s="2049"/>
      <c r="AG1247" s="2049"/>
      <c r="AH1247" s="2049"/>
      <c r="AI1247" s="2049"/>
      <c r="AJ1247" s="2049"/>
      <c r="AK1247" s="2049"/>
      <c r="AL1247" s="2049"/>
      <c r="AM1247" s="2049"/>
      <c r="AN1247" s="2049"/>
      <c r="AO1247" s="2049"/>
      <c r="AP1247" s="2049"/>
      <c r="AQ1247" s="2049"/>
      <c r="AR1247" s="2049"/>
      <c r="AS1247" s="2049"/>
      <c r="AT1247" s="2049"/>
      <c r="AU1247" s="2049"/>
      <c r="AV1247" s="2049"/>
      <c r="AW1247" s="2049"/>
      <c r="AX1247" s="2049"/>
      <c r="AY1247" s="2049"/>
      <c r="AZ1247" s="2049"/>
      <c r="BA1247" s="2049"/>
      <c r="BB1247" s="2049"/>
      <c r="BC1247" s="2049"/>
      <c r="BD1247" s="2049"/>
      <c r="BE1247" s="2049"/>
      <c r="BF1247" s="2049"/>
      <c r="BG1247" s="2049"/>
      <c r="BH1247" s="2049"/>
      <c r="BI1247" s="2049"/>
      <c r="BJ1247" s="2049"/>
      <c r="BK1247" s="2049"/>
      <c r="BL1247" s="2049"/>
    </row>
    <row r="1248" spans="1:64" ht="15">
      <c r="A1248" s="2522" t="s">
        <v>206</v>
      </c>
      <c r="B1248" s="2527" t="s">
        <v>1758</v>
      </c>
      <c r="C1248" s="2049"/>
      <c r="D1248" s="2049"/>
      <c r="E1248" s="2049"/>
      <c r="F1248" s="2528"/>
      <c r="G1248" s="2049"/>
      <c r="H1248" s="2083"/>
      <c r="I1248" s="2083"/>
      <c r="J1248" s="2052"/>
      <c r="K1248" s="2052"/>
      <c r="L1248" s="2529"/>
      <c r="M1248" s="2113">
        <v>3</v>
      </c>
      <c r="N1248" s="2112"/>
      <c r="O1248" s="2481">
        <f>'Part VIII Scoring Criteria'!O97</f>
        <v>0</v>
      </c>
      <c r="P1248" s="2481">
        <f>'Part VIII Scoring Criteria'!P97</f>
        <v>0</v>
      </c>
      <c r="Q1248" s="2049"/>
      <c r="R1248" s="2049"/>
      <c r="S1248" s="2049"/>
      <c r="T1248" s="2049"/>
      <c r="U1248" s="2049"/>
      <c r="V1248" s="2049"/>
      <c r="W1248" s="2049"/>
      <c r="X1248" s="2049"/>
      <c r="Y1248" s="2049"/>
      <c r="Z1248" s="2049"/>
      <c r="AA1248" s="2049"/>
      <c r="AB1248" s="2049"/>
      <c r="AC1248" s="2049"/>
      <c r="AD1248" s="2049"/>
      <c r="AE1248" s="2049"/>
      <c r="AF1248" s="2049"/>
      <c r="AG1248" s="2049"/>
      <c r="AH1248" s="2049"/>
      <c r="AI1248" s="2049"/>
      <c r="AJ1248" s="2049"/>
      <c r="AK1248" s="2049"/>
      <c r="AL1248" s="2049"/>
      <c r="AM1248" s="2049"/>
      <c r="AN1248" s="2049"/>
      <c r="AO1248" s="2049"/>
      <c r="AP1248" s="2049"/>
      <c r="AQ1248" s="2049"/>
      <c r="AR1248" s="2049"/>
      <c r="AS1248" s="2049"/>
      <c r="AT1248" s="2049"/>
      <c r="AU1248" s="2049"/>
      <c r="AV1248" s="2049"/>
      <c r="AW1248" s="2049"/>
      <c r="AX1248" s="2049"/>
      <c r="AY1248" s="2049"/>
      <c r="AZ1248" s="2049"/>
      <c r="BA1248" s="2049"/>
      <c r="BB1248" s="2049"/>
      <c r="BC1248" s="2049"/>
      <c r="BD1248" s="2049"/>
      <c r="BE1248" s="2049"/>
      <c r="BF1248" s="2049"/>
      <c r="BG1248" s="2049"/>
      <c r="BH1248" s="2049"/>
      <c r="BI1248" s="2049"/>
      <c r="BJ1248" s="2049"/>
      <c r="BK1248" s="2049"/>
      <c r="BL1248" s="2049"/>
    </row>
    <row r="1249" spans="1:64" ht="15">
      <c r="A1249" s="2109"/>
      <c r="B1249" s="2530" t="s">
        <v>209</v>
      </c>
      <c r="C1249" s="1855" t="s">
        <v>7032</v>
      </c>
      <c r="D1249" s="2083"/>
      <c r="E1249" s="2083"/>
      <c r="F1249" s="2083"/>
      <c r="G1249" s="2083"/>
      <c r="H1249" s="2083"/>
      <c r="I1249" s="2083"/>
      <c r="J1249" s="2083"/>
      <c r="K1249" s="2083"/>
      <c r="L1249" s="2083"/>
      <c r="M1249" s="1964">
        <v>3</v>
      </c>
      <c r="N1249" s="2485"/>
      <c r="O1249" s="2042">
        <f>'Part VIII Scoring Criteria'!O98</f>
        <v>0</v>
      </c>
      <c r="P1249" s="2042"/>
      <c r="Q1249" s="2043"/>
      <c r="R1249" s="2043"/>
      <c r="S1249" s="2043"/>
      <c r="T1249" s="2043"/>
      <c r="U1249" s="2049"/>
      <c r="V1249" s="2043"/>
      <c r="W1249" s="2043"/>
      <c r="X1249" s="2043"/>
      <c r="Y1249" s="2043"/>
      <c r="Z1249" s="2043"/>
      <c r="AA1249" s="2043"/>
      <c r="AB1249" s="2043"/>
      <c r="AC1249" s="2043"/>
      <c r="AD1249" s="2043"/>
      <c r="AE1249" s="2043"/>
      <c r="AF1249" s="2043"/>
      <c r="AG1249" s="2043"/>
      <c r="AH1249" s="2043"/>
      <c r="AI1249" s="2043"/>
      <c r="AJ1249" s="2043"/>
      <c r="AK1249" s="2043"/>
      <c r="AL1249" s="2043"/>
      <c r="AM1249" s="2043"/>
      <c r="AN1249" s="2043"/>
      <c r="AO1249" s="2043"/>
      <c r="AP1249" s="2043"/>
      <c r="AQ1249" s="2043"/>
      <c r="AR1249" s="2043"/>
      <c r="AS1249" s="2043"/>
      <c r="AT1249" s="2043"/>
      <c r="AU1249" s="2043"/>
      <c r="AV1249" s="2043"/>
      <c r="AW1249" s="2043"/>
      <c r="AX1249" s="2043"/>
      <c r="AY1249" s="2043"/>
      <c r="AZ1249" s="2043"/>
      <c r="BA1249" s="2043"/>
      <c r="BB1249" s="2043"/>
      <c r="BC1249" s="2043"/>
      <c r="BD1249" s="2043"/>
      <c r="BE1249" s="2043"/>
      <c r="BF1249" s="2043"/>
      <c r="BG1249" s="2043"/>
      <c r="BH1249" s="2043"/>
      <c r="BI1249" s="2043"/>
      <c r="BJ1249" s="2043"/>
      <c r="BK1249" s="2043"/>
      <c r="BL1249" s="2043"/>
    </row>
    <row r="1250" spans="1:64" ht="15">
      <c r="A1250" s="2113" t="s">
        <v>335</v>
      </c>
      <c r="B1250" s="2530" t="s">
        <v>217</v>
      </c>
      <c r="C1250" s="1855" t="s">
        <v>7033</v>
      </c>
      <c r="D1250" s="2083"/>
      <c r="E1250" s="2083"/>
      <c r="F1250" s="2083"/>
      <c r="G1250" s="2083"/>
      <c r="H1250" s="2083"/>
      <c r="I1250" s="2083"/>
      <c r="J1250" s="2052"/>
      <c r="K1250" s="2052"/>
      <c r="L1250" s="2052"/>
      <c r="M1250" s="1964">
        <v>1</v>
      </c>
      <c r="N1250" s="2485"/>
      <c r="O1250" s="2042">
        <f>'Part VIII Scoring Criteria'!O99</f>
        <v>0</v>
      </c>
      <c r="P1250" s="2042"/>
      <c r="Q1250" s="2043"/>
      <c r="R1250" s="2043"/>
      <c r="S1250" s="2043"/>
      <c r="T1250" s="2043"/>
      <c r="U1250" s="2049"/>
      <c r="V1250" s="2043"/>
      <c r="W1250" s="2043"/>
      <c r="X1250" s="2043"/>
      <c r="Y1250" s="2043"/>
      <c r="Z1250" s="2043"/>
      <c r="AA1250" s="2043"/>
      <c r="AB1250" s="2043"/>
      <c r="AC1250" s="2043"/>
      <c r="AD1250" s="2043"/>
      <c r="AE1250" s="2043"/>
      <c r="AF1250" s="2043"/>
      <c r="AG1250" s="2043"/>
      <c r="AH1250" s="2043"/>
      <c r="AI1250" s="2043"/>
      <c r="AJ1250" s="2043"/>
      <c r="AK1250" s="2043"/>
      <c r="AL1250" s="2043"/>
      <c r="AM1250" s="2043"/>
      <c r="AN1250" s="2043"/>
      <c r="AO1250" s="2043"/>
      <c r="AP1250" s="2043"/>
      <c r="AQ1250" s="2043"/>
      <c r="AR1250" s="2043"/>
      <c r="AS1250" s="2043"/>
      <c r="AT1250" s="2043"/>
      <c r="AU1250" s="2043"/>
      <c r="AV1250" s="2043"/>
      <c r="AW1250" s="2043"/>
      <c r="AX1250" s="2043"/>
      <c r="AY1250" s="2043"/>
      <c r="AZ1250" s="2043"/>
      <c r="BA1250" s="2043"/>
      <c r="BB1250" s="2043"/>
      <c r="BC1250" s="2043"/>
      <c r="BD1250" s="2043"/>
      <c r="BE1250" s="2043"/>
      <c r="BF1250" s="2043"/>
      <c r="BG1250" s="2043"/>
      <c r="BH1250" s="2043"/>
      <c r="BI1250" s="2043"/>
      <c r="BJ1250" s="2043"/>
      <c r="BK1250" s="2043"/>
      <c r="BL1250" s="2043"/>
    </row>
    <row r="1251" spans="1:64" ht="15" customHeight="1">
      <c r="A1251" s="2531" t="s">
        <v>335</v>
      </c>
      <c r="B1251" s="2530" t="s">
        <v>221</v>
      </c>
      <c r="C1251" s="2052" t="s">
        <v>7034</v>
      </c>
      <c r="D1251" s="2052"/>
      <c r="E1251" s="2052"/>
      <c r="F1251" s="2052"/>
      <c r="G1251" s="2052"/>
      <c r="H1251" s="2052"/>
      <c r="I1251" s="2052"/>
      <c r="J1251" s="2052"/>
      <c r="K1251" s="2052"/>
      <c r="L1251" s="2052"/>
      <c r="M1251" s="2048">
        <v>2</v>
      </c>
      <c r="N1251" s="2525"/>
      <c r="O1251" s="2042">
        <f>'Part VIII Scoring Criteria'!O100</f>
        <v>0</v>
      </c>
      <c r="P1251" s="2526"/>
      <c r="Q1251" s="2049"/>
      <c r="R1251" s="2049"/>
      <c r="S1251" s="2049"/>
      <c r="T1251" s="2049"/>
      <c r="U1251" s="2049"/>
      <c r="V1251" s="2049"/>
      <c r="W1251" s="2049"/>
      <c r="X1251" s="2049"/>
      <c r="Y1251" s="2049"/>
      <c r="Z1251" s="2049"/>
      <c r="AA1251" s="2049"/>
      <c r="AB1251" s="2049"/>
      <c r="AC1251" s="2049"/>
      <c r="AD1251" s="2049"/>
      <c r="AE1251" s="2049"/>
      <c r="AF1251" s="2049"/>
      <c r="AG1251" s="2049"/>
      <c r="AH1251" s="2049"/>
      <c r="AI1251" s="2049"/>
      <c r="AJ1251" s="2049"/>
      <c r="AK1251" s="2049"/>
      <c r="AL1251" s="2049"/>
      <c r="AM1251" s="2049"/>
      <c r="AN1251" s="2049"/>
      <c r="AO1251" s="2049"/>
      <c r="AP1251" s="2049"/>
      <c r="AQ1251" s="2049"/>
      <c r="AR1251" s="2049"/>
      <c r="AS1251" s="2049"/>
      <c r="AT1251" s="2049"/>
      <c r="AU1251" s="2049"/>
      <c r="AV1251" s="2049"/>
      <c r="AW1251" s="2049"/>
      <c r="AX1251" s="2049"/>
      <c r="AY1251" s="2049"/>
      <c r="AZ1251" s="2049"/>
      <c r="BA1251" s="2049"/>
      <c r="BB1251" s="2049"/>
      <c r="BC1251" s="2049"/>
      <c r="BD1251" s="2049"/>
      <c r="BE1251" s="2049"/>
      <c r="BF1251" s="2049"/>
      <c r="BG1251" s="2049"/>
      <c r="BH1251" s="2049"/>
      <c r="BI1251" s="2049"/>
      <c r="BJ1251" s="2049"/>
      <c r="BK1251" s="2049"/>
      <c r="BL1251" s="2049"/>
    </row>
    <row r="1252" spans="1:64" ht="15">
      <c r="A1252" s="1855"/>
      <c r="B1252" s="2110" t="s">
        <v>1739</v>
      </c>
      <c r="C1252" s="1855"/>
      <c r="D1252" s="1855"/>
      <c r="E1252" s="1855"/>
      <c r="F1252" s="1855"/>
      <c r="G1252" s="1855"/>
      <c r="H1252" s="1855"/>
      <c r="I1252" s="2043"/>
      <c r="J1252" s="2043"/>
      <c r="K1252" s="1855"/>
      <c r="L1252" s="2043"/>
      <c r="M1252" s="1964"/>
      <c r="N1252" s="1994"/>
      <c r="O1252" s="2042"/>
      <c r="P1252" s="2045"/>
      <c r="Q1252" s="2043"/>
      <c r="R1252" s="2043"/>
      <c r="S1252" s="2043"/>
      <c r="T1252" s="2043"/>
      <c r="U1252" s="2043"/>
      <c r="V1252" s="2043"/>
      <c r="W1252" s="2043"/>
      <c r="X1252" s="2043"/>
      <c r="Y1252" s="2043"/>
      <c r="Z1252" s="2043"/>
      <c r="AA1252" s="2043"/>
      <c r="AB1252" s="2043"/>
      <c r="AC1252" s="2043"/>
      <c r="AD1252" s="2043"/>
      <c r="AE1252" s="2043"/>
      <c r="AF1252" s="2043"/>
      <c r="AG1252" s="2043"/>
      <c r="AH1252" s="2043"/>
      <c r="AI1252" s="2043"/>
      <c r="AJ1252" s="2043"/>
      <c r="AK1252" s="2043"/>
      <c r="AL1252" s="2043"/>
      <c r="AM1252" s="2043"/>
      <c r="AN1252" s="2043"/>
      <c r="AO1252" s="2043"/>
      <c r="AP1252" s="2043"/>
      <c r="AQ1252" s="2043"/>
      <c r="AR1252" s="2043"/>
      <c r="AS1252" s="2043"/>
      <c r="AT1252" s="2043"/>
      <c r="AU1252" s="2043"/>
      <c r="AV1252" s="2043"/>
      <c r="AW1252" s="2043"/>
      <c r="AX1252" s="2043"/>
      <c r="AY1252" s="2043"/>
      <c r="AZ1252" s="2043"/>
      <c r="BA1252" s="2043"/>
      <c r="BB1252" s="2043"/>
      <c r="BC1252" s="2043"/>
      <c r="BD1252" s="2043"/>
      <c r="BE1252" s="2043"/>
      <c r="BF1252" s="2043"/>
      <c r="BG1252" s="2043"/>
      <c r="BH1252" s="2043"/>
      <c r="BI1252" s="2043"/>
      <c r="BJ1252" s="2043"/>
      <c r="BK1252" s="2043"/>
      <c r="BL1252" s="2043"/>
    </row>
    <row r="1253" spans="1:64" ht="42.75">
      <c r="A1253" s="2052" t="str">
        <f>'Part VIII Scoring Criteria'!A102</f>
        <v>NA 4% Preservation</v>
      </c>
      <c r="B1253" s="2052"/>
      <c r="C1253" s="2052"/>
      <c r="D1253" s="2052"/>
      <c r="E1253" s="2052"/>
      <c r="F1253" s="2052"/>
      <c r="G1253" s="2052"/>
      <c r="H1253" s="2052"/>
      <c r="I1253" s="2052"/>
      <c r="J1253" s="2052"/>
      <c r="K1253" s="2052"/>
      <c r="L1253" s="2052"/>
      <c r="M1253" s="2052"/>
      <c r="N1253" s="2052"/>
      <c r="O1253" s="2052"/>
      <c r="P1253" s="2052"/>
      <c r="Q1253" s="1854"/>
      <c r="R1253" s="1854"/>
      <c r="S1253" s="2043"/>
      <c r="T1253" s="2043"/>
      <c r="U1253" s="2043"/>
      <c r="V1253" s="2043"/>
      <c r="W1253" s="2043"/>
      <c r="X1253" s="2043"/>
      <c r="Y1253" s="2043"/>
      <c r="Z1253" s="2043"/>
      <c r="AA1253" s="2043"/>
      <c r="AB1253" s="2043"/>
      <c r="AC1253" s="2043"/>
      <c r="AD1253" s="2043"/>
      <c r="AE1253" s="2043"/>
      <c r="AF1253" s="2043"/>
      <c r="AG1253" s="2043"/>
      <c r="AH1253" s="2043"/>
      <c r="AI1253" s="2043"/>
      <c r="AJ1253" s="2043"/>
      <c r="AK1253" s="2043"/>
      <c r="AL1253" s="2043"/>
      <c r="AM1253" s="2043"/>
      <c r="AN1253" s="2043"/>
      <c r="AO1253" s="2043"/>
      <c r="AP1253" s="2043"/>
      <c r="AQ1253" s="2043"/>
      <c r="AR1253" s="2043"/>
      <c r="AS1253" s="2043"/>
      <c r="AT1253" s="2043"/>
      <c r="AU1253" s="2043"/>
      <c r="AV1253" s="2043"/>
      <c r="AW1253" s="2043"/>
      <c r="AX1253" s="2043"/>
      <c r="AY1253" s="2043"/>
      <c r="AZ1253" s="2043"/>
      <c r="BA1253" s="2043"/>
      <c r="BB1253" s="2043"/>
      <c r="BC1253" s="2043"/>
      <c r="BD1253" s="2043"/>
      <c r="BE1253" s="2043"/>
      <c r="BF1253" s="2043"/>
      <c r="BG1253" s="2043"/>
      <c r="BH1253" s="2043"/>
      <c r="BI1253" s="2043"/>
      <c r="BJ1253" s="2043"/>
      <c r="BK1253" s="2043"/>
      <c r="BL1253" s="2043"/>
    </row>
    <row r="1254" spans="1:64" ht="15">
      <c r="A1254" s="1855"/>
      <c r="B1254" s="2484" t="s">
        <v>1399</v>
      </c>
      <c r="C1254" s="1855"/>
      <c r="D1254" s="2484"/>
      <c r="E1254" s="2532"/>
      <c r="F1254" s="2532"/>
      <c r="G1254" s="2532"/>
      <c r="H1254" s="2532"/>
      <c r="I1254" s="2532"/>
      <c r="J1254" s="2532"/>
      <c r="K1254" s="2532"/>
      <c r="L1254" s="2532"/>
      <c r="M1254" s="2532"/>
      <c r="N1254" s="2533"/>
      <c r="O1254" s="2478"/>
      <c r="P1254" s="2113"/>
      <c r="Q1254" s="2043"/>
      <c r="R1254" s="1855"/>
      <c r="S1254" s="1855"/>
      <c r="T1254" s="1855"/>
      <c r="U1254" s="1855"/>
      <c r="V1254" s="1855"/>
      <c r="W1254" s="1855"/>
      <c r="X1254" s="1855"/>
      <c r="Y1254" s="1855"/>
      <c r="Z1254" s="1855"/>
      <c r="AA1254" s="1855"/>
      <c r="AB1254" s="1855"/>
      <c r="AC1254" s="1855"/>
      <c r="AD1254" s="1855"/>
      <c r="AE1254" s="1855"/>
      <c r="AF1254" s="1855"/>
      <c r="AG1254" s="1855"/>
      <c r="AH1254" s="1855"/>
      <c r="AI1254" s="1855"/>
      <c r="AJ1254" s="1855"/>
      <c r="AK1254" s="1855"/>
      <c r="AL1254" s="1855"/>
      <c r="AM1254" s="1855"/>
      <c r="AN1254" s="1855"/>
      <c r="AO1254" s="1855"/>
      <c r="AP1254" s="1855"/>
      <c r="AQ1254" s="1855"/>
      <c r="AR1254" s="1855"/>
      <c r="AS1254" s="1855"/>
      <c r="AT1254" s="1855"/>
      <c r="AU1254" s="1855"/>
      <c r="AV1254" s="1855"/>
      <c r="AW1254" s="1855"/>
      <c r="AX1254" s="1855"/>
      <c r="AY1254" s="1855"/>
      <c r="AZ1254" s="1855"/>
      <c r="BA1254" s="1855"/>
      <c r="BB1254" s="1855"/>
      <c r="BC1254" s="1855"/>
      <c r="BD1254" s="1855"/>
      <c r="BE1254" s="1855"/>
      <c r="BF1254" s="1855"/>
      <c r="BG1254" s="1855"/>
      <c r="BH1254" s="1855"/>
      <c r="BI1254" s="1855"/>
      <c r="BJ1254" s="1855"/>
      <c r="BK1254" s="1855"/>
      <c r="BL1254" s="1855"/>
    </row>
    <row r="1255" spans="1:64" ht="15">
      <c r="A1255" s="2052"/>
      <c r="B1255" s="2052"/>
      <c r="C1255" s="2052"/>
      <c r="D1255" s="2052"/>
      <c r="E1255" s="2052"/>
      <c r="F1255" s="2052"/>
      <c r="G1255" s="2052"/>
      <c r="H1255" s="2052"/>
      <c r="I1255" s="2052"/>
      <c r="J1255" s="2052"/>
      <c r="K1255" s="2052"/>
      <c r="L1255" s="2052"/>
      <c r="M1255" s="2052"/>
      <c r="N1255" s="2052"/>
      <c r="O1255" s="2052"/>
      <c r="P1255" s="2052"/>
      <c r="Q1255" s="1854"/>
      <c r="R1255" s="2043"/>
      <c r="S1255" s="2043"/>
      <c r="T1255" s="2043"/>
      <c r="U1255" s="2043"/>
      <c r="V1255" s="2043"/>
      <c r="W1255" s="2043"/>
      <c r="X1255" s="2043"/>
      <c r="Y1255" s="2043"/>
      <c r="Z1255" s="2043"/>
      <c r="AA1255" s="2043"/>
      <c r="AB1255" s="2043"/>
      <c r="AC1255" s="2043"/>
      <c r="AD1255" s="2043"/>
      <c r="AE1255" s="2043"/>
      <c r="AF1255" s="2043"/>
      <c r="AG1255" s="2043"/>
      <c r="AH1255" s="2043"/>
      <c r="AI1255" s="2043"/>
      <c r="AJ1255" s="2043"/>
      <c r="AK1255" s="2043"/>
      <c r="AL1255" s="2043"/>
      <c r="AM1255" s="2043"/>
      <c r="AN1255" s="2043"/>
      <c r="AO1255" s="2043"/>
      <c r="AP1255" s="2043"/>
      <c r="AQ1255" s="2043"/>
      <c r="AR1255" s="2043"/>
      <c r="AS1255" s="2043"/>
      <c r="AT1255" s="2043"/>
      <c r="AU1255" s="2043"/>
      <c r="AV1255" s="2043"/>
      <c r="AW1255" s="2043"/>
      <c r="AX1255" s="2043"/>
      <c r="AY1255" s="2043"/>
      <c r="AZ1255" s="2043"/>
      <c r="BA1255" s="2043"/>
      <c r="BB1255" s="2043"/>
      <c r="BC1255" s="2043"/>
      <c r="BD1255" s="2043"/>
      <c r="BE1255" s="2043"/>
      <c r="BF1255" s="2043"/>
      <c r="BG1255" s="2043"/>
      <c r="BH1255" s="2043"/>
      <c r="BI1255" s="2043"/>
      <c r="BJ1255" s="2043"/>
      <c r="BK1255" s="2043"/>
      <c r="BL1255" s="2043"/>
    </row>
    <row r="1256" spans="1:64" ht="15">
      <c r="A1256" s="2043"/>
      <c r="B1256" s="2043"/>
      <c r="C1256" s="2043"/>
      <c r="D1256" s="2043"/>
      <c r="E1256" s="2043"/>
      <c r="F1256" s="2043"/>
      <c r="G1256" s="2043"/>
      <c r="H1256" s="2043"/>
      <c r="I1256" s="2043"/>
      <c r="J1256" s="2043"/>
      <c r="K1256" s="2043"/>
      <c r="L1256" s="2043"/>
      <c r="M1256" s="2043"/>
      <c r="N1256" s="1994"/>
      <c r="O1256" s="2045"/>
      <c r="P1256" s="2045"/>
      <c r="Q1256" s="2043"/>
      <c r="R1256" s="2043"/>
      <c r="S1256" s="2043"/>
      <c r="T1256" s="2043"/>
      <c r="U1256" s="2043"/>
      <c r="V1256" s="2043"/>
      <c r="W1256" s="2043"/>
      <c r="X1256" s="2043"/>
      <c r="Y1256" s="2043"/>
      <c r="Z1256" s="2043"/>
      <c r="AA1256" s="2043"/>
      <c r="AB1256" s="2043"/>
      <c r="AC1256" s="2043"/>
      <c r="AD1256" s="2043"/>
      <c r="AE1256" s="2043"/>
      <c r="AF1256" s="2043"/>
      <c r="AG1256" s="2043"/>
      <c r="AH1256" s="2043"/>
      <c r="AI1256" s="2043"/>
      <c r="AJ1256" s="2043"/>
      <c r="AK1256" s="2043"/>
      <c r="AL1256" s="2043"/>
      <c r="AM1256" s="2043"/>
      <c r="AN1256" s="2043"/>
      <c r="AO1256" s="2043"/>
      <c r="AP1256" s="2043"/>
      <c r="AQ1256" s="2043"/>
      <c r="AR1256" s="2043"/>
      <c r="AS1256" s="2043"/>
      <c r="AT1256" s="2043"/>
      <c r="AU1256" s="2043"/>
      <c r="AV1256" s="2043"/>
      <c r="AW1256" s="2043"/>
      <c r="AX1256" s="2043"/>
      <c r="AY1256" s="2043"/>
      <c r="AZ1256" s="2043"/>
      <c r="BA1256" s="2043"/>
      <c r="BB1256" s="2043"/>
      <c r="BC1256" s="2043"/>
      <c r="BD1256" s="2043"/>
      <c r="BE1256" s="2043"/>
      <c r="BF1256" s="2043"/>
      <c r="BG1256" s="2043"/>
      <c r="BH1256" s="2043"/>
      <c r="BI1256" s="2043"/>
      <c r="BJ1256" s="2043"/>
      <c r="BK1256" s="2043"/>
      <c r="BL1256" s="2043"/>
    </row>
    <row r="1257" spans="1:64" ht="15">
      <c r="A1257" s="2109" t="s">
        <v>77</v>
      </c>
      <c r="B1257" s="2110" t="s">
        <v>1762</v>
      </c>
      <c r="C1257" s="2487"/>
      <c r="D1257" s="2487"/>
      <c r="E1257" s="2487"/>
      <c r="F1257" s="2043"/>
      <c r="G1257" s="2113"/>
      <c r="H1257" s="2503"/>
      <c r="I1257" s="2043"/>
      <c r="J1257" s="2043"/>
      <c r="K1257" s="2043"/>
      <c r="L1257" s="2043"/>
      <c r="M1257" s="2113">
        <v>3</v>
      </c>
      <c r="N1257" s="2511"/>
      <c r="O1257" s="2042">
        <f>'Part VIII Scoring Criteria'!O106</f>
        <v>0</v>
      </c>
      <c r="P1257" s="2042">
        <f>'Part VIII Scoring Criteria'!P106</f>
        <v>0</v>
      </c>
      <c r="Q1257" s="2508" t="str">
        <f>IF(OR($O1257&lt;=$M1257,$O1257=0,$O1257=""),"","*CHECK!*")</f>
        <v/>
      </c>
      <c r="R1257" s="2503" t="s">
        <v>1716</v>
      </c>
      <c r="S1257" s="2503"/>
      <c r="T1257" s="2043"/>
      <c r="U1257" s="2043"/>
      <c r="V1257" s="2043"/>
      <c r="W1257" s="2043"/>
      <c r="X1257" s="2043"/>
      <c r="Y1257" s="2043"/>
      <c r="Z1257" s="2043"/>
      <c r="AA1257" s="2043"/>
      <c r="AB1257" s="2043"/>
      <c r="AC1257" s="2043"/>
      <c r="AD1257" s="2043"/>
      <c r="AE1257" s="2043"/>
      <c r="AF1257" s="2043"/>
      <c r="AG1257" s="2043"/>
      <c r="AH1257" s="2043"/>
      <c r="AI1257" s="2043"/>
      <c r="AJ1257" s="2043"/>
      <c r="AK1257" s="2043"/>
      <c r="AL1257" s="2043"/>
      <c r="AM1257" s="2043"/>
      <c r="AN1257" s="2043"/>
      <c r="AO1257" s="2043"/>
      <c r="AP1257" s="2043"/>
      <c r="AQ1257" s="2043"/>
      <c r="AR1257" s="2043"/>
      <c r="AS1257" s="2043"/>
      <c r="AT1257" s="2043"/>
      <c r="AU1257" s="2043"/>
      <c r="AV1257" s="2043"/>
      <c r="AW1257" s="2043"/>
      <c r="AX1257" s="2043"/>
      <c r="AY1257" s="2043"/>
      <c r="AZ1257" s="2043"/>
      <c r="BA1257" s="2043"/>
      <c r="BB1257" s="2043"/>
      <c r="BC1257" s="2043"/>
      <c r="BD1257" s="2043"/>
      <c r="BE1257" s="2043"/>
      <c r="BF1257" s="2043"/>
      <c r="BG1257" s="2043"/>
      <c r="BH1257" s="2043"/>
      <c r="BI1257" s="2043"/>
      <c r="BJ1257" s="2043"/>
      <c r="BK1257" s="2043"/>
      <c r="BL1257" s="2043"/>
    </row>
    <row r="1258" spans="1:64" ht="15" customHeight="1">
      <c r="A1258" s="2043"/>
      <c r="B1258" s="2534"/>
      <c r="C1258" s="2534"/>
      <c r="D1258" s="2534"/>
      <c r="E1258" s="2535"/>
      <c r="F1258" s="2536" t="s">
        <v>7035</v>
      </c>
      <c r="G1258" s="2536"/>
      <c r="H1258" s="2536" t="s">
        <v>7036</v>
      </c>
      <c r="I1258" s="2536"/>
      <c r="J1258" s="2536" t="s">
        <v>7037</v>
      </c>
      <c r="K1258" s="2537"/>
      <c r="L1258" s="2536" t="s">
        <v>1766</v>
      </c>
      <c r="M1258" s="2536"/>
      <c r="N1258" s="2536"/>
      <c r="O1258" s="2536"/>
      <c r="P1258" s="2045"/>
      <c r="Q1258" s="2043"/>
      <c r="R1258" s="2043"/>
      <c r="S1258" s="2043"/>
      <c r="T1258" s="2043"/>
      <c r="U1258" s="2043"/>
      <c r="V1258" s="2043"/>
      <c r="W1258" s="2043"/>
      <c r="X1258" s="2043"/>
      <c r="Y1258" s="2043"/>
      <c r="Z1258" s="2043"/>
      <c r="AA1258" s="2043"/>
      <c r="AB1258" s="2043"/>
      <c r="AC1258" s="2043"/>
      <c r="AD1258" s="2043"/>
      <c r="AE1258" s="2043"/>
      <c r="AF1258" s="2043"/>
      <c r="AG1258" s="2043"/>
      <c r="AH1258" s="2043"/>
      <c r="AI1258" s="2043"/>
      <c r="AJ1258" s="2043"/>
      <c r="AK1258" s="2043"/>
      <c r="AL1258" s="2043"/>
      <c r="AM1258" s="2043"/>
      <c r="AN1258" s="2043"/>
      <c r="AO1258" s="2043"/>
      <c r="AP1258" s="2043"/>
      <c r="AQ1258" s="2043"/>
      <c r="AR1258" s="2043"/>
      <c r="AS1258" s="2043"/>
      <c r="AT1258" s="2043"/>
      <c r="AU1258" s="2043"/>
      <c r="AV1258" s="2043"/>
      <c r="AW1258" s="2043"/>
      <c r="AX1258" s="2043"/>
      <c r="AY1258" s="2043"/>
      <c r="AZ1258" s="2043"/>
      <c r="BA1258" s="2043"/>
      <c r="BB1258" s="2043"/>
      <c r="BC1258" s="2043"/>
      <c r="BD1258" s="2043"/>
      <c r="BE1258" s="2043"/>
      <c r="BF1258" s="2043"/>
      <c r="BG1258" s="2043"/>
      <c r="BH1258" s="2043"/>
      <c r="BI1258" s="2043"/>
      <c r="BJ1258" s="2043"/>
      <c r="BK1258" s="2043"/>
      <c r="BL1258" s="2043"/>
    </row>
    <row r="1259" spans="1:64" ht="15">
      <c r="A1259" s="2043"/>
      <c r="B1259" s="2534"/>
      <c r="C1259" s="2534"/>
      <c r="D1259" s="2534"/>
      <c r="E1259" s="2535"/>
      <c r="F1259" s="2536"/>
      <c r="G1259" s="2536"/>
      <c r="H1259" s="2536"/>
      <c r="I1259" s="2536"/>
      <c r="J1259" s="2537"/>
      <c r="K1259" s="2537"/>
      <c r="L1259" s="2536"/>
      <c r="M1259" s="2536"/>
      <c r="N1259" s="2536"/>
      <c r="O1259" s="2536"/>
      <c r="P1259" s="2045"/>
      <c r="Q1259" s="2043"/>
      <c r="R1259" s="2043"/>
      <c r="S1259" s="2043"/>
      <c r="T1259" s="2043"/>
      <c r="U1259" s="2043"/>
      <c r="V1259" s="2043"/>
      <c r="W1259" s="2043"/>
      <c r="X1259" s="2043"/>
      <c r="Y1259" s="2043"/>
      <c r="Z1259" s="2043"/>
      <c r="AA1259" s="2043"/>
      <c r="AB1259" s="2043"/>
      <c r="AC1259" s="2043"/>
      <c r="AD1259" s="2043"/>
      <c r="AE1259" s="2043"/>
      <c r="AF1259" s="2043"/>
      <c r="AG1259" s="2043"/>
      <c r="AH1259" s="2043"/>
      <c r="AI1259" s="2043"/>
      <c r="AJ1259" s="2043"/>
      <c r="AK1259" s="2043"/>
      <c r="AL1259" s="2043"/>
      <c r="AM1259" s="2043"/>
      <c r="AN1259" s="2043"/>
      <c r="AO1259" s="2043"/>
      <c r="AP1259" s="2043"/>
      <c r="AQ1259" s="2043"/>
      <c r="AR1259" s="2043"/>
      <c r="AS1259" s="2043"/>
      <c r="AT1259" s="2043"/>
      <c r="AU1259" s="2043"/>
      <c r="AV1259" s="2043"/>
      <c r="AW1259" s="2043"/>
      <c r="AX1259" s="2043"/>
      <c r="AY1259" s="2043"/>
      <c r="AZ1259" s="2043"/>
      <c r="BA1259" s="2043"/>
      <c r="BB1259" s="2043"/>
      <c r="BC1259" s="2043"/>
      <c r="BD1259" s="2043"/>
      <c r="BE1259" s="2043"/>
      <c r="BF1259" s="2043"/>
      <c r="BG1259" s="2043"/>
      <c r="BH1259" s="2043"/>
      <c r="BI1259" s="2043"/>
      <c r="BJ1259" s="2043"/>
      <c r="BK1259" s="2043"/>
      <c r="BL1259" s="2043"/>
    </row>
    <row r="1260" spans="1:64" ht="15">
      <c r="A1260" s="2043"/>
      <c r="B1260" s="2538" t="s">
        <v>1767</v>
      </c>
      <c r="C1260" s="2539"/>
      <c r="D1260" s="2535"/>
      <c r="E1260" s="2535"/>
      <c r="F1260" s="2536"/>
      <c r="G1260" s="2536"/>
      <c r="H1260" s="2536"/>
      <c r="I1260" s="2536"/>
      <c r="J1260" s="2537"/>
      <c r="K1260" s="2537"/>
      <c r="L1260" s="2536"/>
      <c r="M1260" s="2536"/>
      <c r="N1260" s="2536"/>
      <c r="O1260" s="2536"/>
      <c r="P1260" s="2045"/>
      <c r="Q1260" s="2043"/>
      <c r="R1260" s="2043"/>
      <c r="S1260" s="2043"/>
      <c r="T1260" s="2043"/>
      <c r="U1260" s="2043"/>
      <c r="V1260" s="2043"/>
      <c r="W1260" s="2043"/>
      <c r="X1260" s="2043"/>
      <c r="Y1260" s="2043"/>
      <c r="Z1260" s="2043"/>
      <c r="AA1260" s="2043"/>
      <c r="AB1260" s="2043"/>
      <c r="AC1260" s="2043"/>
      <c r="AD1260" s="2043"/>
      <c r="AE1260" s="2043"/>
      <c r="AF1260" s="2043"/>
      <c r="AG1260" s="2043"/>
      <c r="AH1260" s="2043"/>
      <c r="AI1260" s="2043"/>
      <c r="AJ1260" s="2043"/>
      <c r="AK1260" s="2043"/>
      <c r="AL1260" s="2043"/>
      <c r="AM1260" s="2043"/>
      <c r="AN1260" s="2043"/>
      <c r="AO1260" s="2043"/>
      <c r="AP1260" s="2043"/>
      <c r="AQ1260" s="2043"/>
      <c r="AR1260" s="2043"/>
      <c r="AS1260" s="2043"/>
      <c r="AT1260" s="2043"/>
      <c r="AU1260" s="2043"/>
      <c r="AV1260" s="2043"/>
      <c r="AW1260" s="2043"/>
      <c r="AX1260" s="2043"/>
      <c r="AY1260" s="2043"/>
      <c r="AZ1260" s="2043"/>
      <c r="BA1260" s="2043"/>
      <c r="BB1260" s="2043"/>
      <c r="BC1260" s="2043"/>
      <c r="BD1260" s="2043"/>
      <c r="BE1260" s="2043"/>
      <c r="BF1260" s="2043"/>
      <c r="BG1260" s="2043"/>
      <c r="BH1260" s="2043"/>
      <c r="BI1260" s="2043"/>
      <c r="BJ1260" s="2043"/>
      <c r="BK1260" s="2043"/>
      <c r="BL1260" s="2043"/>
    </row>
    <row r="1261" spans="1:64" ht="15">
      <c r="A1261" s="2043"/>
      <c r="B1261" s="2083">
        <f>'Part VIII Scoring Criteria'!B110</f>
        <v>0</v>
      </c>
      <c r="C1261" s="2083"/>
      <c r="D1261" s="2083"/>
      <c r="E1261" s="2083"/>
      <c r="F1261" s="2083">
        <f>'Part VIII Scoring Criteria'!F110</f>
        <v>0</v>
      </c>
      <c r="G1261" s="2083"/>
      <c r="H1261" s="2083">
        <f>'Part VIII Scoring Criteria'!H110</f>
        <v>0</v>
      </c>
      <c r="I1261" s="2083"/>
      <c r="J1261" s="2083">
        <f>'Part VIII Scoring Criteria'!J110</f>
        <v>0</v>
      </c>
      <c r="K1261" s="2083"/>
      <c r="L1261" s="1855">
        <f>'Part VIII Scoring Criteria'!L110</f>
        <v>0</v>
      </c>
      <c r="M1261" s="1855"/>
      <c r="N1261" s="1855"/>
      <c r="O1261" s="1855"/>
      <c r="P1261" s="2113"/>
      <c r="Q1261" s="2043"/>
      <c r="R1261" s="2043"/>
      <c r="S1261" s="2043"/>
      <c r="T1261" s="2043"/>
      <c r="U1261" s="2043"/>
      <c r="V1261" s="2043"/>
      <c r="W1261" s="2043"/>
      <c r="X1261" s="2043"/>
      <c r="Y1261" s="2043"/>
      <c r="Z1261" s="2043"/>
      <c r="AA1261" s="2043"/>
      <c r="AB1261" s="2043"/>
      <c r="AC1261" s="2043"/>
      <c r="AD1261" s="2043"/>
      <c r="AE1261" s="2043"/>
      <c r="AF1261" s="2043"/>
      <c r="AG1261" s="2043"/>
      <c r="AH1261" s="2043"/>
      <c r="AI1261" s="2043"/>
      <c r="AJ1261" s="2043"/>
      <c r="AK1261" s="2043"/>
      <c r="AL1261" s="2043"/>
      <c r="AM1261" s="2043"/>
      <c r="AN1261" s="2043"/>
      <c r="AO1261" s="2043"/>
      <c r="AP1261" s="2043"/>
      <c r="AQ1261" s="2043"/>
      <c r="AR1261" s="2043"/>
      <c r="AS1261" s="2043"/>
      <c r="AT1261" s="2043"/>
      <c r="AU1261" s="2043"/>
      <c r="AV1261" s="2043"/>
      <c r="AW1261" s="2043"/>
      <c r="AX1261" s="2043"/>
      <c r="AY1261" s="2043"/>
      <c r="AZ1261" s="2043"/>
      <c r="BA1261" s="2043"/>
      <c r="BB1261" s="2043"/>
      <c r="BC1261" s="2043"/>
      <c r="BD1261" s="2043"/>
      <c r="BE1261" s="2043"/>
      <c r="BF1261" s="2043"/>
      <c r="BG1261" s="2043"/>
      <c r="BH1261" s="2043"/>
      <c r="BI1261" s="2043"/>
      <c r="BJ1261" s="2043"/>
      <c r="BK1261" s="2043"/>
      <c r="BL1261" s="2043"/>
    </row>
    <row r="1262" spans="1:64" ht="15">
      <c r="A1262" s="2043"/>
      <c r="B1262" s="2083">
        <f>'Part VIII Scoring Criteria'!B111</f>
        <v>0</v>
      </c>
      <c r="C1262" s="2083"/>
      <c r="D1262" s="2083"/>
      <c r="E1262" s="2083"/>
      <c r="F1262" s="2083">
        <f>'Part VIII Scoring Criteria'!F111</f>
        <v>0</v>
      </c>
      <c r="G1262" s="2083"/>
      <c r="H1262" s="2083">
        <f>'Part VIII Scoring Criteria'!H111</f>
        <v>0</v>
      </c>
      <c r="I1262" s="2083"/>
      <c r="J1262" s="2083">
        <f>'Part VIII Scoring Criteria'!J111</f>
        <v>0</v>
      </c>
      <c r="K1262" s="2083"/>
      <c r="L1262" s="1855">
        <f>'Part VIII Scoring Criteria'!L111</f>
        <v>0</v>
      </c>
      <c r="M1262" s="1855"/>
      <c r="N1262" s="1855"/>
      <c r="O1262" s="1855"/>
      <c r="P1262" s="2113"/>
      <c r="Q1262" s="2043"/>
      <c r="R1262" s="2043"/>
      <c r="S1262" s="2043"/>
      <c r="T1262" s="2043"/>
      <c r="U1262" s="2043"/>
      <c r="V1262" s="2043"/>
      <c r="W1262" s="2043"/>
      <c r="X1262" s="2043"/>
      <c r="Y1262" s="2043"/>
      <c r="Z1262" s="2043"/>
      <c r="AA1262" s="2043"/>
      <c r="AB1262" s="2043"/>
      <c r="AC1262" s="2043"/>
      <c r="AD1262" s="2043"/>
      <c r="AE1262" s="2043"/>
      <c r="AF1262" s="2043"/>
      <c r="AG1262" s="2043"/>
      <c r="AH1262" s="2043"/>
      <c r="AI1262" s="2043"/>
      <c r="AJ1262" s="2043"/>
      <c r="AK1262" s="2043"/>
      <c r="AL1262" s="2043"/>
      <c r="AM1262" s="2043"/>
      <c r="AN1262" s="2043"/>
      <c r="AO1262" s="2043"/>
      <c r="AP1262" s="2043"/>
      <c r="AQ1262" s="2043"/>
      <c r="AR1262" s="2043"/>
      <c r="AS1262" s="2043"/>
      <c r="AT1262" s="2043"/>
      <c r="AU1262" s="2043"/>
      <c r="AV1262" s="2043"/>
      <c r="AW1262" s="2043"/>
      <c r="AX1262" s="2043"/>
      <c r="AY1262" s="2043"/>
      <c r="AZ1262" s="2043"/>
      <c r="BA1262" s="2043"/>
      <c r="BB1262" s="2043"/>
      <c r="BC1262" s="2043"/>
      <c r="BD1262" s="2043"/>
      <c r="BE1262" s="2043"/>
      <c r="BF1262" s="2043"/>
      <c r="BG1262" s="2043"/>
      <c r="BH1262" s="2043"/>
      <c r="BI1262" s="2043"/>
      <c r="BJ1262" s="2043"/>
      <c r="BK1262" s="2043"/>
      <c r="BL1262" s="2043"/>
    </row>
    <row r="1263" spans="1:64" ht="15">
      <c r="A1263" s="2043"/>
      <c r="B1263" s="2083">
        <f>'Part VIII Scoring Criteria'!B112</f>
        <v>0</v>
      </c>
      <c r="C1263" s="2083"/>
      <c r="D1263" s="2083"/>
      <c r="E1263" s="2083"/>
      <c r="F1263" s="2083">
        <f>'Part VIII Scoring Criteria'!F112</f>
        <v>0</v>
      </c>
      <c r="G1263" s="2083"/>
      <c r="H1263" s="2083">
        <f>'Part VIII Scoring Criteria'!H112</f>
        <v>0</v>
      </c>
      <c r="I1263" s="2083"/>
      <c r="J1263" s="2083">
        <f>'Part VIII Scoring Criteria'!J112</f>
        <v>0</v>
      </c>
      <c r="K1263" s="2083"/>
      <c r="L1263" s="1855">
        <f>'Part VIII Scoring Criteria'!L112</f>
        <v>0</v>
      </c>
      <c r="M1263" s="1855"/>
      <c r="N1263" s="1855"/>
      <c r="O1263" s="1855"/>
      <c r="P1263" s="2113"/>
      <c r="Q1263" s="2043"/>
      <c r="R1263" s="2043"/>
      <c r="S1263" s="2043"/>
      <c r="T1263" s="2043"/>
      <c r="U1263" s="2043"/>
      <c r="V1263" s="2043"/>
      <c r="W1263" s="2043"/>
      <c r="X1263" s="2043"/>
      <c r="Y1263" s="2043"/>
      <c r="Z1263" s="2043"/>
      <c r="AA1263" s="2043"/>
      <c r="AB1263" s="2043"/>
      <c r="AC1263" s="2043"/>
      <c r="AD1263" s="2043"/>
      <c r="AE1263" s="2043"/>
      <c r="AF1263" s="2043"/>
      <c r="AG1263" s="2043"/>
      <c r="AH1263" s="2043"/>
      <c r="AI1263" s="2043"/>
      <c r="AJ1263" s="2043"/>
      <c r="AK1263" s="2043"/>
      <c r="AL1263" s="2043"/>
      <c r="AM1263" s="2043"/>
      <c r="AN1263" s="2043"/>
      <c r="AO1263" s="2043"/>
      <c r="AP1263" s="2043"/>
      <c r="AQ1263" s="2043"/>
      <c r="AR1263" s="2043"/>
      <c r="AS1263" s="2043"/>
      <c r="AT1263" s="2043"/>
      <c r="AU1263" s="2043"/>
      <c r="AV1263" s="2043"/>
      <c r="AW1263" s="2043"/>
      <c r="AX1263" s="2043"/>
      <c r="AY1263" s="2043"/>
      <c r="AZ1263" s="2043"/>
      <c r="BA1263" s="2043"/>
      <c r="BB1263" s="2043"/>
      <c r="BC1263" s="2043"/>
      <c r="BD1263" s="2043"/>
      <c r="BE1263" s="2043"/>
      <c r="BF1263" s="2043"/>
      <c r="BG1263" s="2043"/>
      <c r="BH1263" s="2043"/>
      <c r="BI1263" s="2043"/>
      <c r="BJ1263" s="2043"/>
      <c r="BK1263" s="2043"/>
      <c r="BL1263" s="2043"/>
    </row>
    <row r="1264" spans="1:64" ht="15">
      <c r="A1264" s="2043"/>
      <c r="B1264" s="2083">
        <f>'Part VIII Scoring Criteria'!B113</f>
        <v>0</v>
      </c>
      <c r="C1264" s="2083"/>
      <c r="D1264" s="2083"/>
      <c r="E1264" s="2083"/>
      <c r="F1264" s="2083">
        <f>'Part VIII Scoring Criteria'!F113</f>
        <v>0</v>
      </c>
      <c r="G1264" s="2083"/>
      <c r="H1264" s="2083">
        <f>'Part VIII Scoring Criteria'!H113</f>
        <v>0</v>
      </c>
      <c r="I1264" s="2083"/>
      <c r="J1264" s="2083">
        <f>'Part VIII Scoring Criteria'!J113</f>
        <v>0</v>
      </c>
      <c r="K1264" s="2083"/>
      <c r="L1264" s="1855">
        <f>'Part VIII Scoring Criteria'!L113</f>
        <v>0</v>
      </c>
      <c r="M1264" s="1855"/>
      <c r="N1264" s="1855"/>
      <c r="O1264" s="1855"/>
      <c r="P1264" s="2113"/>
      <c r="Q1264" s="2043"/>
      <c r="R1264" s="2043"/>
      <c r="S1264" s="2043"/>
      <c r="T1264" s="2043"/>
      <c r="U1264" s="2043"/>
      <c r="V1264" s="2043"/>
      <c r="W1264" s="2043"/>
      <c r="X1264" s="2043"/>
      <c r="Y1264" s="2043"/>
      <c r="Z1264" s="2043"/>
      <c r="AA1264" s="2043"/>
      <c r="AB1264" s="2043"/>
      <c r="AC1264" s="2043"/>
      <c r="AD1264" s="2043"/>
      <c r="AE1264" s="2043"/>
      <c r="AF1264" s="2043"/>
      <c r="AG1264" s="2043"/>
      <c r="AH1264" s="2043"/>
      <c r="AI1264" s="2043"/>
      <c r="AJ1264" s="2043"/>
      <c r="AK1264" s="2043"/>
      <c r="AL1264" s="2043"/>
      <c r="AM1264" s="2043"/>
      <c r="AN1264" s="2043"/>
      <c r="AO1264" s="2043"/>
      <c r="AP1264" s="2043"/>
      <c r="AQ1264" s="2043"/>
      <c r="AR1264" s="2043"/>
      <c r="AS1264" s="2043"/>
      <c r="AT1264" s="2043"/>
      <c r="AU1264" s="2043"/>
      <c r="AV1264" s="2043"/>
      <c r="AW1264" s="2043"/>
      <c r="AX1264" s="2043"/>
      <c r="AY1264" s="2043"/>
      <c r="AZ1264" s="2043"/>
      <c r="BA1264" s="2043"/>
      <c r="BB1264" s="2043"/>
      <c r="BC1264" s="2043"/>
      <c r="BD1264" s="2043"/>
      <c r="BE1264" s="2043"/>
      <c r="BF1264" s="2043"/>
      <c r="BG1264" s="2043"/>
      <c r="BH1264" s="2043"/>
      <c r="BI1264" s="2043"/>
      <c r="BJ1264" s="2043"/>
      <c r="BK1264" s="2043"/>
      <c r="BL1264" s="2043"/>
    </row>
    <row r="1265" spans="1:64" ht="15">
      <c r="A1265" s="2043"/>
      <c r="B1265" s="2083">
        <f>'Part VIII Scoring Criteria'!B114</f>
        <v>0</v>
      </c>
      <c r="C1265" s="2083"/>
      <c r="D1265" s="2083"/>
      <c r="E1265" s="2083"/>
      <c r="F1265" s="2083">
        <f>'Part VIII Scoring Criteria'!F114</f>
        <v>0</v>
      </c>
      <c r="G1265" s="2083"/>
      <c r="H1265" s="2083">
        <f>'Part VIII Scoring Criteria'!H114</f>
        <v>0</v>
      </c>
      <c r="I1265" s="2083"/>
      <c r="J1265" s="2083">
        <f>'Part VIII Scoring Criteria'!J114</f>
        <v>0</v>
      </c>
      <c r="K1265" s="2083"/>
      <c r="L1265" s="1855">
        <f>'Part VIII Scoring Criteria'!L114</f>
        <v>0</v>
      </c>
      <c r="M1265" s="1855"/>
      <c r="N1265" s="1855"/>
      <c r="O1265" s="1855"/>
      <c r="P1265" s="2113"/>
      <c r="Q1265" s="2043"/>
      <c r="R1265" s="2043"/>
      <c r="S1265" s="2043"/>
      <c r="T1265" s="2043"/>
      <c r="U1265" s="2043"/>
      <c r="V1265" s="2043"/>
      <c r="W1265" s="2043"/>
      <c r="X1265" s="2043"/>
      <c r="Y1265" s="2043"/>
      <c r="Z1265" s="2043"/>
      <c r="AA1265" s="2043"/>
      <c r="AB1265" s="2043"/>
      <c r="AC1265" s="2043"/>
      <c r="AD1265" s="2043"/>
      <c r="AE1265" s="2043"/>
      <c r="AF1265" s="2043"/>
      <c r="AG1265" s="2043"/>
      <c r="AH1265" s="2043"/>
      <c r="AI1265" s="2043"/>
      <c r="AJ1265" s="2043"/>
      <c r="AK1265" s="2043"/>
      <c r="AL1265" s="2043"/>
      <c r="AM1265" s="2043"/>
      <c r="AN1265" s="2043"/>
      <c r="AO1265" s="2043"/>
      <c r="AP1265" s="2043"/>
      <c r="AQ1265" s="2043"/>
      <c r="AR1265" s="2043"/>
      <c r="AS1265" s="2043"/>
      <c r="AT1265" s="2043"/>
      <c r="AU1265" s="2043"/>
      <c r="AV1265" s="2043"/>
      <c r="AW1265" s="2043"/>
      <c r="AX1265" s="2043"/>
      <c r="AY1265" s="2043"/>
      <c r="AZ1265" s="2043"/>
      <c r="BA1265" s="2043"/>
      <c r="BB1265" s="2043"/>
      <c r="BC1265" s="2043"/>
      <c r="BD1265" s="2043"/>
      <c r="BE1265" s="2043"/>
      <c r="BF1265" s="2043"/>
      <c r="BG1265" s="2043"/>
      <c r="BH1265" s="2043"/>
      <c r="BI1265" s="2043"/>
      <c r="BJ1265" s="2043"/>
      <c r="BK1265" s="2043"/>
      <c r="BL1265" s="2043"/>
    </row>
    <row r="1266" spans="1:64" ht="15">
      <c r="A1266" s="2043"/>
      <c r="B1266" s="2083">
        <f>'Part VIII Scoring Criteria'!B115</f>
        <v>0</v>
      </c>
      <c r="C1266" s="2083"/>
      <c r="D1266" s="2083"/>
      <c r="E1266" s="2083"/>
      <c r="F1266" s="2083">
        <f>'Part VIII Scoring Criteria'!F115</f>
        <v>0</v>
      </c>
      <c r="G1266" s="2083"/>
      <c r="H1266" s="2083">
        <f>'Part VIII Scoring Criteria'!H115</f>
        <v>0</v>
      </c>
      <c r="I1266" s="2083"/>
      <c r="J1266" s="2083">
        <f>'Part VIII Scoring Criteria'!J115</f>
        <v>0</v>
      </c>
      <c r="K1266" s="2083"/>
      <c r="L1266" s="1855">
        <f>'Part VIII Scoring Criteria'!L115</f>
        <v>0</v>
      </c>
      <c r="M1266" s="1855"/>
      <c r="N1266" s="1855"/>
      <c r="O1266" s="1855"/>
      <c r="P1266" s="2113"/>
      <c r="Q1266" s="2043"/>
      <c r="R1266" s="2043"/>
      <c r="S1266" s="2043"/>
      <c r="T1266" s="2043"/>
      <c r="U1266" s="2043"/>
      <c r="V1266" s="2043"/>
      <c r="W1266" s="2043"/>
      <c r="X1266" s="2043"/>
      <c r="Y1266" s="2043"/>
      <c r="Z1266" s="2043"/>
      <c r="AA1266" s="2043"/>
      <c r="AB1266" s="2043"/>
      <c r="AC1266" s="2043"/>
      <c r="AD1266" s="2043"/>
      <c r="AE1266" s="2043"/>
      <c r="AF1266" s="2043"/>
      <c r="AG1266" s="2043"/>
      <c r="AH1266" s="2043"/>
      <c r="AI1266" s="2043"/>
      <c r="AJ1266" s="2043"/>
      <c r="AK1266" s="2043"/>
      <c r="AL1266" s="2043"/>
      <c r="AM1266" s="2043"/>
      <c r="AN1266" s="2043"/>
      <c r="AO1266" s="2043"/>
      <c r="AP1266" s="2043"/>
      <c r="AQ1266" s="2043"/>
      <c r="AR1266" s="2043"/>
      <c r="AS1266" s="2043"/>
      <c r="AT1266" s="2043"/>
      <c r="AU1266" s="2043"/>
      <c r="AV1266" s="2043"/>
      <c r="AW1266" s="2043"/>
      <c r="AX1266" s="2043"/>
      <c r="AY1266" s="2043"/>
      <c r="AZ1266" s="2043"/>
      <c r="BA1266" s="2043"/>
      <c r="BB1266" s="2043"/>
      <c r="BC1266" s="2043"/>
      <c r="BD1266" s="2043"/>
      <c r="BE1266" s="2043"/>
      <c r="BF1266" s="2043"/>
      <c r="BG1266" s="2043"/>
      <c r="BH1266" s="2043"/>
      <c r="BI1266" s="2043"/>
      <c r="BJ1266" s="2043"/>
      <c r="BK1266" s="2043"/>
      <c r="BL1266" s="2043"/>
    </row>
    <row r="1267" spans="1:64" ht="15">
      <c r="A1267" s="1855"/>
      <c r="B1267" s="2110" t="s">
        <v>1739</v>
      </c>
      <c r="C1267" s="1855"/>
      <c r="D1267" s="1855"/>
      <c r="E1267" s="1855"/>
      <c r="F1267" s="1855"/>
      <c r="G1267" s="1855"/>
      <c r="H1267" s="1855"/>
      <c r="I1267" s="1855"/>
      <c r="J1267" s="1855"/>
      <c r="K1267" s="1855"/>
      <c r="L1267" s="2043"/>
      <c r="M1267" s="1964"/>
      <c r="N1267" s="1994"/>
      <c r="O1267" s="2042"/>
      <c r="P1267" s="2045"/>
      <c r="Q1267" s="2043"/>
      <c r="R1267" s="2043"/>
      <c r="S1267" s="2043"/>
      <c r="T1267" s="2043"/>
      <c r="U1267" s="2043"/>
      <c r="V1267" s="2043"/>
      <c r="W1267" s="2043"/>
      <c r="X1267" s="2043"/>
      <c r="Y1267" s="2043"/>
      <c r="Z1267" s="2043"/>
      <c r="AA1267" s="2043"/>
      <c r="AB1267" s="2043"/>
      <c r="AC1267" s="2043"/>
      <c r="AD1267" s="2043"/>
      <c r="AE1267" s="2043"/>
      <c r="AF1267" s="2043"/>
      <c r="AG1267" s="2043"/>
      <c r="AH1267" s="2043"/>
      <c r="AI1267" s="2043"/>
      <c r="AJ1267" s="2043"/>
      <c r="AK1267" s="2043"/>
      <c r="AL1267" s="2043"/>
      <c r="AM1267" s="2043"/>
      <c r="AN1267" s="2043"/>
      <c r="AO1267" s="2043"/>
      <c r="AP1267" s="2043"/>
      <c r="AQ1267" s="2043"/>
      <c r="AR1267" s="2043"/>
      <c r="AS1267" s="2043"/>
      <c r="AT1267" s="2043"/>
      <c r="AU1267" s="2043"/>
      <c r="AV1267" s="2043"/>
      <c r="AW1267" s="2043"/>
      <c r="AX1267" s="2043"/>
      <c r="AY1267" s="2043"/>
      <c r="AZ1267" s="2043"/>
      <c r="BA1267" s="2043"/>
      <c r="BB1267" s="2043"/>
      <c r="BC1267" s="2043"/>
      <c r="BD1267" s="2043"/>
      <c r="BE1267" s="2043"/>
      <c r="BF1267" s="2043"/>
      <c r="BG1267" s="2043"/>
      <c r="BH1267" s="2043"/>
      <c r="BI1267" s="2043"/>
      <c r="BJ1267" s="2043"/>
      <c r="BK1267" s="2043"/>
      <c r="BL1267" s="2043"/>
    </row>
    <row r="1268" spans="1:64" ht="42.75">
      <c r="A1268" s="2052" t="str">
        <f>'Part VIII Scoring Criteria'!A117</f>
        <v>NA 4% Preservation</v>
      </c>
      <c r="B1268" s="2052"/>
      <c r="C1268" s="2052"/>
      <c r="D1268" s="2052"/>
      <c r="E1268" s="2052"/>
      <c r="F1268" s="2052"/>
      <c r="G1268" s="2052"/>
      <c r="H1268" s="2052"/>
      <c r="I1268" s="2052"/>
      <c r="J1268" s="2052"/>
      <c r="K1268" s="2052"/>
      <c r="L1268" s="2052"/>
      <c r="M1268" s="2052"/>
      <c r="N1268" s="2052"/>
      <c r="O1268" s="2052"/>
      <c r="P1268" s="2052"/>
      <c r="Q1268" s="1854"/>
      <c r="R1268" s="2043"/>
      <c r="S1268" s="2043"/>
      <c r="T1268" s="2043"/>
      <c r="U1268" s="2043"/>
      <c r="V1268" s="2043"/>
      <c r="W1268" s="2043"/>
      <c r="X1268" s="2043"/>
      <c r="Y1268" s="2043"/>
      <c r="Z1268" s="2043"/>
      <c r="AA1268" s="2043"/>
      <c r="AB1268" s="2043"/>
      <c r="AC1268" s="2043"/>
      <c r="AD1268" s="2043"/>
      <c r="AE1268" s="2043"/>
      <c r="AF1268" s="2043"/>
      <c r="AG1268" s="2043"/>
      <c r="AH1268" s="2043"/>
      <c r="AI1268" s="2043"/>
      <c r="AJ1268" s="2043"/>
      <c r="AK1268" s="2043"/>
      <c r="AL1268" s="2043"/>
      <c r="AM1268" s="2043"/>
      <c r="AN1268" s="2043"/>
      <c r="AO1268" s="2043"/>
      <c r="AP1268" s="2043"/>
      <c r="AQ1268" s="2043"/>
      <c r="AR1268" s="2043"/>
      <c r="AS1268" s="2043"/>
      <c r="AT1268" s="2043"/>
      <c r="AU1268" s="2043"/>
      <c r="AV1268" s="2043"/>
      <c r="AW1268" s="2043"/>
      <c r="AX1268" s="2043"/>
      <c r="AY1268" s="2043"/>
      <c r="AZ1268" s="2043"/>
      <c r="BA1268" s="2043"/>
      <c r="BB1268" s="2043"/>
      <c r="BC1268" s="2043"/>
      <c r="BD1268" s="2043"/>
      <c r="BE1268" s="2043"/>
      <c r="BF1268" s="2043"/>
      <c r="BG1268" s="2043"/>
      <c r="BH1268" s="2043"/>
      <c r="BI1268" s="2043"/>
      <c r="BJ1268" s="2043"/>
      <c r="BK1268" s="2043"/>
      <c r="BL1268" s="2043"/>
    </row>
    <row r="1269" spans="1:64" ht="15">
      <c r="A1269" s="1855"/>
      <c r="B1269" s="2510" t="s">
        <v>1399</v>
      </c>
      <c r="C1269" s="1855"/>
      <c r="D1269" s="2510"/>
      <c r="E1269" s="2487"/>
      <c r="F1269" s="2487"/>
      <c r="G1269" s="2487"/>
      <c r="H1269" s="2487"/>
      <c r="I1269" s="2487"/>
      <c r="J1269" s="2487"/>
      <c r="K1269" s="2487"/>
      <c r="L1269" s="2487"/>
      <c r="M1269" s="2487"/>
      <c r="N1269" s="2511"/>
      <c r="O1269" s="2489"/>
      <c r="P1269" s="2113"/>
      <c r="Q1269" s="2043"/>
      <c r="R1269" s="2043"/>
      <c r="S1269" s="2043"/>
      <c r="T1269" s="2043"/>
      <c r="U1269" s="2043"/>
      <c r="V1269" s="2043"/>
      <c r="W1269" s="2043"/>
      <c r="X1269" s="2043"/>
      <c r="Y1269" s="2043"/>
      <c r="Z1269" s="2043"/>
      <c r="AA1269" s="2043"/>
      <c r="AB1269" s="2043"/>
      <c r="AC1269" s="2043"/>
      <c r="AD1269" s="2043"/>
      <c r="AE1269" s="2043"/>
      <c r="AF1269" s="2043"/>
      <c r="AG1269" s="2043"/>
      <c r="AH1269" s="2043"/>
      <c r="AI1269" s="2043"/>
      <c r="AJ1269" s="2043"/>
      <c r="AK1269" s="2043"/>
      <c r="AL1269" s="2043"/>
      <c r="AM1269" s="2043"/>
      <c r="AN1269" s="2043"/>
      <c r="AO1269" s="2043"/>
      <c r="AP1269" s="2043"/>
      <c r="AQ1269" s="2043"/>
      <c r="AR1269" s="2043"/>
      <c r="AS1269" s="2043"/>
      <c r="AT1269" s="2043"/>
      <c r="AU1269" s="2043"/>
      <c r="AV1269" s="2043"/>
      <c r="AW1269" s="2043"/>
      <c r="AX1269" s="2043"/>
      <c r="AY1269" s="2043"/>
      <c r="AZ1269" s="2043"/>
      <c r="BA1269" s="2043"/>
      <c r="BB1269" s="2043"/>
      <c r="BC1269" s="2043"/>
      <c r="BD1269" s="2043"/>
      <c r="BE1269" s="2043"/>
      <c r="BF1269" s="2043"/>
      <c r="BG1269" s="2043"/>
      <c r="BH1269" s="2043"/>
      <c r="BI1269" s="2043"/>
      <c r="BJ1269" s="2043"/>
      <c r="BK1269" s="2043"/>
      <c r="BL1269" s="2043"/>
    </row>
    <row r="1270" spans="1:64" ht="15">
      <c r="A1270" s="2052"/>
      <c r="B1270" s="2052"/>
      <c r="C1270" s="2052"/>
      <c r="D1270" s="2052"/>
      <c r="E1270" s="2052"/>
      <c r="F1270" s="2052"/>
      <c r="G1270" s="2052"/>
      <c r="H1270" s="2052"/>
      <c r="I1270" s="2052"/>
      <c r="J1270" s="2052"/>
      <c r="K1270" s="2052"/>
      <c r="L1270" s="2052"/>
      <c r="M1270" s="2052"/>
      <c r="N1270" s="2052"/>
      <c r="O1270" s="2052"/>
      <c r="P1270" s="2052"/>
      <c r="Q1270" s="1854"/>
      <c r="R1270" s="2043"/>
      <c r="S1270" s="2043"/>
      <c r="T1270" s="2043"/>
      <c r="U1270" s="2044"/>
      <c r="V1270" s="2043"/>
      <c r="W1270" s="2043"/>
      <c r="X1270" s="2043"/>
      <c r="Y1270" s="2043"/>
      <c r="Z1270" s="2043"/>
      <c r="AA1270" s="2043"/>
      <c r="AB1270" s="2043"/>
      <c r="AC1270" s="2043"/>
      <c r="AD1270" s="2043"/>
      <c r="AE1270" s="2043"/>
      <c r="AF1270" s="2043"/>
      <c r="AG1270" s="2043"/>
      <c r="AH1270" s="2043"/>
      <c r="AI1270" s="2043"/>
      <c r="AJ1270" s="2043"/>
      <c r="AK1270" s="2043"/>
      <c r="AL1270" s="2043"/>
      <c r="AM1270" s="2043"/>
      <c r="AN1270" s="2043"/>
      <c r="AO1270" s="2043"/>
      <c r="AP1270" s="2043"/>
      <c r="AQ1270" s="2043"/>
      <c r="AR1270" s="2043"/>
      <c r="AS1270" s="2043"/>
      <c r="AT1270" s="2043"/>
      <c r="AU1270" s="2043"/>
      <c r="AV1270" s="2043"/>
      <c r="AW1270" s="2043"/>
      <c r="AX1270" s="2043"/>
      <c r="AY1270" s="2043"/>
      <c r="AZ1270" s="2043"/>
      <c r="BA1270" s="2043"/>
      <c r="BB1270" s="2043"/>
      <c r="BC1270" s="2043"/>
      <c r="BD1270" s="2043"/>
      <c r="BE1270" s="2043"/>
      <c r="BF1270" s="2043"/>
      <c r="BG1270" s="2043"/>
      <c r="BH1270" s="2043"/>
      <c r="BI1270" s="2043"/>
      <c r="BJ1270" s="2043"/>
      <c r="BK1270" s="2043"/>
      <c r="BL1270" s="2043"/>
    </row>
    <row r="1271" spans="1:64" ht="15">
      <c r="A1271" s="1855"/>
      <c r="B1271" s="2043"/>
      <c r="C1271" s="2487"/>
      <c r="D1271" s="2487"/>
      <c r="E1271" s="2487"/>
      <c r="F1271" s="2487"/>
      <c r="G1271" s="2487"/>
      <c r="H1271" s="2487"/>
      <c r="I1271" s="2487"/>
      <c r="J1271" s="2487"/>
      <c r="K1271" s="2487"/>
      <c r="L1271" s="2487"/>
      <c r="M1271" s="2487"/>
      <c r="N1271" s="2511"/>
      <c r="O1271" s="2489"/>
      <c r="P1271" s="2113"/>
      <c r="Q1271" s="2043"/>
      <c r="R1271" s="2043"/>
      <c r="S1271" s="2043"/>
      <c r="T1271" s="2043"/>
      <c r="U1271" s="2043"/>
      <c r="V1271" s="2043"/>
      <c r="W1271" s="2043"/>
      <c r="X1271" s="2043"/>
      <c r="Y1271" s="2043"/>
      <c r="Z1271" s="2043"/>
      <c r="AA1271" s="2043"/>
      <c r="AB1271" s="2043"/>
      <c r="AC1271" s="2043"/>
      <c r="AD1271" s="2043"/>
      <c r="AE1271" s="2043"/>
      <c r="AF1271" s="2043"/>
      <c r="AG1271" s="2043"/>
      <c r="AH1271" s="2043"/>
      <c r="AI1271" s="2043"/>
      <c r="AJ1271" s="2043"/>
      <c r="AK1271" s="2043"/>
      <c r="AL1271" s="2043"/>
      <c r="AM1271" s="2043"/>
      <c r="AN1271" s="2043"/>
      <c r="AO1271" s="2043"/>
      <c r="AP1271" s="2043"/>
      <c r="AQ1271" s="2043"/>
      <c r="AR1271" s="2043"/>
      <c r="AS1271" s="2043"/>
      <c r="AT1271" s="2043"/>
      <c r="AU1271" s="2043"/>
      <c r="AV1271" s="2043"/>
      <c r="AW1271" s="2043"/>
      <c r="AX1271" s="2043"/>
      <c r="AY1271" s="2043"/>
      <c r="AZ1271" s="2043"/>
      <c r="BA1271" s="2043"/>
      <c r="BB1271" s="2043"/>
      <c r="BC1271" s="2043"/>
      <c r="BD1271" s="2043"/>
      <c r="BE1271" s="2043"/>
      <c r="BF1271" s="2043"/>
      <c r="BG1271" s="2043"/>
      <c r="BH1271" s="2043"/>
      <c r="BI1271" s="2043"/>
      <c r="BJ1271" s="2043"/>
      <c r="BK1271" s="2043"/>
      <c r="BL1271" s="2043"/>
    </row>
    <row r="1272" spans="1:64" ht="15">
      <c r="A1272" s="1855"/>
      <c r="B1272" s="2043"/>
      <c r="C1272" s="2487"/>
      <c r="D1272" s="2487"/>
      <c r="E1272" s="2487"/>
      <c r="F1272" s="2487"/>
      <c r="G1272" s="2487"/>
      <c r="H1272" s="2487"/>
      <c r="I1272" s="2487"/>
      <c r="J1272" s="2487"/>
      <c r="K1272" s="2487"/>
      <c r="L1272" s="2487"/>
      <c r="M1272" s="2487"/>
      <c r="N1272" s="2511"/>
      <c r="O1272" s="2489"/>
      <c r="P1272" s="2113"/>
      <c r="Q1272" s="2043"/>
      <c r="R1272" s="2043"/>
      <c r="S1272" s="2043"/>
      <c r="T1272" s="2043"/>
      <c r="U1272" s="2043"/>
      <c r="V1272" s="2043"/>
      <c r="W1272" s="2043"/>
      <c r="X1272" s="2043"/>
      <c r="Y1272" s="2043"/>
      <c r="Z1272" s="2043"/>
      <c r="AA1272" s="2043"/>
      <c r="AB1272" s="2043"/>
      <c r="AC1272" s="2043"/>
      <c r="AD1272" s="2043"/>
      <c r="AE1272" s="2043"/>
      <c r="AF1272" s="2043"/>
      <c r="AG1272" s="2043"/>
      <c r="AH1272" s="2043"/>
      <c r="AI1272" s="2043"/>
      <c r="AJ1272" s="2043"/>
      <c r="AK1272" s="2043"/>
      <c r="AL1272" s="2043"/>
      <c r="AM1272" s="2043"/>
      <c r="AN1272" s="2043"/>
      <c r="AO1272" s="2043"/>
      <c r="AP1272" s="2043"/>
      <c r="AQ1272" s="2043"/>
      <c r="AR1272" s="2043"/>
      <c r="AS1272" s="2043"/>
      <c r="AT1272" s="2043"/>
      <c r="AU1272" s="2043"/>
      <c r="AV1272" s="2043"/>
      <c r="AW1272" s="2043"/>
      <c r="AX1272" s="2043"/>
      <c r="AY1272" s="2043"/>
      <c r="AZ1272" s="2043"/>
      <c r="BA1272" s="2043"/>
      <c r="BB1272" s="2043"/>
      <c r="BC1272" s="2043"/>
      <c r="BD1272" s="2043"/>
      <c r="BE1272" s="2043"/>
      <c r="BF1272" s="2043"/>
      <c r="BG1272" s="2043"/>
      <c r="BH1272" s="2043"/>
      <c r="BI1272" s="2043"/>
      <c r="BJ1272" s="2043"/>
      <c r="BK1272" s="2043"/>
      <c r="BL1272" s="2043"/>
    </row>
    <row r="1273" spans="1:64" ht="15">
      <c r="A1273" s="2109" t="s">
        <v>1427</v>
      </c>
      <c r="B1273" s="2110" t="s">
        <v>1768</v>
      </c>
      <c r="C1273" s="1855"/>
      <c r="D1273" s="2110"/>
      <c r="E1273" s="2110"/>
      <c r="F1273" s="1855"/>
      <c r="G1273" s="1855"/>
      <c r="H1273" s="1855"/>
      <c r="I1273" s="1855"/>
      <c r="J1273" s="1855"/>
      <c r="K1273" s="1855"/>
      <c r="L1273" s="2114" t="str">
        <f>IF(AND(O1273&gt;0,O1274="",O1286=""),"Indicate subtotal score(s) in A or B below!","")</f>
        <v/>
      </c>
      <c r="M1273" s="2113">
        <v>7</v>
      </c>
      <c r="N1273" s="1964"/>
      <c r="O1273" s="2482">
        <f>'Part VIII Scoring Criteria'!O122</f>
        <v>0</v>
      </c>
      <c r="P1273" s="2482">
        <f>'Part VIII Scoring Criteria'!P122</f>
        <v>0</v>
      </c>
      <c r="Q1273" s="2113" t="s">
        <v>1716</v>
      </c>
      <c r="R1273" s="2503" t="str">
        <f>IF(AND(O1273&gt;0,NOT($F$31="New Supply")), "Ineligible to score in this section, not New Supply!","")</f>
        <v/>
      </c>
      <c r="S1273" s="2108"/>
      <c r="T1273" s="2108"/>
      <c r="U1273" s="2108"/>
      <c r="V1273" s="1855"/>
      <c r="W1273" s="1855"/>
      <c r="X1273" s="1855"/>
      <c r="Y1273" s="1855"/>
      <c r="Z1273" s="1855"/>
      <c r="AA1273" s="1855"/>
      <c r="AB1273" s="1855"/>
      <c r="AC1273" s="1855"/>
      <c r="AD1273" s="1855"/>
      <c r="AE1273" s="1855"/>
      <c r="AF1273" s="1855"/>
      <c r="AG1273" s="1855"/>
      <c r="AH1273" s="1855"/>
      <c r="AI1273" s="1855"/>
      <c r="AJ1273" s="1855"/>
      <c r="AK1273" s="1855"/>
      <c r="AL1273" s="1855"/>
      <c r="AM1273" s="1855"/>
      <c r="AN1273" s="1855"/>
      <c r="AO1273" s="1855"/>
      <c r="AP1273" s="1855"/>
      <c r="AQ1273" s="1855"/>
      <c r="AR1273" s="1855"/>
      <c r="AS1273" s="1855"/>
      <c r="AT1273" s="1855"/>
      <c r="AU1273" s="1855"/>
      <c r="AV1273" s="1855"/>
      <c r="AW1273" s="1855"/>
      <c r="AX1273" s="1855"/>
      <c r="AY1273" s="1855"/>
      <c r="AZ1273" s="1855"/>
      <c r="BA1273" s="1855"/>
      <c r="BB1273" s="1855"/>
      <c r="BC1273" s="1855"/>
      <c r="BD1273" s="1855"/>
      <c r="BE1273" s="1855"/>
      <c r="BF1273" s="1855"/>
      <c r="BG1273" s="1855"/>
      <c r="BH1273" s="1855"/>
      <c r="BI1273" s="1855"/>
      <c r="BJ1273" s="1855"/>
      <c r="BK1273" s="1855"/>
      <c r="BL1273" s="1855"/>
    </row>
    <row r="1274" spans="1:64" ht="15">
      <c r="A1274" s="2114" t="s">
        <v>194</v>
      </c>
      <c r="B1274" s="1854" t="s">
        <v>1769</v>
      </c>
      <c r="C1274" s="1854"/>
      <c r="D1274" s="1854"/>
      <c r="E1274" s="1854"/>
      <c r="F1274" s="1854"/>
      <c r="G1274" s="1854"/>
      <c r="H1274" s="1854"/>
      <c r="I1274" s="1854"/>
      <c r="J1274" s="1854"/>
      <c r="K1274" s="1854"/>
      <c r="L1274" s="2112"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964">
        <v>5</v>
      </c>
      <c r="N1274" s="2112"/>
      <c r="O1274" s="2042">
        <f>MIN(M1274,O1281+O1283+O1284+O1285)</f>
        <v>0</v>
      </c>
      <c r="P1274" s="2042">
        <f>P1281+P1283+P1284+P1285</f>
        <v>0</v>
      </c>
      <c r="Q1274" s="2508" t="str">
        <f>IF(OR($O1274&lt;=$M1274,$O1274=""),"","*CHECK!*")</f>
        <v/>
      </c>
      <c r="R1274" s="2503"/>
      <c r="S1274" s="2108"/>
      <c r="T1274" s="2108"/>
      <c r="U1274" s="2108"/>
      <c r="V1274" s="2043"/>
      <c r="W1274" s="2043"/>
      <c r="X1274" s="2043"/>
      <c r="Y1274" s="2043"/>
      <c r="Z1274" s="2043"/>
      <c r="AA1274" s="2043"/>
      <c r="AB1274" s="2043"/>
      <c r="AC1274" s="2043"/>
      <c r="AD1274" s="2043"/>
      <c r="AE1274" s="2043"/>
      <c r="AF1274" s="2043"/>
      <c r="AG1274" s="2043"/>
      <c r="AH1274" s="2043"/>
      <c r="AI1274" s="2043"/>
      <c r="AJ1274" s="2043"/>
      <c r="AK1274" s="2043"/>
      <c r="AL1274" s="2043"/>
      <c r="AM1274" s="2043"/>
      <c r="AN1274" s="2043"/>
      <c r="AO1274" s="2043"/>
      <c r="AP1274" s="2043"/>
      <c r="AQ1274" s="2043"/>
      <c r="AR1274" s="2043"/>
      <c r="AS1274" s="2043"/>
      <c r="AT1274" s="2043"/>
      <c r="AU1274" s="2043"/>
      <c r="AV1274" s="2043"/>
      <c r="AW1274" s="2043"/>
      <c r="AX1274" s="2043"/>
      <c r="AY1274" s="2043"/>
      <c r="AZ1274" s="2043"/>
      <c r="BA1274" s="2043"/>
      <c r="BB1274" s="2043"/>
      <c r="BC1274" s="2043"/>
      <c r="BD1274" s="2043"/>
      <c r="BE1274" s="2043"/>
      <c r="BF1274" s="2043"/>
      <c r="BG1274" s="2043"/>
      <c r="BH1274" s="2043"/>
      <c r="BI1274" s="2043"/>
      <c r="BJ1274" s="2043"/>
      <c r="BK1274" s="2043"/>
      <c r="BL1274" s="2043"/>
    </row>
    <row r="1275" spans="1:64" ht="15">
      <c r="A1275" s="2113"/>
      <c r="B1275" s="2043"/>
      <c r="C1275" s="1855" t="s">
        <v>7038</v>
      </c>
      <c r="D1275" s="1854"/>
      <c r="E1275" s="1854"/>
      <c r="F1275" s="1854"/>
      <c r="G1275" s="1854"/>
      <c r="H1275" s="1854"/>
      <c r="I1275" s="1854"/>
      <c r="J1275" s="1854"/>
      <c r="K1275" s="1854"/>
      <c r="L1275" s="1854"/>
      <c r="M1275" s="2043"/>
      <c r="N1275" s="1994"/>
      <c r="O1275" s="2045"/>
      <c r="P1275" s="2045"/>
      <c r="Q1275" s="2508" t="str">
        <f>IF(OR($O1281=$M1281,$O1281=0,$O1281=""),"","*CHECK!*")</f>
        <v/>
      </c>
      <c r="R1275" s="2503"/>
      <c r="S1275" s="2108"/>
      <c r="T1275" s="2108"/>
      <c r="U1275" s="2108"/>
      <c r="V1275" s="2043"/>
      <c r="W1275" s="2043"/>
      <c r="X1275" s="2043"/>
      <c r="Y1275" s="2043"/>
      <c r="Z1275" s="2043"/>
      <c r="AA1275" s="2043"/>
      <c r="AB1275" s="2043"/>
      <c r="AC1275" s="2043"/>
      <c r="AD1275" s="2043"/>
      <c r="AE1275" s="2043"/>
      <c r="AF1275" s="2043"/>
      <c r="AG1275" s="2043"/>
      <c r="AH1275" s="2043"/>
      <c r="AI1275" s="2043"/>
      <c r="AJ1275" s="2043"/>
      <c r="AK1275" s="2043"/>
      <c r="AL1275" s="2043"/>
      <c r="AM1275" s="2043"/>
      <c r="AN1275" s="2043"/>
      <c r="AO1275" s="2043"/>
      <c r="AP1275" s="2043"/>
      <c r="AQ1275" s="2043"/>
      <c r="AR1275" s="2043"/>
      <c r="AS1275" s="2043"/>
      <c r="AT1275" s="2043"/>
      <c r="AU1275" s="2043"/>
      <c r="AV1275" s="2043"/>
      <c r="AW1275" s="2043"/>
      <c r="AX1275" s="2043"/>
      <c r="AY1275" s="2043"/>
      <c r="AZ1275" s="2043"/>
      <c r="BA1275" s="2043"/>
      <c r="BB1275" s="2043"/>
      <c r="BC1275" s="2043"/>
      <c r="BD1275" s="2043"/>
      <c r="BE1275" s="2043"/>
      <c r="BF1275" s="2043"/>
      <c r="BG1275" s="2043"/>
      <c r="BH1275" s="2043"/>
      <c r="BI1275" s="2043"/>
      <c r="BJ1275" s="2043"/>
      <c r="BK1275" s="2043"/>
      <c r="BL1275" s="2043"/>
    </row>
    <row r="1276" spans="1:64" ht="15" customHeight="1">
      <c r="A1276" s="2045"/>
      <c r="B1276" s="2112"/>
      <c r="C1276" s="2049" t="s">
        <v>1771</v>
      </c>
      <c r="D1276" s="2049"/>
      <c r="E1276" s="2049"/>
      <c r="F1276" s="2049"/>
      <c r="G1276" s="2049"/>
      <c r="H1276" s="2049"/>
      <c r="I1276" s="2049"/>
      <c r="J1276" s="2049"/>
      <c r="K1276" s="2049"/>
      <c r="L1276" s="2509"/>
      <c r="M1276" s="2083" t="str">
        <f>'Part VIII Scoring Criteria'!M125</f>
        <v>&lt;Page # from Plan&gt;</v>
      </c>
      <c r="N1276" s="2083"/>
      <c r="O1276" s="2083"/>
      <c r="P1276" s="2083"/>
      <c r="Q1276" s="2043"/>
      <c r="R1276" s="2043"/>
      <c r="S1276" s="2108"/>
      <c r="T1276" s="2108"/>
      <c r="U1276" s="2108"/>
      <c r="V1276" s="2043"/>
      <c r="W1276" s="2043"/>
      <c r="X1276" s="2043"/>
      <c r="Y1276" s="2043"/>
      <c r="Z1276" s="2043"/>
      <c r="AA1276" s="2043"/>
      <c r="AB1276" s="2043"/>
      <c r="AC1276" s="2043"/>
      <c r="AD1276" s="2043"/>
      <c r="AE1276" s="2043"/>
      <c r="AF1276" s="2043"/>
      <c r="AG1276" s="2043"/>
      <c r="AH1276" s="2043"/>
      <c r="AI1276" s="2043"/>
      <c r="AJ1276" s="2043"/>
      <c r="AK1276" s="2043"/>
      <c r="AL1276" s="2043"/>
      <c r="AM1276" s="2043"/>
      <c r="AN1276" s="2043"/>
      <c r="AO1276" s="2043"/>
      <c r="AP1276" s="2043"/>
      <c r="AQ1276" s="2043"/>
      <c r="AR1276" s="2043"/>
      <c r="AS1276" s="2043"/>
      <c r="AT1276" s="2043"/>
      <c r="AU1276" s="2043"/>
      <c r="AV1276" s="2043"/>
      <c r="AW1276" s="2043"/>
      <c r="AX1276" s="2043"/>
      <c r="AY1276" s="2043"/>
      <c r="AZ1276" s="2043"/>
      <c r="BA1276" s="2043"/>
      <c r="BB1276" s="2043"/>
      <c r="BC1276" s="2043"/>
      <c r="BD1276" s="2043"/>
      <c r="BE1276" s="2043"/>
      <c r="BF1276" s="2043"/>
      <c r="BG1276" s="2043"/>
      <c r="BH1276" s="2043"/>
      <c r="BI1276" s="2043"/>
      <c r="BJ1276" s="2043"/>
      <c r="BK1276" s="2043"/>
      <c r="BL1276" s="2043"/>
    </row>
    <row r="1277" spans="1:64" ht="15" customHeight="1">
      <c r="A1277" s="1855"/>
      <c r="B1277" s="2112"/>
      <c r="C1277" s="1855" t="s">
        <v>1773</v>
      </c>
      <c r="D1277" s="1855"/>
      <c r="E1277" s="1855"/>
      <c r="F1277" s="1855"/>
      <c r="G1277" s="1855"/>
      <c r="H1277" s="1855"/>
      <c r="I1277" s="1855"/>
      <c r="J1277" s="1855"/>
      <c r="K1277" s="1855"/>
      <c r="L1277" s="2112"/>
      <c r="M1277" s="2083" t="str">
        <f>'Part VIII Scoring Criteria'!M126</f>
        <v>&lt;Page # from Plan&gt;</v>
      </c>
      <c r="N1277" s="2083"/>
      <c r="O1277" s="2083"/>
      <c r="P1277" s="2083"/>
      <c r="Q1277" s="1855"/>
      <c r="R1277" s="1855"/>
      <c r="S1277" s="2108"/>
      <c r="T1277" s="2108"/>
      <c r="U1277" s="2108"/>
      <c r="V1277" s="1855"/>
      <c r="W1277" s="1855"/>
      <c r="X1277" s="1855"/>
      <c r="Y1277" s="1855"/>
      <c r="Z1277" s="1855"/>
      <c r="AA1277" s="1855"/>
      <c r="AB1277" s="1855"/>
      <c r="AC1277" s="1855"/>
      <c r="AD1277" s="1855"/>
      <c r="AE1277" s="1855"/>
      <c r="AF1277" s="1855"/>
      <c r="AG1277" s="1855"/>
      <c r="AH1277" s="1855"/>
      <c r="AI1277" s="1855"/>
      <c r="AJ1277" s="1855"/>
      <c r="AK1277" s="1855"/>
      <c r="AL1277" s="1855"/>
      <c r="AM1277" s="1855"/>
      <c r="AN1277" s="1855"/>
      <c r="AO1277" s="1855"/>
      <c r="AP1277" s="1855"/>
      <c r="AQ1277" s="1855"/>
      <c r="AR1277" s="1855"/>
      <c r="AS1277" s="1855"/>
      <c r="AT1277" s="1855"/>
      <c r="AU1277" s="1855"/>
      <c r="AV1277" s="1855"/>
      <c r="AW1277" s="1855"/>
      <c r="AX1277" s="1855"/>
      <c r="AY1277" s="1855"/>
      <c r="AZ1277" s="1855"/>
      <c r="BA1277" s="1855"/>
      <c r="BB1277" s="1855"/>
      <c r="BC1277" s="1855"/>
      <c r="BD1277" s="1855"/>
      <c r="BE1277" s="1855"/>
      <c r="BF1277" s="1855"/>
      <c r="BG1277" s="1855"/>
      <c r="BH1277" s="1855"/>
      <c r="BI1277" s="1855"/>
      <c r="BJ1277" s="1855"/>
      <c r="BK1277" s="1855"/>
      <c r="BL1277" s="1855"/>
    </row>
    <row r="1278" spans="1:64" ht="15" customHeight="1">
      <c r="A1278" s="1855"/>
      <c r="B1278" s="2112"/>
      <c r="C1278" s="1855" t="s">
        <v>1774</v>
      </c>
      <c r="D1278" s="1855"/>
      <c r="E1278" s="1855"/>
      <c r="F1278" s="1855"/>
      <c r="G1278" s="1855"/>
      <c r="H1278" s="1855"/>
      <c r="I1278" s="1855"/>
      <c r="J1278" s="1855"/>
      <c r="K1278" s="1855"/>
      <c r="L1278" s="2112"/>
      <c r="M1278" s="2083" t="str">
        <f>'Part VIII Scoring Criteria'!M127</f>
        <v>&lt;Page # from Plan&gt;</v>
      </c>
      <c r="N1278" s="2083"/>
      <c r="O1278" s="2083"/>
      <c r="P1278" s="2083"/>
      <c r="Q1278" s="1964">
        <f>IF(K1278="Yes",1,0)</f>
        <v>0</v>
      </c>
      <c r="R1278" s="1855"/>
      <c r="S1278" s="2108"/>
      <c r="T1278" s="2108"/>
      <c r="U1278" s="2108"/>
      <c r="V1278" s="1855"/>
      <c r="W1278" s="1855"/>
      <c r="X1278" s="1855"/>
      <c r="Y1278" s="1855"/>
      <c r="Z1278" s="1855"/>
      <c r="AA1278" s="1855"/>
      <c r="AB1278" s="1855"/>
      <c r="AC1278" s="1855"/>
      <c r="AD1278" s="1855"/>
      <c r="AE1278" s="1855"/>
      <c r="AF1278" s="1855"/>
      <c r="AG1278" s="1855"/>
      <c r="AH1278" s="1855"/>
      <c r="AI1278" s="1855"/>
      <c r="AJ1278" s="1855"/>
      <c r="AK1278" s="1855"/>
      <c r="AL1278" s="1855"/>
      <c r="AM1278" s="1855"/>
      <c r="AN1278" s="1855"/>
      <c r="AO1278" s="1855"/>
      <c r="AP1278" s="1855"/>
      <c r="AQ1278" s="1855"/>
      <c r="AR1278" s="1855"/>
      <c r="AS1278" s="1855"/>
      <c r="AT1278" s="1855"/>
      <c r="AU1278" s="1855"/>
      <c r="AV1278" s="1855"/>
      <c r="AW1278" s="1855"/>
      <c r="AX1278" s="1855"/>
      <c r="AY1278" s="1855"/>
      <c r="AZ1278" s="1855"/>
      <c r="BA1278" s="1855"/>
      <c r="BB1278" s="1855"/>
      <c r="BC1278" s="1855"/>
      <c r="BD1278" s="1855"/>
      <c r="BE1278" s="1855"/>
      <c r="BF1278" s="1855"/>
      <c r="BG1278" s="1855"/>
      <c r="BH1278" s="1855"/>
      <c r="BI1278" s="1855"/>
      <c r="BJ1278" s="1855"/>
      <c r="BK1278" s="1855"/>
      <c r="BL1278" s="1855"/>
    </row>
    <row r="1279" spans="1:64" ht="15" customHeight="1">
      <c r="A1279" s="2112"/>
      <c r="B1279" s="2112"/>
      <c r="C1279" s="1855" t="s">
        <v>1775</v>
      </c>
      <c r="D1279" s="1855"/>
      <c r="E1279" s="1855"/>
      <c r="F1279" s="1855"/>
      <c r="G1279" s="1855"/>
      <c r="H1279" s="1855"/>
      <c r="I1279" s="1855"/>
      <c r="J1279" s="1855"/>
      <c r="K1279" s="1855"/>
      <c r="L1279" s="2112"/>
      <c r="M1279" s="2083" t="str">
        <f>'Part VIII Scoring Criteria'!M128</f>
        <v>&lt;Page # from Plan&gt;</v>
      </c>
      <c r="N1279" s="2083"/>
      <c r="O1279" s="2083"/>
      <c r="P1279" s="2083"/>
      <c r="Q1279" s="1964">
        <f>IF(K1279="Yes",1,0)</f>
        <v>0</v>
      </c>
      <c r="R1279" s="1855"/>
      <c r="S1279" s="2108"/>
      <c r="T1279" s="2108"/>
      <c r="U1279" s="2108"/>
      <c r="V1279" s="1855"/>
      <c r="W1279" s="1855"/>
      <c r="X1279" s="1855"/>
      <c r="Y1279" s="1855"/>
      <c r="Z1279" s="1855"/>
      <c r="AA1279" s="1855"/>
      <c r="AB1279" s="1855"/>
      <c r="AC1279" s="1855"/>
      <c r="AD1279" s="1855"/>
      <c r="AE1279" s="1855"/>
      <c r="AF1279" s="1855"/>
      <c r="AG1279" s="1855"/>
      <c r="AH1279" s="1855"/>
      <c r="AI1279" s="1855"/>
      <c r="AJ1279" s="1855"/>
      <c r="AK1279" s="1855"/>
      <c r="AL1279" s="1855"/>
      <c r="AM1279" s="1855"/>
      <c r="AN1279" s="1855"/>
      <c r="AO1279" s="1855"/>
      <c r="AP1279" s="1855"/>
      <c r="AQ1279" s="1855"/>
      <c r="AR1279" s="1855"/>
      <c r="AS1279" s="1855"/>
      <c r="AT1279" s="1855"/>
      <c r="AU1279" s="1855"/>
      <c r="AV1279" s="1855"/>
      <c r="AW1279" s="1855"/>
      <c r="AX1279" s="1855"/>
      <c r="AY1279" s="1855"/>
      <c r="AZ1279" s="1855"/>
      <c r="BA1279" s="1855"/>
      <c r="BB1279" s="1855"/>
      <c r="BC1279" s="1855"/>
      <c r="BD1279" s="1855"/>
      <c r="BE1279" s="1855"/>
      <c r="BF1279" s="1855"/>
      <c r="BG1279" s="1855"/>
      <c r="BH1279" s="1855"/>
      <c r="BI1279" s="1855"/>
      <c r="BJ1279" s="1855"/>
      <c r="BK1279" s="1855"/>
      <c r="BL1279" s="1855"/>
    </row>
    <row r="1280" spans="1:64" ht="15" customHeight="1">
      <c r="A1280" s="2112"/>
      <c r="B1280" s="2112"/>
      <c r="C1280" s="1855" t="s">
        <v>1776</v>
      </c>
      <c r="D1280" s="1855"/>
      <c r="E1280" s="1855"/>
      <c r="F1280" s="1855"/>
      <c r="G1280" s="1855"/>
      <c r="H1280" s="1855"/>
      <c r="I1280" s="1855"/>
      <c r="J1280" s="1855"/>
      <c r="K1280" s="1855"/>
      <c r="L1280" s="2112"/>
      <c r="M1280" s="2083" t="str">
        <f>'Part VIII Scoring Criteria'!M129</f>
        <v>&lt;Page # from Plan&gt;</v>
      </c>
      <c r="N1280" s="2083"/>
      <c r="O1280" s="2083"/>
      <c r="P1280" s="2083"/>
      <c r="Q1280" s="1964"/>
      <c r="R1280" s="1855"/>
      <c r="S1280" s="2108"/>
      <c r="T1280" s="2108"/>
      <c r="U1280" s="2108"/>
      <c r="V1280" s="1964"/>
      <c r="W1280" s="1855"/>
      <c r="X1280" s="1855"/>
      <c r="Y1280" s="1855"/>
      <c r="Z1280" s="1855"/>
      <c r="AA1280" s="1855"/>
      <c r="AB1280" s="1855"/>
      <c r="AC1280" s="1855"/>
      <c r="AD1280" s="1855"/>
      <c r="AE1280" s="1855"/>
      <c r="AF1280" s="1855"/>
      <c r="AG1280" s="1855"/>
      <c r="AH1280" s="1855"/>
      <c r="AI1280" s="1855"/>
      <c r="AJ1280" s="1855"/>
      <c r="AK1280" s="1855"/>
      <c r="AL1280" s="1855"/>
      <c r="AM1280" s="1855"/>
      <c r="AN1280" s="1855"/>
      <c r="AO1280" s="1855"/>
      <c r="AP1280" s="1855"/>
      <c r="AQ1280" s="1855"/>
      <c r="AR1280" s="1855"/>
      <c r="AS1280" s="1855"/>
      <c r="AT1280" s="1855"/>
      <c r="AU1280" s="1855"/>
      <c r="AV1280" s="1855"/>
      <c r="AW1280" s="1855"/>
      <c r="AX1280" s="1855"/>
      <c r="AY1280" s="1855"/>
      <c r="AZ1280" s="1855"/>
      <c r="BA1280" s="1855"/>
      <c r="BB1280" s="1855"/>
      <c r="BC1280" s="1855"/>
      <c r="BD1280" s="1855"/>
      <c r="BE1280" s="1855"/>
      <c r="BF1280" s="1855"/>
      <c r="BG1280" s="1855"/>
      <c r="BH1280" s="1855"/>
      <c r="BI1280" s="1855"/>
      <c r="BJ1280" s="1855"/>
      <c r="BK1280" s="1855"/>
      <c r="BL1280" s="1855"/>
    </row>
    <row r="1281" spans="1:64" ht="15">
      <c r="A1281" s="2045"/>
      <c r="B1281" s="2540" t="s">
        <v>209</v>
      </c>
      <c r="C1281" s="2503" t="s">
        <v>1777</v>
      </c>
      <c r="D1281" s="2049"/>
      <c r="E1281" s="2049"/>
      <c r="F1281" s="2049"/>
      <c r="G1281" s="2049"/>
      <c r="H1281" s="2049"/>
      <c r="I1281" s="2049"/>
      <c r="J1281" s="2043"/>
      <c r="K1281" s="1964"/>
      <c r="L1281" s="1964"/>
      <c r="M1281" s="1964">
        <v>2</v>
      </c>
      <c r="N1281" s="2509"/>
      <c r="O1281" s="2042">
        <f>'Part VIII Scoring Criteria'!O130</f>
        <v>0</v>
      </c>
      <c r="P1281" s="2042"/>
      <c r="Q1281" s="2043"/>
      <c r="R1281" s="2108"/>
      <c r="S1281" s="2108"/>
      <c r="T1281" s="2108"/>
      <c r="U1281" s="2108"/>
      <c r="V1281" s="2043"/>
      <c r="W1281" s="2043"/>
      <c r="X1281" s="2043"/>
      <c r="Y1281" s="2043"/>
      <c r="Z1281" s="2043"/>
      <c r="AA1281" s="2043"/>
      <c r="AB1281" s="2043"/>
      <c r="AC1281" s="2043"/>
      <c r="AD1281" s="2043"/>
      <c r="AE1281" s="2043"/>
      <c r="AF1281" s="2043"/>
      <c r="AG1281" s="2043"/>
      <c r="AH1281" s="2043"/>
      <c r="AI1281" s="2043"/>
      <c r="AJ1281" s="2043"/>
      <c r="AK1281" s="2043"/>
      <c r="AL1281" s="2043"/>
      <c r="AM1281" s="2043"/>
      <c r="AN1281" s="2043"/>
      <c r="AO1281" s="2043"/>
      <c r="AP1281" s="2043"/>
      <c r="AQ1281" s="2043"/>
      <c r="AR1281" s="2043"/>
      <c r="AS1281" s="2043"/>
      <c r="AT1281" s="2043"/>
      <c r="AU1281" s="2043"/>
      <c r="AV1281" s="2043"/>
      <c r="AW1281" s="2043"/>
      <c r="AX1281" s="2043"/>
      <c r="AY1281" s="2043"/>
      <c r="AZ1281" s="2043"/>
      <c r="BA1281" s="2043"/>
      <c r="BB1281" s="2043"/>
      <c r="BC1281" s="2043"/>
      <c r="BD1281" s="2043"/>
      <c r="BE1281" s="2043"/>
      <c r="BF1281" s="2043"/>
      <c r="BG1281" s="2043"/>
      <c r="BH1281" s="2043"/>
      <c r="BI1281" s="2043"/>
      <c r="BJ1281" s="2043"/>
      <c r="BK1281" s="2043"/>
      <c r="BL1281" s="2043"/>
    </row>
    <row r="1282" spans="1:64" ht="15">
      <c r="A1282" s="2045"/>
      <c r="B1282" s="2541" t="s">
        <v>217</v>
      </c>
      <c r="C1282" s="2503" t="s">
        <v>1778</v>
      </c>
      <c r="D1282" s="2049"/>
      <c r="E1282" s="2049"/>
      <c r="F1282" s="2049"/>
      <c r="G1282" s="2049"/>
      <c r="H1282" s="2049"/>
      <c r="I1282" s="2049"/>
      <c r="J1282" s="2043"/>
      <c r="K1282" s="1964"/>
      <c r="L1282" s="1964"/>
      <c r="M1282" s="2043"/>
      <c r="N1282" s="2043"/>
      <c r="O1282" s="2043"/>
      <c r="P1282" s="2043"/>
      <c r="Q1282" s="2043"/>
      <c r="R1282" s="2108"/>
      <c r="S1282" s="2108"/>
      <c r="T1282" s="2108"/>
      <c r="U1282" s="2108"/>
      <c r="V1282" s="2043"/>
      <c r="W1282" s="2043"/>
      <c r="X1282" s="2043"/>
      <c r="Y1282" s="2043"/>
      <c r="Z1282" s="2043"/>
      <c r="AA1282" s="2043"/>
      <c r="AB1282" s="2043"/>
      <c r="AC1282" s="2043"/>
      <c r="AD1282" s="2043"/>
      <c r="AE1282" s="2043"/>
      <c r="AF1282" s="2043"/>
      <c r="AG1282" s="2043"/>
      <c r="AH1282" s="2043"/>
      <c r="AI1282" s="2043"/>
      <c r="AJ1282" s="2043"/>
      <c r="AK1282" s="2043"/>
      <c r="AL1282" s="2043"/>
      <c r="AM1282" s="2043"/>
      <c r="AN1282" s="2043"/>
      <c r="AO1282" s="2043"/>
      <c r="AP1282" s="2043"/>
      <c r="AQ1282" s="2043"/>
      <c r="AR1282" s="2043"/>
      <c r="AS1282" s="2043"/>
      <c r="AT1282" s="2043"/>
      <c r="AU1282" s="2043"/>
      <c r="AV1282" s="2043"/>
      <c r="AW1282" s="2043"/>
      <c r="AX1282" s="2043"/>
      <c r="AY1282" s="2043"/>
      <c r="AZ1282" s="2043"/>
      <c r="BA1282" s="2043"/>
      <c r="BB1282" s="2043"/>
      <c r="BC1282" s="2043"/>
      <c r="BD1282" s="2043"/>
      <c r="BE1282" s="2043"/>
      <c r="BF1282" s="2043"/>
      <c r="BG1282" s="2043"/>
      <c r="BH1282" s="2043"/>
      <c r="BI1282" s="2043"/>
      <c r="BJ1282" s="2043"/>
      <c r="BK1282" s="2043"/>
      <c r="BL1282" s="2043"/>
    </row>
    <row r="1283" spans="1:64" ht="15" customHeight="1">
      <c r="A1283" s="2114"/>
      <c r="B1283" s="2509"/>
      <c r="C1283" s="2052" t="s">
        <v>7039</v>
      </c>
      <c r="D1283" s="2052"/>
      <c r="E1283" s="2052"/>
      <c r="F1283" s="2052"/>
      <c r="G1283" s="2052"/>
      <c r="H1283" s="2052"/>
      <c r="I1283" s="2052"/>
      <c r="J1283" s="2052"/>
      <c r="K1283" s="2052"/>
      <c r="L1283" s="2052"/>
      <c r="M1283" s="2048">
        <v>1</v>
      </c>
      <c r="N1283" s="2509"/>
      <c r="O1283" s="2042">
        <f>'Part VIII Scoring Criteria'!O132</f>
        <v>0</v>
      </c>
      <c r="P1283" s="2042"/>
      <c r="Q1283" s="2508" t="str">
        <f>IF(OR($O1283=$M1283,$O1283=0,$O1283=""),"","*CHECK!*")</f>
        <v/>
      </c>
      <c r="R1283" s="2503"/>
      <c r="S1283" s="2043"/>
      <c r="T1283" s="2043"/>
      <c r="U1283" s="2043"/>
      <c r="V1283" s="2043"/>
      <c r="W1283" s="2043"/>
      <c r="X1283" s="2043"/>
      <c r="Y1283" s="2043"/>
      <c r="Z1283" s="2043"/>
      <c r="AA1283" s="2043"/>
      <c r="AB1283" s="2043"/>
      <c r="AC1283" s="2043"/>
      <c r="AD1283" s="2043"/>
      <c r="AE1283" s="2043"/>
      <c r="AF1283" s="2043"/>
      <c r="AG1283" s="2043"/>
      <c r="AH1283" s="2043"/>
      <c r="AI1283" s="2043"/>
      <c r="AJ1283" s="2043"/>
      <c r="AK1283" s="2043"/>
      <c r="AL1283" s="2043"/>
      <c r="AM1283" s="2043"/>
      <c r="AN1283" s="2043"/>
      <c r="AO1283" s="2043"/>
      <c r="AP1283" s="2043"/>
      <c r="AQ1283" s="2043"/>
      <c r="AR1283" s="2043"/>
      <c r="AS1283" s="2043"/>
      <c r="AT1283" s="2043"/>
      <c r="AU1283" s="2043"/>
      <c r="AV1283" s="2043"/>
      <c r="AW1283" s="2043"/>
      <c r="AX1283" s="2043"/>
      <c r="AY1283" s="2043"/>
      <c r="AZ1283" s="2043"/>
      <c r="BA1283" s="2043"/>
      <c r="BB1283" s="2043"/>
      <c r="BC1283" s="2043"/>
      <c r="BD1283" s="2043"/>
      <c r="BE1283" s="2043"/>
      <c r="BF1283" s="2043"/>
      <c r="BG1283" s="2043"/>
      <c r="BH1283" s="2043"/>
      <c r="BI1283" s="2043"/>
      <c r="BJ1283" s="2043"/>
      <c r="BK1283" s="2043"/>
      <c r="BL1283" s="2043"/>
    </row>
    <row r="1284" spans="1:64" ht="15" customHeight="1">
      <c r="A1284" s="2114"/>
      <c r="B1284" s="2509"/>
      <c r="C1284" s="2052" t="s">
        <v>7040</v>
      </c>
      <c r="D1284" s="2052"/>
      <c r="E1284" s="2052"/>
      <c r="F1284" s="2052"/>
      <c r="G1284" s="2052"/>
      <c r="H1284" s="2052"/>
      <c r="I1284" s="2052"/>
      <c r="J1284" s="2052"/>
      <c r="K1284" s="2052"/>
      <c r="L1284" s="2052"/>
      <c r="M1284" s="2048">
        <v>1</v>
      </c>
      <c r="N1284" s="2509"/>
      <c r="O1284" s="2042">
        <f>'Part VIII Scoring Criteria'!O133</f>
        <v>0</v>
      </c>
      <c r="P1284" s="2526"/>
      <c r="Q1284" s="2508" t="str">
        <f>IF(OR($O1284=$M1284,$O1284=0,$O1284=""),"","*CHECK!*")</f>
        <v/>
      </c>
      <c r="R1284" s="2503"/>
      <c r="S1284" s="2043"/>
      <c r="T1284" s="2043"/>
      <c r="U1284" s="2043"/>
      <c r="V1284" s="2043"/>
      <c r="W1284" s="2043"/>
      <c r="X1284" s="2043"/>
      <c r="Y1284" s="2043"/>
      <c r="Z1284" s="2043"/>
      <c r="AA1284" s="2043"/>
      <c r="AB1284" s="2043"/>
      <c r="AC1284" s="2043"/>
      <c r="AD1284" s="2043"/>
      <c r="AE1284" s="2043"/>
      <c r="AF1284" s="2043"/>
      <c r="AG1284" s="2043"/>
      <c r="AH1284" s="2043"/>
      <c r="AI1284" s="2043"/>
      <c r="AJ1284" s="2043"/>
      <c r="AK1284" s="2043"/>
      <c r="AL1284" s="2043"/>
      <c r="AM1284" s="2043"/>
      <c r="AN1284" s="2043"/>
      <c r="AO1284" s="2043"/>
      <c r="AP1284" s="2043"/>
      <c r="AQ1284" s="2043"/>
      <c r="AR1284" s="2043"/>
      <c r="AS1284" s="2043"/>
      <c r="AT1284" s="2043"/>
      <c r="AU1284" s="2043"/>
      <c r="AV1284" s="2043"/>
      <c r="AW1284" s="2043"/>
      <c r="AX1284" s="2043"/>
      <c r="AY1284" s="2043"/>
      <c r="AZ1284" s="2043"/>
      <c r="BA1284" s="2043"/>
      <c r="BB1284" s="2043"/>
      <c r="BC1284" s="2043"/>
      <c r="BD1284" s="2043"/>
      <c r="BE1284" s="2043"/>
      <c r="BF1284" s="2043"/>
      <c r="BG1284" s="2043"/>
      <c r="BH1284" s="2043"/>
      <c r="BI1284" s="2043"/>
      <c r="BJ1284" s="2043"/>
      <c r="BK1284" s="2043"/>
      <c r="BL1284" s="2043"/>
    </row>
    <row r="1285" spans="1:64" ht="15">
      <c r="A1285" s="2114"/>
      <c r="B1285" s="2500"/>
      <c r="C1285" s="2043" t="s">
        <v>7041</v>
      </c>
      <c r="D1285" s="2527"/>
      <c r="E1285" s="2527"/>
      <c r="F1285" s="2527"/>
      <c r="G1285" s="2527"/>
      <c r="H1285" s="2527"/>
      <c r="I1285" s="2527"/>
      <c r="J1285" s="2527"/>
      <c r="K1285" s="2527"/>
      <c r="L1285" s="2527"/>
      <c r="M1285" s="1964">
        <v>1</v>
      </c>
      <c r="N1285" s="2112"/>
      <c r="O1285" s="2042">
        <f>'Part VIII Scoring Criteria'!O134</f>
        <v>0</v>
      </c>
      <c r="P1285" s="2042"/>
      <c r="Q1285" s="2508" t="str">
        <f>IF(OR($O1285=$M1285,$O1285=0,$O1285=""),"","*CHECK!*")</f>
        <v/>
      </c>
      <c r="R1285" s="2503"/>
      <c r="S1285" s="2043"/>
      <c r="T1285" s="2043"/>
      <c r="U1285" s="2043"/>
      <c r="V1285" s="2043"/>
      <c r="W1285" s="2043"/>
      <c r="X1285" s="2043"/>
      <c r="Y1285" s="2043"/>
      <c r="Z1285" s="2043"/>
      <c r="AA1285" s="2043"/>
      <c r="AB1285" s="2043"/>
      <c r="AC1285" s="2043"/>
      <c r="AD1285" s="2043"/>
      <c r="AE1285" s="2043"/>
      <c r="AF1285" s="2043"/>
      <c r="AG1285" s="2043"/>
      <c r="AH1285" s="2043"/>
      <c r="AI1285" s="2043"/>
      <c r="AJ1285" s="2043"/>
      <c r="AK1285" s="2043"/>
      <c r="AL1285" s="2043"/>
      <c r="AM1285" s="2043"/>
      <c r="AN1285" s="2043"/>
      <c r="AO1285" s="2043"/>
      <c r="AP1285" s="2043"/>
      <c r="AQ1285" s="2043"/>
      <c r="AR1285" s="2043"/>
      <c r="AS1285" s="2043"/>
      <c r="AT1285" s="2043"/>
      <c r="AU1285" s="2043"/>
      <c r="AV1285" s="2043"/>
      <c r="AW1285" s="2043"/>
      <c r="AX1285" s="2043"/>
      <c r="AY1285" s="2043"/>
      <c r="AZ1285" s="2043"/>
      <c r="BA1285" s="2043"/>
      <c r="BB1285" s="2043"/>
      <c r="BC1285" s="2043"/>
      <c r="BD1285" s="2043"/>
      <c r="BE1285" s="2043"/>
      <c r="BF1285" s="2043"/>
      <c r="BG1285" s="2043"/>
      <c r="BH1285" s="2043"/>
      <c r="BI1285" s="2043"/>
      <c r="BJ1285" s="2043"/>
      <c r="BK1285" s="2043"/>
      <c r="BL1285" s="2043"/>
    </row>
    <row r="1286" spans="1:64" ht="15">
      <c r="A1286" s="2114" t="s">
        <v>206</v>
      </c>
      <c r="B1286" s="1854" t="s">
        <v>1782</v>
      </c>
      <c r="C1286" s="2043"/>
      <c r="D1286" s="1855"/>
      <c r="E1286" s="2043"/>
      <c r="F1286" s="2542"/>
      <c r="G1286" s="2043"/>
      <c r="H1286" s="2043"/>
      <c r="I1286" s="2043"/>
      <c r="J1286" s="2043"/>
      <c r="K1286" s="2114"/>
      <c r="L1286" s="2502" t="str">
        <f>IF(OR($O1286=$M1286,$O1286=0,$O1286=1,$O1286=""),"","* * Check Score! * *")</f>
        <v/>
      </c>
      <c r="M1286" s="1964">
        <v>2</v>
      </c>
      <c r="N1286" s="2112"/>
      <c r="O1286" s="2482">
        <f>'Part VIII Scoring Criteria'!O135</f>
        <v>0</v>
      </c>
      <c r="P1286" s="2482"/>
      <c r="Q1286" s="2543" t="str">
        <f>IF(OR($O1286=$M1286,$O1286=0,$O1286=""),"","*CHECK!*")</f>
        <v/>
      </c>
      <c r="R1286" s="2503"/>
      <c r="S1286" s="2043"/>
      <c r="T1286" s="2043"/>
      <c r="U1286" s="2043"/>
      <c r="V1286" s="2043"/>
      <c r="W1286" s="2043"/>
      <c r="X1286" s="2043"/>
      <c r="Y1286" s="2043"/>
      <c r="Z1286" s="2043"/>
      <c r="AA1286" s="2043"/>
      <c r="AB1286" s="2043"/>
      <c r="AC1286" s="2043"/>
      <c r="AD1286" s="2043"/>
      <c r="AE1286" s="2043"/>
      <c r="AF1286" s="2043"/>
      <c r="AG1286" s="2043"/>
      <c r="AH1286" s="2043"/>
      <c r="AI1286" s="2043"/>
      <c r="AJ1286" s="2043"/>
      <c r="AK1286" s="2043"/>
      <c r="AL1286" s="2043"/>
      <c r="AM1286" s="2043"/>
      <c r="AN1286" s="2043"/>
      <c r="AO1286" s="2043"/>
      <c r="AP1286" s="2043"/>
      <c r="AQ1286" s="2043"/>
      <c r="AR1286" s="2043"/>
      <c r="AS1286" s="2043"/>
      <c r="AT1286" s="2043"/>
      <c r="AU1286" s="2043"/>
      <c r="AV1286" s="2043"/>
      <c r="AW1286" s="2043"/>
      <c r="AX1286" s="2043"/>
      <c r="AY1286" s="2043"/>
      <c r="AZ1286" s="2043"/>
      <c r="BA1286" s="2043"/>
      <c r="BB1286" s="2043"/>
      <c r="BC1286" s="2043"/>
      <c r="BD1286" s="2043"/>
      <c r="BE1286" s="2043"/>
      <c r="BF1286" s="2043"/>
      <c r="BG1286" s="2043"/>
      <c r="BH1286" s="2043"/>
      <c r="BI1286" s="2043"/>
      <c r="BJ1286" s="2043"/>
      <c r="BK1286" s="2043"/>
      <c r="BL1286" s="2043"/>
    </row>
    <row r="1287" spans="1:64" ht="15">
      <c r="A1287" s="1855"/>
      <c r="B1287" s="2110" t="s">
        <v>1739</v>
      </c>
      <c r="C1287" s="1855"/>
      <c r="D1287" s="1855"/>
      <c r="E1287" s="1855"/>
      <c r="F1287" s="1855"/>
      <c r="G1287" s="1855"/>
      <c r="H1287" s="1855"/>
      <c r="I1287" s="1855"/>
      <c r="J1287" s="1855"/>
      <c r="K1287" s="1855"/>
      <c r="L1287" s="1855"/>
      <c r="M1287" s="1964"/>
      <c r="N1287" s="1964"/>
      <c r="O1287" s="2042"/>
      <c r="P1287" s="2113"/>
      <c r="Q1287" s="1855"/>
      <c r="R1287" s="1855"/>
      <c r="S1287" s="1855"/>
      <c r="T1287" s="1855"/>
      <c r="U1287" s="1855"/>
      <c r="V1287" s="1855"/>
      <c r="W1287" s="1855"/>
      <c r="X1287" s="1855"/>
      <c r="Y1287" s="1855"/>
      <c r="Z1287" s="1855"/>
      <c r="AA1287" s="1855"/>
      <c r="AB1287" s="1855"/>
      <c r="AC1287" s="1855"/>
      <c r="AD1287" s="1855"/>
      <c r="AE1287" s="1855"/>
      <c r="AF1287" s="1855"/>
      <c r="AG1287" s="1855"/>
      <c r="AH1287" s="1855"/>
      <c r="AI1287" s="1855"/>
      <c r="AJ1287" s="1855"/>
      <c r="AK1287" s="1855"/>
      <c r="AL1287" s="1855"/>
      <c r="AM1287" s="1855"/>
      <c r="AN1287" s="1855"/>
      <c r="AO1287" s="1855"/>
      <c r="AP1287" s="1855"/>
      <c r="AQ1287" s="1855"/>
      <c r="AR1287" s="1855"/>
      <c r="AS1287" s="1855"/>
      <c r="AT1287" s="1855"/>
      <c r="AU1287" s="1855"/>
      <c r="AV1287" s="1855"/>
      <c r="AW1287" s="1855"/>
      <c r="AX1287" s="1855"/>
      <c r="AY1287" s="1855"/>
      <c r="AZ1287" s="1855"/>
      <c r="BA1287" s="1855"/>
      <c r="BB1287" s="1855"/>
      <c r="BC1287" s="1855"/>
      <c r="BD1287" s="1855"/>
      <c r="BE1287" s="1855"/>
      <c r="BF1287" s="1855"/>
      <c r="BG1287" s="1855"/>
      <c r="BH1287" s="1855"/>
      <c r="BI1287" s="1855"/>
      <c r="BJ1287" s="1855"/>
      <c r="BK1287" s="1855"/>
      <c r="BL1287" s="1855"/>
    </row>
    <row r="1288" spans="1:64" ht="42.75">
      <c r="A1288" s="2052" t="str">
        <f>'Part VIII Scoring Criteria'!A137</f>
        <v>NA 4% Preservation</v>
      </c>
      <c r="B1288" s="2052"/>
      <c r="C1288" s="2052"/>
      <c r="D1288" s="2052"/>
      <c r="E1288" s="2052"/>
      <c r="F1288" s="2052"/>
      <c r="G1288" s="2052"/>
      <c r="H1288" s="2052"/>
      <c r="I1288" s="2052"/>
      <c r="J1288" s="2052"/>
      <c r="K1288" s="2052"/>
      <c r="L1288" s="2052"/>
      <c r="M1288" s="2052"/>
      <c r="N1288" s="2052"/>
      <c r="O1288" s="2052"/>
      <c r="P1288" s="2052"/>
      <c r="Q1288" s="1854"/>
      <c r="R1288" s="2043"/>
      <c r="S1288" s="2043"/>
      <c r="T1288" s="2043"/>
      <c r="U1288" s="2043"/>
      <c r="V1288" s="2043"/>
      <c r="W1288" s="2043"/>
      <c r="X1288" s="2043"/>
      <c r="Y1288" s="2043"/>
      <c r="Z1288" s="2043"/>
      <c r="AA1288" s="2043"/>
      <c r="AB1288" s="2043"/>
      <c r="AC1288" s="2043"/>
      <c r="AD1288" s="2043"/>
      <c r="AE1288" s="2043"/>
      <c r="AF1288" s="2043"/>
      <c r="AG1288" s="2043"/>
      <c r="AH1288" s="2043"/>
      <c r="AI1288" s="2043"/>
      <c r="AJ1288" s="2043"/>
      <c r="AK1288" s="2043"/>
      <c r="AL1288" s="2043"/>
      <c r="AM1288" s="2043"/>
      <c r="AN1288" s="2043"/>
      <c r="AO1288" s="2043"/>
      <c r="AP1288" s="2043"/>
      <c r="AQ1288" s="2043"/>
      <c r="AR1288" s="2043"/>
      <c r="AS1288" s="2043"/>
      <c r="AT1288" s="2043"/>
      <c r="AU1288" s="2043"/>
      <c r="AV1288" s="2043"/>
      <c r="AW1288" s="2043"/>
      <c r="AX1288" s="2043"/>
      <c r="AY1288" s="2043"/>
      <c r="AZ1288" s="2043"/>
      <c r="BA1288" s="2043"/>
      <c r="BB1288" s="2043"/>
      <c r="BC1288" s="2043"/>
      <c r="BD1288" s="2043"/>
      <c r="BE1288" s="2043"/>
      <c r="BF1288" s="2043"/>
      <c r="BG1288" s="2043"/>
      <c r="BH1288" s="2043"/>
      <c r="BI1288" s="2043"/>
      <c r="BJ1288" s="2043"/>
      <c r="BK1288" s="2043"/>
      <c r="BL1288" s="2043"/>
    </row>
    <row r="1289" spans="1:64" ht="15">
      <c r="A1289" s="1855"/>
      <c r="B1289" s="2484" t="s">
        <v>1399</v>
      </c>
      <c r="C1289" s="1855"/>
      <c r="D1289" s="2484"/>
      <c r="E1289" s="2532"/>
      <c r="F1289" s="2532"/>
      <c r="G1289" s="2532"/>
      <c r="H1289" s="2532"/>
      <c r="I1289" s="2532"/>
      <c r="J1289" s="2532"/>
      <c r="K1289" s="2532"/>
      <c r="L1289" s="2532"/>
      <c r="M1289" s="2532"/>
      <c r="N1289" s="2533"/>
      <c r="O1289" s="2478"/>
      <c r="P1289" s="2113"/>
      <c r="Q1289" s="2043"/>
      <c r="R1289" s="1855"/>
      <c r="S1289" s="1855"/>
      <c r="T1289" s="1855"/>
      <c r="U1289" s="1855"/>
      <c r="V1289" s="1855"/>
      <c r="W1289" s="1855"/>
      <c r="X1289" s="1855"/>
      <c r="Y1289" s="1855"/>
      <c r="Z1289" s="1855"/>
      <c r="AA1289" s="1855"/>
      <c r="AB1289" s="1855"/>
      <c r="AC1289" s="1855"/>
      <c r="AD1289" s="1855"/>
      <c r="AE1289" s="1855"/>
      <c r="AF1289" s="1855"/>
      <c r="AG1289" s="1855"/>
      <c r="AH1289" s="1855"/>
      <c r="AI1289" s="1855"/>
      <c r="AJ1289" s="1855"/>
      <c r="AK1289" s="1855"/>
      <c r="AL1289" s="1855"/>
      <c r="AM1289" s="1855"/>
      <c r="AN1289" s="1855"/>
      <c r="AO1289" s="1855"/>
      <c r="AP1289" s="1855"/>
      <c r="AQ1289" s="1855"/>
      <c r="AR1289" s="1855"/>
      <c r="AS1289" s="1855"/>
      <c r="AT1289" s="1855"/>
      <c r="AU1289" s="1855"/>
      <c r="AV1289" s="1855"/>
      <c r="AW1289" s="1855"/>
      <c r="AX1289" s="1855"/>
      <c r="AY1289" s="1855"/>
      <c r="AZ1289" s="1855"/>
      <c r="BA1289" s="1855"/>
      <c r="BB1289" s="1855"/>
      <c r="BC1289" s="1855"/>
      <c r="BD1289" s="1855"/>
      <c r="BE1289" s="1855"/>
      <c r="BF1289" s="1855"/>
      <c r="BG1289" s="1855"/>
      <c r="BH1289" s="1855"/>
      <c r="BI1289" s="1855"/>
      <c r="BJ1289" s="1855"/>
      <c r="BK1289" s="1855"/>
      <c r="BL1289" s="1855"/>
    </row>
    <row r="1290" spans="1:64" ht="15">
      <c r="A1290" s="2052"/>
      <c r="B1290" s="2052"/>
      <c r="C1290" s="2052"/>
      <c r="D1290" s="2052"/>
      <c r="E1290" s="2052"/>
      <c r="F1290" s="2052"/>
      <c r="G1290" s="2052"/>
      <c r="H1290" s="2052"/>
      <c r="I1290" s="2052"/>
      <c r="J1290" s="2052"/>
      <c r="K1290" s="2052"/>
      <c r="L1290" s="2052"/>
      <c r="M1290" s="2052"/>
      <c r="N1290" s="2052"/>
      <c r="O1290" s="2052"/>
      <c r="P1290" s="2052"/>
      <c r="Q1290" s="1854"/>
      <c r="R1290" s="2043"/>
      <c r="S1290" s="2043"/>
      <c r="T1290" s="2043"/>
      <c r="U1290" s="2043"/>
      <c r="V1290" s="2043"/>
      <c r="W1290" s="2043"/>
      <c r="X1290" s="2043"/>
      <c r="Y1290" s="2043"/>
      <c r="Z1290" s="2043"/>
      <c r="AA1290" s="2043"/>
      <c r="AB1290" s="2043"/>
      <c r="AC1290" s="2043"/>
      <c r="AD1290" s="2043"/>
      <c r="AE1290" s="2043"/>
      <c r="AF1290" s="2043"/>
      <c r="AG1290" s="2043"/>
      <c r="AH1290" s="2043"/>
      <c r="AI1290" s="2043"/>
      <c r="AJ1290" s="2043"/>
      <c r="AK1290" s="2043"/>
      <c r="AL1290" s="2043"/>
      <c r="AM1290" s="2043"/>
      <c r="AN1290" s="2043"/>
      <c r="AO1290" s="2043"/>
      <c r="AP1290" s="2043"/>
      <c r="AQ1290" s="2043"/>
      <c r="AR1290" s="2043"/>
      <c r="AS1290" s="2043"/>
      <c r="AT1290" s="2043"/>
      <c r="AU1290" s="2043"/>
      <c r="AV1290" s="2043"/>
      <c r="AW1290" s="2043"/>
      <c r="AX1290" s="2043"/>
      <c r="AY1290" s="2043"/>
      <c r="AZ1290" s="2043"/>
      <c r="BA1290" s="2043"/>
      <c r="BB1290" s="2043"/>
      <c r="BC1290" s="2043"/>
      <c r="BD1290" s="2043"/>
      <c r="BE1290" s="2043"/>
      <c r="BF1290" s="2043"/>
      <c r="BG1290" s="2043"/>
      <c r="BH1290" s="2043"/>
      <c r="BI1290" s="2043"/>
      <c r="BJ1290" s="2043"/>
      <c r="BK1290" s="2043"/>
      <c r="BL1290" s="2043"/>
    </row>
    <row r="1291" spans="1:64" ht="15">
      <c r="A1291" s="1855"/>
      <c r="B1291" s="2043"/>
      <c r="C1291" s="2487"/>
      <c r="D1291" s="2487"/>
      <c r="E1291" s="2487"/>
      <c r="F1291" s="2487"/>
      <c r="G1291" s="2487"/>
      <c r="H1291" s="2487"/>
      <c r="I1291" s="2487"/>
      <c r="J1291" s="2487"/>
      <c r="K1291" s="2487"/>
      <c r="L1291" s="2487"/>
      <c r="M1291" s="2487"/>
      <c r="N1291" s="2511"/>
      <c r="O1291" s="2489"/>
      <c r="P1291" s="2113"/>
      <c r="Q1291" s="2043"/>
      <c r="R1291" s="2043"/>
      <c r="S1291" s="2043"/>
      <c r="T1291" s="2043"/>
      <c r="U1291" s="2043"/>
      <c r="V1291" s="2043"/>
      <c r="W1291" s="2043"/>
      <c r="X1291" s="2043"/>
      <c r="Y1291" s="2043"/>
      <c r="Z1291" s="2043"/>
      <c r="AA1291" s="2043"/>
      <c r="AB1291" s="2043"/>
      <c r="AC1291" s="2043"/>
      <c r="AD1291" s="2043"/>
      <c r="AE1291" s="2043"/>
      <c r="AF1291" s="2043"/>
      <c r="AG1291" s="2043"/>
      <c r="AH1291" s="2043"/>
      <c r="AI1291" s="2043"/>
      <c r="AJ1291" s="2043"/>
      <c r="AK1291" s="2043"/>
      <c r="AL1291" s="2043"/>
      <c r="AM1291" s="2043"/>
      <c r="AN1291" s="2043"/>
      <c r="AO1291" s="2043"/>
      <c r="AP1291" s="2043"/>
      <c r="AQ1291" s="2043"/>
      <c r="AR1291" s="2043"/>
      <c r="AS1291" s="2043"/>
      <c r="AT1291" s="2043"/>
      <c r="AU1291" s="2043"/>
      <c r="AV1291" s="2043"/>
      <c r="AW1291" s="2043"/>
      <c r="AX1291" s="2043"/>
      <c r="AY1291" s="2043"/>
      <c r="AZ1291" s="2043"/>
      <c r="BA1291" s="2043"/>
      <c r="BB1291" s="2043"/>
      <c r="BC1291" s="2043"/>
      <c r="BD1291" s="2043"/>
      <c r="BE1291" s="2043"/>
      <c r="BF1291" s="2043"/>
      <c r="BG1291" s="2043"/>
      <c r="BH1291" s="2043"/>
      <c r="BI1291" s="2043"/>
      <c r="BJ1291" s="2043"/>
      <c r="BK1291" s="2043"/>
      <c r="BL1291" s="2043"/>
    </row>
    <row r="1292" spans="1:64" ht="15">
      <c r="A1292" s="1855"/>
      <c r="B1292" s="2043"/>
      <c r="C1292" s="2487"/>
      <c r="D1292" s="2487"/>
      <c r="E1292" s="2487"/>
      <c r="F1292" s="2487"/>
      <c r="G1292" s="2487"/>
      <c r="H1292" s="2487"/>
      <c r="I1292" s="2487"/>
      <c r="J1292" s="2487"/>
      <c r="K1292" s="2487"/>
      <c r="L1292" s="2487"/>
      <c r="M1292" s="2487"/>
      <c r="N1292" s="2511"/>
      <c r="O1292" s="2489"/>
      <c r="P1292" s="2113"/>
      <c r="Q1292" s="2043"/>
      <c r="R1292" s="2043"/>
      <c r="S1292" s="2043"/>
      <c r="T1292" s="2043"/>
      <c r="U1292" s="2043"/>
      <c r="V1292" s="2043"/>
      <c r="W1292" s="2043"/>
      <c r="X1292" s="2043"/>
      <c r="Y1292" s="2043"/>
      <c r="Z1292" s="2043"/>
      <c r="AA1292" s="2043"/>
      <c r="AB1292" s="2043"/>
      <c r="AC1292" s="2043"/>
      <c r="AD1292" s="2043"/>
      <c r="AE1292" s="2043"/>
      <c r="AF1292" s="2043"/>
      <c r="AG1292" s="2043"/>
      <c r="AH1292" s="2043"/>
      <c r="AI1292" s="2043"/>
      <c r="AJ1292" s="2043"/>
      <c r="AK1292" s="2043"/>
      <c r="AL1292" s="2043"/>
      <c r="AM1292" s="2043"/>
      <c r="AN1292" s="2043"/>
      <c r="AO1292" s="2043"/>
      <c r="AP1292" s="2043"/>
      <c r="AQ1292" s="2043"/>
      <c r="AR1292" s="2043"/>
      <c r="AS1292" s="2043"/>
      <c r="AT1292" s="2043"/>
      <c r="AU1292" s="2043"/>
      <c r="AV1292" s="2043"/>
      <c r="AW1292" s="2043"/>
      <c r="AX1292" s="2043"/>
      <c r="AY1292" s="2043"/>
      <c r="AZ1292" s="2043"/>
      <c r="BA1292" s="2043"/>
      <c r="BB1292" s="2043"/>
      <c r="BC1292" s="2043"/>
      <c r="BD1292" s="2043"/>
      <c r="BE1292" s="2043"/>
      <c r="BF1292" s="2043"/>
      <c r="BG1292" s="2043"/>
      <c r="BH1292" s="2043"/>
      <c r="BI1292" s="2043"/>
      <c r="BJ1292" s="2043"/>
      <c r="BK1292" s="2043"/>
      <c r="BL1292" s="2043"/>
    </row>
    <row r="1293" spans="1:64" ht="15">
      <c r="A1293" s="2109" t="s">
        <v>1432</v>
      </c>
      <c r="B1293" s="2110" t="s">
        <v>1783</v>
      </c>
      <c r="C1293" s="2487"/>
      <c r="D1293" s="2487"/>
      <c r="E1293" s="2487"/>
      <c r="F1293" s="2487"/>
      <c r="G1293" s="2487"/>
      <c r="H1293" s="2487"/>
      <c r="I1293" s="2487"/>
      <c r="J1293" s="2487"/>
      <c r="K1293" s="2487"/>
      <c r="L1293" s="2487"/>
      <c r="M1293" s="2113">
        <v>3</v>
      </c>
      <c r="N1293" s="2511"/>
      <c r="O1293" s="2489"/>
      <c r="P1293" s="2042"/>
      <c r="Q1293" s="2113" t="s">
        <v>1716</v>
      </c>
      <c r="R1293" s="2503"/>
      <c r="S1293" s="2043"/>
      <c r="T1293" s="2043"/>
      <c r="U1293" s="2043"/>
      <c r="V1293" s="2043"/>
      <c r="W1293" s="2043"/>
      <c r="X1293" s="2043"/>
      <c r="Y1293" s="2043"/>
      <c r="Z1293" s="2043"/>
      <c r="AA1293" s="2043"/>
      <c r="AB1293" s="2043"/>
      <c r="AC1293" s="2043"/>
      <c r="AD1293" s="2043"/>
      <c r="AE1293" s="2043"/>
      <c r="AF1293" s="2043"/>
      <c r="AG1293" s="2043"/>
      <c r="AH1293" s="2043"/>
      <c r="AI1293" s="2043"/>
      <c r="AJ1293" s="2043"/>
      <c r="AK1293" s="2043"/>
      <c r="AL1293" s="2043"/>
      <c r="AM1293" s="2043"/>
      <c r="AN1293" s="2043"/>
      <c r="AO1293" s="2043"/>
      <c r="AP1293" s="2043"/>
      <c r="AQ1293" s="2043"/>
      <c r="AR1293" s="2043"/>
      <c r="AS1293" s="2043"/>
      <c r="AT1293" s="2043"/>
      <c r="AU1293" s="2043"/>
      <c r="AV1293" s="2043"/>
      <c r="AW1293" s="2043"/>
      <c r="AX1293" s="2043"/>
      <c r="AY1293" s="2043"/>
      <c r="AZ1293" s="2043"/>
      <c r="BA1293" s="2043"/>
      <c r="BB1293" s="2043"/>
      <c r="BC1293" s="2043"/>
      <c r="BD1293" s="2043"/>
      <c r="BE1293" s="2043"/>
      <c r="BF1293" s="2043"/>
      <c r="BG1293" s="2043"/>
      <c r="BH1293" s="2043"/>
      <c r="BI1293" s="2043"/>
      <c r="BJ1293" s="2043"/>
      <c r="BK1293" s="2043"/>
      <c r="BL1293" s="2043"/>
    </row>
    <row r="1294" spans="1:64" ht="15">
      <c r="A1294" s="2109"/>
      <c r="B1294" s="2484" t="s">
        <v>1785</v>
      </c>
      <c r="C1294" s="2487"/>
      <c r="D1294" s="2487"/>
      <c r="E1294" s="2487"/>
      <c r="F1294" s="2487"/>
      <c r="G1294" s="2487"/>
      <c r="H1294" s="2487"/>
      <c r="I1294" s="2043"/>
      <c r="J1294" s="2043"/>
      <c r="K1294" s="2043"/>
      <c r="L1294" s="2544"/>
      <c r="M1294" s="2113"/>
      <c r="N1294" s="2511"/>
      <c r="O1294" s="2489"/>
      <c r="P1294" s="2042"/>
      <c r="Q1294" s="2113"/>
      <c r="R1294" s="2503"/>
      <c r="S1294" s="2043"/>
      <c r="T1294" s="2043"/>
      <c r="U1294" s="2043"/>
      <c r="V1294" s="2043"/>
      <c r="W1294" s="2043"/>
      <c r="X1294" s="2043"/>
      <c r="Y1294" s="2043"/>
      <c r="Z1294" s="2043"/>
      <c r="AA1294" s="2043"/>
      <c r="AB1294" s="2043"/>
      <c r="AC1294" s="2043"/>
      <c r="AD1294" s="2043"/>
      <c r="AE1294" s="2043"/>
      <c r="AF1294" s="2043"/>
      <c r="AG1294" s="2043"/>
      <c r="AH1294" s="2043"/>
      <c r="AI1294" s="2043"/>
      <c r="AJ1294" s="2043"/>
      <c r="AK1294" s="2043"/>
      <c r="AL1294" s="2043"/>
      <c r="AM1294" s="2043"/>
      <c r="AN1294" s="2043"/>
      <c r="AO1294" s="2043"/>
      <c r="AP1294" s="2043"/>
      <c r="AQ1294" s="2043"/>
      <c r="AR1294" s="2043"/>
      <c r="AS1294" s="2043"/>
      <c r="AT1294" s="2043"/>
      <c r="AU1294" s="2043"/>
      <c r="AV1294" s="2043"/>
      <c r="AW1294" s="2043"/>
      <c r="AX1294" s="2043"/>
      <c r="AY1294" s="2043"/>
      <c r="AZ1294" s="2043"/>
      <c r="BA1294" s="2043"/>
      <c r="BB1294" s="2043"/>
      <c r="BC1294" s="2043"/>
      <c r="BD1294" s="2043"/>
      <c r="BE1294" s="2043"/>
      <c r="BF1294" s="2043"/>
      <c r="BG1294" s="2043"/>
      <c r="BH1294" s="2043"/>
      <c r="BI1294" s="2043"/>
      <c r="BJ1294" s="2043"/>
      <c r="BK1294" s="2043"/>
      <c r="BL1294" s="2043"/>
    </row>
    <row r="1295" spans="1:64" ht="15">
      <c r="A1295" s="2109"/>
      <c r="B1295" s="1855" t="s">
        <v>1786</v>
      </c>
      <c r="C1295" s="2487"/>
      <c r="D1295" s="2487"/>
      <c r="E1295" s="2487"/>
      <c r="F1295" s="2487"/>
      <c r="G1295" s="2487"/>
      <c r="H1295" s="2487"/>
      <c r="I1295" s="2043"/>
      <c r="J1295" s="2043"/>
      <c r="K1295" s="2043"/>
      <c r="L1295" s="2544" t="str">
        <f>IF(OR(O$175&gt;0,O$148&gt;0),"Applicant is ineligible for points in this section!  Points claimed in Stable Communities or Community Designations.","")</f>
        <v/>
      </c>
      <c r="M1295" s="2113"/>
      <c r="N1295" s="2511"/>
      <c r="O1295" s="2113">
        <f>'Part VIII Scoring Criteria'!O144</f>
        <v>0</v>
      </c>
      <c r="P1295" s="2113"/>
      <c r="Q1295" s="2113"/>
      <c r="R1295" s="2108"/>
      <c r="S1295" s="2108"/>
      <c r="T1295" s="2108"/>
      <c r="U1295" s="2108"/>
      <c r="V1295" s="2043"/>
      <c r="W1295" s="2043"/>
      <c r="X1295" s="2043"/>
      <c r="Y1295" s="2043"/>
      <c r="Z1295" s="2043"/>
      <c r="AA1295" s="2043"/>
      <c r="AB1295" s="2043"/>
      <c r="AC1295" s="2043"/>
      <c r="AD1295" s="2043"/>
      <c r="AE1295" s="2043"/>
      <c r="AF1295" s="2043"/>
      <c r="AG1295" s="2043"/>
      <c r="AH1295" s="2043"/>
      <c r="AI1295" s="2043"/>
      <c r="AJ1295" s="2043"/>
      <c r="AK1295" s="2043"/>
      <c r="AL1295" s="2043"/>
      <c r="AM1295" s="2043"/>
      <c r="AN1295" s="2043"/>
      <c r="AO1295" s="2043"/>
      <c r="AP1295" s="2043"/>
      <c r="AQ1295" s="2043"/>
      <c r="AR1295" s="2043"/>
      <c r="AS1295" s="2043"/>
      <c r="AT1295" s="2043"/>
      <c r="AU1295" s="2043"/>
      <c r="AV1295" s="2043"/>
      <c r="AW1295" s="2043"/>
      <c r="AX1295" s="2043"/>
      <c r="AY1295" s="2043"/>
      <c r="AZ1295" s="2043"/>
      <c r="BA1295" s="2043"/>
      <c r="BB1295" s="2043"/>
      <c r="BC1295" s="2043"/>
      <c r="BD1295" s="2043"/>
      <c r="BE1295" s="2043"/>
      <c r="BF1295" s="2043"/>
      <c r="BG1295" s="2043"/>
      <c r="BH1295" s="2043"/>
      <c r="BI1295" s="2043"/>
      <c r="BJ1295" s="2043"/>
      <c r="BK1295" s="2043"/>
      <c r="BL1295" s="2043"/>
    </row>
    <row r="1296" spans="1:64" ht="15" customHeight="1">
      <c r="A1296" s="2109"/>
      <c r="B1296" s="2083" t="s">
        <v>1787</v>
      </c>
      <c r="C1296" s="2083"/>
      <c r="D1296" s="2083"/>
      <c r="E1296" s="2083"/>
      <c r="F1296" s="2083"/>
      <c r="G1296" s="2083"/>
      <c r="H1296" s="2083"/>
      <c r="I1296" s="2083"/>
      <c r="J1296" s="2083"/>
      <c r="K1296" s="2083"/>
      <c r="L1296" s="2083"/>
      <c r="M1296" s="2083"/>
      <c r="N1296" s="2113"/>
      <c r="O1296" s="2113">
        <f>'Part VIII Scoring Criteria'!O145</f>
        <v>0</v>
      </c>
      <c r="P1296" s="2531"/>
      <c r="Q1296" s="2113"/>
      <c r="R1296" s="2108"/>
      <c r="S1296" s="2108"/>
      <c r="T1296" s="2108"/>
      <c r="U1296" s="2108"/>
      <c r="V1296" s="2043"/>
      <c r="W1296" s="2043"/>
      <c r="X1296" s="2043"/>
      <c r="Y1296" s="2043"/>
      <c r="Z1296" s="2043"/>
      <c r="AA1296" s="2043"/>
      <c r="AB1296" s="2043"/>
      <c r="AC1296" s="2043"/>
      <c r="AD1296" s="2043"/>
      <c r="AE1296" s="2043"/>
      <c r="AF1296" s="2043"/>
      <c r="AG1296" s="2043"/>
      <c r="AH1296" s="2043"/>
      <c r="AI1296" s="2043"/>
      <c r="AJ1296" s="2043"/>
      <c r="AK1296" s="2043"/>
      <c r="AL1296" s="2043"/>
      <c r="AM1296" s="2043"/>
      <c r="AN1296" s="2043"/>
      <c r="AO1296" s="2043"/>
      <c r="AP1296" s="2043"/>
      <c r="AQ1296" s="2043"/>
      <c r="AR1296" s="2043"/>
      <c r="AS1296" s="2043"/>
      <c r="AT1296" s="2043"/>
      <c r="AU1296" s="2043"/>
      <c r="AV1296" s="2043"/>
      <c r="AW1296" s="2043"/>
      <c r="AX1296" s="2043"/>
      <c r="AY1296" s="2043"/>
      <c r="AZ1296" s="2043"/>
      <c r="BA1296" s="2043"/>
      <c r="BB1296" s="2043"/>
      <c r="BC1296" s="2043"/>
      <c r="BD1296" s="2043"/>
      <c r="BE1296" s="2043"/>
      <c r="BF1296" s="2043"/>
      <c r="BG1296" s="2043"/>
      <c r="BH1296" s="2043"/>
      <c r="BI1296" s="2043"/>
      <c r="BJ1296" s="2043"/>
      <c r="BK1296" s="2043"/>
      <c r="BL1296" s="2043"/>
    </row>
    <row r="1297" spans="1:64" ht="15">
      <c r="A1297" s="1855"/>
      <c r="B1297" s="2110" t="s">
        <v>1739</v>
      </c>
      <c r="C1297" s="1855"/>
      <c r="D1297" s="1855"/>
      <c r="E1297" s="1855"/>
      <c r="F1297" s="1855"/>
      <c r="G1297" s="1855"/>
      <c r="H1297" s="1855"/>
      <c r="I1297" s="1855"/>
      <c r="J1297" s="2043"/>
      <c r="K1297" s="2043"/>
      <c r="L1297" s="2043"/>
      <c r="M1297" s="1964"/>
      <c r="N1297" s="1994"/>
      <c r="O1297" s="2042"/>
      <c r="P1297" s="2045"/>
      <c r="Q1297" s="2043"/>
      <c r="R1297" s="2043"/>
      <c r="S1297" s="2043"/>
      <c r="T1297" s="2043"/>
      <c r="U1297" s="2043"/>
      <c r="V1297" s="2043"/>
      <c r="W1297" s="2043"/>
      <c r="X1297" s="2043"/>
      <c r="Y1297" s="2043"/>
      <c r="Z1297" s="2043"/>
      <c r="AA1297" s="2043"/>
      <c r="AB1297" s="2043"/>
      <c r="AC1297" s="2043"/>
      <c r="AD1297" s="2043"/>
      <c r="AE1297" s="2043"/>
      <c r="AF1297" s="2043"/>
      <c r="AG1297" s="2043"/>
      <c r="AH1297" s="2043"/>
      <c r="AI1297" s="2043"/>
      <c r="AJ1297" s="2043"/>
      <c r="AK1297" s="2043"/>
      <c r="AL1297" s="2043"/>
      <c r="AM1297" s="2043"/>
      <c r="AN1297" s="2043"/>
      <c r="AO1297" s="2043"/>
      <c r="AP1297" s="2043"/>
      <c r="AQ1297" s="2043"/>
      <c r="AR1297" s="2043"/>
      <c r="AS1297" s="2043"/>
      <c r="AT1297" s="2043"/>
      <c r="AU1297" s="2043"/>
      <c r="AV1297" s="2043"/>
      <c r="AW1297" s="2043"/>
      <c r="AX1297" s="2043"/>
      <c r="AY1297" s="2043"/>
      <c r="AZ1297" s="2043"/>
      <c r="BA1297" s="2043"/>
      <c r="BB1297" s="2043"/>
      <c r="BC1297" s="2043"/>
      <c r="BD1297" s="2043"/>
      <c r="BE1297" s="2043"/>
      <c r="BF1297" s="2043"/>
      <c r="BG1297" s="2043"/>
      <c r="BH1297" s="2043"/>
      <c r="BI1297" s="2043"/>
      <c r="BJ1297" s="2043"/>
      <c r="BK1297" s="2043"/>
      <c r="BL1297" s="2043"/>
    </row>
    <row r="1298" spans="1:64" ht="15">
      <c r="A1298" s="2052">
        <f>'Part VIII Scoring Criteria'!A147</f>
        <v>0</v>
      </c>
      <c r="B1298" s="2052"/>
      <c r="C1298" s="2052"/>
      <c r="D1298" s="2052"/>
      <c r="E1298" s="2052"/>
      <c r="F1298" s="2052"/>
      <c r="G1298" s="2052"/>
      <c r="H1298" s="2052"/>
      <c r="I1298" s="2052"/>
      <c r="J1298" s="2052"/>
      <c r="K1298" s="2052"/>
      <c r="L1298" s="2052"/>
      <c r="M1298" s="2052"/>
      <c r="N1298" s="2052"/>
      <c r="O1298" s="2052"/>
      <c r="P1298" s="2052"/>
      <c r="Q1298" s="1854"/>
      <c r="R1298" s="2043"/>
      <c r="S1298" s="2043"/>
      <c r="T1298" s="2043"/>
      <c r="U1298" s="2043"/>
      <c r="V1298" s="2043"/>
      <c r="W1298" s="2043"/>
      <c r="X1298" s="2043"/>
      <c r="Y1298" s="2043"/>
      <c r="Z1298" s="2043"/>
      <c r="AA1298" s="2043"/>
      <c r="AB1298" s="2043"/>
      <c r="AC1298" s="2043"/>
      <c r="AD1298" s="2043"/>
      <c r="AE1298" s="2043"/>
      <c r="AF1298" s="2043"/>
      <c r="AG1298" s="2043"/>
      <c r="AH1298" s="2043"/>
      <c r="AI1298" s="2043"/>
      <c r="AJ1298" s="2043"/>
      <c r="AK1298" s="2043"/>
      <c r="AL1298" s="2043"/>
      <c r="AM1298" s="2043"/>
      <c r="AN1298" s="2043"/>
      <c r="AO1298" s="2043"/>
      <c r="AP1298" s="2043"/>
      <c r="AQ1298" s="2043"/>
      <c r="AR1298" s="2043"/>
      <c r="AS1298" s="2043"/>
      <c r="AT1298" s="2043"/>
      <c r="AU1298" s="2043"/>
      <c r="AV1298" s="2043"/>
      <c r="AW1298" s="2043"/>
      <c r="AX1298" s="2043"/>
      <c r="AY1298" s="2043"/>
      <c r="AZ1298" s="2043"/>
      <c r="BA1298" s="2043"/>
      <c r="BB1298" s="2043"/>
      <c r="BC1298" s="2043"/>
      <c r="BD1298" s="2043"/>
      <c r="BE1298" s="2043"/>
      <c r="BF1298" s="2043"/>
      <c r="BG1298" s="2043"/>
      <c r="BH1298" s="2043"/>
      <c r="BI1298" s="2043"/>
      <c r="BJ1298" s="2043"/>
      <c r="BK1298" s="2043"/>
      <c r="BL1298" s="2043"/>
    </row>
    <row r="1299" spans="1:64" ht="15">
      <c r="A1299" s="1855"/>
      <c r="B1299" s="2510" t="s">
        <v>1399</v>
      </c>
      <c r="C1299" s="1855"/>
      <c r="D1299" s="2510"/>
      <c r="E1299" s="2487"/>
      <c r="F1299" s="2487"/>
      <c r="G1299" s="2487"/>
      <c r="H1299" s="2487"/>
      <c r="I1299" s="2487"/>
      <c r="J1299" s="2487"/>
      <c r="K1299" s="2487"/>
      <c r="L1299" s="2487"/>
      <c r="M1299" s="2487"/>
      <c r="N1299" s="2511"/>
      <c r="O1299" s="2489"/>
      <c r="P1299" s="2113"/>
      <c r="Q1299" s="2043"/>
      <c r="R1299" s="2043"/>
      <c r="S1299" s="2043"/>
      <c r="T1299" s="2043"/>
      <c r="U1299" s="2043"/>
      <c r="V1299" s="2043"/>
      <c r="W1299" s="2043"/>
      <c r="X1299" s="2043"/>
      <c r="Y1299" s="2043"/>
      <c r="Z1299" s="2043"/>
      <c r="AA1299" s="2043"/>
      <c r="AB1299" s="2043"/>
      <c r="AC1299" s="2043"/>
      <c r="AD1299" s="2043"/>
      <c r="AE1299" s="2043"/>
      <c r="AF1299" s="2043"/>
      <c r="AG1299" s="2043"/>
      <c r="AH1299" s="2043"/>
      <c r="AI1299" s="2043"/>
      <c r="AJ1299" s="2043"/>
      <c r="AK1299" s="2043"/>
      <c r="AL1299" s="2043"/>
      <c r="AM1299" s="2043"/>
      <c r="AN1299" s="2043"/>
      <c r="AO1299" s="2043"/>
      <c r="AP1299" s="2043"/>
      <c r="AQ1299" s="2043"/>
      <c r="AR1299" s="2043"/>
      <c r="AS1299" s="2043"/>
      <c r="AT1299" s="2043"/>
      <c r="AU1299" s="2043"/>
      <c r="AV1299" s="2043"/>
      <c r="AW1299" s="2043"/>
      <c r="AX1299" s="2043"/>
      <c r="AY1299" s="2043"/>
      <c r="AZ1299" s="2043"/>
      <c r="BA1299" s="2043"/>
      <c r="BB1299" s="2043"/>
      <c r="BC1299" s="2043"/>
      <c r="BD1299" s="2043"/>
      <c r="BE1299" s="2043"/>
      <c r="BF1299" s="2043"/>
      <c r="BG1299" s="2043"/>
      <c r="BH1299" s="2043"/>
      <c r="BI1299" s="2043"/>
      <c r="BJ1299" s="2043"/>
      <c r="BK1299" s="2043"/>
      <c r="BL1299" s="2043"/>
    </row>
    <row r="1300" spans="1:64" ht="15">
      <c r="A1300" s="2052"/>
      <c r="B1300" s="2052"/>
      <c r="C1300" s="2052"/>
      <c r="D1300" s="2052"/>
      <c r="E1300" s="2052"/>
      <c r="F1300" s="2052"/>
      <c r="G1300" s="2052"/>
      <c r="H1300" s="2052"/>
      <c r="I1300" s="2052"/>
      <c r="J1300" s="2052"/>
      <c r="K1300" s="2052"/>
      <c r="L1300" s="2052"/>
      <c r="M1300" s="2052"/>
      <c r="N1300" s="2052"/>
      <c r="O1300" s="2052"/>
      <c r="P1300" s="2052"/>
      <c r="Q1300" s="1854"/>
      <c r="R1300" s="2043"/>
      <c r="S1300" s="2043"/>
      <c r="T1300" s="2043"/>
      <c r="U1300" s="2043"/>
      <c r="V1300" s="2043"/>
      <c r="W1300" s="2043"/>
      <c r="X1300" s="2043"/>
      <c r="Y1300" s="2043"/>
      <c r="Z1300" s="2043"/>
      <c r="AA1300" s="2043"/>
      <c r="AB1300" s="2043"/>
      <c r="AC1300" s="2043"/>
      <c r="AD1300" s="2043"/>
      <c r="AE1300" s="2043"/>
      <c r="AF1300" s="2043"/>
      <c r="AG1300" s="2043"/>
      <c r="AH1300" s="2043"/>
      <c r="AI1300" s="2043"/>
      <c r="AJ1300" s="2043"/>
      <c r="AK1300" s="2043"/>
      <c r="AL1300" s="2043"/>
      <c r="AM1300" s="2043"/>
      <c r="AN1300" s="2043"/>
      <c r="AO1300" s="2043"/>
      <c r="AP1300" s="2043"/>
      <c r="AQ1300" s="2043"/>
      <c r="AR1300" s="2043"/>
      <c r="AS1300" s="2043"/>
      <c r="AT1300" s="2043"/>
      <c r="AU1300" s="2043"/>
      <c r="AV1300" s="2043"/>
      <c r="AW1300" s="2043"/>
      <c r="AX1300" s="2043"/>
      <c r="AY1300" s="2043"/>
      <c r="AZ1300" s="2043"/>
      <c r="BA1300" s="2043"/>
      <c r="BB1300" s="2043"/>
      <c r="BC1300" s="2043"/>
      <c r="BD1300" s="2043"/>
      <c r="BE1300" s="2043"/>
      <c r="BF1300" s="2043"/>
      <c r="BG1300" s="2043"/>
      <c r="BH1300" s="2043"/>
      <c r="BI1300" s="2043"/>
      <c r="BJ1300" s="2043"/>
      <c r="BK1300" s="2043"/>
      <c r="BL1300" s="2043"/>
    </row>
    <row r="1301" spans="1:64" ht="15">
      <c r="A1301" s="2043"/>
      <c r="B1301" s="2043"/>
      <c r="C1301" s="2043"/>
      <c r="D1301" s="2043"/>
      <c r="E1301" s="2043"/>
      <c r="F1301" s="2043"/>
      <c r="G1301" s="2043"/>
      <c r="H1301" s="2043"/>
      <c r="I1301" s="2043"/>
      <c r="J1301" s="2043"/>
      <c r="K1301" s="2043"/>
      <c r="L1301" s="2043"/>
      <c r="M1301" s="2043"/>
      <c r="N1301" s="1994"/>
      <c r="O1301" s="2045"/>
      <c r="P1301" s="2045"/>
      <c r="Q1301" s="2043"/>
      <c r="R1301" s="2043"/>
      <c r="S1301" s="2043"/>
      <c r="T1301" s="2043"/>
      <c r="U1301" s="2043"/>
      <c r="V1301" s="2043"/>
      <c r="W1301" s="2043"/>
      <c r="X1301" s="2043"/>
      <c r="Y1301" s="2043"/>
      <c r="Z1301" s="2043"/>
      <c r="AA1301" s="2043"/>
      <c r="AB1301" s="2043"/>
      <c r="AC1301" s="2043"/>
      <c r="AD1301" s="2043"/>
      <c r="AE1301" s="2043"/>
      <c r="AF1301" s="2043"/>
      <c r="AG1301" s="2043"/>
      <c r="AH1301" s="2043"/>
      <c r="AI1301" s="2043"/>
      <c r="AJ1301" s="2043"/>
      <c r="AK1301" s="2043"/>
      <c r="AL1301" s="2043"/>
      <c r="AM1301" s="2043"/>
      <c r="AN1301" s="2043"/>
      <c r="AO1301" s="2043"/>
      <c r="AP1301" s="2043"/>
      <c r="AQ1301" s="2043"/>
      <c r="AR1301" s="2043"/>
      <c r="AS1301" s="2043"/>
      <c r="AT1301" s="2043"/>
      <c r="AU1301" s="2043"/>
      <c r="AV1301" s="2043"/>
      <c r="AW1301" s="2043"/>
      <c r="AX1301" s="2043"/>
      <c r="AY1301" s="2043"/>
      <c r="AZ1301" s="2043"/>
      <c r="BA1301" s="2043"/>
      <c r="BB1301" s="2043"/>
      <c r="BC1301" s="2043"/>
      <c r="BD1301" s="2043"/>
      <c r="BE1301" s="2043"/>
      <c r="BF1301" s="2043"/>
      <c r="BG1301" s="2043"/>
      <c r="BH1301" s="2043"/>
      <c r="BI1301" s="2043"/>
      <c r="BJ1301" s="2043"/>
      <c r="BK1301" s="2043"/>
      <c r="BL1301" s="2043"/>
    </row>
    <row r="1302" spans="1:64" ht="15">
      <c r="A1302" s="2043"/>
      <c r="B1302" s="2043"/>
      <c r="C1302" s="2043"/>
      <c r="D1302" s="2043"/>
      <c r="E1302" s="2043"/>
      <c r="F1302" s="2043"/>
      <c r="G1302" s="2043"/>
      <c r="H1302" s="2043"/>
      <c r="I1302" s="2043"/>
      <c r="J1302" s="2043"/>
      <c r="K1302" s="2043"/>
      <c r="L1302" s="2043"/>
      <c r="M1302" s="2043"/>
      <c r="N1302" s="1994"/>
      <c r="O1302" s="2045"/>
      <c r="P1302" s="2045"/>
      <c r="Q1302" s="2043"/>
      <c r="R1302" s="2043"/>
      <c r="S1302" s="2043"/>
      <c r="T1302" s="2043"/>
      <c r="U1302" s="2043"/>
      <c r="V1302" s="2043"/>
      <c r="W1302" s="2043"/>
      <c r="X1302" s="2043"/>
      <c r="Y1302" s="2043"/>
      <c r="Z1302" s="2043"/>
      <c r="AA1302" s="2043"/>
      <c r="AB1302" s="2043"/>
      <c r="AC1302" s="2043"/>
      <c r="AD1302" s="2043"/>
      <c r="AE1302" s="2043"/>
      <c r="AF1302" s="2043"/>
      <c r="AG1302" s="2043"/>
      <c r="AH1302" s="2043"/>
      <c r="AI1302" s="2043"/>
      <c r="AJ1302" s="2043"/>
      <c r="AK1302" s="2043"/>
      <c r="AL1302" s="2043"/>
      <c r="AM1302" s="2043"/>
      <c r="AN1302" s="2043"/>
      <c r="AO1302" s="2043"/>
      <c r="AP1302" s="2043"/>
      <c r="AQ1302" s="2043"/>
      <c r="AR1302" s="2043"/>
      <c r="AS1302" s="2043"/>
      <c r="AT1302" s="2043"/>
      <c r="AU1302" s="2043"/>
      <c r="AV1302" s="2043"/>
      <c r="AW1302" s="2043"/>
      <c r="AX1302" s="2043"/>
      <c r="AY1302" s="2043"/>
      <c r="AZ1302" s="2043"/>
      <c r="BA1302" s="2043"/>
      <c r="BB1302" s="2043"/>
      <c r="BC1302" s="2043"/>
      <c r="BD1302" s="2043"/>
      <c r="BE1302" s="2043"/>
      <c r="BF1302" s="2043"/>
      <c r="BG1302" s="2043"/>
      <c r="BH1302" s="2043"/>
      <c r="BI1302" s="2043"/>
      <c r="BJ1302" s="2043"/>
      <c r="BK1302" s="2043"/>
      <c r="BL1302" s="2043"/>
    </row>
    <row r="1303" spans="1:64" ht="15">
      <c r="A1303" s="2109" t="s">
        <v>1434</v>
      </c>
      <c r="B1303" s="2110" t="s">
        <v>1788</v>
      </c>
      <c r="C1303" s="1855"/>
      <c r="D1303" s="2110"/>
      <c r="E1303" s="2110"/>
      <c r="F1303" s="1855"/>
      <c r="G1303" s="1855"/>
      <c r="H1303" s="1855"/>
      <c r="I1303" s="1855"/>
      <c r="J1303" s="1855"/>
      <c r="K1303" s="1855"/>
      <c r="L1303" s="2114" t="str">
        <f>IF(AND(O1303&gt;0,NOT($F$31="New Supply")), "Ineligible to score in this section, not New Supply!","")</f>
        <v/>
      </c>
      <c r="M1303" s="2113">
        <v>10</v>
      </c>
      <c r="N1303" s="1964"/>
      <c r="O1303" s="2042">
        <f>'Part VIII Scoring Criteria'!O152</f>
        <v>0</v>
      </c>
      <c r="P1303" s="2042">
        <f>'Part VIII Scoring Criteria'!P152</f>
        <v>0</v>
      </c>
      <c r="Q1303" s="2113" t="s">
        <v>1716</v>
      </c>
      <c r="R1303" s="2503"/>
      <c r="S1303" s="2108"/>
      <c r="T1303" s="2108"/>
      <c r="U1303" s="2108"/>
      <c r="V1303" s="2043"/>
      <c r="W1303" s="2043"/>
      <c r="X1303" s="2043"/>
      <c r="Y1303" s="1855"/>
      <c r="Z1303" s="1855"/>
      <c r="AA1303" s="1855"/>
      <c r="AB1303" s="1855"/>
      <c r="AC1303" s="1855"/>
      <c r="AD1303" s="1855"/>
      <c r="AE1303" s="1855"/>
      <c r="AF1303" s="1855"/>
      <c r="AG1303" s="1855"/>
      <c r="AH1303" s="1855"/>
      <c r="AI1303" s="1855"/>
      <c r="AJ1303" s="1855"/>
      <c r="AK1303" s="1855"/>
      <c r="AL1303" s="1855"/>
      <c r="AM1303" s="1855"/>
      <c r="AN1303" s="1855"/>
      <c r="AO1303" s="1855"/>
      <c r="AP1303" s="1855"/>
      <c r="AQ1303" s="1855"/>
      <c r="AR1303" s="1855"/>
      <c r="AS1303" s="1855"/>
      <c r="AT1303" s="1855"/>
      <c r="AU1303" s="1855"/>
      <c r="AV1303" s="1855"/>
      <c r="AW1303" s="1855"/>
      <c r="AX1303" s="1855"/>
      <c r="AY1303" s="1855"/>
      <c r="AZ1303" s="1855"/>
      <c r="BA1303" s="1855"/>
      <c r="BB1303" s="1855"/>
      <c r="BC1303" s="1855"/>
      <c r="BD1303" s="1855"/>
      <c r="BE1303" s="1855"/>
      <c r="BF1303" s="1855"/>
      <c r="BG1303" s="1855"/>
      <c r="BH1303" s="1855"/>
      <c r="BI1303" s="1855"/>
      <c r="BJ1303" s="1855"/>
      <c r="BK1303" s="1855"/>
      <c r="BL1303" s="1855"/>
    </row>
    <row r="1304" spans="1:64" ht="15">
      <c r="A1304" s="2545" t="s">
        <v>194</v>
      </c>
      <c r="B1304" s="1854" t="s">
        <v>1789</v>
      </c>
      <c r="C1304" s="1855"/>
      <c r="D1304" s="2110"/>
      <c r="E1304" s="2110"/>
      <c r="F1304" s="1855"/>
      <c r="G1304" s="1855"/>
      <c r="H1304" s="1855"/>
      <c r="I1304" s="1855"/>
      <c r="J1304" s="1855"/>
      <c r="K1304" s="2546"/>
      <c r="L1304" s="1855"/>
      <c r="M1304" s="1964">
        <v>5</v>
      </c>
      <c r="N1304" s="2112"/>
      <c r="O1304" s="2042">
        <f>'Part VIII Scoring Criteria'!O153</f>
        <v>0</v>
      </c>
      <c r="P1304" s="2042"/>
      <c r="Q1304" s="2508" t="str">
        <f>IF(O1304&lt;=M1304,"","*CHECK!*")</f>
        <v/>
      </c>
      <c r="R1304" s="2503"/>
      <c r="S1304" s="2108"/>
      <c r="T1304" s="2108"/>
      <c r="U1304" s="2108"/>
      <c r="V1304" s="1855"/>
      <c r="W1304" s="1855"/>
      <c r="X1304" s="1855"/>
      <c r="Y1304" s="1855"/>
      <c r="Z1304" s="1855"/>
      <c r="AA1304" s="1855"/>
      <c r="AB1304" s="1855"/>
      <c r="AC1304" s="1855"/>
      <c r="AD1304" s="1855"/>
      <c r="AE1304" s="1855"/>
      <c r="AF1304" s="1855"/>
      <c r="AG1304" s="1855"/>
      <c r="AH1304" s="1855"/>
      <c r="AI1304" s="1855"/>
      <c r="AJ1304" s="1855"/>
      <c r="AK1304" s="1855"/>
      <c r="AL1304" s="1855"/>
      <c r="AM1304" s="1855"/>
      <c r="AN1304" s="1855"/>
      <c r="AO1304" s="1855"/>
      <c r="AP1304" s="1855"/>
      <c r="AQ1304" s="1855"/>
      <c r="AR1304" s="1855"/>
      <c r="AS1304" s="1855"/>
      <c r="AT1304" s="1855"/>
      <c r="AU1304" s="1855"/>
      <c r="AV1304" s="1855"/>
      <c r="AW1304" s="1855"/>
      <c r="AX1304" s="1855"/>
      <c r="AY1304" s="1855"/>
      <c r="AZ1304" s="1855"/>
      <c r="BA1304" s="1855"/>
      <c r="BB1304" s="1855"/>
      <c r="BC1304" s="1855"/>
      <c r="BD1304" s="1855"/>
      <c r="BE1304" s="1855"/>
      <c r="BF1304" s="1855"/>
      <c r="BG1304" s="1855"/>
      <c r="BH1304" s="1855"/>
      <c r="BI1304" s="1855"/>
      <c r="BJ1304" s="1855"/>
      <c r="BK1304" s="1855"/>
      <c r="BL1304" s="1855"/>
    </row>
    <row r="1305" spans="1:64" ht="15">
      <c r="A1305" s="2043"/>
      <c r="B1305" s="2545"/>
      <c r="C1305" s="1855" t="s">
        <v>1790</v>
      </c>
      <c r="D1305" s="1855"/>
      <c r="E1305" s="2110"/>
      <c r="F1305" s="2110"/>
      <c r="G1305" s="1855"/>
      <c r="H1305" s="1855"/>
      <c r="I1305" s="1855"/>
      <c r="J1305" s="2547" t="str">
        <f>'Part VIII Scoring Criteria'!J154</f>
        <v>&lt;&lt; Select &gt;&gt;</v>
      </c>
      <c r="K1305" s="2547"/>
      <c r="L1305" s="2547" t="s">
        <v>713</v>
      </c>
      <c r="M1305" s="2547"/>
      <c r="N1305" s="1964"/>
      <c r="O1305" s="2045"/>
      <c r="P1305" s="2045"/>
      <c r="Q1305" s="2043"/>
      <c r="R1305" s="2113"/>
      <c r="S1305" s="1855"/>
      <c r="T1305" s="2043"/>
      <c r="U1305" s="2043"/>
      <c r="V1305" s="2043"/>
      <c r="W1305" s="2043"/>
      <c r="X1305" s="2043"/>
      <c r="Y1305" s="2043"/>
      <c r="Z1305" s="2043"/>
      <c r="AA1305" s="2043"/>
      <c r="AB1305" s="2043"/>
      <c r="AC1305" s="2043"/>
      <c r="AD1305" s="2043"/>
      <c r="AE1305" s="2043"/>
      <c r="AF1305" s="2043"/>
      <c r="AG1305" s="2043"/>
      <c r="AH1305" s="2043"/>
      <c r="AI1305" s="2043"/>
      <c r="AJ1305" s="2043"/>
      <c r="AK1305" s="2043"/>
      <c r="AL1305" s="2043"/>
      <c r="AM1305" s="2043"/>
      <c r="AN1305" s="2043"/>
      <c r="AO1305" s="2043"/>
      <c r="AP1305" s="2043"/>
      <c r="AQ1305" s="2043"/>
      <c r="AR1305" s="2043"/>
      <c r="AS1305" s="2043"/>
      <c r="AT1305" s="2043"/>
      <c r="AU1305" s="2043"/>
      <c r="AV1305" s="2043"/>
      <c r="AW1305" s="2043"/>
      <c r="AX1305" s="2043"/>
      <c r="AY1305" s="2043"/>
      <c r="AZ1305" s="2043"/>
      <c r="BA1305" s="2043"/>
      <c r="BB1305" s="2043"/>
      <c r="BC1305" s="2043"/>
      <c r="BD1305" s="2043"/>
      <c r="BE1305" s="2043"/>
      <c r="BF1305" s="2043"/>
      <c r="BG1305" s="2043"/>
      <c r="BH1305" s="2043"/>
      <c r="BI1305" s="2043"/>
      <c r="BJ1305" s="2043"/>
      <c r="BK1305" s="2043"/>
      <c r="BL1305" s="2043"/>
    </row>
    <row r="1306" spans="1:64" ht="15">
      <c r="A1306" s="2043"/>
      <c r="B1306" s="2043"/>
      <c r="C1306" s="2548" t="s">
        <v>1791</v>
      </c>
      <c r="D1306" s="2043"/>
      <c r="E1306" s="2043"/>
      <c r="F1306" s="2043"/>
      <c r="G1306" s="2043"/>
      <c r="H1306" s="2043"/>
      <c r="I1306" s="2043"/>
      <c r="J1306" s="2549">
        <f>'Part VIII Scoring Criteria'!J155</f>
        <v>0</v>
      </c>
      <c r="K1306" s="2549"/>
      <c r="L1306" s="2549"/>
      <c r="M1306" s="2549"/>
      <c r="N1306" s="1964"/>
      <c r="O1306" s="1964"/>
      <c r="P1306" s="1964"/>
      <c r="Q1306" s="2043"/>
      <c r="R1306" s="1855"/>
      <c r="S1306" s="2108"/>
      <c r="T1306" s="2043"/>
      <c r="U1306" s="2043"/>
      <c r="V1306" s="2043"/>
      <c r="W1306" s="2043"/>
      <c r="X1306" s="2043"/>
      <c r="Y1306" s="2043"/>
      <c r="Z1306" s="2043"/>
      <c r="AA1306" s="2043"/>
      <c r="AB1306" s="2043"/>
      <c r="AC1306" s="2043"/>
      <c r="AD1306" s="2043"/>
      <c r="AE1306" s="2043"/>
      <c r="AF1306" s="2043"/>
      <c r="AG1306" s="2043"/>
      <c r="AH1306" s="2043"/>
      <c r="AI1306" s="2043"/>
      <c r="AJ1306" s="2043"/>
      <c r="AK1306" s="2043"/>
      <c r="AL1306" s="2043"/>
      <c r="AM1306" s="2043"/>
      <c r="AN1306" s="2043"/>
      <c r="AO1306" s="2043"/>
      <c r="AP1306" s="2043"/>
      <c r="AQ1306" s="2043"/>
      <c r="AR1306" s="2043"/>
      <c r="AS1306" s="2043"/>
      <c r="AT1306" s="2043"/>
      <c r="AU1306" s="2043"/>
      <c r="AV1306" s="2043"/>
      <c r="AW1306" s="2043"/>
      <c r="AX1306" s="2043"/>
      <c r="AY1306" s="2043"/>
      <c r="AZ1306" s="2043"/>
      <c r="BA1306" s="2043"/>
      <c r="BB1306" s="2043"/>
      <c r="BC1306" s="2043"/>
      <c r="BD1306" s="2043"/>
      <c r="BE1306" s="2043"/>
      <c r="BF1306" s="2043"/>
      <c r="BG1306" s="2043"/>
      <c r="BH1306" s="2043"/>
      <c r="BI1306" s="2043"/>
      <c r="BJ1306" s="2043"/>
      <c r="BK1306" s="2043"/>
      <c r="BL1306" s="2043"/>
    </row>
    <row r="1307" spans="1:64" ht="15">
      <c r="A1307" s="2051"/>
      <c r="B1307" s="2505"/>
      <c r="C1307" s="2043"/>
      <c r="D1307" s="2043"/>
      <c r="E1307" s="2043"/>
      <c r="F1307" s="2043"/>
      <c r="G1307" s="2043"/>
      <c r="H1307" s="2043"/>
      <c r="I1307" s="2043"/>
      <c r="J1307" s="2043"/>
      <c r="K1307" s="2043"/>
      <c r="L1307" s="2043"/>
      <c r="M1307" s="1964"/>
      <c r="N1307" s="1994"/>
      <c r="O1307" s="2113"/>
      <c r="P1307" s="2113"/>
      <c r="Q1307" s="2043"/>
      <c r="R1307" s="2043"/>
      <c r="S1307" s="2108"/>
      <c r="T1307" s="2108"/>
      <c r="U1307" s="2108"/>
      <c r="V1307" s="2043"/>
      <c r="W1307" s="2043"/>
      <c r="X1307" s="2043"/>
      <c r="Y1307" s="2043"/>
      <c r="Z1307" s="2043"/>
      <c r="AA1307" s="2043"/>
      <c r="AB1307" s="2043"/>
      <c r="AC1307" s="2043"/>
      <c r="AD1307" s="2043"/>
      <c r="AE1307" s="2043"/>
      <c r="AF1307" s="2043"/>
      <c r="AG1307" s="2043"/>
      <c r="AH1307" s="2043"/>
      <c r="AI1307" s="2043"/>
      <c r="AJ1307" s="2043"/>
      <c r="AK1307" s="2043"/>
      <c r="AL1307" s="2043"/>
      <c r="AM1307" s="2043"/>
      <c r="AN1307" s="2043"/>
      <c r="AO1307" s="2043"/>
      <c r="AP1307" s="2043"/>
      <c r="AQ1307" s="2043"/>
      <c r="AR1307" s="2043"/>
      <c r="AS1307" s="2043"/>
      <c r="AT1307" s="2043"/>
      <c r="AU1307" s="2043"/>
      <c r="AV1307" s="2043"/>
      <c r="AW1307" s="2043"/>
      <c r="AX1307" s="2043"/>
      <c r="AY1307" s="2043"/>
      <c r="AZ1307" s="2043"/>
      <c r="BA1307" s="2043"/>
      <c r="BB1307" s="2043"/>
      <c r="BC1307" s="2043"/>
      <c r="BD1307" s="2043"/>
      <c r="BE1307" s="2043"/>
      <c r="BF1307" s="2043"/>
      <c r="BG1307" s="2043"/>
      <c r="BH1307" s="2043"/>
      <c r="BI1307" s="2043"/>
      <c r="BJ1307" s="2043"/>
      <c r="BK1307" s="2043"/>
      <c r="BL1307" s="2043"/>
    </row>
    <row r="1308" spans="1:64" ht="15">
      <c r="A1308" s="2113" t="s">
        <v>206</v>
      </c>
      <c r="B1308" s="2505" t="s">
        <v>1792</v>
      </c>
      <c r="C1308" s="1855"/>
      <c r="D1308" s="1855"/>
      <c r="E1308" s="1855"/>
      <c r="F1308" s="1855"/>
      <c r="G1308" s="1855"/>
      <c r="H1308" s="1855"/>
      <c r="I1308" s="1855"/>
      <c r="J1308" s="1855"/>
      <c r="K1308" s="2112"/>
      <c r="L1308" s="2112"/>
      <c r="M1308" s="1964">
        <v>5</v>
      </c>
      <c r="N1308" s="2112"/>
      <c r="O1308" s="2042">
        <f>'Part VIII Scoring Criteria'!O157</f>
        <v>0</v>
      </c>
      <c r="P1308" s="2042"/>
      <c r="Q1308" s="2508" t="str">
        <f>IF(O1308&lt;=M1308,"","*CHECK!*")</f>
        <v/>
      </c>
      <c r="R1308" s="2503"/>
      <c r="S1308" s="2108"/>
      <c r="T1308" s="2108"/>
      <c r="U1308" s="2108"/>
      <c r="V1308" s="1855"/>
      <c r="W1308" s="1855"/>
      <c r="X1308" s="1855"/>
      <c r="Y1308" s="1855"/>
      <c r="Z1308" s="1855"/>
      <c r="AA1308" s="1855"/>
      <c r="AB1308" s="1855"/>
      <c r="AC1308" s="1855"/>
      <c r="AD1308" s="1855"/>
      <c r="AE1308" s="1855"/>
      <c r="AF1308" s="1855"/>
      <c r="AG1308" s="1855"/>
      <c r="AH1308" s="1855"/>
      <c r="AI1308" s="1855"/>
      <c r="AJ1308" s="1855"/>
      <c r="AK1308" s="1855"/>
      <c r="AL1308" s="1855"/>
      <c r="AM1308" s="1855"/>
      <c r="AN1308" s="1855"/>
      <c r="AO1308" s="1855"/>
      <c r="AP1308" s="1855"/>
      <c r="AQ1308" s="1855"/>
      <c r="AR1308" s="1855"/>
      <c r="AS1308" s="1855"/>
      <c r="AT1308" s="1855"/>
      <c r="AU1308" s="1855"/>
      <c r="AV1308" s="1855"/>
      <c r="AW1308" s="1855"/>
      <c r="AX1308" s="1855"/>
      <c r="AY1308" s="1855"/>
      <c r="AZ1308" s="1855"/>
      <c r="BA1308" s="1855"/>
      <c r="BB1308" s="1855"/>
      <c r="BC1308" s="1855"/>
      <c r="BD1308" s="1855"/>
      <c r="BE1308" s="1855"/>
      <c r="BF1308" s="1855"/>
      <c r="BG1308" s="1855"/>
      <c r="BH1308" s="1855"/>
      <c r="BI1308" s="1855"/>
      <c r="BJ1308" s="1855"/>
      <c r="BK1308" s="1855"/>
      <c r="BL1308" s="1855"/>
    </row>
    <row r="1309" spans="1:64" ht="14.25">
      <c r="A1309" s="2043"/>
      <c r="B1309" s="2043"/>
      <c r="C1309" s="2550" t="s">
        <v>1793</v>
      </c>
      <c r="D1309" s="2043"/>
      <c r="E1309" s="2551" t="s">
        <v>1794</v>
      </c>
      <c r="F1309" s="2551"/>
      <c r="G1309" s="2551"/>
      <c r="H1309" s="2551"/>
      <c r="I1309" s="1994" t="s">
        <v>1795</v>
      </c>
      <c r="J1309" s="2551" t="s">
        <v>1794</v>
      </c>
      <c r="K1309" s="2551"/>
      <c r="L1309" s="2551"/>
      <c r="M1309" s="2551"/>
      <c r="N1309" s="2043"/>
      <c r="O1309" s="2043"/>
      <c r="P1309" s="2043"/>
      <c r="Q1309" s="2043"/>
      <c r="R1309" s="2043"/>
      <c r="S1309" s="2043"/>
      <c r="T1309" s="2043"/>
      <c r="U1309" s="2043"/>
      <c r="V1309" s="2043"/>
      <c r="W1309" s="2043"/>
      <c r="X1309" s="2043"/>
      <c r="Y1309" s="2043"/>
      <c r="Z1309" s="2043"/>
      <c r="AA1309" s="2043"/>
      <c r="AB1309" s="2043"/>
      <c r="AC1309" s="2043"/>
      <c r="AD1309" s="2043"/>
      <c r="AE1309" s="2043"/>
      <c r="AF1309" s="2043"/>
      <c r="AG1309" s="2043"/>
      <c r="AH1309" s="2043"/>
      <c r="AI1309" s="2043"/>
      <c r="AJ1309" s="2043"/>
      <c r="AK1309" s="2043"/>
      <c r="AL1309" s="2043"/>
      <c r="AM1309" s="2043"/>
      <c r="AN1309" s="2043"/>
      <c r="AO1309" s="2043"/>
      <c r="AP1309" s="2043"/>
      <c r="AQ1309" s="2043"/>
      <c r="AR1309" s="2043"/>
      <c r="AS1309" s="2043"/>
      <c r="AT1309" s="2043"/>
      <c r="AU1309" s="2043"/>
      <c r="AV1309" s="2043"/>
      <c r="AW1309" s="2043"/>
      <c r="AX1309" s="2043"/>
      <c r="AY1309" s="2043"/>
      <c r="AZ1309" s="2043"/>
      <c r="BA1309" s="2043"/>
      <c r="BB1309" s="2043"/>
      <c r="BC1309" s="2043"/>
      <c r="BD1309" s="2043"/>
      <c r="BE1309" s="2043"/>
      <c r="BF1309" s="2043"/>
      <c r="BG1309" s="2043"/>
      <c r="BH1309" s="2043"/>
      <c r="BI1309" s="2043"/>
      <c r="BJ1309" s="2043"/>
      <c r="BK1309" s="2043"/>
      <c r="BL1309" s="2043"/>
    </row>
    <row r="1310" spans="1:64" ht="15">
      <c r="A1310" s="2043"/>
      <c r="B1310" s="2043"/>
      <c r="C1310" s="1855" t="s">
        <v>1796</v>
      </c>
      <c r="D1310" s="2043"/>
      <c r="E1310" s="2552">
        <f>'Part VIII Scoring Criteria'!E159</f>
        <v>0</v>
      </c>
      <c r="F1310" s="2552"/>
      <c r="G1310" s="2552"/>
      <c r="H1310" s="2552"/>
      <c r="I1310" s="2553">
        <f>'Part VIII Scoring Criteria'!I159</f>
        <v>0</v>
      </c>
      <c r="J1310" s="2552"/>
      <c r="K1310" s="2552"/>
      <c r="L1310" s="2552"/>
      <c r="M1310" s="2552"/>
      <c r="N1310" s="2508" t="str">
        <f>IF(P1308&lt;=N1308,"","*CHECK!*")</f>
        <v/>
      </c>
      <c r="O1310" s="2045"/>
      <c r="P1310" s="2045"/>
      <c r="Q1310" s="2045"/>
      <c r="R1310" s="2045"/>
      <c r="S1310" s="2045"/>
      <c r="T1310" s="2045"/>
      <c r="U1310" s="2045"/>
      <c r="V1310" s="2045"/>
      <c r="W1310" s="2045"/>
      <c r="X1310" s="2045"/>
      <c r="Y1310" s="2045"/>
      <c r="Z1310" s="2045"/>
      <c r="AA1310" s="2554"/>
      <c r="AB1310" s="2043"/>
      <c r="AC1310" s="2043"/>
      <c r="AD1310" s="2043"/>
      <c r="AE1310" s="2043"/>
      <c r="AF1310" s="2043"/>
      <c r="AG1310" s="2043"/>
      <c r="AH1310" s="2043"/>
      <c r="AI1310" s="2043"/>
      <c r="AJ1310" s="2043"/>
      <c r="AK1310" s="2043"/>
      <c r="AL1310" s="2043"/>
      <c r="AM1310" s="2043"/>
      <c r="AN1310" s="2043"/>
      <c r="AO1310" s="2043"/>
      <c r="AP1310" s="2043"/>
      <c r="AQ1310" s="2043"/>
      <c r="AR1310" s="2043"/>
      <c r="AS1310" s="2043"/>
      <c r="AT1310" s="2043"/>
      <c r="AU1310" s="2043"/>
      <c r="AV1310" s="2043"/>
      <c r="AW1310" s="2043"/>
      <c r="AX1310" s="2043"/>
      <c r="AY1310" s="2043"/>
      <c r="AZ1310" s="2043"/>
      <c r="BA1310" s="2043"/>
      <c r="BB1310" s="2043"/>
      <c r="BC1310" s="2043"/>
      <c r="BD1310" s="2043"/>
      <c r="BE1310" s="2043"/>
      <c r="BF1310" s="2043"/>
      <c r="BG1310" s="2043"/>
      <c r="BH1310" s="2043"/>
      <c r="BI1310" s="2043"/>
      <c r="BJ1310" s="2043"/>
      <c r="BK1310" s="2043"/>
      <c r="BL1310" s="2043"/>
    </row>
    <row r="1311" spans="1:64" ht="15">
      <c r="A1311" s="2043"/>
      <c r="B1311" s="2051"/>
      <c r="C1311" s="1855" t="s">
        <v>1797</v>
      </c>
      <c r="D1311" s="2043"/>
      <c r="E1311" s="2552">
        <f>'Part VIII Scoring Criteria'!E160</f>
        <v>0</v>
      </c>
      <c r="F1311" s="2552"/>
      <c r="G1311" s="2552"/>
      <c r="H1311" s="2552"/>
      <c r="I1311" s="2553">
        <f>'Part VIII Scoring Criteria'!I160</f>
        <v>0</v>
      </c>
      <c r="J1311" s="2552"/>
      <c r="K1311" s="2552"/>
      <c r="L1311" s="2552"/>
      <c r="M1311" s="2552"/>
      <c r="N1311" s="2043"/>
      <c r="O1311" s="2045"/>
      <c r="P1311" s="2045"/>
      <c r="Q1311" s="2045"/>
      <c r="R1311" s="2045"/>
      <c r="S1311" s="2045"/>
      <c r="T1311" s="2045"/>
      <c r="U1311" s="2045"/>
      <c r="V1311" s="2045"/>
      <c r="W1311" s="2045"/>
      <c r="X1311" s="2045"/>
      <c r="Y1311" s="2045"/>
      <c r="Z1311" s="2045"/>
      <c r="AA1311" s="2554"/>
      <c r="AB1311" s="2043"/>
      <c r="AC1311" s="2043"/>
      <c r="AD1311" s="2043"/>
      <c r="AE1311" s="2043"/>
      <c r="AF1311" s="2043"/>
      <c r="AG1311" s="2043"/>
      <c r="AH1311" s="2043"/>
      <c r="AI1311" s="2043"/>
      <c r="AJ1311" s="2043"/>
      <c r="AK1311" s="2043"/>
      <c r="AL1311" s="2043"/>
      <c r="AM1311" s="2043"/>
      <c r="AN1311" s="2043"/>
      <c r="AO1311" s="2043"/>
      <c r="AP1311" s="2043"/>
      <c r="AQ1311" s="2043"/>
      <c r="AR1311" s="2043"/>
      <c r="AS1311" s="2043"/>
      <c r="AT1311" s="2043"/>
      <c r="AU1311" s="2043"/>
      <c r="AV1311" s="2043"/>
      <c r="AW1311" s="2043"/>
      <c r="AX1311" s="2043"/>
      <c r="AY1311" s="2043"/>
      <c r="AZ1311" s="2043"/>
      <c r="BA1311" s="2043"/>
      <c r="BB1311" s="2043"/>
      <c r="BC1311" s="2043"/>
      <c r="BD1311" s="2043"/>
      <c r="BE1311" s="2043"/>
      <c r="BF1311" s="2043"/>
      <c r="BG1311" s="2043"/>
      <c r="BH1311" s="2043"/>
      <c r="BI1311" s="2043"/>
      <c r="BJ1311" s="2043"/>
      <c r="BK1311" s="2043"/>
      <c r="BL1311" s="2043"/>
    </row>
    <row r="1312" spans="1:64" ht="15">
      <c r="A1312" s="2043"/>
      <c r="B1312" s="2043"/>
      <c r="C1312" s="1855" t="s">
        <v>1798</v>
      </c>
      <c r="D1312" s="2043"/>
      <c r="E1312" s="2552">
        <f>'Part VIII Scoring Criteria'!E161</f>
        <v>0</v>
      </c>
      <c r="F1312" s="2552"/>
      <c r="G1312" s="2552"/>
      <c r="H1312" s="2552"/>
      <c r="I1312" s="2553">
        <f>'Part VIII Scoring Criteria'!I161</f>
        <v>0</v>
      </c>
      <c r="J1312" s="2555"/>
      <c r="K1312" s="2555"/>
      <c r="L1312" s="2555"/>
      <c r="M1312" s="2555"/>
      <c r="N1312" s="2043"/>
      <c r="O1312" s="2045"/>
      <c r="P1312" s="2045"/>
      <c r="Q1312" s="2045"/>
      <c r="R1312" s="2045"/>
      <c r="S1312" s="2045"/>
      <c r="T1312" s="2045"/>
      <c r="U1312" s="2045"/>
      <c r="V1312" s="2045"/>
      <c r="W1312" s="2045"/>
      <c r="X1312" s="2045"/>
      <c r="Y1312" s="2045"/>
      <c r="Z1312" s="2045"/>
      <c r="AA1312" s="2554"/>
      <c r="AB1312" s="2043"/>
      <c r="AC1312" s="2043"/>
      <c r="AD1312" s="2043"/>
      <c r="AE1312" s="2043"/>
      <c r="AF1312" s="2043"/>
      <c r="AG1312" s="2043"/>
      <c r="AH1312" s="2043"/>
      <c r="AI1312" s="2043"/>
      <c r="AJ1312" s="2043"/>
      <c r="AK1312" s="2043"/>
      <c r="AL1312" s="2043"/>
      <c r="AM1312" s="2043"/>
      <c r="AN1312" s="2043"/>
      <c r="AO1312" s="2043"/>
      <c r="AP1312" s="2043"/>
      <c r="AQ1312" s="2043"/>
      <c r="AR1312" s="2043"/>
      <c r="AS1312" s="2043"/>
      <c r="AT1312" s="2043"/>
      <c r="AU1312" s="2043"/>
      <c r="AV1312" s="2043"/>
      <c r="AW1312" s="2043"/>
      <c r="AX1312" s="2043"/>
      <c r="AY1312" s="2043"/>
      <c r="AZ1312" s="2043"/>
      <c r="BA1312" s="2043"/>
      <c r="BB1312" s="2043"/>
      <c r="BC1312" s="2043"/>
      <c r="BD1312" s="2043"/>
      <c r="BE1312" s="2043"/>
      <c r="BF1312" s="2043"/>
      <c r="BG1312" s="2043"/>
      <c r="BH1312" s="2043"/>
      <c r="BI1312" s="2043"/>
      <c r="BJ1312" s="2043"/>
      <c r="BK1312" s="2043"/>
      <c r="BL1312" s="2043"/>
    </row>
    <row r="1313" spans="1:64" ht="15">
      <c r="A1313" s="2043"/>
      <c r="B1313" s="2043"/>
      <c r="C1313" s="2505"/>
      <c r="D1313" s="2043"/>
      <c r="E1313" s="2043"/>
      <c r="F1313" s="2043"/>
      <c r="G1313" s="2043"/>
      <c r="H1313" s="2043"/>
      <c r="I1313" s="2043"/>
      <c r="J1313" s="2043"/>
      <c r="K1313" s="2043"/>
      <c r="L1313" s="2043"/>
      <c r="M1313" s="2043"/>
      <c r="N1313" s="1964"/>
      <c r="O1313" s="1994"/>
      <c r="P1313" s="2113"/>
      <c r="Q1313" s="2113"/>
      <c r="R1313" s="2113"/>
      <c r="S1313" s="2113"/>
      <c r="T1313" s="2113"/>
      <c r="U1313" s="2113"/>
      <c r="V1313" s="2113"/>
      <c r="W1313" s="2113"/>
      <c r="X1313" s="2113"/>
      <c r="Y1313" s="2113"/>
      <c r="Z1313" s="2113"/>
      <c r="AA1313" s="2043"/>
      <c r="AB1313" s="2043"/>
      <c r="AC1313" s="2043"/>
      <c r="AD1313" s="2043"/>
      <c r="AE1313" s="2043"/>
      <c r="AF1313" s="2043"/>
      <c r="AG1313" s="2043"/>
      <c r="AH1313" s="2043"/>
      <c r="AI1313" s="2043"/>
      <c r="AJ1313" s="2043"/>
      <c r="AK1313" s="2043"/>
      <c r="AL1313" s="2043"/>
      <c r="AM1313" s="2043"/>
      <c r="AN1313" s="2043"/>
      <c r="AO1313" s="2043"/>
      <c r="AP1313" s="2043"/>
      <c r="AQ1313" s="2043"/>
      <c r="AR1313" s="2043"/>
      <c r="AS1313" s="2043"/>
      <c r="AT1313" s="2043"/>
      <c r="AU1313" s="2043"/>
      <c r="AV1313" s="2043"/>
      <c r="AW1313" s="2043"/>
      <c r="AX1313" s="2043"/>
      <c r="AY1313" s="2043"/>
      <c r="AZ1313" s="2043"/>
      <c r="BA1313" s="2043"/>
      <c r="BB1313" s="2043"/>
      <c r="BC1313" s="2043"/>
      <c r="BD1313" s="2043"/>
      <c r="BE1313" s="2043"/>
      <c r="BF1313" s="2043"/>
      <c r="BG1313" s="2043"/>
      <c r="BH1313" s="2043"/>
      <c r="BI1313" s="2043"/>
      <c r="BJ1313" s="2043"/>
      <c r="BK1313" s="2043"/>
      <c r="BL1313" s="2043"/>
    </row>
    <row r="1314" spans="1:64" ht="15">
      <c r="A1314" s="2051"/>
      <c r="B1314" s="2505"/>
      <c r="C1314" s="2043"/>
      <c r="D1314" s="2043"/>
      <c r="E1314" s="2043"/>
      <c r="F1314" s="2043"/>
      <c r="G1314" s="2043"/>
      <c r="H1314" s="2043"/>
      <c r="I1314" s="2043"/>
      <c r="J1314" s="2043"/>
      <c r="K1314" s="2043"/>
      <c r="L1314" s="2043"/>
      <c r="M1314" s="1964"/>
      <c r="N1314" s="1994"/>
      <c r="O1314" s="2113"/>
      <c r="P1314" s="2113"/>
      <c r="Q1314" s="2043"/>
      <c r="R1314" s="2043"/>
      <c r="S1314" s="2043"/>
      <c r="T1314" s="2043"/>
      <c r="U1314" s="2043"/>
      <c r="V1314" s="2043"/>
      <c r="W1314" s="2043"/>
      <c r="X1314" s="2043"/>
      <c r="Y1314" s="2043"/>
      <c r="Z1314" s="2043"/>
      <c r="AA1314" s="2043"/>
      <c r="AB1314" s="2043"/>
      <c r="AC1314" s="2043"/>
      <c r="AD1314" s="2043"/>
      <c r="AE1314" s="2043"/>
      <c r="AF1314" s="2043"/>
      <c r="AG1314" s="2043"/>
      <c r="AH1314" s="2043"/>
      <c r="AI1314" s="2043"/>
      <c r="AJ1314" s="2043"/>
      <c r="AK1314" s="2043"/>
      <c r="AL1314" s="2043"/>
      <c r="AM1314" s="2043"/>
      <c r="AN1314" s="2043"/>
      <c r="AO1314" s="2043"/>
      <c r="AP1314" s="2043"/>
      <c r="AQ1314" s="2043"/>
      <c r="AR1314" s="2043"/>
      <c r="AS1314" s="2043"/>
      <c r="AT1314" s="2043"/>
      <c r="AU1314" s="2043"/>
      <c r="AV1314" s="2043"/>
      <c r="AW1314" s="2043"/>
      <c r="AX1314" s="2043"/>
      <c r="AY1314" s="2043"/>
      <c r="AZ1314" s="2043"/>
      <c r="BA1314" s="2043"/>
      <c r="BB1314" s="2043"/>
      <c r="BC1314" s="2043"/>
      <c r="BD1314" s="2043"/>
      <c r="BE1314" s="2043"/>
      <c r="BF1314" s="2043"/>
      <c r="BG1314" s="2043"/>
      <c r="BH1314" s="2043"/>
      <c r="BI1314" s="2043"/>
      <c r="BJ1314" s="2043"/>
      <c r="BK1314" s="2043"/>
      <c r="BL1314" s="2043"/>
    </row>
    <row r="1315" spans="1:64" ht="15">
      <c r="A1315" s="1855"/>
      <c r="B1315" s="2110" t="s">
        <v>1739</v>
      </c>
      <c r="C1315" s="1855"/>
      <c r="D1315" s="1855"/>
      <c r="E1315" s="1855"/>
      <c r="F1315" s="1855"/>
      <c r="G1315" s="1855"/>
      <c r="H1315" s="1855"/>
      <c r="I1315" s="1855"/>
      <c r="J1315" s="1855"/>
      <c r="K1315" s="1855"/>
      <c r="L1315" s="2043"/>
      <c r="M1315" s="1964"/>
      <c r="N1315" s="1994"/>
      <c r="O1315" s="2042"/>
      <c r="P1315" s="2045"/>
      <c r="Q1315" s="2043"/>
      <c r="R1315" s="2043"/>
      <c r="S1315" s="2043"/>
      <c r="T1315" s="2043"/>
      <c r="U1315" s="2043"/>
      <c r="V1315" s="2043"/>
      <c r="W1315" s="2043"/>
      <c r="X1315" s="2043"/>
      <c r="Y1315" s="2043"/>
      <c r="Z1315" s="2043"/>
      <c r="AA1315" s="2043"/>
      <c r="AB1315" s="2043"/>
      <c r="AC1315" s="2043"/>
      <c r="AD1315" s="2043"/>
      <c r="AE1315" s="2043"/>
      <c r="AF1315" s="2043"/>
      <c r="AG1315" s="2043"/>
      <c r="AH1315" s="2043"/>
      <c r="AI1315" s="2043"/>
      <c r="AJ1315" s="2043"/>
      <c r="AK1315" s="2043"/>
      <c r="AL1315" s="2043"/>
      <c r="AM1315" s="2043"/>
      <c r="AN1315" s="2043"/>
      <c r="AO1315" s="2043"/>
      <c r="AP1315" s="2043"/>
      <c r="AQ1315" s="2043"/>
      <c r="AR1315" s="2043"/>
      <c r="AS1315" s="2043"/>
      <c r="AT1315" s="2043"/>
      <c r="AU1315" s="2043"/>
      <c r="AV1315" s="2043"/>
      <c r="AW1315" s="2043"/>
      <c r="AX1315" s="2043"/>
      <c r="AY1315" s="2043"/>
      <c r="AZ1315" s="2043"/>
      <c r="BA1315" s="2043"/>
      <c r="BB1315" s="2043"/>
      <c r="BC1315" s="2043"/>
      <c r="BD1315" s="2043"/>
      <c r="BE1315" s="2043"/>
      <c r="BF1315" s="2043"/>
      <c r="BG1315" s="2043"/>
      <c r="BH1315" s="2043"/>
      <c r="BI1315" s="2043"/>
      <c r="BJ1315" s="2043"/>
      <c r="BK1315" s="2043"/>
      <c r="BL1315" s="2043"/>
    </row>
    <row r="1316" spans="1:64" ht="42.75">
      <c r="A1316" s="2052" t="str">
        <f>'Part VIII Scoring Criteria'!A165</f>
        <v>NA 4% Preservation</v>
      </c>
      <c r="B1316" s="2052"/>
      <c r="C1316" s="2052"/>
      <c r="D1316" s="2052"/>
      <c r="E1316" s="2052"/>
      <c r="F1316" s="2052"/>
      <c r="G1316" s="2052"/>
      <c r="H1316" s="2052"/>
      <c r="I1316" s="2052"/>
      <c r="J1316" s="2052"/>
      <c r="K1316" s="2052"/>
      <c r="L1316" s="2052"/>
      <c r="M1316" s="2052"/>
      <c r="N1316" s="2052"/>
      <c r="O1316" s="2052"/>
      <c r="P1316" s="2052"/>
      <c r="Q1316" s="1854"/>
      <c r="R1316" s="2043"/>
      <c r="S1316" s="2043"/>
      <c r="T1316" s="2043"/>
      <c r="U1316" s="2043"/>
      <c r="V1316" s="2043"/>
      <c r="W1316" s="2043"/>
      <c r="X1316" s="2043"/>
      <c r="Y1316" s="2043"/>
      <c r="Z1316" s="2043"/>
      <c r="AA1316" s="2043"/>
      <c r="AB1316" s="2043"/>
      <c r="AC1316" s="2043"/>
      <c r="AD1316" s="2043"/>
      <c r="AE1316" s="2043"/>
      <c r="AF1316" s="2043"/>
      <c r="AG1316" s="2043"/>
      <c r="AH1316" s="2043"/>
      <c r="AI1316" s="2043"/>
      <c r="AJ1316" s="2043"/>
      <c r="AK1316" s="2043"/>
      <c r="AL1316" s="2043"/>
      <c r="AM1316" s="2043"/>
      <c r="AN1316" s="2043"/>
      <c r="AO1316" s="2043"/>
      <c r="AP1316" s="2043"/>
      <c r="AQ1316" s="2043"/>
      <c r="AR1316" s="2043"/>
      <c r="AS1316" s="2043"/>
      <c r="AT1316" s="2043"/>
      <c r="AU1316" s="2043"/>
      <c r="AV1316" s="2043"/>
      <c r="AW1316" s="2043"/>
      <c r="AX1316" s="2043"/>
      <c r="AY1316" s="2043"/>
      <c r="AZ1316" s="2043"/>
      <c r="BA1316" s="2043"/>
      <c r="BB1316" s="2043"/>
      <c r="BC1316" s="2043"/>
      <c r="BD1316" s="2043"/>
      <c r="BE1316" s="2043"/>
      <c r="BF1316" s="2043"/>
      <c r="BG1316" s="2043"/>
      <c r="BH1316" s="2043"/>
      <c r="BI1316" s="2043"/>
      <c r="BJ1316" s="2043"/>
      <c r="BK1316" s="2043"/>
      <c r="BL1316" s="2043"/>
    </row>
    <row r="1317" spans="1:64" ht="15">
      <c r="A1317" s="2051"/>
      <c r="B1317" s="2505"/>
      <c r="C1317" s="2043"/>
      <c r="D1317" s="2043"/>
      <c r="E1317" s="2043"/>
      <c r="F1317" s="2043"/>
      <c r="G1317" s="2043"/>
      <c r="H1317" s="2043"/>
      <c r="I1317" s="2043"/>
      <c r="J1317" s="2043"/>
      <c r="K1317" s="2043"/>
      <c r="L1317" s="2043"/>
      <c r="M1317" s="1964"/>
      <c r="N1317" s="1994"/>
      <c r="O1317" s="2113"/>
      <c r="P1317" s="2113"/>
      <c r="Q1317" s="2043"/>
      <c r="R1317" s="2043"/>
      <c r="S1317" s="2043"/>
      <c r="T1317" s="2043"/>
      <c r="U1317" s="2043"/>
      <c r="V1317" s="2043"/>
      <c r="W1317" s="2043"/>
      <c r="X1317" s="2043"/>
      <c r="Y1317" s="2043"/>
      <c r="Z1317" s="2043"/>
      <c r="AA1317" s="2043"/>
      <c r="AB1317" s="2043"/>
      <c r="AC1317" s="2043"/>
      <c r="AD1317" s="2043"/>
      <c r="AE1317" s="2043"/>
      <c r="AF1317" s="2043"/>
      <c r="AG1317" s="2043"/>
      <c r="AH1317" s="2043"/>
      <c r="AI1317" s="2043"/>
      <c r="AJ1317" s="2043"/>
      <c r="AK1317" s="2043"/>
      <c r="AL1317" s="2043"/>
      <c r="AM1317" s="2043"/>
      <c r="AN1317" s="2043"/>
      <c r="AO1317" s="2043"/>
      <c r="AP1317" s="2043"/>
      <c r="AQ1317" s="2043"/>
      <c r="AR1317" s="2043"/>
      <c r="AS1317" s="2043"/>
      <c r="AT1317" s="2043"/>
      <c r="AU1317" s="2043"/>
      <c r="AV1317" s="2043"/>
      <c r="AW1317" s="2043"/>
      <c r="AX1317" s="2043"/>
      <c r="AY1317" s="2043"/>
      <c r="AZ1317" s="2043"/>
      <c r="BA1317" s="2043"/>
      <c r="BB1317" s="2043"/>
      <c r="BC1317" s="2043"/>
      <c r="BD1317" s="2043"/>
      <c r="BE1317" s="2043"/>
      <c r="BF1317" s="2043"/>
      <c r="BG1317" s="2043"/>
      <c r="BH1317" s="2043"/>
      <c r="BI1317" s="2043"/>
      <c r="BJ1317" s="2043"/>
      <c r="BK1317" s="2043"/>
      <c r="BL1317" s="2043"/>
    </row>
    <row r="1318" spans="1:64" ht="15">
      <c r="A1318" s="1855"/>
      <c r="B1318" s="2510" t="s">
        <v>1399</v>
      </c>
      <c r="C1318" s="1855"/>
      <c r="D1318" s="2510"/>
      <c r="E1318" s="2487"/>
      <c r="F1318" s="2487"/>
      <c r="G1318" s="2487"/>
      <c r="H1318" s="2487"/>
      <c r="I1318" s="2487"/>
      <c r="J1318" s="2487"/>
      <c r="K1318" s="2487"/>
      <c r="L1318" s="2487"/>
      <c r="M1318" s="2487"/>
      <c r="N1318" s="2511"/>
      <c r="O1318" s="2489"/>
      <c r="P1318" s="2113"/>
      <c r="Q1318" s="2043"/>
      <c r="R1318" s="2043"/>
      <c r="S1318" s="2043"/>
      <c r="T1318" s="2043"/>
      <c r="U1318" s="2043"/>
      <c r="V1318" s="2043"/>
      <c r="W1318" s="2043"/>
      <c r="X1318" s="2043"/>
      <c r="Y1318" s="2043"/>
      <c r="Z1318" s="2043"/>
      <c r="AA1318" s="2043"/>
      <c r="AB1318" s="2043"/>
      <c r="AC1318" s="2043"/>
      <c r="AD1318" s="2043"/>
      <c r="AE1318" s="2043"/>
      <c r="AF1318" s="2043"/>
      <c r="AG1318" s="2043"/>
      <c r="AH1318" s="2043"/>
      <c r="AI1318" s="2043"/>
      <c r="AJ1318" s="2043"/>
      <c r="AK1318" s="2043"/>
      <c r="AL1318" s="2043"/>
      <c r="AM1318" s="2043"/>
      <c r="AN1318" s="2043"/>
      <c r="AO1318" s="2043"/>
      <c r="AP1318" s="2043"/>
      <c r="AQ1318" s="2043"/>
      <c r="AR1318" s="2043"/>
      <c r="AS1318" s="2043"/>
      <c r="AT1318" s="2043"/>
      <c r="AU1318" s="2043"/>
      <c r="AV1318" s="2043"/>
      <c r="AW1318" s="2043"/>
      <c r="AX1318" s="2043"/>
      <c r="AY1318" s="2043"/>
      <c r="AZ1318" s="2043"/>
      <c r="BA1318" s="2043"/>
      <c r="BB1318" s="2043"/>
      <c r="BC1318" s="2043"/>
      <c r="BD1318" s="2043"/>
      <c r="BE1318" s="2043"/>
      <c r="BF1318" s="2043"/>
      <c r="BG1318" s="2043"/>
      <c r="BH1318" s="2043"/>
      <c r="BI1318" s="2043"/>
      <c r="BJ1318" s="2043"/>
      <c r="BK1318" s="2043"/>
      <c r="BL1318" s="2043"/>
    </row>
    <row r="1319" spans="1:64" ht="15">
      <c r="A1319" s="2052"/>
      <c r="B1319" s="2052"/>
      <c r="C1319" s="2052"/>
      <c r="D1319" s="2052"/>
      <c r="E1319" s="2052"/>
      <c r="F1319" s="2052"/>
      <c r="G1319" s="2052"/>
      <c r="H1319" s="2052"/>
      <c r="I1319" s="2052"/>
      <c r="J1319" s="2052"/>
      <c r="K1319" s="2052"/>
      <c r="L1319" s="2052"/>
      <c r="M1319" s="2052"/>
      <c r="N1319" s="2052"/>
      <c r="O1319" s="2052"/>
      <c r="P1319" s="2052"/>
      <c r="Q1319" s="1854"/>
      <c r="R1319" s="2043"/>
      <c r="S1319" s="2043"/>
      <c r="T1319" s="2043"/>
      <c r="U1319" s="2043"/>
      <c r="V1319" s="2043"/>
      <c r="W1319" s="2043"/>
      <c r="X1319" s="2043"/>
      <c r="Y1319" s="2043"/>
      <c r="Z1319" s="2043"/>
      <c r="AA1319" s="2043"/>
      <c r="AB1319" s="2043"/>
      <c r="AC1319" s="2043"/>
      <c r="AD1319" s="2043"/>
      <c r="AE1319" s="2043"/>
      <c r="AF1319" s="2043"/>
      <c r="AG1319" s="2043"/>
      <c r="AH1319" s="2043"/>
      <c r="AI1319" s="2043"/>
      <c r="AJ1319" s="2043"/>
      <c r="AK1319" s="2043"/>
      <c r="AL1319" s="2043"/>
      <c r="AM1319" s="2043"/>
      <c r="AN1319" s="2043"/>
      <c r="AO1319" s="2043"/>
      <c r="AP1319" s="2043"/>
      <c r="AQ1319" s="2043"/>
      <c r="AR1319" s="2043"/>
      <c r="AS1319" s="2043"/>
      <c r="AT1319" s="2043"/>
      <c r="AU1319" s="2043"/>
      <c r="AV1319" s="2043"/>
      <c r="AW1319" s="2043"/>
      <c r="AX1319" s="2043"/>
      <c r="AY1319" s="2043"/>
      <c r="AZ1319" s="2043"/>
      <c r="BA1319" s="2043"/>
      <c r="BB1319" s="2043"/>
      <c r="BC1319" s="2043"/>
      <c r="BD1319" s="2043"/>
      <c r="BE1319" s="2043"/>
      <c r="BF1319" s="2043"/>
      <c r="BG1319" s="2043"/>
      <c r="BH1319" s="2043"/>
      <c r="BI1319" s="2043"/>
      <c r="BJ1319" s="2043"/>
      <c r="BK1319" s="2043"/>
      <c r="BL1319" s="2043"/>
    </row>
    <row r="1320" spans="1:64" ht="15">
      <c r="A1320" s="1855"/>
      <c r="B1320" s="2043"/>
      <c r="C1320" s="2043"/>
      <c r="D1320" s="1855"/>
      <c r="E1320" s="1855"/>
      <c r="F1320" s="2113"/>
      <c r="G1320" s="2113"/>
      <c r="H1320" s="2113"/>
      <c r="I1320" s="2113"/>
      <c r="J1320" s="2046"/>
      <c r="K1320" s="2046"/>
      <c r="L1320" s="2046"/>
      <c r="M1320" s="1964"/>
      <c r="N1320" s="2113"/>
      <c r="O1320" s="2045"/>
      <c r="P1320" s="2042"/>
      <c r="Q1320" s="2043"/>
      <c r="R1320" s="2043"/>
      <c r="S1320" s="2043"/>
      <c r="T1320" s="2043"/>
      <c r="U1320" s="2043"/>
      <c r="V1320" s="2043"/>
      <c r="W1320" s="2043"/>
      <c r="X1320" s="2043"/>
      <c r="Y1320" s="2043"/>
      <c r="Z1320" s="2043"/>
      <c r="AA1320" s="2043"/>
      <c r="AB1320" s="2043"/>
      <c r="AC1320" s="2043"/>
      <c r="AD1320" s="2043"/>
      <c r="AE1320" s="2043"/>
      <c r="AF1320" s="2043"/>
      <c r="AG1320" s="2043"/>
      <c r="AH1320" s="2043"/>
      <c r="AI1320" s="2043"/>
      <c r="AJ1320" s="2043"/>
      <c r="AK1320" s="2043"/>
      <c r="AL1320" s="2043"/>
      <c r="AM1320" s="2043"/>
      <c r="AN1320" s="2043"/>
      <c r="AO1320" s="2043"/>
      <c r="AP1320" s="2043"/>
      <c r="AQ1320" s="2043"/>
      <c r="AR1320" s="2043"/>
      <c r="AS1320" s="2043"/>
      <c r="AT1320" s="2043"/>
      <c r="AU1320" s="2043"/>
      <c r="AV1320" s="2043"/>
      <c r="AW1320" s="2043"/>
      <c r="AX1320" s="2043"/>
      <c r="AY1320" s="2043"/>
      <c r="AZ1320" s="2043"/>
      <c r="BA1320" s="2043"/>
      <c r="BB1320" s="2043"/>
      <c r="BC1320" s="2043"/>
      <c r="BD1320" s="2043"/>
      <c r="BE1320" s="2043"/>
      <c r="BF1320" s="2043"/>
      <c r="BG1320" s="2043"/>
      <c r="BH1320" s="2043"/>
      <c r="BI1320" s="2043"/>
      <c r="BJ1320" s="2043"/>
      <c r="BK1320" s="2043"/>
      <c r="BL1320" s="2043"/>
    </row>
    <row r="1321" spans="1:64" ht="15">
      <c r="A1321" s="1855"/>
      <c r="B1321" s="2043"/>
      <c r="C1321" s="2043"/>
      <c r="D1321" s="1855"/>
      <c r="E1321" s="1855"/>
      <c r="F1321" s="2113"/>
      <c r="G1321" s="2113"/>
      <c r="H1321" s="2113"/>
      <c r="I1321" s="2113"/>
      <c r="J1321" s="2046"/>
      <c r="K1321" s="2046"/>
      <c r="L1321" s="2046"/>
      <c r="M1321" s="1964"/>
      <c r="N1321" s="2113"/>
      <c r="O1321" s="2045"/>
      <c r="P1321" s="2042"/>
      <c r="Q1321" s="2043"/>
      <c r="R1321" s="2043"/>
      <c r="S1321" s="2043"/>
      <c r="T1321" s="2043"/>
      <c r="U1321" s="2043"/>
      <c r="V1321" s="2043"/>
      <c r="W1321" s="2043"/>
      <c r="X1321" s="2043"/>
      <c r="Y1321" s="2043"/>
      <c r="Z1321" s="2043"/>
      <c r="AA1321" s="2043"/>
      <c r="AB1321" s="2043"/>
      <c r="AC1321" s="2043"/>
      <c r="AD1321" s="2043"/>
      <c r="AE1321" s="2043"/>
      <c r="AF1321" s="2043"/>
      <c r="AG1321" s="2043"/>
      <c r="AH1321" s="2043"/>
      <c r="AI1321" s="2043"/>
      <c r="AJ1321" s="2043"/>
      <c r="AK1321" s="2043"/>
      <c r="AL1321" s="2043"/>
      <c r="AM1321" s="2043"/>
      <c r="AN1321" s="2043"/>
      <c r="AO1321" s="2043"/>
      <c r="AP1321" s="2043"/>
      <c r="AQ1321" s="2043"/>
      <c r="AR1321" s="2043"/>
      <c r="AS1321" s="2043"/>
      <c r="AT1321" s="2043"/>
      <c r="AU1321" s="2043"/>
      <c r="AV1321" s="2043"/>
      <c r="AW1321" s="2043"/>
      <c r="AX1321" s="2043"/>
      <c r="AY1321" s="2043"/>
      <c r="AZ1321" s="2043"/>
      <c r="BA1321" s="2043"/>
      <c r="BB1321" s="2043"/>
      <c r="BC1321" s="2043"/>
      <c r="BD1321" s="2043"/>
      <c r="BE1321" s="2043"/>
      <c r="BF1321" s="2043"/>
      <c r="BG1321" s="2043"/>
      <c r="BH1321" s="2043"/>
      <c r="BI1321" s="2043"/>
      <c r="BJ1321" s="2043"/>
      <c r="BK1321" s="2043"/>
      <c r="BL1321" s="2043"/>
    </row>
    <row r="1322" spans="1:64" ht="15">
      <c r="A1322" s="2109" t="s">
        <v>1436</v>
      </c>
      <c r="B1322" s="2556" t="s">
        <v>1799</v>
      </c>
      <c r="C1322" s="2043"/>
      <c r="D1322" s="2043"/>
      <c r="E1322" s="2043"/>
      <c r="F1322" s="2043"/>
      <c r="G1322" s="1964" t="s">
        <v>1800</v>
      </c>
      <c r="H1322" s="2496">
        <f>IF('Part V-Revenues &amp; Expenses'!$P$67=0,0,'Part V-Revenues &amp; Expenses'!$P$64/'Part V-Revenues &amp; Expenses'!$P$67)</f>
        <v>0.40703517587939697</v>
      </c>
      <c r="I1322" s="2043"/>
      <c r="J1322" s="2043"/>
      <c r="K1322" s="2552" t="str">
        <f>'Part V-Revenues &amp; Expenses'!$O$53</f>
        <v>40% of Units at 60% of AMI</v>
      </c>
      <c r="L1322" s="2552"/>
      <c r="M1322" s="2113">
        <v>1</v>
      </c>
      <c r="N1322" s="1994"/>
      <c r="O1322" s="2042">
        <f>'Part VIII Scoring Criteria'!O171</f>
        <v>0</v>
      </c>
      <c r="P1322" s="2042">
        <f>'Part VIII Scoring Criteria'!P171</f>
        <v>0</v>
      </c>
      <c r="Q1322" s="2113" t="s">
        <v>1716</v>
      </c>
      <c r="R1322" s="2503" t="str">
        <f>IF(AND(O1322&gt;0,NOT($F$31="New Supply")), "Ineligible to score in this section, not New Supply!","")</f>
        <v/>
      </c>
      <c r="S1322" s="2043"/>
      <c r="T1322" s="2043"/>
      <c r="U1322" s="2043"/>
      <c r="V1322" s="2043"/>
      <c r="W1322" s="2043"/>
      <c r="X1322" s="2043"/>
      <c r="Y1322" s="2043"/>
      <c r="Z1322" s="2043"/>
      <c r="AA1322" s="2043"/>
      <c r="AB1322" s="2043"/>
      <c r="AC1322" s="2043"/>
      <c r="AD1322" s="2043"/>
      <c r="AE1322" s="2043"/>
      <c r="AF1322" s="2043"/>
      <c r="AG1322" s="2043"/>
      <c r="AH1322" s="2043"/>
      <c r="AI1322" s="2043"/>
      <c r="AJ1322" s="2043"/>
      <c r="AK1322" s="2043"/>
      <c r="AL1322" s="2043"/>
      <c r="AM1322" s="2043"/>
      <c r="AN1322" s="2043"/>
      <c r="AO1322" s="2043"/>
      <c r="AP1322" s="2043"/>
      <c r="AQ1322" s="2043"/>
      <c r="AR1322" s="2043"/>
      <c r="AS1322" s="2043"/>
      <c r="AT1322" s="2043"/>
      <c r="AU1322" s="2043"/>
      <c r="AV1322" s="2043"/>
      <c r="AW1322" s="2043"/>
      <c r="AX1322" s="2043"/>
      <c r="AY1322" s="2043"/>
      <c r="AZ1322" s="2043"/>
      <c r="BA1322" s="2043"/>
      <c r="BB1322" s="2043"/>
      <c r="BC1322" s="2043"/>
      <c r="BD1322" s="2043"/>
      <c r="BE1322" s="2043"/>
      <c r="BF1322" s="2043"/>
      <c r="BG1322" s="2043"/>
      <c r="BH1322" s="2043"/>
      <c r="BI1322" s="2043"/>
      <c r="BJ1322" s="2043"/>
      <c r="BK1322" s="2043"/>
      <c r="BL1322" s="2043"/>
    </row>
    <row r="1323" spans="1:64" ht="15">
      <c r="A1323" s="2113" t="s">
        <v>194</v>
      </c>
      <c r="B1323" s="2051" t="s">
        <v>1801</v>
      </c>
      <c r="C1323" s="2043"/>
      <c r="D1323" s="2043"/>
      <c r="E1323" s="2043"/>
      <c r="F1323" s="2043"/>
      <c r="G1323" s="2043"/>
      <c r="H1323" s="2043"/>
      <c r="I1323" s="2043"/>
      <c r="J1323" s="2043"/>
      <c r="K1323" s="2043"/>
      <c r="L1323" s="2043"/>
      <c r="M1323" s="1964">
        <v>1</v>
      </c>
      <c r="N1323" s="2112"/>
      <c r="O1323" s="2042">
        <f>'Part VIII Scoring Criteria'!O172</f>
        <v>0</v>
      </c>
      <c r="P1323" s="2042"/>
      <c r="Q1323" s="2543" t="str">
        <f>IF(OR($O1323=$M1323,$O1323=0,$O1323=""),"","*CHECK!*")</f>
        <v/>
      </c>
      <c r="R1323" s="2503"/>
      <c r="S1323" s="2043"/>
      <c r="T1323" s="2043"/>
      <c r="U1323" s="2043"/>
      <c r="V1323" s="2043"/>
      <c r="W1323" s="2043"/>
      <c r="X1323" s="2043"/>
      <c r="Y1323" s="2043"/>
      <c r="Z1323" s="2043"/>
      <c r="AA1323" s="2043"/>
      <c r="AB1323" s="2043"/>
      <c r="AC1323" s="2043"/>
      <c r="AD1323" s="2043"/>
      <c r="AE1323" s="2043"/>
      <c r="AF1323" s="2043"/>
      <c r="AG1323" s="2043"/>
      <c r="AH1323" s="2043"/>
      <c r="AI1323" s="2043"/>
      <c r="AJ1323" s="2043"/>
      <c r="AK1323" s="2043"/>
      <c r="AL1323" s="2043"/>
      <c r="AM1323" s="2043"/>
      <c r="AN1323" s="2043"/>
      <c r="AO1323" s="2043"/>
      <c r="AP1323" s="2043"/>
      <c r="AQ1323" s="2043"/>
      <c r="AR1323" s="2043"/>
      <c r="AS1323" s="2043"/>
      <c r="AT1323" s="2043"/>
      <c r="AU1323" s="2043"/>
      <c r="AV1323" s="2043"/>
      <c r="AW1323" s="2043"/>
      <c r="AX1323" s="2043"/>
      <c r="AY1323" s="2043"/>
      <c r="AZ1323" s="2043"/>
      <c r="BA1323" s="2043"/>
      <c r="BB1323" s="2043"/>
      <c r="BC1323" s="2043"/>
      <c r="BD1323" s="2043"/>
      <c r="BE1323" s="2043"/>
      <c r="BF1323" s="2043"/>
      <c r="BG1323" s="2043"/>
      <c r="BH1323" s="2043"/>
      <c r="BI1323" s="2043"/>
      <c r="BJ1323" s="2043"/>
      <c r="BK1323" s="2043"/>
      <c r="BL1323" s="2043"/>
    </row>
    <row r="1324" spans="1:64" ht="15">
      <c r="A1324" s="2113" t="s">
        <v>206</v>
      </c>
      <c r="B1324" s="2051" t="s">
        <v>1730</v>
      </c>
      <c r="C1324" s="2043"/>
      <c r="D1324" s="2043"/>
      <c r="E1324" s="2043"/>
      <c r="F1324" s="2043"/>
      <c r="G1324" s="2043"/>
      <c r="H1324" s="2043"/>
      <c r="I1324" s="2043"/>
      <c r="J1324" s="2043"/>
      <c r="K1324" s="2043"/>
      <c r="L1324" s="2043"/>
      <c r="M1324" s="1994">
        <v>1</v>
      </c>
      <c r="N1324" s="2112"/>
      <c r="O1324" s="2042">
        <f>'Part VIII Scoring Criteria'!O173</f>
        <v>0</v>
      </c>
      <c r="P1324" s="2042"/>
      <c r="Q1324" s="2543" t="str">
        <f>IF(OR($O1324=$M1324,$O1324=0,$O1324=""),"","*CHECK!*")</f>
        <v/>
      </c>
      <c r="R1324" s="2503"/>
      <c r="S1324" s="2043"/>
      <c r="T1324" s="2043"/>
      <c r="U1324" s="2043"/>
      <c r="V1324" s="2043"/>
      <c r="W1324" s="2043"/>
      <c r="X1324" s="2043"/>
      <c r="Y1324" s="2043"/>
      <c r="Z1324" s="2043"/>
      <c r="AA1324" s="2043"/>
      <c r="AB1324" s="2043"/>
      <c r="AC1324" s="2043"/>
      <c r="AD1324" s="2043"/>
      <c r="AE1324" s="2043"/>
      <c r="AF1324" s="2043"/>
      <c r="AG1324" s="2043"/>
      <c r="AH1324" s="2043"/>
      <c r="AI1324" s="2043"/>
      <c r="AJ1324" s="2043"/>
      <c r="AK1324" s="2043"/>
      <c r="AL1324" s="2043"/>
      <c r="AM1324" s="2043"/>
      <c r="AN1324" s="2043"/>
      <c r="AO1324" s="2043"/>
      <c r="AP1324" s="2043"/>
      <c r="AQ1324" s="2043"/>
      <c r="AR1324" s="2043"/>
      <c r="AS1324" s="2043"/>
      <c r="AT1324" s="2043"/>
      <c r="AU1324" s="2043"/>
      <c r="AV1324" s="2043"/>
      <c r="AW1324" s="2043"/>
      <c r="AX1324" s="2043"/>
      <c r="AY1324" s="2043"/>
      <c r="AZ1324" s="2043"/>
      <c r="BA1324" s="2043"/>
      <c r="BB1324" s="2043"/>
      <c r="BC1324" s="2043"/>
      <c r="BD1324" s="2043"/>
      <c r="BE1324" s="2043"/>
      <c r="BF1324" s="2043"/>
      <c r="BG1324" s="2043"/>
      <c r="BH1324" s="2043"/>
      <c r="BI1324" s="2043"/>
      <c r="BJ1324" s="2043"/>
      <c r="BK1324" s="2043"/>
      <c r="BL1324" s="2043"/>
    </row>
    <row r="1325" spans="1:64" ht="15">
      <c r="A1325" s="2051"/>
      <c r="B1325" s="2505"/>
      <c r="C1325" s="2043"/>
      <c r="D1325" s="2043"/>
      <c r="E1325" s="2043"/>
      <c r="F1325" s="2043"/>
      <c r="G1325" s="2043"/>
      <c r="H1325" s="2043"/>
      <c r="I1325" s="2043"/>
      <c r="J1325" s="2043"/>
      <c r="K1325" s="2043"/>
      <c r="L1325" s="2043"/>
      <c r="M1325" s="1964"/>
      <c r="N1325" s="1994"/>
      <c r="O1325" s="2113"/>
      <c r="P1325" s="2113"/>
      <c r="Q1325" s="2043"/>
      <c r="R1325" s="2043"/>
      <c r="S1325" s="2043"/>
      <c r="T1325" s="2043"/>
      <c r="U1325" s="2043"/>
      <c r="V1325" s="2043"/>
      <c r="W1325" s="2043"/>
      <c r="X1325" s="2043"/>
      <c r="Y1325" s="2043"/>
      <c r="Z1325" s="2043"/>
      <c r="AA1325" s="2043"/>
      <c r="AB1325" s="2043"/>
      <c r="AC1325" s="2043"/>
      <c r="AD1325" s="2043"/>
      <c r="AE1325" s="2043"/>
      <c r="AF1325" s="2043"/>
      <c r="AG1325" s="2043"/>
      <c r="AH1325" s="2043"/>
      <c r="AI1325" s="2043"/>
      <c r="AJ1325" s="2043"/>
      <c r="AK1325" s="2043"/>
      <c r="AL1325" s="2043"/>
      <c r="AM1325" s="2043"/>
      <c r="AN1325" s="2043"/>
      <c r="AO1325" s="2043"/>
      <c r="AP1325" s="2043"/>
      <c r="AQ1325" s="2043"/>
      <c r="AR1325" s="2043"/>
      <c r="AS1325" s="2043"/>
      <c r="AT1325" s="2043"/>
      <c r="AU1325" s="2043"/>
      <c r="AV1325" s="2043"/>
      <c r="AW1325" s="2043"/>
      <c r="AX1325" s="2043"/>
      <c r="AY1325" s="2043"/>
      <c r="AZ1325" s="2043"/>
      <c r="BA1325" s="2043"/>
      <c r="BB1325" s="2043"/>
      <c r="BC1325" s="2043"/>
      <c r="BD1325" s="2043"/>
      <c r="BE1325" s="2043"/>
      <c r="BF1325" s="2043"/>
      <c r="BG1325" s="2043"/>
      <c r="BH1325" s="2043"/>
      <c r="BI1325" s="2043"/>
      <c r="BJ1325" s="2043"/>
      <c r="BK1325" s="2043"/>
      <c r="BL1325" s="2043"/>
    </row>
    <row r="1326" spans="1:64" ht="15">
      <c r="A1326" s="1855"/>
      <c r="B1326" s="2510" t="s">
        <v>1399</v>
      </c>
      <c r="C1326" s="1855"/>
      <c r="D1326" s="2510"/>
      <c r="E1326" s="2487"/>
      <c r="F1326" s="2487"/>
      <c r="G1326" s="2487"/>
      <c r="H1326" s="2487"/>
      <c r="I1326" s="2487"/>
      <c r="J1326" s="2487"/>
      <c r="K1326" s="2487"/>
      <c r="L1326" s="2487"/>
      <c r="M1326" s="2487"/>
      <c r="N1326" s="2511"/>
      <c r="O1326" s="2489"/>
      <c r="P1326" s="2113"/>
      <c r="Q1326" s="2043"/>
      <c r="R1326" s="2043"/>
      <c r="S1326" s="2043"/>
      <c r="T1326" s="2043"/>
      <c r="U1326" s="2043"/>
      <c r="V1326" s="2043"/>
      <c r="W1326" s="2043"/>
      <c r="X1326" s="2043"/>
      <c r="Y1326" s="2043"/>
      <c r="Z1326" s="2043"/>
      <c r="AA1326" s="2043"/>
      <c r="AB1326" s="2043"/>
      <c r="AC1326" s="2043"/>
      <c r="AD1326" s="2043"/>
      <c r="AE1326" s="2043"/>
      <c r="AF1326" s="2043"/>
      <c r="AG1326" s="2043"/>
      <c r="AH1326" s="2043"/>
      <c r="AI1326" s="2043"/>
      <c r="AJ1326" s="2043"/>
      <c r="AK1326" s="2043"/>
      <c r="AL1326" s="2043"/>
      <c r="AM1326" s="2043"/>
      <c r="AN1326" s="2043"/>
      <c r="AO1326" s="2043"/>
      <c r="AP1326" s="2043"/>
      <c r="AQ1326" s="2043"/>
      <c r="AR1326" s="2043"/>
      <c r="AS1326" s="2043"/>
      <c r="AT1326" s="2043"/>
      <c r="AU1326" s="2043"/>
      <c r="AV1326" s="2043"/>
      <c r="AW1326" s="2043"/>
      <c r="AX1326" s="2043"/>
      <c r="AY1326" s="2043"/>
      <c r="AZ1326" s="2043"/>
      <c r="BA1326" s="2043"/>
      <c r="BB1326" s="2043"/>
      <c r="BC1326" s="2043"/>
      <c r="BD1326" s="2043"/>
      <c r="BE1326" s="2043"/>
      <c r="BF1326" s="2043"/>
      <c r="BG1326" s="2043"/>
      <c r="BH1326" s="2043"/>
      <c r="BI1326" s="2043"/>
      <c r="BJ1326" s="2043"/>
      <c r="BK1326" s="2043"/>
      <c r="BL1326" s="2043"/>
    </row>
    <row r="1327" spans="1:64" ht="15">
      <c r="A1327" s="2052"/>
      <c r="B1327" s="2052"/>
      <c r="C1327" s="2052"/>
      <c r="D1327" s="2052"/>
      <c r="E1327" s="2052"/>
      <c r="F1327" s="2052"/>
      <c r="G1327" s="2052"/>
      <c r="H1327" s="2052"/>
      <c r="I1327" s="2052"/>
      <c r="J1327" s="2052"/>
      <c r="K1327" s="2052"/>
      <c r="L1327" s="2052"/>
      <c r="M1327" s="2052"/>
      <c r="N1327" s="2052"/>
      <c r="O1327" s="2052"/>
      <c r="P1327" s="2052"/>
      <c r="Q1327" s="1854"/>
      <c r="R1327" s="2043"/>
      <c r="S1327" s="2043"/>
      <c r="T1327" s="2043"/>
      <c r="U1327" s="2043"/>
      <c r="V1327" s="2043"/>
      <c r="W1327" s="2043"/>
      <c r="X1327" s="2043"/>
      <c r="Y1327" s="2043"/>
      <c r="Z1327" s="2043"/>
      <c r="AA1327" s="2043"/>
      <c r="AB1327" s="2043"/>
      <c r="AC1327" s="2043"/>
      <c r="AD1327" s="2043"/>
      <c r="AE1327" s="2043"/>
      <c r="AF1327" s="2043"/>
      <c r="AG1327" s="2043"/>
      <c r="AH1327" s="2043"/>
      <c r="AI1327" s="2043"/>
      <c r="AJ1327" s="2043"/>
      <c r="AK1327" s="2043"/>
      <c r="AL1327" s="2043"/>
      <c r="AM1327" s="2043"/>
      <c r="AN1327" s="2043"/>
      <c r="AO1327" s="2043"/>
      <c r="AP1327" s="2043"/>
      <c r="AQ1327" s="2043"/>
      <c r="AR1327" s="2043"/>
      <c r="AS1327" s="2043"/>
      <c r="AT1327" s="2043"/>
      <c r="AU1327" s="2043"/>
      <c r="AV1327" s="2043"/>
      <c r="AW1327" s="2043"/>
      <c r="AX1327" s="2043"/>
      <c r="AY1327" s="2043"/>
      <c r="AZ1327" s="2043"/>
      <c r="BA1327" s="2043"/>
      <c r="BB1327" s="2043"/>
      <c r="BC1327" s="2043"/>
      <c r="BD1327" s="2043"/>
      <c r="BE1327" s="2043"/>
      <c r="BF1327" s="2043"/>
      <c r="BG1327" s="2043"/>
      <c r="BH1327" s="2043"/>
      <c r="BI1327" s="2043"/>
      <c r="BJ1327" s="2043"/>
      <c r="BK1327" s="2043"/>
      <c r="BL1327" s="2043"/>
    </row>
    <row r="1328" spans="1:64" ht="15">
      <c r="A1328" s="1855"/>
      <c r="B1328" s="2043"/>
      <c r="C1328" s="2043"/>
      <c r="D1328" s="1855"/>
      <c r="E1328" s="1855"/>
      <c r="F1328" s="2113"/>
      <c r="G1328" s="2113"/>
      <c r="H1328" s="2113"/>
      <c r="I1328" s="2113"/>
      <c r="J1328" s="2046"/>
      <c r="K1328" s="2046"/>
      <c r="L1328" s="2046"/>
      <c r="M1328" s="1964"/>
      <c r="N1328" s="2113"/>
      <c r="O1328" s="2045"/>
      <c r="P1328" s="2042"/>
      <c r="Q1328" s="2043"/>
      <c r="R1328" s="2043"/>
      <c r="S1328" s="2043"/>
      <c r="T1328" s="2043"/>
      <c r="U1328" s="2043"/>
      <c r="V1328" s="2043"/>
      <c r="W1328" s="2043"/>
      <c r="X1328" s="2043"/>
      <c r="Y1328" s="2043"/>
      <c r="Z1328" s="2043"/>
      <c r="AA1328" s="2043"/>
      <c r="AB1328" s="2043"/>
      <c r="AC1328" s="2043"/>
      <c r="AD1328" s="2043"/>
      <c r="AE1328" s="2043"/>
      <c r="AF1328" s="2043"/>
      <c r="AG1328" s="2043"/>
      <c r="AH1328" s="2043"/>
      <c r="AI1328" s="2043"/>
      <c r="AJ1328" s="2043"/>
      <c r="AK1328" s="2043"/>
      <c r="AL1328" s="2043"/>
      <c r="AM1328" s="2043"/>
      <c r="AN1328" s="2043"/>
      <c r="AO1328" s="2043"/>
      <c r="AP1328" s="2043"/>
      <c r="AQ1328" s="2043"/>
      <c r="AR1328" s="2043"/>
      <c r="AS1328" s="2043"/>
      <c r="AT1328" s="2043"/>
      <c r="AU1328" s="2043"/>
      <c r="AV1328" s="2043"/>
      <c r="AW1328" s="2043"/>
      <c r="AX1328" s="2043"/>
      <c r="AY1328" s="2043"/>
      <c r="AZ1328" s="2043"/>
      <c r="BA1328" s="2043"/>
      <c r="BB1328" s="2043"/>
      <c r="BC1328" s="2043"/>
      <c r="BD1328" s="2043"/>
      <c r="BE1328" s="2043"/>
      <c r="BF1328" s="2043"/>
      <c r="BG1328" s="2043"/>
      <c r="BH1328" s="2043"/>
      <c r="BI1328" s="2043"/>
      <c r="BJ1328" s="2043"/>
      <c r="BK1328" s="2043"/>
      <c r="BL1328" s="2043"/>
    </row>
    <row r="1329" spans="1:64" ht="15">
      <c r="A1329" s="1855"/>
      <c r="B1329" s="2043"/>
      <c r="C1329" s="2043"/>
      <c r="D1329" s="1855"/>
      <c r="E1329" s="1855"/>
      <c r="F1329" s="2113"/>
      <c r="G1329" s="2113"/>
      <c r="H1329" s="2113"/>
      <c r="I1329" s="2113"/>
      <c r="J1329" s="2046"/>
      <c r="K1329" s="2046"/>
      <c r="L1329" s="2046"/>
      <c r="M1329" s="1964"/>
      <c r="N1329" s="2113"/>
      <c r="O1329" s="2045"/>
      <c r="P1329" s="2042"/>
      <c r="Q1329" s="2043"/>
      <c r="R1329" s="2043"/>
      <c r="S1329" s="2043"/>
      <c r="T1329" s="2043"/>
      <c r="U1329" s="2043"/>
      <c r="V1329" s="2043"/>
      <c r="W1329" s="2043"/>
      <c r="X1329" s="2043"/>
      <c r="Y1329" s="2043"/>
      <c r="Z1329" s="2043"/>
      <c r="AA1329" s="2043"/>
      <c r="AB1329" s="2043"/>
      <c r="AC1329" s="2043"/>
      <c r="AD1329" s="2043"/>
      <c r="AE1329" s="2043"/>
      <c r="AF1329" s="2043"/>
      <c r="AG1329" s="2043"/>
      <c r="AH1329" s="2043"/>
      <c r="AI1329" s="2043"/>
      <c r="AJ1329" s="2043"/>
      <c r="AK1329" s="2043"/>
      <c r="AL1329" s="2043"/>
      <c r="AM1329" s="2043"/>
      <c r="AN1329" s="2043"/>
      <c r="AO1329" s="2043"/>
      <c r="AP1329" s="2043"/>
      <c r="AQ1329" s="2043"/>
      <c r="AR1329" s="2043"/>
      <c r="AS1329" s="2043"/>
      <c r="AT1329" s="2043"/>
      <c r="AU1329" s="2043"/>
      <c r="AV1329" s="2043"/>
      <c r="AW1329" s="2043"/>
      <c r="AX1329" s="2043"/>
      <c r="AY1329" s="2043"/>
      <c r="AZ1329" s="2043"/>
      <c r="BA1329" s="2043"/>
      <c r="BB1329" s="2043"/>
      <c r="BC1329" s="2043"/>
      <c r="BD1329" s="2043"/>
      <c r="BE1329" s="2043"/>
      <c r="BF1329" s="2043"/>
      <c r="BG1329" s="2043"/>
      <c r="BH1329" s="2043"/>
      <c r="BI1329" s="2043"/>
      <c r="BJ1329" s="2043"/>
      <c r="BK1329" s="2043"/>
      <c r="BL1329" s="2043"/>
    </row>
    <row r="1330" spans="1:64" ht="15">
      <c r="A1330" s="2109" t="s">
        <v>1443</v>
      </c>
      <c r="B1330" s="2110" t="s">
        <v>1802</v>
      </c>
      <c r="C1330" s="1855"/>
      <c r="D1330" s="2110"/>
      <c r="E1330" s="2110"/>
      <c r="F1330" s="1855"/>
      <c r="G1330" s="2557"/>
      <c r="H1330" s="1855"/>
      <c r="I1330" s="1855"/>
      <c r="J1330" s="1855"/>
      <c r="K1330" s="1855"/>
      <c r="L1330" s="2114" t="str">
        <f>IF(AND(O1330&gt;0,NOT($F$31="New Supply")), "Ineligible to score in this section, not New Supply!","")</f>
        <v/>
      </c>
      <c r="M1330" s="2113">
        <v>10</v>
      </c>
      <c r="N1330" s="1964"/>
      <c r="O1330" s="2042">
        <f>'Part VIII Scoring Criteria'!O179</f>
        <v>0</v>
      </c>
      <c r="P1330" s="2042">
        <f>'Part VIII Scoring Criteria'!P179</f>
        <v>0</v>
      </c>
      <c r="Q1330" s="2113" t="s">
        <v>1716</v>
      </c>
      <c r="R1330" s="2108"/>
      <c r="S1330" s="2108"/>
      <c r="T1330" s="2108"/>
      <c r="U1330" s="2108"/>
      <c r="V1330" s="2108"/>
      <c r="W1330" s="1855"/>
      <c r="X1330" s="1855"/>
      <c r="Y1330" s="1855"/>
      <c r="Z1330" s="1855"/>
      <c r="AA1330" s="1855"/>
      <c r="AB1330" s="1855"/>
      <c r="AC1330" s="1855"/>
      <c r="AD1330" s="1855"/>
      <c r="AE1330" s="1855"/>
      <c r="AF1330" s="1855"/>
      <c r="AG1330" s="1855"/>
      <c r="AH1330" s="1855"/>
      <c r="AI1330" s="1855"/>
      <c r="AJ1330" s="1855"/>
      <c r="AK1330" s="1855"/>
      <c r="AL1330" s="1855"/>
      <c r="AM1330" s="1855"/>
      <c r="AN1330" s="1855"/>
      <c r="AO1330" s="1855"/>
      <c r="AP1330" s="1855"/>
      <c r="AQ1330" s="1855"/>
      <c r="AR1330" s="1855"/>
      <c r="AS1330" s="1855"/>
      <c r="AT1330" s="1855"/>
      <c r="AU1330" s="1855"/>
      <c r="AV1330" s="1855"/>
      <c r="AW1330" s="1855"/>
      <c r="AX1330" s="1855"/>
      <c r="AY1330" s="1855"/>
      <c r="AZ1330" s="1855"/>
      <c r="BA1330" s="1855"/>
      <c r="BB1330" s="1855"/>
      <c r="BC1330" s="1855"/>
      <c r="BD1330" s="1855"/>
      <c r="BE1330" s="1855"/>
      <c r="BF1330" s="1855"/>
      <c r="BG1330" s="1855"/>
      <c r="BH1330" s="1855"/>
      <c r="BI1330" s="1855"/>
      <c r="BJ1330" s="1855"/>
      <c r="BK1330" s="1855"/>
      <c r="BL1330" s="1855"/>
    </row>
    <row r="1331" spans="1:64" ht="15">
      <c r="A1331" s="2109"/>
      <c r="B1331" s="2110"/>
      <c r="C1331" s="1855"/>
      <c r="D1331" s="2110"/>
      <c r="E1331" s="2110"/>
      <c r="F1331" s="1855"/>
      <c r="G1331" s="1855"/>
      <c r="H1331" s="1855"/>
      <c r="I1331" s="1855"/>
      <c r="J1331" s="1855"/>
      <c r="K1331" s="1855"/>
      <c r="L1331" s="1855"/>
      <c r="M1331" s="2113"/>
      <c r="N1331" s="1855"/>
      <c r="O1331" s="1855"/>
      <c r="P1331" s="1855"/>
      <c r="Q1331" s="2113"/>
      <c r="R1331" s="2108"/>
      <c r="S1331" s="2108"/>
      <c r="T1331" s="2108"/>
      <c r="U1331" s="2108"/>
      <c r="V1331" s="2108"/>
      <c r="W1331" s="2043"/>
      <c r="X1331" s="2043"/>
      <c r="Y1331" s="1855"/>
      <c r="Z1331" s="1855"/>
      <c r="AA1331" s="1855"/>
      <c r="AB1331" s="1855"/>
      <c r="AC1331" s="1855"/>
      <c r="AD1331" s="1855"/>
      <c r="AE1331" s="1855"/>
      <c r="AF1331" s="1855"/>
      <c r="AG1331" s="1855"/>
      <c r="AH1331" s="1855"/>
      <c r="AI1331" s="1855"/>
      <c r="AJ1331" s="1855"/>
      <c r="AK1331" s="1855"/>
      <c r="AL1331" s="1855"/>
      <c r="AM1331" s="1855"/>
      <c r="AN1331" s="1855"/>
      <c r="AO1331" s="1855"/>
      <c r="AP1331" s="1855"/>
      <c r="AQ1331" s="1855"/>
      <c r="AR1331" s="1855"/>
      <c r="AS1331" s="1855"/>
      <c r="AT1331" s="1855"/>
      <c r="AU1331" s="1855"/>
      <c r="AV1331" s="1855"/>
      <c r="AW1331" s="1855"/>
      <c r="AX1331" s="1855"/>
      <c r="AY1331" s="1855"/>
      <c r="AZ1331" s="1855"/>
      <c r="BA1331" s="1855"/>
      <c r="BB1331" s="1855"/>
      <c r="BC1331" s="1855"/>
      <c r="BD1331" s="1855"/>
      <c r="BE1331" s="1855"/>
      <c r="BF1331" s="1855"/>
      <c r="BG1331" s="1855"/>
      <c r="BH1331" s="1855"/>
      <c r="BI1331" s="1855"/>
      <c r="BJ1331" s="1855"/>
      <c r="BK1331" s="1855"/>
      <c r="BL1331" s="1855"/>
    </row>
    <row r="1332" spans="1:64" ht="15">
      <c r="A1332" s="2113" t="s">
        <v>194</v>
      </c>
      <c r="B1332" s="2558" t="s">
        <v>1803</v>
      </c>
      <c r="C1332" s="2043"/>
      <c r="D1332" s="2050"/>
      <c r="E1332" s="2050"/>
      <c r="F1332" s="2050"/>
      <c r="G1332" s="2050"/>
      <c r="H1332" s="2050"/>
      <c r="I1332" s="2043"/>
      <c r="J1332" s="2043"/>
      <c r="K1332" s="2043"/>
      <c r="L1332" s="2050"/>
      <c r="M1332" s="2108" t="str">
        <f>IF(AND(O1332="Yes",O1333="Yes"),"Only one category can be selected!","")</f>
        <v/>
      </c>
      <c r="N1332" s="2112"/>
      <c r="O1332" s="2113">
        <f>'Part VIII Scoring Criteria'!O181</f>
        <v>0</v>
      </c>
      <c r="P1332" s="2113"/>
      <c r="Q1332" s="1994"/>
      <c r="R1332" s="2108"/>
      <c r="S1332" s="2108"/>
      <c r="T1332" s="2108"/>
      <c r="U1332" s="2108"/>
      <c r="V1332" s="2108"/>
      <c r="W1332" s="2043"/>
      <c r="X1332" s="2043"/>
      <c r="Y1332" s="2043"/>
      <c r="Z1332" s="2043"/>
      <c r="AA1332" s="2043"/>
      <c r="AB1332" s="2043"/>
      <c r="AC1332" s="2043"/>
      <c r="AD1332" s="2043"/>
      <c r="AE1332" s="2043"/>
      <c r="AF1332" s="2043"/>
      <c r="AG1332" s="2043"/>
      <c r="AH1332" s="2043"/>
      <c r="AI1332" s="2043"/>
      <c r="AJ1332" s="2043"/>
      <c r="AK1332" s="2043"/>
      <c r="AL1332" s="2043"/>
      <c r="AM1332" s="2043"/>
      <c r="AN1332" s="2043"/>
      <c r="AO1332" s="2043"/>
      <c r="AP1332" s="2043"/>
      <c r="AQ1332" s="2043"/>
      <c r="AR1332" s="2043"/>
      <c r="AS1332" s="2043"/>
      <c r="AT1332" s="2043"/>
      <c r="AU1332" s="2043"/>
      <c r="AV1332" s="2043"/>
      <c r="AW1332" s="2043"/>
      <c r="AX1332" s="2043"/>
      <c r="AY1332" s="2043"/>
      <c r="AZ1332" s="2043"/>
      <c r="BA1332" s="2043"/>
      <c r="BB1332" s="2043"/>
      <c r="BC1332" s="2043"/>
      <c r="BD1332" s="2043"/>
      <c r="BE1332" s="2043"/>
      <c r="BF1332" s="2043"/>
      <c r="BG1332" s="2043"/>
      <c r="BH1332" s="2043"/>
      <c r="BI1332" s="2043"/>
      <c r="BJ1332" s="2043"/>
      <c r="BK1332" s="2043"/>
      <c r="BL1332" s="2043"/>
    </row>
    <row r="1333" spans="1:64" ht="15">
      <c r="A1333" s="2113" t="s">
        <v>206</v>
      </c>
      <c r="B1333" s="2558" t="s">
        <v>1804</v>
      </c>
      <c r="C1333" s="2043"/>
      <c r="D1333" s="2050"/>
      <c r="E1333" s="2043"/>
      <c r="F1333" s="2043"/>
      <c r="G1333" s="2043"/>
      <c r="H1333" s="2043"/>
      <c r="I1333" s="2043"/>
      <c r="J1333" s="2043"/>
      <c r="K1333" s="2043"/>
      <c r="L1333" s="2050"/>
      <c r="M1333" s="2108"/>
      <c r="N1333" s="2112"/>
      <c r="O1333" s="2113">
        <f>'Part VIII Scoring Criteria'!O182</f>
        <v>0</v>
      </c>
      <c r="P1333" s="2113"/>
      <c r="Q1333" s="1994"/>
      <c r="R1333" s="2108"/>
      <c r="S1333" s="2108"/>
      <c r="T1333" s="2108"/>
      <c r="U1333" s="2108"/>
      <c r="V1333" s="2108"/>
      <c r="W1333" s="2043"/>
      <c r="X1333" s="2043"/>
      <c r="Y1333" s="2043"/>
      <c r="Z1333" s="2043"/>
      <c r="AA1333" s="2043"/>
      <c r="AB1333" s="2043"/>
      <c r="AC1333" s="2043"/>
      <c r="AD1333" s="2043"/>
      <c r="AE1333" s="2043"/>
      <c r="AF1333" s="2043"/>
      <c r="AG1333" s="2043"/>
      <c r="AH1333" s="2043"/>
      <c r="AI1333" s="2043"/>
      <c r="AJ1333" s="2043"/>
      <c r="AK1333" s="2043"/>
      <c r="AL1333" s="2043"/>
      <c r="AM1333" s="2043"/>
      <c r="AN1333" s="2043"/>
      <c r="AO1333" s="2043"/>
      <c r="AP1333" s="2043"/>
      <c r="AQ1333" s="2043"/>
      <c r="AR1333" s="2043"/>
      <c r="AS1333" s="2043"/>
      <c r="AT1333" s="2043"/>
      <c r="AU1333" s="2043"/>
      <c r="AV1333" s="2043"/>
      <c r="AW1333" s="2043"/>
      <c r="AX1333" s="2043"/>
      <c r="AY1333" s="2043"/>
      <c r="AZ1333" s="2043"/>
      <c r="BA1333" s="2043"/>
      <c r="BB1333" s="2043"/>
      <c r="BC1333" s="2043"/>
      <c r="BD1333" s="2043"/>
      <c r="BE1333" s="2043"/>
      <c r="BF1333" s="2043"/>
      <c r="BG1333" s="2043"/>
      <c r="BH1333" s="2043"/>
      <c r="BI1333" s="2043"/>
      <c r="BJ1333" s="2043"/>
      <c r="BK1333" s="2043"/>
      <c r="BL1333" s="2043"/>
    </row>
    <row r="1334" spans="1:64" ht="15">
      <c r="A1334" s="1855"/>
      <c r="B1334" s="2110" t="s">
        <v>1739</v>
      </c>
      <c r="C1334" s="1855"/>
      <c r="D1334" s="1855"/>
      <c r="E1334" s="1855"/>
      <c r="F1334" s="1855"/>
      <c r="G1334" s="1855"/>
      <c r="H1334" s="1855"/>
      <c r="I1334" s="1855"/>
      <c r="J1334" s="1855"/>
      <c r="K1334" s="1855"/>
      <c r="L1334" s="2043"/>
      <c r="M1334" s="1964"/>
      <c r="N1334" s="1994"/>
      <c r="O1334" s="2042"/>
      <c r="P1334" s="2045"/>
      <c r="Q1334" s="2043"/>
      <c r="R1334" s="2108"/>
      <c r="S1334" s="2108"/>
      <c r="T1334" s="2108"/>
      <c r="U1334" s="2108"/>
      <c r="V1334" s="2108"/>
      <c r="W1334" s="2043"/>
      <c r="X1334" s="2043"/>
      <c r="Y1334" s="2043"/>
      <c r="Z1334" s="2043"/>
      <c r="AA1334" s="2043"/>
      <c r="AB1334" s="2043"/>
      <c r="AC1334" s="2043"/>
      <c r="AD1334" s="2043"/>
      <c r="AE1334" s="2043"/>
      <c r="AF1334" s="2043"/>
      <c r="AG1334" s="2043"/>
      <c r="AH1334" s="2043"/>
      <c r="AI1334" s="2043"/>
      <c r="AJ1334" s="2043"/>
      <c r="AK1334" s="2043"/>
      <c r="AL1334" s="2043"/>
      <c r="AM1334" s="2043"/>
      <c r="AN1334" s="2043"/>
      <c r="AO1334" s="2043"/>
      <c r="AP1334" s="2043"/>
      <c r="AQ1334" s="2043"/>
      <c r="AR1334" s="2043"/>
      <c r="AS1334" s="2043"/>
      <c r="AT1334" s="2043"/>
      <c r="AU1334" s="2043"/>
      <c r="AV1334" s="2043"/>
      <c r="AW1334" s="2043"/>
      <c r="AX1334" s="2043"/>
      <c r="AY1334" s="2043"/>
      <c r="AZ1334" s="2043"/>
      <c r="BA1334" s="2043"/>
      <c r="BB1334" s="2043"/>
      <c r="BC1334" s="2043"/>
      <c r="BD1334" s="2043"/>
      <c r="BE1334" s="2043"/>
      <c r="BF1334" s="2043"/>
      <c r="BG1334" s="2043"/>
      <c r="BH1334" s="2043"/>
      <c r="BI1334" s="2043"/>
      <c r="BJ1334" s="2043"/>
      <c r="BK1334" s="2043"/>
      <c r="BL1334" s="2043"/>
    </row>
    <row r="1335" spans="1:64" ht="42.75">
      <c r="A1335" s="2052" t="str">
        <f>'Part VIII Scoring Criteria'!A184</f>
        <v>NA 4% Preservation</v>
      </c>
      <c r="B1335" s="2052"/>
      <c r="C1335" s="2052"/>
      <c r="D1335" s="2052"/>
      <c r="E1335" s="2052"/>
      <c r="F1335" s="2052"/>
      <c r="G1335" s="2052"/>
      <c r="H1335" s="2052"/>
      <c r="I1335" s="2052"/>
      <c r="J1335" s="2052"/>
      <c r="K1335" s="2052"/>
      <c r="L1335" s="2052"/>
      <c r="M1335" s="2052"/>
      <c r="N1335" s="2052"/>
      <c r="O1335" s="2052"/>
      <c r="P1335" s="2052"/>
      <c r="Q1335" s="1854"/>
      <c r="R1335" s="2043"/>
      <c r="S1335" s="2043"/>
      <c r="T1335" s="2043"/>
      <c r="U1335" s="2043"/>
      <c r="V1335" s="2043"/>
      <c r="W1335" s="2043"/>
      <c r="X1335" s="2043"/>
      <c r="Y1335" s="2043"/>
      <c r="Z1335" s="2043"/>
      <c r="AA1335" s="2043"/>
      <c r="AB1335" s="2043"/>
      <c r="AC1335" s="2043"/>
      <c r="AD1335" s="2043"/>
      <c r="AE1335" s="2043"/>
      <c r="AF1335" s="2043"/>
      <c r="AG1335" s="2043"/>
      <c r="AH1335" s="2043"/>
      <c r="AI1335" s="2043"/>
      <c r="AJ1335" s="2043"/>
      <c r="AK1335" s="2043"/>
      <c r="AL1335" s="2043"/>
      <c r="AM1335" s="2043"/>
      <c r="AN1335" s="2043"/>
      <c r="AO1335" s="2043"/>
      <c r="AP1335" s="2043"/>
      <c r="AQ1335" s="2043"/>
      <c r="AR1335" s="2043"/>
      <c r="AS1335" s="2043"/>
      <c r="AT1335" s="2043"/>
      <c r="AU1335" s="2043"/>
      <c r="AV1335" s="2043"/>
      <c r="AW1335" s="2043"/>
      <c r="AX1335" s="2043"/>
      <c r="AY1335" s="2043"/>
      <c r="AZ1335" s="2043"/>
      <c r="BA1335" s="2043"/>
      <c r="BB1335" s="2043"/>
      <c r="BC1335" s="2043"/>
      <c r="BD1335" s="2043"/>
      <c r="BE1335" s="2043"/>
      <c r="BF1335" s="2043"/>
      <c r="BG1335" s="2043"/>
      <c r="BH1335" s="2043"/>
      <c r="BI1335" s="2043"/>
      <c r="BJ1335" s="2043"/>
      <c r="BK1335" s="2043"/>
      <c r="BL1335" s="2043"/>
    </row>
    <row r="1336" spans="1:64" ht="15">
      <c r="A1336" s="1855"/>
      <c r="B1336" s="2510" t="s">
        <v>1399</v>
      </c>
      <c r="C1336" s="1855"/>
      <c r="D1336" s="2510"/>
      <c r="E1336" s="2487"/>
      <c r="F1336" s="2487"/>
      <c r="G1336" s="2487"/>
      <c r="H1336" s="2487"/>
      <c r="I1336" s="2487"/>
      <c r="J1336" s="2487"/>
      <c r="K1336" s="2487"/>
      <c r="L1336" s="2487"/>
      <c r="M1336" s="2487"/>
      <c r="N1336" s="2511"/>
      <c r="O1336" s="2489"/>
      <c r="P1336" s="2113"/>
      <c r="Q1336" s="2043"/>
      <c r="R1336" s="2043"/>
      <c r="S1336" s="2043"/>
      <c r="T1336" s="2043"/>
      <c r="U1336" s="2043"/>
      <c r="V1336" s="2043"/>
      <c r="W1336" s="2043"/>
      <c r="X1336" s="2043"/>
      <c r="Y1336" s="2043"/>
      <c r="Z1336" s="2043"/>
      <c r="AA1336" s="2043"/>
      <c r="AB1336" s="2043"/>
      <c r="AC1336" s="2043"/>
      <c r="AD1336" s="2043"/>
      <c r="AE1336" s="2043"/>
      <c r="AF1336" s="2043"/>
      <c r="AG1336" s="2043"/>
      <c r="AH1336" s="2043"/>
      <c r="AI1336" s="2043"/>
      <c r="AJ1336" s="2043"/>
      <c r="AK1336" s="2043"/>
      <c r="AL1336" s="2043"/>
      <c r="AM1336" s="2043"/>
      <c r="AN1336" s="2043"/>
      <c r="AO1336" s="2043"/>
      <c r="AP1336" s="2043"/>
      <c r="AQ1336" s="2043"/>
      <c r="AR1336" s="2043"/>
      <c r="AS1336" s="2043"/>
      <c r="AT1336" s="2043"/>
      <c r="AU1336" s="2043"/>
      <c r="AV1336" s="2043"/>
      <c r="AW1336" s="2043"/>
      <c r="AX1336" s="2043"/>
      <c r="AY1336" s="2043"/>
      <c r="AZ1336" s="2043"/>
      <c r="BA1336" s="2043"/>
      <c r="BB1336" s="2043"/>
      <c r="BC1336" s="2043"/>
      <c r="BD1336" s="2043"/>
      <c r="BE1336" s="2043"/>
      <c r="BF1336" s="2043"/>
      <c r="BG1336" s="2043"/>
      <c r="BH1336" s="2043"/>
      <c r="BI1336" s="2043"/>
      <c r="BJ1336" s="2043"/>
      <c r="BK1336" s="2043"/>
      <c r="BL1336" s="2043"/>
    </row>
    <row r="1337" spans="1:64" ht="15">
      <c r="A1337" s="2052"/>
      <c r="B1337" s="2052"/>
      <c r="C1337" s="2052"/>
      <c r="D1337" s="2052"/>
      <c r="E1337" s="2052"/>
      <c r="F1337" s="2052"/>
      <c r="G1337" s="2052"/>
      <c r="H1337" s="2052"/>
      <c r="I1337" s="2052"/>
      <c r="J1337" s="2052"/>
      <c r="K1337" s="2052"/>
      <c r="L1337" s="2052"/>
      <c r="M1337" s="2052"/>
      <c r="N1337" s="2052"/>
      <c r="O1337" s="2052"/>
      <c r="P1337" s="2052"/>
      <c r="Q1337" s="1854"/>
      <c r="R1337" s="2043"/>
      <c r="S1337" s="2043"/>
      <c r="T1337" s="2043"/>
      <c r="U1337" s="2043"/>
      <c r="V1337" s="2043"/>
      <c r="W1337" s="2043"/>
      <c r="X1337" s="2043"/>
      <c r="Y1337" s="2043"/>
      <c r="Z1337" s="2043"/>
      <c r="AA1337" s="2043"/>
      <c r="AB1337" s="2043"/>
      <c r="AC1337" s="2043"/>
      <c r="AD1337" s="2043"/>
      <c r="AE1337" s="2043"/>
      <c r="AF1337" s="2043"/>
      <c r="AG1337" s="2043"/>
      <c r="AH1337" s="2043"/>
      <c r="AI1337" s="2043"/>
      <c r="AJ1337" s="2043"/>
      <c r="AK1337" s="2043"/>
      <c r="AL1337" s="2043"/>
      <c r="AM1337" s="2043"/>
      <c r="AN1337" s="2043"/>
      <c r="AO1337" s="2043"/>
      <c r="AP1337" s="2043"/>
      <c r="AQ1337" s="2043"/>
      <c r="AR1337" s="2043"/>
      <c r="AS1337" s="2043"/>
      <c r="AT1337" s="2043"/>
      <c r="AU1337" s="2043"/>
      <c r="AV1337" s="2043"/>
      <c r="AW1337" s="2043"/>
      <c r="AX1337" s="2043"/>
      <c r="AY1337" s="2043"/>
      <c r="AZ1337" s="2043"/>
      <c r="BA1337" s="2043"/>
      <c r="BB1337" s="2043"/>
      <c r="BC1337" s="2043"/>
      <c r="BD1337" s="2043"/>
      <c r="BE1337" s="2043"/>
      <c r="BF1337" s="2043"/>
      <c r="BG1337" s="2043"/>
      <c r="BH1337" s="2043"/>
      <c r="BI1337" s="2043"/>
      <c r="BJ1337" s="2043"/>
      <c r="BK1337" s="2043"/>
      <c r="BL1337" s="2043"/>
    </row>
    <row r="1338" spans="1:64" ht="15">
      <c r="A1338" s="1855"/>
      <c r="B1338" s="2043"/>
      <c r="C1338" s="2043"/>
      <c r="D1338" s="1855"/>
      <c r="E1338" s="1855"/>
      <c r="F1338" s="2113"/>
      <c r="G1338" s="2113"/>
      <c r="H1338" s="2113"/>
      <c r="I1338" s="2113"/>
      <c r="J1338" s="2046"/>
      <c r="K1338" s="2046"/>
      <c r="L1338" s="2046"/>
      <c r="M1338" s="1964"/>
      <c r="N1338" s="2113"/>
      <c r="O1338" s="2045"/>
      <c r="P1338" s="2042"/>
      <c r="Q1338" s="2043"/>
      <c r="R1338" s="2043"/>
      <c r="S1338" s="2043"/>
      <c r="T1338" s="2043"/>
      <c r="U1338" s="2043"/>
      <c r="V1338" s="2043"/>
      <c r="W1338" s="2043"/>
      <c r="X1338" s="2043"/>
      <c r="Y1338" s="2043"/>
      <c r="Z1338" s="2043"/>
      <c r="AA1338" s="2043"/>
      <c r="AB1338" s="2043"/>
      <c r="AC1338" s="2043"/>
      <c r="AD1338" s="2043"/>
      <c r="AE1338" s="2043"/>
      <c r="AF1338" s="2043"/>
      <c r="AG1338" s="2043"/>
      <c r="AH1338" s="2043"/>
      <c r="AI1338" s="2043"/>
      <c r="AJ1338" s="2043"/>
      <c r="AK1338" s="2043"/>
      <c r="AL1338" s="2043"/>
      <c r="AM1338" s="2043"/>
      <c r="AN1338" s="2043"/>
      <c r="AO1338" s="2043"/>
      <c r="AP1338" s="2043"/>
      <c r="AQ1338" s="2043"/>
      <c r="AR1338" s="2043"/>
      <c r="AS1338" s="2043"/>
      <c r="AT1338" s="2043"/>
      <c r="AU1338" s="2043"/>
      <c r="AV1338" s="2043"/>
      <c r="AW1338" s="2043"/>
      <c r="AX1338" s="2043"/>
      <c r="AY1338" s="2043"/>
      <c r="AZ1338" s="2043"/>
      <c r="BA1338" s="2043"/>
      <c r="BB1338" s="2043"/>
      <c r="BC1338" s="2043"/>
      <c r="BD1338" s="2043"/>
      <c r="BE1338" s="2043"/>
      <c r="BF1338" s="2043"/>
      <c r="BG1338" s="2043"/>
      <c r="BH1338" s="2043"/>
      <c r="BI1338" s="2043"/>
      <c r="BJ1338" s="2043"/>
      <c r="BK1338" s="2043"/>
      <c r="BL1338" s="2043"/>
    </row>
    <row r="1339" spans="1:64" ht="15">
      <c r="A1339" s="1855"/>
      <c r="B1339" s="2043"/>
      <c r="C1339" s="2043"/>
      <c r="D1339" s="1855"/>
      <c r="E1339" s="1855"/>
      <c r="F1339" s="2113"/>
      <c r="G1339" s="2113"/>
      <c r="H1339" s="2113"/>
      <c r="I1339" s="2113"/>
      <c r="J1339" s="2046"/>
      <c r="K1339" s="2046"/>
      <c r="L1339" s="2046"/>
      <c r="M1339" s="1964"/>
      <c r="N1339" s="2113"/>
      <c r="O1339" s="2045"/>
      <c r="P1339" s="2042"/>
      <c r="Q1339" s="2043"/>
      <c r="R1339" s="2043"/>
      <c r="S1339" s="2043"/>
      <c r="T1339" s="2043"/>
      <c r="U1339" s="2043"/>
      <c r="V1339" s="2043"/>
      <c r="W1339" s="2043"/>
      <c r="X1339" s="2043"/>
      <c r="Y1339" s="2043"/>
      <c r="Z1339" s="2043"/>
      <c r="AA1339" s="2043"/>
      <c r="AB1339" s="2043"/>
      <c r="AC1339" s="2043"/>
      <c r="AD1339" s="2043"/>
      <c r="AE1339" s="2043"/>
      <c r="AF1339" s="2043"/>
      <c r="AG1339" s="2043"/>
      <c r="AH1339" s="2043"/>
      <c r="AI1339" s="2043"/>
      <c r="AJ1339" s="2043"/>
      <c r="AK1339" s="2043"/>
      <c r="AL1339" s="2043"/>
      <c r="AM1339" s="2043"/>
      <c r="AN1339" s="2043"/>
      <c r="AO1339" s="2043"/>
      <c r="AP1339" s="2043"/>
      <c r="AQ1339" s="2043"/>
      <c r="AR1339" s="2043"/>
      <c r="AS1339" s="2043"/>
      <c r="AT1339" s="2043"/>
      <c r="AU1339" s="2043"/>
      <c r="AV1339" s="2043"/>
      <c r="AW1339" s="2043"/>
      <c r="AX1339" s="2043"/>
      <c r="AY1339" s="2043"/>
      <c r="AZ1339" s="2043"/>
      <c r="BA1339" s="2043"/>
      <c r="BB1339" s="2043"/>
      <c r="BC1339" s="2043"/>
      <c r="BD1339" s="2043"/>
      <c r="BE1339" s="2043"/>
      <c r="BF1339" s="2043"/>
      <c r="BG1339" s="2043"/>
      <c r="BH1339" s="2043"/>
      <c r="BI1339" s="2043"/>
      <c r="BJ1339" s="2043"/>
      <c r="BK1339" s="2043"/>
      <c r="BL1339" s="2043"/>
    </row>
    <row r="1340" spans="1:64" ht="15">
      <c r="A1340" s="2109" t="s">
        <v>1449</v>
      </c>
      <c r="B1340" s="2110" t="s">
        <v>1805</v>
      </c>
      <c r="C1340" s="2043"/>
      <c r="D1340" s="2043"/>
      <c r="E1340" s="2503" t="str">
        <f>IF(AND(O1340&gt;0,NOT($F$31="New Supply")), "Ineligible to score in this section, not New Supply!","")</f>
        <v/>
      </c>
      <c r="F1340" s="2043"/>
      <c r="G1340" s="2043"/>
      <c r="H1340" s="2043"/>
      <c r="I1340" s="2043"/>
      <c r="J1340" s="2043"/>
      <c r="K1340" s="2043"/>
      <c r="L1340" s="2559" t="str">
        <f>IF(AND(O1340&gt;0, NOT(O1341="Yes")), "These points are only available to Phased Developments!", "")</f>
        <v/>
      </c>
      <c r="M1340" s="2113">
        <v>3</v>
      </c>
      <c r="N1340" s="1964"/>
      <c r="O1340" s="2042">
        <f>'Part VIII Scoring Criteria'!O189</f>
        <v>0</v>
      </c>
      <c r="P1340" s="2042">
        <f>'Part VIII Scoring Criteria'!P189</f>
        <v>0</v>
      </c>
      <c r="Q1340" s="2113" t="s">
        <v>1716</v>
      </c>
      <c r="R1340" s="2503"/>
      <c r="S1340" s="2108"/>
      <c r="T1340" s="2108"/>
      <c r="U1340" s="2108"/>
      <c r="V1340" s="2108"/>
      <c r="W1340" s="2051"/>
      <c r="X1340" s="2051"/>
      <c r="Y1340" s="2043"/>
      <c r="Z1340" s="2043"/>
      <c r="AA1340" s="2043"/>
      <c r="AB1340" s="2043"/>
      <c r="AC1340" s="2043"/>
      <c r="AD1340" s="2043"/>
      <c r="AE1340" s="2043"/>
      <c r="AF1340" s="2043"/>
      <c r="AG1340" s="2043"/>
      <c r="AH1340" s="2043"/>
      <c r="AI1340" s="2043"/>
      <c r="AJ1340" s="2043"/>
      <c r="AK1340" s="2043"/>
      <c r="AL1340" s="2043"/>
      <c r="AM1340" s="2043"/>
      <c r="AN1340" s="2043"/>
      <c r="AO1340" s="2043"/>
      <c r="AP1340" s="2043"/>
      <c r="AQ1340" s="2043"/>
      <c r="AR1340" s="2043"/>
      <c r="AS1340" s="2043"/>
      <c r="AT1340" s="2043"/>
      <c r="AU1340" s="2043"/>
      <c r="AV1340" s="2043"/>
      <c r="AW1340" s="2043"/>
      <c r="AX1340" s="2043"/>
      <c r="AY1340" s="2043"/>
      <c r="AZ1340" s="2043"/>
      <c r="BA1340" s="2043"/>
      <c r="BB1340" s="2043"/>
      <c r="BC1340" s="2043"/>
      <c r="BD1340" s="2043"/>
      <c r="BE1340" s="2043"/>
      <c r="BF1340" s="2043"/>
      <c r="BG1340" s="2043"/>
      <c r="BH1340" s="2043"/>
      <c r="BI1340" s="2043"/>
      <c r="BJ1340" s="2043"/>
      <c r="BK1340" s="2043"/>
      <c r="BL1340" s="2043"/>
    </row>
    <row r="1341" spans="1:64" ht="15" customHeight="1">
      <c r="A1341" s="2524"/>
      <c r="B1341" s="2049" t="s">
        <v>1806</v>
      </c>
      <c r="C1341" s="2049"/>
      <c r="D1341" s="2049"/>
      <c r="E1341" s="2049"/>
      <c r="F1341" s="2049"/>
      <c r="G1341" s="1994" t="s">
        <v>1807</v>
      </c>
      <c r="H1341" s="2043" t="s">
        <v>52</v>
      </c>
      <c r="I1341" s="2043"/>
      <c r="J1341" s="2043"/>
      <c r="K1341" s="2111" t="s">
        <v>1808</v>
      </c>
      <c r="L1341" s="2111"/>
      <c r="M1341" s="2111"/>
      <c r="N1341" s="2509"/>
      <c r="O1341" s="2113">
        <f>'Part VIII Scoring Criteria'!O190</f>
        <v>0</v>
      </c>
      <c r="P1341" s="2531"/>
      <c r="Q1341" s="2052"/>
      <c r="R1341" s="2052"/>
      <c r="S1341" s="2052"/>
      <c r="T1341" s="2052"/>
      <c r="U1341" s="2052"/>
      <c r="V1341" s="2052"/>
      <c r="W1341" s="2052"/>
      <c r="X1341" s="2052"/>
      <c r="Y1341" s="2052"/>
      <c r="Z1341" s="2052"/>
      <c r="AA1341" s="2052"/>
      <c r="AB1341" s="2043"/>
      <c r="AC1341" s="2043"/>
      <c r="AD1341" s="2043"/>
      <c r="AE1341" s="2043"/>
      <c r="AF1341" s="2043"/>
      <c r="AG1341" s="2043"/>
      <c r="AH1341" s="2043"/>
      <c r="AI1341" s="2043"/>
      <c r="AJ1341" s="2043"/>
      <c r="AK1341" s="2043"/>
      <c r="AL1341" s="2043"/>
      <c r="AM1341" s="2043"/>
      <c r="AN1341" s="2043"/>
      <c r="AO1341" s="2043"/>
      <c r="AP1341" s="2043"/>
      <c r="AQ1341" s="2043"/>
      <c r="AR1341" s="2043"/>
      <c r="AS1341" s="2043"/>
      <c r="AT1341" s="2043"/>
      <c r="AU1341" s="2043"/>
      <c r="AV1341" s="2043"/>
      <c r="AW1341" s="2043"/>
      <c r="AX1341" s="2043"/>
      <c r="AY1341" s="2043"/>
      <c r="AZ1341" s="2043"/>
      <c r="BA1341" s="2043"/>
      <c r="BB1341" s="2043"/>
      <c r="BC1341" s="2043"/>
      <c r="BD1341" s="2043"/>
      <c r="BE1341" s="2043"/>
      <c r="BF1341" s="2043"/>
      <c r="BG1341" s="2043"/>
      <c r="BH1341" s="2043"/>
      <c r="BI1341" s="2043"/>
      <c r="BJ1341" s="2043"/>
      <c r="BK1341" s="2043"/>
      <c r="BL1341" s="2043"/>
    </row>
    <row r="1342" spans="1:64" ht="15">
      <c r="A1342" s="2524"/>
      <c r="B1342" s="2524"/>
      <c r="C1342" s="2043"/>
      <c r="D1342" s="2044" t="s">
        <v>1809</v>
      </c>
      <c r="E1342" s="2043"/>
      <c r="F1342" s="2043"/>
      <c r="G1342" s="1964">
        <f>'Part VIII Scoring Criteria'!G191</f>
        <v>0</v>
      </c>
      <c r="H1342" s="1855">
        <f>'Part VIII Scoring Criteria'!H191</f>
        <v>0</v>
      </c>
      <c r="I1342" s="1855"/>
      <c r="J1342" s="1855"/>
      <c r="K1342" s="2560">
        <f>'Part VIII Scoring Criteria'!K191</f>
        <v>0</v>
      </c>
      <c r="L1342" s="2560"/>
      <c r="M1342" s="2560"/>
      <c r="N1342" s="2509"/>
      <c r="O1342" s="2531"/>
      <c r="P1342" s="2531"/>
      <c r="Q1342" s="2052"/>
      <c r="R1342" s="2052"/>
      <c r="S1342" s="2052"/>
      <c r="T1342" s="2052"/>
      <c r="U1342" s="2052"/>
      <c r="V1342" s="2052"/>
      <c r="W1342" s="2052"/>
      <c r="X1342" s="2052"/>
      <c r="Y1342" s="2052"/>
      <c r="Z1342" s="2052"/>
      <c r="AA1342" s="2052"/>
      <c r="AB1342" s="2043"/>
      <c r="AC1342" s="2043"/>
      <c r="AD1342" s="2043"/>
      <c r="AE1342" s="2043"/>
      <c r="AF1342" s="2043"/>
      <c r="AG1342" s="2043"/>
      <c r="AH1342" s="2043"/>
      <c r="AI1342" s="2043"/>
      <c r="AJ1342" s="2043"/>
      <c r="AK1342" s="2043"/>
      <c r="AL1342" s="2043"/>
      <c r="AM1342" s="2043"/>
      <c r="AN1342" s="2043"/>
      <c r="AO1342" s="2043"/>
      <c r="AP1342" s="2043"/>
      <c r="AQ1342" s="2043"/>
      <c r="AR1342" s="2043"/>
      <c r="AS1342" s="2043"/>
      <c r="AT1342" s="2043"/>
      <c r="AU1342" s="2043"/>
      <c r="AV1342" s="2043"/>
      <c r="AW1342" s="2043"/>
      <c r="AX1342" s="2043"/>
      <c r="AY1342" s="2043"/>
      <c r="AZ1342" s="2043"/>
      <c r="BA1342" s="2043"/>
      <c r="BB1342" s="2043"/>
      <c r="BC1342" s="2043"/>
      <c r="BD1342" s="2043"/>
      <c r="BE1342" s="2043"/>
      <c r="BF1342" s="2043"/>
      <c r="BG1342" s="2043"/>
      <c r="BH1342" s="2043"/>
      <c r="BI1342" s="2043"/>
      <c r="BJ1342" s="2043"/>
      <c r="BK1342" s="2043"/>
      <c r="BL1342" s="2043"/>
    </row>
    <row r="1343" spans="1:64" ht="15">
      <c r="A1343" s="2541"/>
      <c r="B1343" s="2524"/>
      <c r="C1343" s="1855"/>
      <c r="D1343" s="2046" t="s">
        <v>1810</v>
      </c>
      <c r="E1343" s="1855"/>
      <c r="F1343" s="1855"/>
      <c r="G1343" s="1964">
        <f>'Part VIII Scoring Criteria'!G192</f>
        <v>0</v>
      </c>
      <c r="H1343" s="1855">
        <f>'Part VIII Scoring Criteria'!H192</f>
        <v>0</v>
      </c>
      <c r="I1343" s="1855"/>
      <c r="J1343" s="1855"/>
      <c r="K1343" s="2560">
        <f>'Part VIII Scoring Criteria'!K192</f>
        <v>0</v>
      </c>
      <c r="L1343" s="2560"/>
      <c r="M1343" s="2560"/>
      <c r="N1343" s="1855"/>
      <c r="O1343" s="1855"/>
      <c r="P1343" s="1855"/>
      <c r="Q1343" s="1855"/>
      <c r="R1343" s="1855"/>
      <c r="S1343" s="1855"/>
      <c r="T1343" s="1855"/>
      <c r="U1343" s="1855"/>
      <c r="V1343" s="1855"/>
      <c r="W1343" s="1855"/>
      <c r="X1343" s="1855"/>
      <c r="Y1343" s="1855"/>
      <c r="Z1343" s="1855"/>
      <c r="AA1343" s="1855"/>
      <c r="AB1343" s="1855"/>
      <c r="AC1343" s="1855"/>
      <c r="AD1343" s="1855"/>
      <c r="AE1343" s="1855"/>
      <c r="AF1343" s="1855"/>
      <c r="AG1343" s="1855"/>
      <c r="AH1343" s="1855"/>
      <c r="AI1343" s="1855"/>
      <c r="AJ1343" s="1855"/>
      <c r="AK1343" s="1855"/>
      <c r="AL1343" s="1855"/>
      <c r="AM1343" s="1855"/>
      <c r="AN1343" s="1855"/>
      <c r="AO1343" s="1855"/>
      <c r="AP1343" s="1855"/>
      <c r="AQ1343" s="1855"/>
      <c r="AR1343" s="1855"/>
      <c r="AS1343" s="1855"/>
      <c r="AT1343" s="1855"/>
      <c r="AU1343" s="1855"/>
      <c r="AV1343" s="1855"/>
      <c r="AW1343" s="1855"/>
      <c r="AX1343" s="1855"/>
      <c r="AY1343" s="1855"/>
      <c r="AZ1343" s="1855"/>
      <c r="BA1343" s="1855"/>
      <c r="BB1343" s="1855"/>
      <c r="BC1343" s="1855"/>
      <c r="BD1343" s="1855"/>
      <c r="BE1343" s="1855"/>
      <c r="BF1343" s="1855"/>
      <c r="BG1343" s="1855"/>
      <c r="BH1343" s="1855"/>
      <c r="BI1343" s="1855"/>
      <c r="BJ1343" s="1855"/>
      <c r="BK1343" s="1855"/>
      <c r="BL1343" s="1855"/>
    </row>
    <row r="1344" spans="1:64" ht="15">
      <c r="A1344" s="1855"/>
      <c r="B1344" s="2043"/>
      <c r="C1344" s="2043"/>
      <c r="D1344" s="1855"/>
      <c r="E1344" s="1855"/>
      <c r="F1344" s="2113"/>
      <c r="G1344" s="2113"/>
      <c r="H1344" s="2113"/>
      <c r="I1344" s="2113"/>
      <c r="J1344" s="2046"/>
      <c r="K1344" s="2046"/>
      <c r="L1344" s="2046"/>
      <c r="M1344" s="1964"/>
      <c r="N1344" s="2113"/>
      <c r="O1344" s="2045"/>
      <c r="P1344" s="2042"/>
      <c r="Q1344" s="2043"/>
      <c r="R1344" s="2043"/>
      <c r="S1344" s="2043"/>
      <c r="T1344" s="2043"/>
      <c r="U1344" s="2043"/>
      <c r="V1344" s="2043"/>
      <c r="W1344" s="2043"/>
      <c r="X1344" s="2043"/>
      <c r="Y1344" s="2043"/>
      <c r="Z1344" s="2043"/>
      <c r="AA1344" s="2043"/>
      <c r="AB1344" s="2043"/>
      <c r="AC1344" s="2043"/>
      <c r="AD1344" s="2043"/>
      <c r="AE1344" s="2043"/>
      <c r="AF1344" s="2043"/>
      <c r="AG1344" s="2043"/>
      <c r="AH1344" s="2043"/>
      <c r="AI1344" s="2043"/>
      <c r="AJ1344" s="2043"/>
      <c r="AK1344" s="2043"/>
      <c r="AL1344" s="2043"/>
      <c r="AM1344" s="2043"/>
      <c r="AN1344" s="2043"/>
      <c r="AO1344" s="2043"/>
      <c r="AP1344" s="2043"/>
      <c r="AQ1344" s="2043"/>
      <c r="AR1344" s="2043"/>
      <c r="AS1344" s="2043"/>
      <c r="AT1344" s="2043"/>
      <c r="AU1344" s="2043"/>
      <c r="AV1344" s="2043"/>
      <c r="AW1344" s="2043"/>
      <c r="AX1344" s="2043"/>
      <c r="AY1344" s="2043"/>
      <c r="AZ1344" s="2043"/>
      <c r="BA1344" s="2043"/>
      <c r="BB1344" s="2043"/>
      <c r="BC1344" s="2043"/>
      <c r="BD1344" s="2043"/>
      <c r="BE1344" s="2043"/>
      <c r="BF1344" s="2043"/>
      <c r="BG1344" s="2043"/>
      <c r="BH1344" s="2043"/>
      <c r="BI1344" s="2043"/>
      <c r="BJ1344" s="2043"/>
      <c r="BK1344" s="2043"/>
      <c r="BL1344" s="2043"/>
    </row>
    <row r="1345" spans="1:64" ht="15">
      <c r="A1345" s="1855"/>
      <c r="B1345" s="2110" t="s">
        <v>1739</v>
      </c>
      <c r="C1345" s="1855"/>
      <c r="D1345" s="1855"/>
      <c r="E1345" s="1855"/>
      <c r="F1345" s="1855"/>
      <c r="G1345" s="1855"/>
      <c r="H1345" s="1855"/>
      <c r="I1345" s="1855"/>
      <c r="J1345" s="1855"/>
      <c r="K1345" s="1855"/>
      <c r="L1345" s="2043"/>
      <c r="M1345" s="1964"/>
      <c r="N1345" s="1994"/>
      <c r="O1345" s="2042"/>
      <c r="P1345" s="2045"/>
      <c r="Q1345" s="2043"/>
      <c r="R1345" s="2043"/>
      <c r="S1345" s="2043"/>
      <c r="T1345" s="2043"/>
      <c r="U1345" s="2043"/>
      <c r="V1345" s="2043"/>
      <c r="W1345" s="2043"/>
      <c r="X1345" s="2043"/>
      <c r="Y1345" s="2043"/>
      <c r="Z1345" s="2043"/>
      <c r="AA1345" s="2043"/>
      <c r="AB1345" s="2043"/>
      <c r="AC1345" s="2043"/>
      <c r="AD1345" s="2043"/>
      <c r="AE1345" s="2043"/>
      <c r="AF1345" s="2043"/>
      <c r="AG1345" s="2043"/>
      <c r="AH1345" s="2043"/>
      <c r="AI1345" s="2043"/>
      <c r="AJ1345" s="2043"/>
      <c r="AK1345" s="2043"/>
      <c r="AL1345" s="2043"/>
      <c r="AM1345" s="2043"/>
      <c r="AN1345" s="2043"/>
      <c r="AO1345" s="2043"/>
      <c r="AP1345" s="2043"/>
      <c r="AQ1345" s="2043"/>
      <c r="AR1345" s="2043"/>
      <c r="AS1345" s="2043"/>
      <c r="AT1345" s="2043"/>
      <c r="AU1345" s="2043"/>
      <c r="AV1345" s="2043"/>
      <c r="AW1345" s="2043"/>
      <c r="AX1345" s="2043"/>
      <c r="AY1345" s="2043"/>
      <c r="AZ1345" s="2043"/>
      <c r="BA1345" s="2043"/>
      <c r="BB1345" s="2043"/>
      <c r="BC1345" s="2043"/>
      <c r="BD1345" s="2043"/>
      <c r="BE1345" s="2043"/>
      <c r="BF1345" s="2043"/>
      <c r="BG1345" s="2043"/>
      <c r="BH1345" s="2043"/>
      <c r="BI1345" s="2043"/>
      <c r="BJ1345" s="2043"/>
      <c r="BK1345" s="2043"/>
      <c r="BL1345" s="2043"/>
    </row>
    <row r="1346" spans="1:64" ht="15">
      <c r="A1346" s="2052">
        <f>'Part VIII Scoring Criteria'!A195</f>
        <v>0</v>
      </c>
      <c r="B1346" s="2052"/>
      <c r="C1346" s="2052"/>
      <c r="D1346" s="2052"/>
      <c r="E1346" s="2052"/>
      <c r="F1346" s="2052"/>
      <c r="G1346" s="2052"/>
      <c r="H1346" s="2052"/>
      <c r="I1346" s="2052"/>
      <c r="J1346" s="2052"/>
      <c r="K1346" s="2052"/>
      <c r="L1346" s="2052"/>
      <c r="M1346" s="2052"/>
      <c r="N1346" s="2052"/>
      <c r="O1346" s="2052"/>
      <c r="P1346" s="2052"/>
      <c r="Q1346" s="1854"/>
      <c r="R1346" s="2043"/>
      <c r="S1346" s="2043"/>
      <c r="T1346" s="2043"/>
      <c r="U1346" s="2043"/>
      <c r="V1346" s="2043"/>
      <c r="W1346" s="2043"/>
      <c r="X1346" s="2043"/>
      <c r="Y1346" s="2043"/>
      <c r="Z1346" s="2043"/>
      <c r="AA1346" s="2043"/>
      <c r="AB1346" s="2043"/>
      <c r="AC1346" s="2043"/>
      <c r="AD1346" s="2043"/>
      <c r="AE1346" s="2043"/>
      <c r="AF1346" s="2043"/>
      <c r="AG1346" s="2043"/>
      <c r="AH1346" s="2043"/>
      <c r="AI1346" s="2043"/>
      <c r="AJ1346" s="2043"/>
      <c r="AK1346" s="2043"/>
      <c r="AL1346" s="2043"/>
      <c r="AM1346" s="2043"/>
      <c r="AN1346" s="2043"/>
      <c r="AO1346" s="2043"/>
      <c r="AP1346" s="2043"/>
      <c r="AQ1346" s="2043"/>
      <c r="AR1346" s="2043"/>
      <c r="AS1346" s="2043"/>
      <c r="AT1346" s="2043"/>
      <c r="AU1346" s="2043"/>
      <c r="AV1346" s="2043"/>
      <c r="AW1346" s="2043"/>
      <c r="AX1346" s="2043"/>
      <c r="AY1346" s="2043"/>
      <c r="AZ1346" s="2043"/>
      <c r="BA1346" s="2043"/>
      <c r="BB1346" s="2043"/>
      <c r="BC1346" s="2043"/>
      <c r="BD1346" s="2043"/>
      <c r="BE1346" s="2043"/>
      <c r="BF1346" s="2043"/>
      <c r="BG1346" s="2043"/>
      <c r="BH1346" s="2043"/>
      <c r="BI1346" s="2043"/>
      <c r="BJ1346" s="2043"/>
      <c r="BK1346" s="2043"/>
      <c r="BL1346" s="2043"/>
    </row>
    <row r="1347" spans="1:64" ht="15">
      <c r="A1347" s="2043"/>
      <c r="B1347" s="2510" t="s">
        <v>1399</v>
      </c>
      <c r="C1347" s="1855"/>
      <c r="D1347" s="2510"/>
      <c r="E1347" s="2487"/>
      <c r="F1347" s="2487"/>
      <c r="G1347" s="2487"/>
      <c r="H1347" s="2487"/>
      <c r="I1347" s="2487"/>
      <c r="J1347" s="2487"/>
      <c r="K1347" s="2487"/>
      <c r="L1347" s="2487"/>
      <c r="M1347" s="2487"/>
      <c r="N1347" s="2511"/>
      <c r="O1347" s="2489"/>
      <c r="P1347" s="2113"/>
      <c r="Q1347" s="2043"/>
      <c r="R1347" s="2043"/>
      <c r="S1347" s="2043"/>
      <c r="T1347" s="2043"/>
      <c r="U1347" s="2043"/>
      <c r="V1347" s="2043"/>
      <c r="W1347" s="2043"/>
      <c r="X1347" s="2043"/>
      <c r="Y1347" s="2043"/>
      <c r="Z1347" s="2043"/>
      <c r="AA1347" s="2043"/>
      <c r="AB1347" s="2043"/>
      <c r="AC1347" s="2043"/>
      <c r="AD1347" s="2043"/>
      <c r="AE1347" s="2043"/>
      <c r="AF1347" s="2043"/>
      <c r="AG1347" s="2043"/>
      <c r="AH1347" s="2043"/>
      <c r="AI1347" s="2043"/>
      <c r="AJ1347" s="2043"/>
      <c r="AK1347" s="2043"/>
      <c r="AL1347" s="2043"/>
      <c r="AM1347" s="2043"/>
      <c r="AN1347" s="2043"/>
      <c r="AO1347" s="2043"/>
      <c r="AP1347" s="2043"/>
      <c r="AQ1347" s="2043"/>
      <c r="AR1347" s="2043"/>
      <c r="AS1347" s="2043"/>
      <c r="AT1347" s="2043"/>
      <c r="AU1347" s="2043"/>
      <c r="AV1347" s="2043"/>
      <c r="AW1347" s="2043"/>
      <c r="AX1347" s="2043"/>
      <c r="AY1347" s="2043"/>
      <c r="AZ1347" s="2043"/>
      <c r="BA1347" s="2043"/>
      <c r="BB1347" s="2043"/>
      <c r="BC1347" s="2043"/>
      <c r="BD1347" s="2043"/>
      <c r="BE1347" s="2043"/>
      <c r="BF1347" s="2043"/>
      <c r="BG1347" s="2043"/>
      <c r="BH1347" s="2043"/>
      <c r="BI1347" s="2043"/>
      <c r="BJ1347" s="2043"/>
      <c r="BK1347" s="2043"/>
      <c r="BL1347" s="2043"/>
    </row>
    <row r="1348" spans="1:64" ht="15">
      <c r="A1348" s="2052"/>
      <c r="B1348" s="2052"/>
      <c r="C1348" s="2052"/>
      <c r="D1348" s="2052"/>
      <c r="E1348" s="2052"/>
      <c r="F1348" s="2052"/>
      <c r="G1348" s="2052"/>
      <c r="H1348" s="2052"/>
      <c r="I1348" s="2052"/>
      <c r="J1348" s="2052"/>
      <c r="K1348" s="2052"/>
      <c r="L1348" s="2052"/>
      <c r="M1348" s="2052"/>
      <c r="N1348" s="2052"/>
      <c r="O1348" s="2052"/>
      <c r="P1348" s="2052"/>
      <c r="Q1348" s="1854"/>
      <c r="R1348" s="2043"/>
      <c r="S1348" s="2043"/>
      <c r="T1348" s="2043"/>
      <c r="U1348" s="2043"/>
      <c r="V1348" s="2043"/>
      <c r="W1348" s="2043"/>
      <c r="X1348" s="2043"/>
      <c r="Y1348" s="2043"/>
      <c r="Z1348" s="2043"/>
      <c r="AA1348" s="2043"/>
      <c r="AB1348" s="2043"/>
      <c r="AC1348" s="2043"/>
      <c r="AD1348" s="2043"/>
      <c r="AE1348" s="2043"/>
      <c r="AF1348" s="2043"/>
      <c r="AG1348" s="2043"/>
      <c r="AH1348" s="2043"/>
      <c r="AI1348" s="2043"/>
      <c r="AJ1348" s="2043"/>
      <c r="AK1348" s="2043"/>
      <c r="AL1348" s="2043"/>
      <c r="AM1348" s="2043"/>
      <c r="AN1348" s="2043"/>
      <c r="AO1348" s="2043"/>
      <c r="AP1348" s="2043"/>
      <c r="AQ1348" s="2043"/>
      <c r="AR1348" s="2043"/>
      <c r="AS1348" s="2043"/>
      <c r="AT1348" s="2043"/>
      <c r="AU1348" s="2043"/>
      <c r="AV1348" s="2043"/>
      <c r="AW1348" s="2043"/>
      <c r="AX1348" s="2043"/>
      <c r="AY1348" s="2043"/>
      <c r="AZ1348" s="2043"/>
      <c r="BA1348" s="2043"/>
      <c r="BB1348" s="2043"/>
      <c r="BC1348" s="2043"/>
      <c r="BD1348" s="2043"/>
      <c r="BE1348" s="2043"/>
      <c r="BF1348" s="2043"/>
      <c r="BG1348" s="2043"/>
      <c r="BH1348" s="2043"/>
      <c r="BI1348" s="2043"/>
      <c r="BJ1348" s="2043"/>
      <c r="BK1348" s="2043"/>
      <c r="BL1348" s="2043"/>
    </row>
    <row r="1349" spans="1:64" ht="15">
      <c r="A1349" s="1855"/>
      <c r="B1349" s="2043"/>
      <c r="C1349" s="2043"/>
      <c r="D1349" s="1855"/>
      <c r="E1349" s="1855"/>
      <c r="F1349" s="2113"/>
      <c r="G1349" s="2113"/>
      <c r="H1349" s="2113"/>
      <c r="I1349" s="2113"/>
      <c r="J1349" s="2046"/>
      <c r="K1349" s="2046"/>
      <c r="L1349" s="2046"/>
      <c r="M1349" s="1964"/>
      <c r="N1349" s="2113"/>
      <c r="O1349" s="2045"/>
      <c r="P1349" s="2042"/>
      <c r="Q1349" s="2043"/>
      <c r="R1349" s="2043"/>
      <c r="S1349" s="2043"/>
      <c r="T1349" s="2043"/>
      <c r="U1349" s="2043"/>
      <c r="V1349" s="2043"/>
      <c r="W1349" s="2043"/>
      <c r="X1349" s="2043"/>
      <c r="Y1349" s="2043"/>
      <c r="Z1349" s="2043"/>
      <c r="AA1349" s="2043"/>
      <c r="AB1349" s="2043"/>
      <c r="AC1349" s="2043"/>
      <c r="AD1349" s="2043"/>
      <c r="AE1349" s="2043"/>
      <c r="AF1349" s="2043"/>
      <c r="AG1349" s="2043"/>
      <c r="AH1349" s="2043"/>
      <c r="AI1349" s="2043"/>
      <c r="AJ1349" s="2043"/>
      <c r="AK1349" s="2043"/>
      <c r="AL1349" s="2043"/>
      <c r="AM1349" s="2043"/>
      <c r="AN1349" s="2043"/>
      <c r="AO1349" s="2043"/>
      <c r="AP1349" s="2043"/>
      <c r="AQ1349" s="2043"/>
      <c r="AR1349" s="2043"/>
      <c r="AS1349" s="2043"/>
      <c r="AT1349" s="2043"/>
      <c r="AU1349" s="2043"/>
      <c r="AV1349" s="2043"/>
      <c r="AW1349" s="2043"/>
      <c r="AX1349" s="2043"/>
      <c r="AY1349" s="2043"/>
      <c r="AZ1349" s="2043"/>
      <c r="BA1349" s="2043"/>
      <c r="BB1349" s="2043"/>
      <c r="BC1349" s="2043"/>
      <c r="BD1349" s="2043"/>
      <c r="BE1349" s="2043"/>
      <c r="BF1349" s="2043"/>
      <c r="BG1349" s="2043"/>
      <c r="BH1349" s="2043"/>
      <c r="BI1349" s="2043"/>
      <c r="BJ1349" s="2043"/>
      <c r="BK1349" s="2043"/>
      <c r="BL1349" s="2043"/>
    </row>
    <row r="1350" spans="1:64" ht="15">
      <c r="A1350" s="1855"/>
      <c r="B1350" s="2043"/>
      <c r="C1350" s="2043"/>
      <c r="D1350" s="1855"/>
      <c r="E1350" s="1855"/>
      <c r="F1350" s="2113"/>
      <c r="G1350" s="2113"/>
      <c r="H1350" s="2113"/>
      <c r="I1350" s="2113"/>
      <c r="J1350" s="2046"/>
      <c r="K1350" s="2046"/>
      <c r="L1350" s="2046"/>
      <c r="M1350" s="1964"/>
      <c r="N1350" s="2113"/>
      <c r="O1350" s="2045"/>
      <c r="P1350" s="2042"/>
      <c r="Q1350" s="2043"/>
      <c r="R1350" s="2043"/>
      <c r="S1350" s="2043"/>
      <c r="T1350" s="2043"/>
      <c r="U1350" s="2043"/>
      <c r="V1350" s="2043"/>
      <c r="W1350" s="2043"/>
      <c r="X1350" s="2043"/>
      <c r="Y1350" s="2043"/>
      <c r="Z1350" s="2043"/>
      <c r="AA1350" s="2043"/>
      <c r="AB1350" s="2043"/>
      <c r="AC1350" s="2043"/>
      <c r="AD1350" s="2043"/>
      <c r="AE1350" s="2043"/>
      <c r="AF1350" s="2043"/>
      <c r="AG1350" s="2043"/>
      <c r="AH1350" s="2043"/>
      <c r="AI1350" s="2043"/>
      <c r="AJ1350" s="2043"/>
      <c r="AK1350" s="2043"/>
      <c r="AL1350" s="2043"/>
      <c r="AM1350" s="2043"/>
      <c r="AN1350" s="2043"/>
      <c r="AO1350" s="2043"/>
      <c r="AP1350" s="2043"/>
      <c r="AQ1350" s="2043"/>
      <c r="AR1350" s="2043"/>
      <c r="AS1350" s="2043"/>
      <c r="AT1350" s="2043"/>
      <c r="AU1350" s="2043"/>
      <c r="AV1350" s="2043"/>
      <c r="AW1350" s="2043"/>
      <c r="AX1350" s="2043"/>
      <c r="AY1350" s="2043"/>
      <c r="AZ1350" s="2043"/>
      <c r="BA1350" s="2043"/>
      <c r="BB1350" s="2043"/>
      <c r="BC1350" s="2043"/>
      <c r="BD1350" s="2043"/>
      <c r="BE1350" s="2043"/>
      <c r="BF1350" s="2043"/>
      <c r="BG1350" s="2043"/>
      <c r="BH1350" s="2043"/>
      <c r="BI1350" s="2043"/>
      <c r="BJ1350" s="2043"/>
      <c r="BK1350" s="2043"/>
      <c r="BL1350" s="2043"/>
    </row>
    <row r="1351" spans="1:64" ht="15">
      <c r="A1351" s="2109" t="s">
        <v>1465</v>
      </c>
      <c r="B1351" s="2110" t="s">
        <v>1811</v>
      </c>
      <c r="C1351" s="2043"/>
      <c r="D1351" s="2043"/>
      <c r="E1351" s="2043"/>
      <c r="F1351" s="2043"/>
      <c r="G1351" s="2508"/>
      <c r="H1351" s="2043"/>
      <c r="I1351" s="2043"/>
      <c r="J1351" s="2043"/>
      <c r="K1351" s="2043"/>
      <c r="L1351" s="2114" t="str">
        <f>IF(AND(O1351&gt;0,NOT($F$31="New Supply")), "Ineligible to score in this section, not New Supply!","")</f>
        <v/>
      </c>
      <c r="M1351" s="2113">
        <v>5</v>
      </c>
      <c r="N1351" s="1964"/>
      <c r="O1351" s="2042">
        <f>'Part VIII Scoring Criteria'!O200</f>
        <v>0</v>
      </c>
      <c r="P1351" s="2042">
        <f>'Part VIII Scoring Criteria'!P200</f>
        <v>0</v>
      </c>
      <c r="Q1351" s="2113" t="s">
        <v>1716</v>
      </c>
      <c r="R1351" s="2503"/>
      <c r="S1351" s="2108"/>
      <c r="T1351" s="2108"/>
      <c r="U1351" s="2108"/>
      <c r="V1351" s="2108"/>
      <c r="W1351" s="2051"/>
      <c r="X1351" s="2051"/>
      <c r="Y1351" s="2043"/>
      <c r="Z1351" s="2043"/>
      <c r="AA1351" s="2043"/>
      <c r="AB1351" s="2043"/>
      <c r="AC1351" s="2043"/>
      <c r="AD1351" s="2043"/>
      <c r="AE1351" s="2043"/>
      <c r="AF1351" s="2043"/>
      <c r="AG1351" s="2043"/>
      <c r="AH1351" s="2043"/>
      <c r="AI1351" s="2043"/>
      <c r="AJ1351" s="2043"/>
      <c r="AK1351" s="2043"/>
      <c r="AL1351" s="2043"/>
      <c r="AM1351" s="2043"/>
      <c r="AN1351" s="2043"/>
      <c r="AO1351" s="2043"/>
      <c r="AP1351" s="2043"/>
      <c r="AQ1351" s="2043"/>
      <c r="AR1351" s="2043"/>
      <c r="AS1351" s="2043"/>
      <c r="AT1351" s="2043"/>
      <c r="AU1351" s="2043"/>
      <c r="AV1351" s="2043"/>
      <c r="AW1351" s="2043"/>
      <c r="AX1351" s="2043"/>
      <c r="AY1351" s="2043"/>
      <c r="AZ1351" s="2043"/>
      <c r="BA1351" s="2043"/>
      <c r="BB1351" s="2043"/>
      <c r="BC1351" s="2043"/>
      <c r="BD1351" s="2043"/>
      <c r="BE1351" s="2043"/>
      <c r="BF1351" s="2043"/>
      <c r="BG1351" s="2043"/>
      <c r="BH1351" s="2043"/>
      <c r="BI1351" s="2043"/>
      <c r="BJ1351" s="2043"/>
      <c r="BK1351" s="2043"/>
      <c r="BL1351" s="2043"/>
    </row>
    <row r="1352" spans="1:64" ht="15">
      <c r="A1352" s="2114" t="s">
        <v>194</v>
      </c>
      <c r="B1352" s="1854" t="s">
        <v>7042</v>
      </c>
      <c r="C1352" s="1855"/>
      <c r="D1352" s="1855"/>
      <c r="E1352" s="1855"/>
      <c r="F1352" s="1855"/>
      <c r="G1352" s="1855"/>
      <c r="H1352" s="1855"/>
      <c r="I1352" s="1855"/>
      <c r="J1352" s="1855"/>
      <c r="K1352" s="1855"/>
      <c r="L1352" s="1855"/>
      <c r="M1352" s="1964">
        <v>5</v>
      </c>
      <c r="N1352" s="2112"/>
      <c r="O1352" s="2042">
        <f>'Part VIII Scoring Criteria'!O201</f>
        <v>0</v>
      </c>
      <c r="P1352" s="2042"/>
      <c r="Q1352" s="2543" t="str">
        <f>IF(OR($O1352=$M1352,$O1352=$M1352-1,$O1352=0,$O1352=""),"","*CHECK!*")</f>
        <v/>
      </c>
      <c r="R1352" s="2503"/>
      <c r="S1352" s="2108"/>
      <c r="T1352" s="2108"/>
      <c r="U1352" s="2108"/>
      <c r="V1352" s="2108"/>
      <c r="W1352" s="1855"/>
      <c r="X1352" s="1855"/>
      <c r="Y1352" s="1855"/>
      <c r="Z1352" s="1855"/>
      <c r="AA1352" s="1855"/>
      <c r="AB1352" s="1855"/>
      <c r="AC1352" s="1855"/>
      <c r="AD1352" s="1855"/>
      <c r="AE1352" s="1855"/>
      <c r="AF1352" s="1855"/>
      <c r="AG1352" s="1855"/>
      <c r="AH1352" s="1855"/>
      <c r="AI1352" s="1855"/>
      <c r="AJ1352" s="1855"/>
      <c r="AK1352" s="1855"/>
      <c r="AL1352" s="1855"/>
      <c r="AM1352" s="1855"/>
      <c r="AN1352" s="1855"/>
      <c r="AO1352" s="1855"/>
      <c r="AP1352" s="1855"/>
      <c r="AQ1352" s="1855"/>
      <c r="AR1352" s="1855"/>
      <c r="AS1352" s="1855"/>
      <c r="AT1352" s="1855"/>
      <c r="AU1352" s="1855"/>
      <c r="AV1352" s="1855"/>
      <c r="AW1352" s="1855"/>
      <c r="AX1352" s="1855"/>
      <c r="AY1352" s="1855"/>
      <c r="AZ1352" s="1855"/>
      <c r="BA1352" s="1855"/>
      <c r="BB1352" s="1855"/>
      <c r="BC1352" s="1855"/>
      <c r="BD1352" s="1855"/>
      <c r="BE1352" s="1855"/>
      <c r="BF1352" s="1855"/>
      <c r="BG1352" s="1855"/>
      <c r="BH1352" s="1855"/>
      <c r="BI1352" s="1855"/>
      <c r="BJ1352" s="1855"/>
      <c r="BK1352" s="1855"/>
      <c r="BL1352" s="1855"/>
    </row>
    <row r="1353" spans="1:64" ht="15">
      <c r="A1353" s="2114" t="s">
        <v>206</v>
      </c>
      <c r="B1353" s="1854" t="s">
        <v>2603</v>
      </c>
      <c r="C1353" s="1855"/>
      <c r="D1353" s="1855"/>
      <c r="E1353" s="1855"/>
      <c r="F1353" s="1855"/>
      <c r="G1353" s="1855"/>
      <c r="H1353" s="1855"/>
      <c r="I1353" s="1855"/>
      <c r="J1353" s="1855"/>
      <c r="K1353" s="1855"/>
      <c r="L1353" s="1855"/>
      <c r="M1353" s="1964">
        <v>3</v>
      </c>
      <c r="N1353" s="2112"/>
      <c r="O1353" s="2042">
        <f>'Part VIII Scoring Criteria'!O202</f>
        <v>0</v>
      </c>
      <c r="P1353" s="2042"/>
      <c r="Q1353" s="2543" t="str">
        <f>IF(OR($O1353=$M1353,$O1353=$M1353-1,$O1353=0,$O1353=""),"","*CHECK!*")</f>
        <v/>
      </c>
      <c r="R1353" s="2503"/>
      <c r="S1353" s="1855"/>
      <c r="T1353" s="1855"/>
      <c r="U1353" s="1855"/>
      <c r="V1353" s="1855"/>
      <c r="W1353" s="1855"/>
      <c r="X1353" s="1855"/>
      <c r="Y1353" s="1855"/>
      <c r="Z1353" s="1855"/>
      <c r="AA1353" s="1855"/>
      <c r="AB1353" s="1855"/>
      <c r="AC1353" s="1855"/>
      <c r="AD1353" s="1855"/>
      <c r="AE1353" s="1855"/>
      <c r="AF1353" s="1855"/>
      <c r="AG1353" s="1855"/>
      <c r="AH1353" s="1855"/>
      <c r="AI1353" s="1855"/>
      <c r="AJ1353" s="1855"/>
      <c r="AK1353" s="1855"/>
      <c r="AL1353" s="1855"/>
      <c r="AM1353" s="1855"/>
      <c r="AN1353" s="1855"/>
      <c r="AO1353" s="1855"/>
      <c r="AP1353" s="1855"/>
      <c r="AQ1353" s="1855"/>
      <c r="AR1353" s="1855"/>
      <c r="AS1353" s="1855"/>
      <c r="AT1353" s="1855"/>
      <c r="AU1353" s="1855"/>
      <c r="AV1353" s="1855"/>
      <c r="AW1353" s="1855"/>
      <c r="AX1353" s="1855"/>
      <c r="AY1353" s="1855"/>
      <c r="AZ1353" s="1855"/>
      <c r="BA1353" s="1855"/>
      <c r="BB1353" s="1855"/>
      <c r="BC1353" s="1855"/>
      <c r="BD1353" s="1855"/>
      <c r="BE1353" s="1855"/>
      <c r="BF1353" s="1855"/>
      <c r="BG1353" s="1855"/>
      <c r="BH1353" s="1855"/>
      <c r="BI1353" s="1855"/>
      <c r="BJ1353" s="1855"/>
      <c r="BK1353" s="1855"/>
      <c r="BL1353" s="1855"/>
    </row>
    <row r="1354" spans="1:64" ht="15">
      <c r="A1354" s="2114" t="s">
        <v>227</v>
      </c>
      <c r="B1354" s="1854" t="s">
        <v>2604</v>
      </c>
      <c r="C1354" s="2043"/>
      <c r="D1354" s="2043"/>
      <c r="E1354" s="2046" t="s">
        <v>1815</v>
      </c>
      <c r="F1354" s="2043"/>
      <c r="G1354" s="2043"/>
      <c r="H1354" s="2043"/>
      <c r="I1354" s="2508"/>
      <c r="J1354" s="2043"/>
      <c r="K1354" s="2043"/>
      <c r="L1354" s="2108"/>
      <c r="M1354" s="1964">
        <v>3</v>
      </c>
      <c r="N1354" s="2112"/>
      <c r="O1354" s="2042">
        <f>'Part VIII Scoring Criteria'!O203</f>
        <v>0</v>
      </c>
      <c r="P1354" s="2042"/>
      <c r="Q1354" s="2543" t="str">
        <f>IF(OR($O1354=$M1354,$O1354=$M1354-1,$O1354=0,$O1354=""),"","*CHECK!*")</f>
        <v/>
      </c>
      <c r="R1354" s="2503"/>
      <c r="S1354" s="2043"/>
      <c r="T1354" s="2043"/>
      <c r="U1354" s="2043"/>
      <c r="V1354" s="2043"/>
      <c r="W1354" s="2043"/>
      <c r="X1354" s="2043"/>
      <c r="Y1354" s="2043"/>
      <c r="Z1354" s="2043"/>
      <c r="AA1354" s="2043"/>
      <c r="AB1354" s="2043"/>
      <c r="AC1354" s="2043"/>
      <c r="AD1354" s="2043"/>
      <c r="AE1354" s="2043"/>
      <c r="AF1354" s="2043"/>
      <c r="AG1354" s="2043"/>
      <c r="AH1354" s="2043"/>
      <c r="AI1354" s="2043"/>
      <c r="AJ1354" s="2043"/>
      <c r="AK1354" s="2043"/>
      <c r="AL1354" s="2043"/>
      <c r="AM1354" s="2043"/>
      <c r="AN1354" s="2043"/>
      <c r="AO1354" s="2043"/>
      <c r="AP1354" s="2043"/>
      <c r="AQ1354" s="2043"/>
      <c r="AR1354" s="2043"/>
      <c r="AS1354" s="2043"/>
      <c r="AT1354" s="2043"/>
      <c r="AU1354" s="2043"/>
      <c r="AV1354" s="2043"/>
      <c r="AW1354" s="2043"/>
      <c r="AX1354" s="2043"/>
      <c r="AY1354" s="2043"/>
      <c r="AZ1354" s="2043"/>
      <c r="BA1354" s="2043"/>
      <c r="BB1354" s="2043"/>
      <c r="BC1354" s="2043"/>
      <c r="BD1354" s="2043"/>
      <c r="BE1354" s="2043"/>
      <c r="BF1354" s="2043"/>
      <c r="BG1354" s="2043"/>
      <c r="BH1354" s="2043"/>
      <c r="BI1354" s="2043"/>
      <c r="BJ1354" s="2043"/>
      <c r="BK1354" s="2043"/>
      <c r="BL1354" s="2043"/>
    </row>
    <row r="1355" spans="1:64" ht="15">
      <c r="A1355" s="1855"/>
      <c r="B1355" s="2110" t="s">
        <v>1739</v>
      </c>
      <c r="C1355" s="1855"/>
      <c r="D1355" s="1855"/>
      <c r="E1355" s="1855"/>
      <c r="F1355" s="1855"/>
      <c r="G1355" s="1855"/>
      <c r="H1355" s="1855"/>
      <c r="I1355" s="1855"/>
      <c r="J1355" s="1855"/>
      <c r="K1355" s="1855"/>
      <c r="L1355" s="2043"/>
      <c r="M1355" s="1964"/>
      <c r="N1355" s="1994"/>
      <c r="O1355" s="2042"/>
      <c r="P1355" s="2045"/>
      <c r="Q1355" s="2043"/>
      <c r="R1355" s="2043"/>
      <c r="S1355" s="2043"/>
      <c r="T1355" s="2043"/>
      <c r="U1355" s="2043"/>
      <c r="V1355" s="2043"/>
      <c r="W1355" s="2043"/>
      <c r="X1355" s="2043"/>
      <c r="Y1355" s="2043"/>
      <c r="Z1355" s="2043"/>
      <c r="AA1355" s="2043"/>
      <c r="AB1355" s="2043"/>
      <c r="AC1355" s="2043"/>
      <c r="AD1355" s="2043"/>
      <c r="AE1355" s="2043"/>
      <c r="AF1355" s="2043"/>
      <c r="AG1355" s="2043"/>
      <c r="AH1355" s="2043"/>
      <c r="AI1355" s="2043"/>
      <c r="AJ1355" s="2043"/>
      <c r="AK1355" s="2043"/>
      <c r="AL1355" s="2043"/>
      <c r="AM1355" s="2043"/>
      <c r="AN1355" s="2043"/>
      <c r="AO1355" s="2043"/>
      <c r="AP1355" s="2043"/>
      <c r="AQ1355" s="2043"/>
      <c r="AR1355" s="2043"/>
      <c r="AS1355" s="2043"/>
      <c r="AT1355" s="2043"/>
      <c r="AU1355" s="2043"/>
      <c r="AV1355" s="2043"/>
      <c r="AW1355" s="2043"/>
      <c r="AX1355" s="2043"/>
      <c r="AY1355" s="2043"/>
      <c r="AZ1355" s="2043"/>
      <c r="BA1355" s="2043"/>
      <c r="BB1355" s="2043"/>
      <c r="BC1355" s="2043"/>
      <c r="BD1355" s="2043"/>
      <c r="BE1355" s="2043"/>
      <c r="BF1355" s="2043"/>
      <c r="BG1355" s="2043"/>
      <c r="BH1355" s="2043"/>
      <c r="BI1355" s="2043"/>
      <c r="BJ1355" s="2043"/>
      <c r="BK1355" s="2043"/>
      <c r="BL1355" s="2043"/>
    </row>
    <row r="1356" spans="1:64" ht="15">
      <c r="A1356" s="2052">
        <f>'Part VIII Scoring Criteria'!A205</f>
        <v>0</v>
      </c>
      <c r="B1356" s="2052"/>
      <c r="C1356" s="2052"/>
      <c r="D1356" s="2052"/>
      <c r="E1356" s="2052"/>
      <c r="F1356" s="2052"/>
      <c r="G1356" s="2052"/>
      <c r="H1356" s="2052"/>
      <c r="I1356" s="2052"/>
      <c r="J1356" s="2052"/>
      <c r="K1356" s="2052"/>
      <c r="L1356" s="2052"/>
      <c r="M1356" s="2052"/>
      <c r="N1356" s="2052"/>
      <c r="O1356" s="2052"/>
      <c r="P1356" s="2052"/>
      <c r="Q1356" s="1854"/>
      <c r="R1356" s="2043"/>
      <c r="S1356" s="2043"/>
      <c r="T1356" s="2043"/>
      <c r="U1356" s="2043"/>
      <c r="V1356" s="2043"/>
      <c r="W1356" s="2043"/>
      <c r="X1356" s="2043"/>
      <c r="Y1356" s="2043"/>
      <c r="Z1356" s="2043"/>
      <c r="AA1356" s="2043"/>
      <c r="AB1356" s="2043"/>
      <c r="AC1356" s="2043"/>
      <c r="AD1356" s="2043"/>
      <c r="AE1356" s="2043"/>
      <c r="AF1356" s="2043"/>
      <c r="AG1356" s="2043"/>
      <c r="AH1356" s="2043"/>
      <c r="AI1356" s="2043"/>
      <c r="AJ1356" s="2043"/>
      <c r="AK1356" s="2043"/>
      <c r="AL1356" s="2043"/>
      <c r="AM1356" s="2043"/>
      <c r="AN1356" s="2043"/>
      <c r="AO1356" s="2043"/>
      <c r="AP1356" s="2043"/>
      <c r="AQ1356" s="2043"/>
      <c r="AR1356" s="2043"/>
      <c r="AS1356" s="2043"/>
      <c r="AT1356" s="2043"/>
      <c r="AU1356" s="2043"/>
      <c r="AV1356" s="2043"/>
      <c r="AW1356" s="2043"/>
      <c r="AX1356" s="2043"/>
      <c r="AY1356" s="2043"/>
      <c r="AZ1356" s="2043"/>
      <c r="BA1356" s="2043"/>
      <c r="BB1356" s="2043"/>
      <c r="BC1356" s="2043"/>
      <c r="BD1356" s="2043"/>
      <c r="BE1356" s="2043"/>
      <c r="BF1356" s="2043"/>
      <c r="BG1356" s="2043"/>
      <c r="BH1356" s="2043"/>
      <c r="BI1356" s="2043"/>
      <c r="BJ1356" s="2043"/>
      <c r="BK1356" s="2043"/>
      <c r="BL1356" s="2043"/>
    </row>
    <row r="1357" spans="1:64" ht="15">
      <c r="A1357" s="2043"/>
      <c r="B1357" s="2510" t="s">
        <v>1399</v>
      </c>
      <c r="C1357" s="1855"/>
      <c r="D1357" s="2510"/>
      <c r="E1357" s="2487"/>
      <c r="F1357" s="2487"/>
      <c r="G1357" s="2487"/>
      <c r="H1357" s="2487"/>
      <c r="I1357" s="2487"/>
      <c r="J1357" s="2487"/>
      <c r="K1357" s="2487"/>
      <c r="L1357" s="2487"/>
      <c r="M1357" s="2487"/>
      <c r="N1357" s="2511"/>
      <c r="O1357" s="2489"/>
      <c r="P1357" s="2113"/>
      <c r="Q1357" s="2043"/>
      <c r="R1357" s="2043"/>
      <c r="S1357" s="2043"/>
      <c r="T1357" s="2043"/>
      <c r="U1357" s="2043"/>
      <c r="V1357" s="2043"/>
      <c r="W1357" s="2043"/>
      <c r="X1357" s="2043"/>
      <c r="Y1357" s="2043"/>
      <c r="Z1357" s="2043"/>
      <c r="AA1357" s="2043"/>
      <c r="AB1357" s="2043"/>
      <c r="AC1357" s="2043"/>
      <c r="AD1357" s="2043"/>
      <c r="AE1357" s="2043"/>
      <c r="AF1357" s="2043"/>
      <c r="AG1357" s="2043"/>
      <c r="AH1357" s="2043"/>
      <c r="AI1357" s="2043"/>
      <c r="AJ1357" s="2043"/>
      <c r="AK1357" s="2043"/>
      <c r="AL1357" s="2043"/>
      <c r="AM1357" s="2043"/>
      <c r="AN1357" s="2043"/>
      <c r="AO1357" s="2043"/>
      <c r="AP1357" s="2043"/>
      <c r="AQ1357" s="2043"/>
      <c r="AR1357" s="2043"/>
      <c r="AS1357" s="2043"/>
      <c r="AT1357" s="2043"/>
      <c r="AU1357" s="2043"/>
      <c r="AV1357" s="2043"/>
      <c r="AW1357" s="2043"/>
      <c r="AX1357" s="2043"/>
      <c r="AY1357" s="2043"/>
      <c r="AZ1357" s="2043"/>
      <c r="BA1357" s="2043"/>
      <c r="BB1357" s="2043"/>
      <c r="BC1357" s="2043"/>
      <c r="BD1357" s="2043"/>
      <c r="BE1357" s="2043"/>
      <c r="BF1357" s="2043"/>
      <c r="BG1357" s="2043"/>
      <c r="BH1357" s="2043"/>
      <c r="BI1357" s="2043"/>
      <c r="BJ1357" s="2043"/>
      <c r="BK1357" s="2043"/>
      <c r="BL1357" s="2043"/>
    </row>
    <row r="1358" spans="1:64" ht="15">
      <c r="A1358" s="2052"/>
      <c r="B1358" s="2052"/>
      <c r="C1358" s="2052"/>
      <c r="D1358" s="2052"/>
      <c r="E1358" s="2052"/>
      <c r="F1358" s="2052"/>
      <c r="G1358" s="2052"/>
      <c r="H1358" s="2052"/>
      <c r="I1358" s="2052"/>
      <c r="J1358" s="2052"/>
      <c r="K1358" s="2052"/>
      <c r="L1358" s="2052"/>
      <c r="M1358" s="2052"/>
      <c r="N1358" s="2052"/>
      <c r="O1358" s="2052"/>
      <c r="P1358" s="2052"/>
      <c r="Q1358" s="1854"/>
      <c r="R1358" s="2043"/>
      <c r="S1358" s="2043"/>
      <c r="T1358" s="2043"/>
      <c r="U1358" s="2043"/>
      <c r="V1358" s="2043"/>
      <c r="W1358" s="2043"/>
      <c r="X1358" s="2043"/>
      <c r="Y1358" s="2043"/>
      <c r="Z1358" s="2043"/>
      <c r="AA1358" s="2043"/>
      <c r="AB1358" s="2043"/>
      <c r="AC1358" s="2043"/>
      <c r="AD1358" s="2043"/>
      <c r="AE1358" s="2043"/>
      <c r="AF1358" s="2043"/>
      <c r="AG1358" s="2043"/>
      <c r="AH1358" s="2043"/>
      <c r="AI1358" s="2043"/>
      <c r="AJ1358" s="2043"/>
      <c r="AK1358" s="2043"/>
      <c r="AL1358" s="2043"/>
      <c r="AM1358" s="2043"/>
      <c r="AN1358" s="2043"/>
      <c r="AO1358" s="2043"/>
      <c r="AP1358" s="2043"/>
      <c r="AQ1358" s="2043"/>
      <c r="AR1358" s="2043"/>
      <c r="AS1358" s="2043"/>
      <c r="AT1358" s="2043"/>
      <c r="AU1358" s="2043"/>
      <c r="AV1358" s="2043"/>
      <c r="AW1358" s="2043"/>
      <c r="AX1358" s="2043"/>
      <c r="AY1358" s="2043"/>
      <c r="AZ1358" s="2043"/>
      <c r="BA1358" s="2043"/>
      <c r="BB1358" s="2043"/>
      <c r="BC1358" s="2043"/>
      <c r="BD1358" s="2043"/>
      <c r="BE1358" s="2043"/>
      <c r="BF1358" s="2043"/>
      <c r="BG1358" s="2043"/>
      <c r="BH1358" s="2043"/>
      <c r="BI1358" s="2043"/>
      <c r="BJ1358" s="2043"/>
      <c r="BK1358" s="2043"/>
      <c r="BL1358" s="2043"/>
    </row>
    <row r="1359" spans="1:64" ht="15">
      <c r="A1359" s="2043"/>
      <c r="B1359" s="2043"/>
      <c r="C1359" s="2043"/>
      <c r="D1359" s="2043"/>
      <c r="E1359" s="2043"/>
      <c r="F1359" s="2043"/>
      <c r="G1359" s="2043"/>
      <c r="H1359" s="2043"/>
      <c r="I1359" s="2043"/>
      <c r="J1359" s="2043"/>
      <c r="K1359" s="2043"/>
      <c r="L1359" s="2043"/>
      <c r="M1359" s="2043"/>
      <c r="N1359" s="1994"/>
      <c r="O1359" s="2045"/>
      <c r="P1359" s="2045"/>
      <c r="Q1359" s="2043"/>
      <c r="R1359" s="2043"/>
      <c r="S1359" s="2043"/>
      <c r="T1359" s="2561"/>
      <c r="U1359" s="2561"/>
      <c r="V1359" s="2043"/>
      <c r="W1359" s="2043"/>
      <c r="X1359" s="2043"/>
      <c r="Y1359" s="2043"/>
      <c r="Z1359" s="2043"/>
      <c r="AA1359" s="2043"/>
      <c r="AB1359" s="2043"/>
      <c r="AC1359" s="2043"/>
      <c r="AD1359" s="2043"/>
      <c r="AE1359" s="2043"/>
      <c r="AF1359" s="2043"/>
      <c r="AG1359" s="2043"/>
      <c r="AH1359" s="2043"/>
      <c r="AI1359" s="2043"/>
      <c r="AJ1359" s="2043"/>
      <c r="AK1359" s="2043"/>
      <c r="AL1359" s="2043"/>
      <c r="AM1359" s="2043"/>
      <c r="AN1359" s="2043"/>
      <c r="AO1359" s="2043"/>
      <c r="AP1359" s="2043"/>
      <c r="AQ1359" s="2043"/>
      <c r="AR1359" s="2043"/>
      <c r="AS1359" s="2043"/>
      <c r="AT1359" s="2043"/>
      <c r="AU1359" s="2043"/>
      <c r="AV1359" s="2043"/>
      <c r="AW1359" s="2043"/>
      <c r="AX1359" s="2043"/>
      <c r="AY1359" s="2043"/>
      <c r="AZ1359" s="2043"/>
      <c r="BA1359" s="2043"/>
      <c r="BB1359" s="2043"/>
      <c r="BC1359" s="2043"/>
      <c r="BD1359" s="2043"/>
      <c r="BE1359" s="2043"/>
      <c r="BF1359" s="2043"/>
      <c r="BG1359" s="2043"/>
      <c r="BH1359" s="2043"/>
      <c r="BI1359" s="2043"/>
      <c r="BJ1359" s="2043"/>
      <c r="BK1359" s="2043"/>
      <c r="BL1359" s="2043"/>
    </row>
    <row r="1360" spans="1:64" ht="15">
      <c r="A1360" s="2043"/>
      <c r="B1360" s="2043"/>
      <c r="C1360" s="2043"/>
      <c r="D1360" s="2043"/>
      <c r="E1360" s="2043"/>
      <c r="F1360" s="2043"/>
      <c r="G1360" s="2043"/>
      <c r="H1360" s="2043"/>
      <c r="I1360" s="2043"/>
      <c r="J1360" s="2043"/>
      <c r="K1360" s="2043"/>
      <c r="L1360" s="2043"/>
      <c r="M1360" s="2043"/>
      <c r="N1360" s="1994"/>
      <c r="O1360" s="2045"/>
      <c r="P1360" s="2045"/>
      <c r="Q1360" s="2043"/>
      <c r="R1360" s="2043"/>
      <c r="S1360" s="2043"/>
      <c r="T1360" s="2561"/>
      <c r="U1360" s="2561"/>
      <c r="V1360" s="2043"/>
      <c r="W1360" s="2043"/>
      <c r="X1360" s="2043"/>
      <c r="Y1360" s="2043"/>
      <c r="Z1360" s="2043"/>
      <c r="AA1360" s="2043"/>
      <c r="AB1360" s="2043"/>
      <c r="AC1360" s="2043"/>
      <c r="AD1360" s="2043"/>
      <c r="AE1360" s="2043"/>
      <c r="AF1360" s="2043"/>
      <c r="AG1360" s="2043"/>
      <c r="AH1360" s="2043"/>
      <c r="AI1360" s="2043"/>
      <c r="AJ1360" s="2043"/>
      <c r="AK1360" s="2043"/>
      <c r="AL1360" s="2043"/>
      <c r="AM1360" s="2043"/>
      <c r="AN1360" s="2043"/>
      <c r="AO1360" s="2043"/>
      <c r="AP1360" s="2043"/>
      <c r="AQ1360" s="2043"/>
      <c r="AR1360" s="2043"/>
      <c r="AS1360" s="2043"/>
      <c r="AT1360" s="2043"/>
      <c r="AU1360" s="2043"/>
      <c r="AV1360" s="2043"/>
      <c r="AW1360" s="2043"/>
      <c r="AX1360" s="2043"/>
      <c r="AY1360" s="2043"/>
      <c r="AZ1360" s="2043"/>
      <c r="BA1360" s="2043"/>
      <c r="BB1360" s="2043"/>
      <c r="BC1360" s="2043"/>
      <c r="BD1360" s="2043"/>
      <c r="BE1360" s="2043"/>
      <c r="BF1360" s="2043"/>
      <c r="BG1360" s="2043"/>
      <c r="BH1360" s="2043"/>
      <c r="BI1360" s="2043"/>
      <c r="BJ1360" s="2043"/>
      <c r="BK1360" s="2043"/>
      <c r="BL1360" s="2043"/>
    </row>
    <row r="1361" spans="1:64" ht="15">
      <c r="A1361" s="2556" t="s">
        <v>1470</v>
      </c>
      <c r="B1361" s="2110" t="s">
        <v>1816</v>
      </c>
      <c r="C1361" s="2043"/>
      <c r="D1361" s="2043"/>
      <c r="E1361" s="2043"/>
      <c r="F1361" s="2043"/>
      <c r="G1361" s="2043"/>
      <c r="H1361" s="2046"/>
      <c r="I1361" s="2043"/>
      <c r="J1361" s="1964"/>
      <c r="K1361" s="1855"/>
      <c r="L1361" s="2112"/>
      <c r="M1361" s="2113">
        <v>4</v>
      </c>
      <c r="N1361" s="1964"/>
      <c r="O1361" s="2042">
        <f>'Part VIII Scoring Criteria'!O210</f>
        <v>4</v>
      </c>
      <c r="P1361" s="2042">
        <f>'Part VIII Scoring Criteria'!P210</f>
        <v>0</v>
      </c>
      <c r="Q1361" s="2113" t="s">
        <v>1716</v>
      </c>
      <c r="R1361" s="2043"/>
      <c r="S1361" s="2043"/>
      <c r="T1361" s="2561"/>
      <c r="U1361" s="2561"/>
      <c r="V1361" s="2043"/>
      <c r="W1361" s="2043"/>
      <c r="X1361" s="2043"/>
      <c r="Y1361" s="2043"/>
      <c r="Z1361" s="2043"/>
      <c r="AA1361" s="2043"/>
      <c r="AB1361" s="2043"/>
      <c r="AC1361" s="2043"/>
      <c r="AD1361" s="2043"/>
      <c r="AE1361" s="2043"/>
      <c r="AF1361" s="2043"/>
      <c r="AG1361" s="2043"/>
      <c r="AH1361" s="2043"/>
      <c r="AI1361" s="2043"/>
      <c r="AJ1361" s="2043"/>
      <c r="AK1361" s="2043"/>
      <c r="AL1361" s="2043"/>
      <c r="AM1361" s="2043"/>
      <c r="AN1361" s="2043"/>
      <c r="AO1361" s="2043"/>
      <c r="AP1361" s="2043"/>
      <c r="AQ1361" s="2043"/>
      <c r="AR1361" s="2043"/>
      <c r="AS1361" s="2043"/>
      <c r="AT1361" s="2043"/>
      <c r="AU1361" s="2043"/>
      <c r="AV1361" s="2043"/>
      <c r="AW1361" s="2043"/>
      <c r="AX1361" s="2043"/>
      <c r="AY1361" s="2043"/>
      <c r="AZ1361" s="2043"/>
      <c r="BA1361" s="2043"/>
      <c r="BB1361" s="2043"/>
      <c r="BC1361" s="2043"/>
      <c r="BD1361" s="2043"/>
      <c r="BE1361" s="2043"/>
      <c r="BF1361" s="2043"/>
      <c r="BG1361" s="2043"/>
      <c r="BH1361" s="2043"/>
      <c r="BI1361" s="2043"/>
      <c r="BJ1361" s="2043"/>
      <c r="BK1361" s="2043"/>
      <c r="BL1361" s="2043"/>
    </row>
    <row r="1362" spans="1:64" ht="15">
      <c r="A1362" s="2114" t="s">
        <v>194</v>
      </c>
      <c r="B1362" s="1854" t="s">
        <v>1817</v>
      </c>
      <c r="C1362" s="1855"/>
      <c r="D1362" s="2508"/>
      <c r="E1362" s="2508"/>
      <c r="F1362" s="1855"/>
      <c r="G1362" s="2043"/>
      <c r="H1362" s="1855"/>
      <c r="I1362" s="1855"/>
      <c r="J1362" s="1855"/>
      <c r="K1362" s="1855"/>
      <c r="L1362" s="2502"/>
      <c r="M1362" s="1964">
        <v>3</v>
      </c>
      <c r="N1362" s="2112"/>
      <c r="O1362" s="2481">
        <f>'Part VIII Scoring Criteria'!O211</f>
        <v>3</v>
      </c>
      <c r="P1362" s="2481">
        <f>'Part VIII Scoring Criteria'!P211</f>
        <v>0</v>
      </c>
      <c r="Q1362" s="2543"/>
      <c r="R1362" s="2503"/>
      <c r="S1362" s="1855"/>
      <c r="T1362" s="2561"/>
      <c r="U1362" s="2561"/>
      <c r="V1362" s="1855"/>
      <c r="W1362" s="1855"/>
      <c r="X1362" s="1855"/>
      <c r="Y1362" s="1855"/>
      <c r="Z1362" s="1855"/>
      <c r="AA1362" s="1855"/>
      <c r="AB1362" s="1855"/>
      <c r="AC1362" s="1855"/>
      <c r="AD1362" s="1855"/>
      <c r="AE1362" s="1855"/>
      <c r="AF1362" s="1855"/>
      <c r="AG1362" s="1855"/>
      <c r="AH1362" s="1855"/>
      <c r="AI1362" s="1855"/>
      <c r="AJ1362" s="1855"/>
      <c r="AK1362" s="1855"/>
      <c r="AL1362" s="1855"/>
      <c r="AM1362" s="1855"/>
      <c r="AN1362" s="1855"/>
      <c r="AO1362" s="1855"/>
      <c r="AP1362" s="1855"/>
      <c r="AQ1362" s="1855"/>
      <c r="AR1362" s="1855"/>
      <c r="AS1362" s="1855"/>
      <c r="AT1362" s="1855"/>
      <c r="AU1362" s="1855"/>
      <c r="AV1362" s="1855"/>
      <c r="AW1362" s="1855"/>
      <c r="AX1362" s="1855"/>
      <c r="AY1362" s="1855"/>
      <c r="AZ1362" s="1855"/>
      <c r="BA1362" s="1855"/>
      <c r="BB1362" s="1855"/>
      <c r="BC1362" s="1855"/>
      <c r="BD1362" s="1855"/>
      <c r="BE1362" s="1855"/>
      <c r="BF1362" s="1855"/>
      <c r="BG1362" s="1855"/>
      <c r="BH1362" s="1855"/>
      <c r="BI1362" s="1855"/>
      <c r="BJ1362" s="1855"/>
      <c r="BK1362" s="1855"/>
      <c r="BL1362" s="1855"/>
    </row>
    <row r="1363" spans="1:64" ht="15">
      <c r="A1363" s="2114"/>
      <c r="B1363" s="2541" t="s">
        <v>209</v>
      </c>
      <c r="C1363" s="2046" t="s">
        <v>1818</v>
      </c>
      <c r="D1363" s="2508"/>
      <c r="E1363" s="2508"/>
      <c r="F1363" s="1855"/>
      <c r="G1363" s="2043"/>
      <c r="H1363" s="1855"/>
      <c r="I1363" s="1855"/>
      <c r="J1363" s="1855"/>
      <c r="K1363" s="1855"/>
      <c r="L1363" s="2502"/>
      <c r="M1363" s="1964">
        <v>3</v>
      </c>
      <c r="N1363" s="2507"/>
      <c r="O1363" s="2042" t="str">
        <f>'Part VIII Scoring Criteria'!O212</f>
        <v>Yes</v>
      </c>
      <c r="P1363" s="2113"/>
      <c r="Q1363" s="2543"/>
      <c r="R1363" s="2503"/>
      <c r="S1363" s="1855"/>
      <c r="T1363" s="2561"/>
      <c r="U1363" s="2561"/>
      <c r="V1363" s="1855"/>
      <c r="W1363" s="1855"/>
      <c r="X1363" s="1855"/>
      <c r="Y1363" s="1855"/>
      <c r="Z1363" s="1855"/>
      <c r="AA1363" s="1855"/>
      <c r="AB1363" s="1855"/>
      <c r="AC1363" s="1855"/>
      <c r="AD1363" s="1855"/>
      <c r="AE1363" s="1855"/>
      <c r="AF1363" s="1855"/>
      <c r="AG1363" s="1855"/>
      <c r="AH1363" s="1855"/>
      <c r="AI1363" s="1855"/>
      <c r="AJ1363" s="1855"/>
      <c r="AK1363" s="1855"/>
      <c r="AL1363" s="1855"/>
      <c r="AM1363" s="1855"/>
      <c r="AN1363" s="1855"/>
      <c r="AO1363" s="1855"/>
      <c r="AP1363" s="1855"/>
      <c r="AQ1363" s="1855"/>
      <c r="AR1363" s="1855"/>
      <c r="AS1363" s="1855"/>
      <c r="AT1363" s="1855"/>
      <c r="AU1363" s="1855"/>
      <c r="AV1363" s="1855"/>
      <c r="AW1363" s="1855"/>
      <c r="AX1363" s="1855"/>
      <c r="AY1363" s="1855"/>
      <c r="AZ1363" s="1855"/>
      <c r="BA1363" s="1855"/>
      <c r="BB1363" s="1855"/>
      <c r="BC1363" s="1855"/>
      <c r="BD1363" s="1855"/>
      <c r="BE1363" s="1855"/>
      <c r="BF1363" s="1855"/>
      <c r="BG1363" s="1855"/>
      <c r="BH1363" s="1855"/>
      <c r="BI1363" s="1855"/>
      <c r="BJ1363" s="1855"/>
      <c r="BK1363" s="1855"/>
      <c r="BL1363" s="1855"/>
    </row>
    <row r="1364" spans="1:64" ht="15">
      <c r="A1364" s="2114"/>
      <c r="B1364" s="2524" t="s">
        <v>217</v>
      </c>
      <c r="C1364" s="2046" t="s">
        <v>1819</v>
      </c>
      <c r="D1364" s="2508"/>
      <c r="E1364" s="2508"/>
      <c r="F1364" s="1855"/>
      <c r="G1364" s="2043"/>
      <c r="H1364" s="1855"/>
      <c r="I1364" s="1855"/>
      <c r="J1364" s="1855"/>
      <c r="K1364" s="1855"/>
      <c r="L1364" s="2502"/>
      <c r="M1364" s="1964">
        <v>2</v>
      </c>
      <c r="N1364" s="2507"/>
      <c r="O1364" s="2042">
        <f>'Part VIII Scoring Criteria'!O213</f>
        <v>0</v>
      </c>
      <c r="P1364" s="2113"/>
      <c r="Q1364" s="2543"/>
      <c r="R1364" s="2503"/>
      <c r="S1364" s="1855"/>
      <c r="T1364" s="2561"/>
      <c r="U1364" s="2561"/>
      <c r="V1364" s="1855"/>
      <c r="W1364" s="1855"/>
      <c r="X1364" s="1855"/>
      <c r="Y1364" s="1855"/>
      <c r="Z1364" s="1855"/>
      <c r="AA1364" s="1855"/>
      <c r="AB1364" s="1855"/>
      <c r="AC1364" s="1855"/>
      <c r="AD1364" s="1855"/>
      <c r="AE1364" s="1855"/>
      <c r="AF1364" s="1855"/>
      <c r="AG1364" s="1855"/>
      <c r="AH1364" s="1855"/>
      <c r="AI1364" s="1855"/>
      <c r="AJ1364" s="1855"/>
      <c r="AK1364" s="1855"/>
      <c r="AL1364" s="1855"/>
      <c r="AM1364" s="1855"/>
      <c r="AN1364" s="1855"/>
      <c r="AO1364" s="1855"/>
      <c r="AP1364" s="1855"/>
      <c r="AQ1364" s="1855"/>
      <c r="AR1364" s="1855"/>
      <c r="AS1364" s="1855"/>
      <c r="AT1364" s="1855"/>
      <c r="AU1364" s="1855"/>
      <c r="AV1364" s="1855"/>
      <c r="AW1364" s="1855"/>
      <c r="AX1364" s="1855"/>
      <c r="AY1364" s="1855"/>
      <c r="AZ1364" s="1855"/>
      <c r="BA1364" s="1855"/>
      <c r="BB1364" s="1855"/>
      <c r="BC1364" s="1855"/>
      <c r="BD1364" s="1855"/>
      <c r="BE1364" s="1855"/>
      <c r="BF1364" s="1855"/>
      <c r="BG1364" s="1855"/>
      <c r="BH1364" s="1855"/>
      <c r="BI1364" s="1855"/>
      <c r="BJ1364" s="1855"/>
      <c r="BK1364" s="1855"/>
      <c r="BL1364" s="1855"/>
    </row>
    <row r="1365" spans="1:64" ht="15">
      <c r="A1365" s="2114"/>
      <c r="B1365" s="2524" t="s">
        <v>221</v>
      </c>
      <c r="C1365" s="2046" t="s">
        <v>1820</v>
      </c>
      <c r="D1365" s="2508"/>
      <c r="E1365" s="2508"/>
      <c r="F1365" s="1855"/>
      <c r="G1365" s="2043"/>
      <c r="H1365" s="1855"/>
      <c r="I1365" s="1855"/>
      <c r="J1365" s="1855"/>
      <c r="K1365" s="2112"/>
      <c r="L1365" s="1855"/>
      <c r="M1365" s="1964">
        <v>1</v>
      </c>
      <c r="N1365" s="2507"/>
      <c r="O1365" s="2042">
        <f>'Part VIII Scoring Criteria'!O214</f>
        <v>0</v>
      </c>
      <c r="P1365" s="2113"/>
      <c r="Q1365" s="1855"/>
      <c r="R1365" s="2043"/>
      <c r="S1365" s="1855"/>
      <c r="T1365" s="2561"/>
      <c r="U1365" s="2561"/>
      <c r="V1365" s="1855"/>
      <c r="W1365" s="1855"/>
      <c r="X1365" s="1855"/>
      <c r="Y1365" s="1855"/>
      <c r="Z1365" s="1855"/>
      <c r="AA1365" s="1855"/>
      <c r="AB1365" s="1855"/>
      <c r="AC1365" s="1855"/>
      <c r="AD1365" s="1855"/>
      <c r="AE1365" s="1855"/>
      <c r="AF1365" s="1855"/>
      <c r="AG1365" s="1855"/>
      <c r="AH1365" s="1855"/>
      <c r="AI1365" s="1855"/>
      <c r="AJ1365" s="1855"/>
      <c r="AK1365" s="1855"/>
      <c r="AL1365" s="1855"/>
      <c r="AM1365" s="1855"/>
      <c r="AN1365" s="1855"/>
      <c r="AO1365" s="1855"/>
      <c r="AP1365" s="1855"/>
      <c r="AQ1365" s="1855"/>
      <c r="AR1365" s="1855"/>
      <c r="AS1365" s="1855"/>
      <c r="AT1365" s="1855"/>
      <c r="AU1365" s="1855"/>
      <c r="AV1365" s="1855"/>
      <c r="AW1365" s="1855"/>
      <c r="AX1365" s="1855"/>
      <c r="AY1365" s="1855"/>
      <c r="AZ1365" s="1855"/>
      <c r="BA1365" s="1855"/>
      <c r="BB1365" s="1855"/>
      <c r="BC1365" s="1855"/>
      <c r="BD1365" s="1855"/>
      <c r="BE1365" s="1855"/>
      <c r="BF1365" s="1855"/>
      <c r="BG1365" s="1855"/>
      <c r="BH1365" s="1855"/>
      <c r="BI1365" s="1855"/>
      <c r="BJ1365" s="1855"/>
      <c r="BK1365" s="1855"/>
      <c r="BL1365" s="1855"/>
    </row>
    <row r="1366" spans="1:64" ht="15">
      <c r="A1366" s="2114" t="s">
        <v>206</v>
      </c>
      <c r="B1366" s="1854" t="s">
        <v>1821</v>
      </c>
      <c r="C1366" s="2043"/>
      <c r="D1366" s="1855"/>
      <c r="E1366" s="2043"/>
      <c r="F1366" s="2043"/>
      <c r="G1366" s="2043"/>
      <c r="H1366" s="2043"/>
      <c r="I1366" s="2043"/>
      <c r="J1366" s="2043"/>
      <c r="K1366" s="1855"/>
      <c r="L1366" s="2502" t="str">
        <f>IF(OR($O1366=$M1366,$O1366=0,$O1366=""),"","* * Check Score! * *")</f>
        <v/>
      </c>
      <c r="M1366" s="1964">
        <v>1</v>
      </c>
      <c r="N1366" s="2112"/>
      <c r="O1366" s="2481">
        <f>'Part VIII Scoring Criteria'!O215</f>
        <v>0</v>
      </c>
      <c r="P1366" s="2481">
        <f>'Part VIII Scoring Criteria'!P215</f>
        <v>0</v>
      </c>
      <c r="Q1366" s="2543" t="str">
        <f>IF(OR($O1366=$M1366,$O1366=0,$O1366=""),"","*CHECK!*")</f>
        <v/>
      </c>
      <c r="R1366" s="2503"/>
      <c r="S1366" s="2043"/>
      <c r="T1366" s="2561"/>
      <c r="U1366" s="2561"/>
      <c r="V1366" s="2043"/>
      <c r="W1366" s="2043"/>
      <c r="X1366" s="2043"/>
      <c r="Y1366" s="2043"/>
      <c r="Z1366" s="2043"/>
      <c r="AA1366" s="2043"/>
      <c r="AB1366" s="2043"/>
      <c r="AC1366" s="2043"/>
      <c r="AD1366" s="2043"/>
      <c r="AE1366" s="2043"/>
      <c r="AF1366" s="2043"/>
      <c r="AG1366" s="2043"/>
      <c r="AH1366" s="2043"/>
      <c r="AI1366" s="2043"/>
      <c r="AJ1366" s="2043"/>
      <c r="AK1366" s="2043"/>
      <c r="AL1366" s="2043"/>
      <c r="AM1366" s="2043"/>
      <c r="AN1366" s="2043"/>
      <c r="AO1366" s="2043"/>
      <c r="AP1366" s="2043"/>
      <c r="AQ1366" s="2043"/>
      <c r="AR1366" s="2043"/>
      <c r="AS1366" s="2043"/>
      <c r="AT1366" s="2043"/>
      <c r="AU1366" s="2043"/>
      <c r="AV1366" s="2043"/>
      <c r="AW1366" s="2043"/>
      <c r="AX1366" s="2043"/>
      <c r="AY1366" s="2043"/>
      <c r="AZ1366" s="2043"/>
      <c r="BA1366" s="2043"/>
      <c r="BB1366" s="2043"/>
      <c r="BC1366" s="2043"/>
      <c r="BD1366" s="2043"/>
      <c r="BE1366" s="2043"/>
      <c r="BF1366" s="2043"/>
      <c r="BG1366" s="2043"/>
      <c r="BH1366" s="2043"/>
      <c r="BI1366" s="2043"/>
      <c r="BJ1366" s="2043"/>
      <c r="BK1366" s="2043"/>
      <c r="BL1366" s="2043"/>
    </row>
    <row r="1367" spans="1:64" ht="15.75" customHeight="1">
      <c r="A1367" s="2556"/>
      <c r="B1367" s="1855" t="s">
        <v>1822</v>
      </c>
      <c r="C1367" s="2083"/>
      <c r="D1367" s="2083"/>
      <c r="E1367" s="2083"/>
      <c r="F1367" s="2083"/>
      <c r="G1367" s="2083"/>
      <c r="H1367" s="2083"/>
      <c r="I1367" s="2083"/>
      <c r="J1367" s="2083"/>
      <c r="K1367" s="2083"/>
      <c r="L1367" s="2083"/>
      <c r="M1367" s="1964"/>
      <c r="N1367" s="2112"/>
      <c r="O1367" s="2042">
        <f>'Part VIII Scoring Criteria'!O216</f>
        <v>0</v>
      </c>
      <c r="P1367" s="2531"/>
      <c r="Q1367" s="2043"/>
      <c r="R1367" s="2502"/>
      <c r="S1367" s="2043"/>
      <c r="T1367" s="2561"/>
      <c r="U1367" s="2561"/>
      <c r="V1367" s="2043"/>
      <c r="W1367" s="2043"/>
      <c r="X1367" s="2043"/>
      <c r="Y1367" s="2043"/>
      <c r="Z1367" s="2043"/>
      <c r="AA1367" s="2043"/>
      <c r="AB1367" s="2043"/>
      <c r="AC1367" s="2043"/>
      <c r="AD1367" s="2043"/>
      <c r="AE1367" s="2043"/>
      <c r="AF1367" s="2043"/>
      <c r="AG1367" s="2043"/>
      <c r="AH1367" s="2043"/>
      <c r="AI1367" s="2043"/>
      <c r="AJ1367" s="2043"/>
      <c r="AK1367" s="2043"/>
      <c r="AL1367" s="2043"/>
      <c r="AM1367" s="2043"/>
      <c r="AN1367" s="2043"/>
      <c r="AO1367" s="2043"/>
      <c r="AP1367" s="2043"/>
      <c r="AQ1367" s="2043"/>
      <c r="AR1367" s="2043"/>
      <c r="AS1367" s="2043"/>
      <c r="AT1367" s="2043"/>
      <c r="AU1367" s="2043"/>
      <c r="AV1367" s="2043"/>
      <c r="AW1367" s="2043"/>
      <c r="AX1367" s="2043"/>
      <c r="AY1367" s="2043"/>
      <c r="AZ1367" s="2043"/>
      <c r="BA1367" s="2043"/>
      <c r="BB1367" s="2043"/>
      <c r="BC1367" s="2043"/>
      <c r="BD1367" s="2043"/>
      <c r="BE1367" s="2043"/>
      <c r="BF1367" s="2043"/>
      <c r="BG1367" s="2043"/>
      <c r="BH1367" s="2043"/>
      <c r="BI1367" s="2043"/>
      <c r="BJ1367" s="2043"/>
      <c r="BK1367" s="2043"/>
      <c r="BL1367" s="2043"/>
    </row>
    <row r="1368" spans="1:64" ht="15">
      <c r="A1368" s="2114" t="s">
        <v>227</v>
      </c>
      <c r="B1368" s="1854" t="s">
        <v>1823</v>
      </c>
      <c r="C1368" s="2043"/>
      <c r="D1368" s="1855"/>
      <c r="E1368" s="2043"/>
      <c r="F1368" s="2043"/>
      <c r="G1368" s="2043"/>
      <c r="H1368" s="1855"/>
      <c r="I1368" s="2043"/>
      <c r="J1368" s="2043"/>
      <c r="K1368" s="1855"/>
      <c r="L1368" s="2502"/>
      <c r="M1368" s="1964">
        <v>1</v>
      </c>
      <c r="N1368" s="2112"/>
      <c r="O1368" s="2481">
        <f>'Part VIII Scoring Criteria'!O217</f>
        <v>1</v>
      </c>
      <c r="P1368" s="2481">
        <f>'Part VIII Scoring Criteria'!P217</f>
        <v>0</v>
      </c>
      <c r="Q1368" s="2543" t="str">
        <f>IF(OR($O1368=$M1368,$O1368=0,$O1368=""),"","*CHECK!*")</f>
        <v/>
      </c>
      <c r="R1368" s="2503"/>
      <c r="S1368" s="2043"/>
      <c r="T1368" s="2561"/>
      <c r="U1368" s="2561"/>
      <c r="V1368" s="2043"/>
      <c r="W1368" s="2043"/>
      <c r="X1368" s="2043"/>
      <c r="Y1368" s="2043"/>
      <c r="Z1368" s="2043"/>
      <c r="AA1368" s="2043"/>
      <c r="AB1368" s="2043"/>
      <c r="AC1368" s="2043"/>
      <c r="AD1368" s="2043"/>
      <c r="AE1368" s="2043"/>
      <c r="AF1368" s="2043"/>
      <c r="AG1368" s="2043"/>
      <c r="AH1368" s="2043"/>
      <c r="AI1368" s="2043"/>
      <c r="AJ1368" s="2043"/>
      <c r="AK1368" s="2043"/>
      <c r="AL1368" s="2043"/>
      <c r="AM1368" s="2043"/>
      <c r="AN1368" s="2043"/>
      <c r="AO1368" s="2043"/>
      <c r="AP1368" s="2043"/>
      <c r="AQ1368" s="2043"/>
      <c r="AR1368" s="2043"/>
      <c r="AS1368" s="2043"/>
      <c r="AT1368" s="2043"/>
      <c r="AU1368" s="2043"/>
      <c r="AV1368" s="2043"/>
      <c r="AW1368" s="2043"/>
      <c r="AX1368" s="2043"/>
      <c r="AY1368" s="2043"/>
      <c r="AZ1368" s="2043"/>
      <c r="BA1368" s="2043"/>
      <c r="BB1368" s="2043"/>
      <c r="BC1368" s="2043"/>
      <c r="BD1368" s="2043"/>
      <c r="BE1368" s="2043"/>
      <c r="BF1368" s="2043"/>
      <c r="BG1368" s="2043"/>
      <c r="BH1368" s="2043"/>
      <c r="BI1368" s="2043"/>
      <c r="BJ1368" s="2043"/>
      <c r="BK1368" s="2043"/>
      <c r="BL1368" s="2043"/>
    </row>
    <row r="1369" spans="1:64" ht="15" customHeight="1">
      <c r="A1369" s="2043"/>
      <c r="B1369" s="2049" t="s">
        <v>7043</v>
      </c>
      <c r="C1369" s="2052"/>
      <c r="D1369" s="2052"/>
      <c r="E1369" s="2052"/>
      <c r="F1369" s="2052"/>
      <c r="G1369" s="2052"/>
      <c r="H1369" s="2052"/>
      <c r="I1369" s="2052"/>
      <c r="J1369" s="2052"/>
      <c r="K1369" s="2052"/>
      <c r="L1369" s="2052"/>
      <c r="M1369" s="1964"/>
      <c r="N1369" s="2112"/>
      <c r="O1369" s="2042" t="str">
        <f>'Part VIII Scoring Criteria'!O218</f>
        <v>Yes</v>
      </c>
      <c r="P1369" s="2531"/>
      <c r="Q1369" s="2043"/>
      <c r="R1369" s="2502"/>
      <c r="S1369" s="2043"/>
      <c r="T1369" s="2561"/>
      <c r="U1369" s="2561"/>
      <c r="V1369" s="2043"/>
      <c r="W1369" s="2043"/>
      <c r="X1369" s="2043"/>
      <c r="Y1369" s="2043"/>
      <c r="Z1369" s="2043"/>
      <c r="AA1369" s="2043"/>
      <c r="AB1369" s="2043"/>
      <c r="AC1369" s="2043"/>
      <c r="AD1369" s="2043"/>
      <c r="AE1369" s="2043"/>
      <c r="AF1369" s="2043"/>
      <c r="AG1369" s="2043"/>
      <c r="AH1369" s="2043"/>
      <c r="AI1369" s="2043"/>
      <c r="AJ1369" s="2043"/>
      <c r="AK1369" s="2043"/>
      <c r="AL1369" s="2043"/>
      <c r="AM1369" s="2043"/>
      <c r="AN1369" s="2043"/>
      <c r="AO1369" s="2043"/>
      <c r="AP1369" s="2043"/>
      <c r="AQ1369" s="2043"/>
      <c r="AR1369" s="2043"/>
      <c r="AS1369" s="2043"/>
      <c r="AT1369" s="2043"/>
      <c r="AU1369" s="2043"/>
      <c r="AV1369" s="2043"/>
      <c r="AW1369" s="2043"/>
      <c r="AX1369" s="2043"/>
      <c r="AY1369" s="2043"/>
      <c r="AZ1369" s="2043"/>
      <c r="BA1369" s="2043"/>
      <c r="BB1369" s="2043"/>
      <c r="BC1369" s="2043"/>
      <c r="BD1369" s="2043"/>
      <c r="BE1369" s="2043"/>
      <c r="BF1369" s="2043"/>
      <c r="BG1369" s="2043"/>
      <c r="BH1369" s="2043"/>
      <c r="BI1369" s="2043"/>
      <c r="BJ1369" s="2043"/>
      <c r="BK1369" s="2043"/>
      <c r="BL1369" s="2043"/>
    </row>
    <row r="1370" spans="1:64" ht="15">
      <c r="A1370" s="1855"/>
      <c r="B1370" s="2510" t="s">
        <v>1399</v>
      </c>
      <c r="C1370" s="1855"/>
      <c r="D1370" s="2510"/>
      <c r="E1370" s="2487"/>
      <c r="F1370" s="2487"/>
      <c r="G1370" s="2487"/>
      <c r="H1370" s="2487"/>
      <c r="I1370" s="2487"/>
      <c r="J1370" s="2487"/>
      <c r="K1370" s="2487"/>
      <c r="L1370" s="2487"/>
      <c r="M1370" s="2487"/>
      <c r="N1370" s="2511"/>
      <c r="O1370" s="2489"/>
      <c r="P1370" s="2113"/>
      <c r="Q1370" s="2043"/>
      <c r="R1370" s="2043"/>
      <c r="S1370" s="2043"/>
      <c r="T1370" s="2043"/>
      <c r="U1370" s="2043"/>
      <c r="V1370" s="2043"/>
      <c r="W1370" s="2043"/>
      <c r="X1370" s="2043"/>
      <c r="Y1370" s="2043"/>
      <c r="Z1370" s="2043"/>
      <c r="AA1370" s="2043"/>
      <c r="AB1370" s="2043"/>
      <c r="AC1370" s="2043"/>
      <c r="AD1370" s="2043"/>
      <c r="AE1370" s="2043"/>
      <c r="AF1370" s="2043"/>
      <c r="AG1370" s="2043"/>
      <c r="AH1370" s="2043"/>
      <c r="AI1370" s="2043"/>
      <c r="AJ1370" s="2043"/>
      <c r="AK1370" s="2043"/>
      <c r="AL1370" s="2043"/>
      <c r="AM1370" s="2043"/>
      <c r="AN1370" s="2043"/>
      <c r="AO1370" s="2043"/>
      <c r="AP1370" s="2043"/>
      <c r="AQ1370" s="2043"/>
      <c r="AR1370" s="2043"/>
      <c r="AS1370" s="2043"/>
      <c r="AT1370" s="2043"/>
      <c r="AU1370" s="2043"/>
      <c r="AV1370" s="2043"/>
      <c r="AW1370" s="2043"/>
      <c r="AX1370" s="2043"/>
      <c r="AY1370" s="2043"/>
      <c r="AZ1370" s="2043"/>
      <c r="BA1370" s="2043"/>
      <c r="BB1370" s="2043"/>
      <c r="BC1370" s="2043"/>
      <c r="BD1370" s="2043"/>
      <c r="BE1370" s="2043"/>
      <c r="BF1370" s="2043"/>
      <c r="BG1370" s="2043"/>
      <c r="BH1370" s="2043"/>
      <c r="BI1370" s="2043"/>
      <c r="BJ1370" s="2043"/>
      <c r="BK1370" s="2043"/>
      <c r="BL1370" s="2043"/>
    </row>
    <row r="1371" spans="1:64" ht="15">
      <c r="A1371" s="2052"/>
      <c r="B1371" s="2052"/>
      <c r="C1371" s="2052"/>
      <c r="D1371" s="2052"/>
      <c r="E1371" s="2052"/>
      <c r="F1371" s="2052"/>
      <c r="G1371" s="2052"/>
      <c r="H1371" s="2052"/>
      <c r="I1371" s="2052"/>
      <c r="J1371" s="2052"/>
      <c r="K1371" s="2052"/>
      <c r="L1371" s="2052"/>
      <c r="M1371" s="2052"/>
      <c r="N1371" s="2052"/>
      <c r="O1371" s="2052"/>
      <c r="P1371" s="2052"/>
      <c r="Q1371" s="1854"/>
      <c r="R1371" s="2043"/>
      <c r="S1371" s="2043"/>
      <c r="T1371" s="2043"/>
      <c r="U1371" s="2043"/>
      <c r="V1371" s="2043"/>
      <c r="W1371" s="2043"/>
      <c r="X1371" s="2043"/>
      <c r="Y1371" s="2043"/>
      <c r="Z1371" s="2043"/>
      <c r="AA1371" s="2043"/>
      <c r="AB1371" s="2043"/>
      <c r="AC1371" s="2043"/>
      <c r="AD1371" s="2043"/>
      <c r="AE1371" s="2043"/>
      <c r="AF1371" s="2043"/>
      <c r="AG1371" s="2043"/>
      <c r="AH1371" s="2043"/>
      <c r="AI1371" s="2043"/>
      <c r="AJ1371" s="2043"/>
      <c r="AK1371" s="2043"/>
      <c r="AL1371" s="2043"/>
      <c r="AM1371" s="2043"/>
      <c r="AN1371" s="2043"/>
      <c r="AO1371" s="2043"/>
      <c r="AP1371" s="2043"/>
      <c r="AQ1371" s="2043"/>
      <c r="AR1371" s="2043"/>
      <c r="AS1371" s="2043"/>
      <c r="AT1371" s="2043"/>
      <c r="AU1371" s="2043"/>
      <c r="AV1371" s="2043"/>
      <c r="AW1371" s="2043"/>
      <c r="AX1371" s="2043"/>
      <c r="AY1371" s="2043"/>
      <c r="AZ1371" s="2043"/>
      <c r="BA1371" s="2043"/>
      <c r="BB1371" s="2043"/>
      <c r="BC1371" s="2043"/>
      <c r="BD1371" s="2043"/>
      <c r="BE1371" s="2043"/>
      <c r="BF1371" s="2043"/>
      <c r="BG1371" s="2043"/>
      <c r="BH1371" s="2043"/>
      <c r="BI1371" s="2043"/>
      <c r="BJ1371" s="2043"/>
      <c r="BK1371" s="2043"/>
      <c r="BL1371" s="2043"/>
    </row>
    <row r="1372" spans="1:64" ht="15">
      <c r="A1372" s="1855"/>
      <c r="B1372" s="2043"/>
      <c r="C1372" s="2043"/>
      <c r="D1372" s="1855"/>
      <c r="E1372" s="1855"/>
      <c r="F1372" s="2113"/>
      <c r="G1372" s="2113"/>
      <c r="H1372" s="2113"/>
      <c r="I1372" s="2113"/>
      <c r="J1372" s="2046"/>
      <c r="K1372" s="2046"/>
      <c r="L1372" s="2046"/>
      <c r="M1372" s="1964"/>
      <c r="N1372" s="2113"/>
      <c r="O1372" s="2045"/>
      <c r="P1372" s="2045"/>
      <c r="Q1372" s="2043"/>
      <c r="R1372" s="2043"/>
      <c r="S1372" s="2043"/>
      <c r="T1372" s="2043"/>
      <c r="U1372" s="2043"/>
      <c r="V1372" s="2043"/>
      <c r="W1372" s="2043"/>
      <c r="X1372" s="2043"/>
      <c r="Y1372" s="2043"/>
      <c r="Z1372" s="2043"/>
      <c r="AA1372" s="2043"/>
      <c r="AB1372" s="2043"/>
      <c r="AC1372" s="2043"/>
      <c r="AD1372" s="2043"/>
      <c r="AE1372" s="2043"/>
      <c r="AF1372" s="2043"/>
      <c r="AG1372" s="2043"/>
      <c r="AH1372" s="2043"/>
      <c r="AI1372" s="2043"/>
      <c r="AJ1372" s="2043"/>
      <c r="AK1372" s="2043"/>
      <c r="AL1372" s="2043"/>
      <c r="AM1372" s="2043"/>
      <c r="AN1372" s="2043"/>
      <c r="AO1372" s="2043"/>
      <c r="AP1372" s="2043"/>
      <c r="AQ1372" s="2043"/>
      <c r="AR1372" s="2043"/>
      <c r="AS1372" s="2043"/>
      <c r="AT1372" s="2043"/>
      <c r="AU1372" s="2043"/>
      <c r="AV1372" s="2043"/>
      <c r="AW1372" s="2043"/>
      <c r="AX1372" s="2043"/>
      <c r="AY1372" s="2043"/>
      <c r="AZ1372" s="2043"/>
      <c r="BA1372" s="2043"/>
      <c r="BB1372" s="2043"/>
      <c r="BC1372" s="2043"/>
      <c r="BD1372" s="2043"/>
      <c r="BE1372" s="2043"/>
      <c r="BF1372" s="2043"/>
      <c r="BG1372" s="2043"/>
      <c r="BH1372" s="2043"/>
      <c r="BI1372" s="2043"/>
      <c r="BJ1372" s="2043"/>
      <c r="BK1372" s="2043"/>
      <c r="BL1372" s="2043"/>
    </row>
    <row r="1373" spans="1:64" ht="15">
      <c r="A1373" s="1855"/>
      <c r="B1373" s="2043"/>
      <c r="C1373" s="2043"/>
      <c r="D1373" s="1855"/>
      <c r="E1373" s="1855"/>
      <c r="F1373" s="2113"/>
      <c r="G1373" s="2113"/>
      <c r="H1373" s="2113"/>
      <c r="I1373" s="2113"/>
      <c r="J1373" s="2046"/>
      <c r="K1373" s="2046"/>
      <c r="L1373" s="2046"/>
      <c r="M1373" s="1964"/>
      <c r="N1373" s="2113"/>
      <c r="O1373" s="2045"/>
      <c r="P1373" s="2045"/>
      <c r="Q1373" s="2043"/>
      <c r="R1373" s="2043"/>
      <c r="S1373" s="2043"/>
      <c r="T1373" s="2043"/>
      <c r="U1373" s="2043"/>
      <c r="V1373" s="2043"/>
      <c r="W1373" s="2043"/>
      <c r="X1373" s="2043"/>
      <c r="Y1373" s="2043"/>
      <c r="Z1373" s="2043"/>
      <c r="AA1373" s="2043"/>
      <c r="AB1373" s="2043"/>
      <c r="AC1373" s="2043"/>
      <c r="AD1373" s="2043"/>
      <c r="AE1373" s="2043"/>
      <c r="AF1373" s="2043"/>
      <c r="AG1373" s="2043"/>
      <c r="AH1373" s="2043"/>
      <c r="AI1373" s="2043"/>
      <c r="AJ1373" s="2043"/>
      <c r="AK1373" s="2043"/>
      <c r="AL1373" s="2043"/>
      <c r="AM1373" s="2043"/>
      <c r="AN1373" s="2043"/>
      <c r="AO1373" s="2043"/>
      <c r="AP1373" s="2043"/>
      <c r="AQ1373" s="2043"/>
      <c r="AR1373" s="2043"/>
      <c r="AS1373" s="2043"/>
      <c r="AT1373" s="2043"/>
      <c r="AU1373" s="2043"/>
      <c r="AV1373" s="2043"/>
      <c r="AW1373" s="2043"/>
      <c r="AX1373" s="2043"/>
      <c r="AY1373" s="2043"/>
      <c r="AZ1373" s="2043"/>
      <c r="BA1373" s="2043"/>
      <c r="BB1373" s="2043"/>
      <c r="BC1373" s="2043"/>
      <c r="BD1373" s="2043"/>
      <c r="BE1373" s="2043"/>
      <c r="BF1373" s="2043"/>
      <c r="BG1373" s="2043"/>
      <c r="BH1373" s="2043"/>
      <c r="BI1373" s="2043"/>
      <c r="BJ1373" s="2043"/>
      <c r="BK1373" s="2043"/>
      <c r="BL1373" s="2043"/>
    </row>
    <row r="1374" spans="1:64" ht="15">
      <c r="A1374" s="2109" t="s">
        <v>1472</v>
      </c>
      <c r="B1374" s="2110" t="s">
        <v>1825</v>
      </c>
      <c r="C1374" s="1855"/>
      <c r="D1374" s="2110"/>
      <c r="E1374" s="2110"/>
      <c r="F1374" s="1855"/>
      <c r="G1374" s="2557"/>
      <c r="H1374" s="1855"/>
      <c r="I1374" s="2503"/>
      <c r="J1374" s="2113"/>
      <c r="K1374" s="1855"/>
      <c r="L1374" s="2114"/>
      <c r="M1374" s="2113">
        <v>2</v>
      </c>
      <c r="N1374" s="1964"/>
      <c r="O1374" s="2042">
        <f>'Part VIII Scoring Criteria'!O223</f>
        <v>0</v>
      </c>
      <c r="P1374" s="2042">
        <f>'Part VIII Scoring Criteria'!P223</f>
        <v>0</v>
      </c>
      <c r="Q1374" s="2113" t="s">
        <v>1716</v>
      </c>
      <c r="R1374" s="2108"/>
      <c r="S1374" s="2108"/>
      <c r="T1374" s="2108"/>
      <c r="U1374" s="2108"/>
      <c r="V1374" s="2108"/>
      <c r="W1374" s="1855"/>
      <c r="X1374" s="1855"/>
      <c r="Y1374" s="1855"/>
      <c r="Z1374" s="1855"/>
      <c r="AA1374" s="1855"/>
      <c r="AB1374" s="1855"/>
      <c r="AC1374" s="1855"/>
      <c r="AD1374" s="1855"/>
      <c r="AE1374" s="1855"/>
      <c r="AF1374" s="1855"/>
      <c r="AG1374" s="1855"/>
      <c r="AH1374" s="1855"/>
      <c r="AI1374" s="1855"/>
      <c r="AJ1374" s="1855"/>
      <c r="AK1374" s="1855"/>
      <c r="AL1374" s="1855"/>
      <c r="AM1374" s="1855"/>
      <c r="AN1374" s="1855"/>
      <c r="AO1374" s="1855"/>
      <c r="AP1374" s="1855"/>
      <c r="AQ1374" s="1855"/>
      <c r="AR1374" s="1855"/>
      <c r="AS1374" s="1855"/>
      <c r="AT1374" s="1855"/>
      <c r="AU1374" s="1855"/>
      <c r="AV1374" s="1855"/>
      <c r="AW1374" s="1855"/>
      <c r="AX1374" s="1855"/>
      <c r="AY1374" s="1855"/>
      <c r="AZ1374" s="1855"/>
      <c r="BA1374" s="1855"/>
      <c r="BB1374" s="1855"/>
      <c r="BC1374" s="1855"/>
      <c r="BD1374" s="1855"/>
      <c r="BE1374" s="1855"/>
      <c r="BF1374" s="1855"/>
      <c r="BG1374" s="1855"/>
      <c r="BH1374" s="1855"/>
      <c r="BI1374" s="1855"/>
      <c r="BJ1374" s="1855"/>
      <c r="BK1374" s="1855"/>
      <c r="BL1374" s="1855"/>
    </row>
    <row r="1375" spans="1:64" ht="15">
      <c r="A1375" s="2113"/>
      <c r="B1375" s="2050" t="s">
        <v>1826</v>
      </c>
      <c r="C1375" s="2043"/>
      <c r="D1375" s="2050"/>
      <c r="E1375" s="2050"/>
      <c r="F1375" s="2050"/>
      <c r="G1375" s="2050"/>
      <c r="H1375" s="2050"/>
      <c r="I1375" s="2043"/>
      <c r="J1375" s="2043"/>
      <c r="K1375" s="2043"/>
      <c r="L1375" s="2050"/>
      <c r="M1375" s="1994"/>
      <c r="N1375" s="2112"/>
      <c r="O1375" s="2113">
        <f>'Part VIII Scoring Criteria'!O224</f>
        <v>0</v>
      </c>
      <c r="P1375" s="2113"/>
      <c r="Q1375" s="1994">
        <f>IF(L1375="Yes",1,0)</f>
        <v>0</v>
      </c>
      <c r="R1375" s="2108"/>
      <c r="S1375" s="2108"/>
      <c r="T1375" s="2108"/>
      <c r="U1375" s="2108"/>
      <c r="V1375" s="2108"/>
      <c r="W1375" s="2043"/>
      <c r="X1375" s="2043"/>
      <c r="Y1375" s="2043"/>
      <c r="Z1375" s="2043"/>
      <c r="AA1375" s="2043"/>
      <c r="AB1375" s="2043"/>
      <c r="AC1375" s="2043"/>
      <c r="AD1375" s="2043"/>
      <c r="AE1375" s="2043"/>
      <c r="AF1375" s="2043"/>
      <c r="AG1375" s="2043"/>
      <c r="AH1375" s="2043"/>
      <c r="AI1375" s="2043"/>
      <c r="AJ1375" s="2043"/>
      <c r="AK1375" s="2043"/>
      <c r="AL1375" s="2043"/>
      <c r="AM1375" s="2043"/>
      <c r="AN1375" s="2043"/>
      <c r="AO1375" s="2043"/>
      <c r="AP1375" s="2043"/>
      <c r="AQ1375" s="2043"/>
      <c r="AR1375" s="2043"/>
      <c r="AS1375" s="2043"/>
      <c r="AT1375" s="2043"/>
      <c r="AU1375" s="2043"/>
      <c r="AV1375" s="2043"/>
      <c r="AW1375" s="2043"/>
      <c r="AX1375" s="2043"/>
      <c r="AY1375" s="2043"/>
      <c r="AZ1375" s="2043"/>
      <c r="BA1375" s="2043"/>
      <c r="BB1375" s="2043"/>
      <c r="BC1375" s="2043"/>
      <c r="BD1375" s="2043"/>
      <c r="BE1375" s="2043"/>
      <c r="BF1375" s="2043"/>
      <c r="BG1375" s="2043"/>
      <c r="BH1375" s="2043"/>
      <c r="BI1375" s="2043"/>
      <c r="BJ1375" s="2043"/>
      <c r="BK1375" s="2043"/>
      <c r="BL1375" s="2043"/>
    </row>
    <row r="1376" spans="1:64" ht="15" customHeight="1">
      <c r="A1376" s="2043"/>
      <c r="B1376" s="1855" t="s">
        <v>1827</v>
      </c>
      <c r="C1376" s="2083"/>
      <c r="D1376" s="2083"/>
      <c r="E1376" s="2083"/>
      <c r="F1376" s="2083"/>
      <c r="G1376" s="2083"/>
      <c r="H1376" s="2083"/>
      <c r="I1376" s="2083"/>
      <c r="J1376" s="2083"/>
      <c r="K1376" s="2083"/>
      <c r="L1376" s="2083"/>
      <c r="M1376" s="1994"/>
      <c r="N1376" s="1994"/>
      <c r="O1376" s="1994"/>
      <c r="P1376" s="1994"/>
      <c r="Q1376" s="1994"/>
      <c r="R1376" s="2108"/>
      <c r="S1376" s="2108"/>
      <c r="T1376" s="2108"/>
      <c r="U1376" s="2108"/>
      <c r="V1376" s="2108"/>
      <c r="W1376" s="2043"/>
      <c r="X1376" s="2043"/>
      <c r="Y1376" s="2043"/>
      <c r="Z1376" s="2043"/>
      <c r="AA1376" s="2043"/>
      <c r="AB1376" s="2043"/>
      <c r="AC1376" s="2043"/>
      <c r="AD1376" s="2043"/>
      <c r="AE1376" s="2043"/>
      <c r="AF1376" s="2043"/>
      <c r="AG1376" s="2043"/>
      <c r="AH1376" s="2043"/>
      <c r="AI1376" s="2043"/>
      <c r="AJ1376" s="2043"/>
      <c r="AK1376" s="2043"/>
      <c r="AL1376" s="2043"/>
      <c r="AM1376" s="2043"/>
      <c r="AN1376" s="2043"/>
      <c r="AO1376" s="2043"/>
      <c r="AP1376" s="2043"/>
      <c r="AQ1376" s="2043"/>
      <c r="AR1376" s="2043"/>
      <c r="AS1376" s="2043"/>
      <c r="AT1376" s="2043"/>
      <c r="AU1376" s="2043"/>
      <c r="AV1376" s="2043"/>
      <c r="AW1376" s="2043"/>
      <c r="AX1376" s="2043"/>
      <c r="AY1376" s="2043"/>
      <c r="AZ1376" s="2043"/>
      <c r="BA1376" s="2043"/>
      <c r="BB1376" s="2043"/>
      <c r="BC1376" s="2043"/>
      <c r="BD1376" s="2043"/>
      <c r="BE1376" s="2043"/>
      <c r="BF1376" s="2043"/>
      <c r="BG1376" s="2043"/>
      <c r="BH1376" s="2043"/>
      <c r="BI1376" s="2043"/>
      <c r="BJ1376" s="2043"/>
      <c r="BK1376" s="2043"/>
      <c r="BL1376" s="2043"/>
    </row>
    <row r="1377" spans="1:64" ht="15">
      <c r="A1377" s="2043"/>
      <c r="B1377" s="2052">
        <f>'Part VIII Scoring Criteria'!B226</f>
        <v>0</v>
      </c>
      <c r="C1377" s="2052"/>
      <c r="D1377" s="2052"/>
      <c r="E1377" s="2052"/>
      <c r="F1377" s="2052"/>
      <c r="G1377" s="2052"/>
      <c r="H1377" s="2052"/>
      <c r="I1377" s="2052"/>
      <c r="J1377" s="2052"/>
      <c r="K1377" s="2052"/>
      <c r="L1377" s="2052"/>
      <c r="M1377" s="2052"/>
      <c r="N1377" s="2052"/>
      <c r="O1377" s="2052"/>
      <c r="P1377" s="2052"/>
      <c r="Q1377" s="1994"/>
      <c r="R1377" s="2108"/>
      <c r="S1377" s="2108"/>
      <c r="T1377" s="2108"/>
      <c r="U1377" s="2108"/>
      <c r="V1377" s="2108"/>
      <c r="W1377" s="2043"/>
      <c r="X1377" s="2043"/>
      <c r="Y1377" s="2043"/>
      <c r="Z1377" s="2043"/>
      <c r="AA1377" s="2043"/>
      <c r="AB1377" s="2043"/>
      <c r="AC1377" s="2043"/>
      <c r="AD1377" s="2043"/>
      <c r="AE1377" s="2043"/>
      <c r="AF1377" s="2043"/>
      <c r="AG1377" s="2043"/>
      <c r="AH1377" s="2043"/>
      <c r="AI1377" s="2043"/>
      <c r="AJ1377" s="2043"/>
      <c r="AK1377" s="2043"/>
      <c r="AL1377" s="2043"/>
      <c r="AM1377" s="2043"/>
      <c r="AN1377" s="2043"/>
      <c r="AO1377" s="2043"/>
      <c r="AP1377" s="2043"/>
      <c r="AQ1377" s="2043"/>
      <c r="AR1377" s="2043"/>
      <c r="AS1377" s="2043"/>
      <c r="AT1377" s="2043"/>
      <c r="AU1377" s="2043"/>
      <c r="AV1377" s="2043"/>
      <c r="AW1377" s="2043"/>
      <c r="AX1377" s="2043"/>
      <c r="AY1377" s="2043"/>
      <c r="AZ1377" s="2043"/>
      <c r="BA1377" s="2043"/>
      <c r="BB1377" s="2043"/>
      <c r="BC1377" s="2043"/>
      <c r="BD1377" s="2043"/>
      <c r="BE1377" s="2043"/>
      <c r="BF1377" s="2043"/>
      <c r="BG1377" s="2043"/>
      <c r="BH1377" s="2043"/>
      <c r="BI1377" s="2043"/>
      <c r="BJ1377" s="2043"/>
      <c r="BK1377" s="2043"/>
      <c r="BL1377" s="2043"/>
    </row>
    <row r="1378" spans="1:64" ht="15">
      <c r="A1378" s="1855"/>
      <c r="B1378" s="2110" t="s">
        <v>1739</v>
      </c>
      <c r="C1378" s="1855"/>
      <c r="D1378" s="1855"/>
      <c r="E1378" s="1855"/>
      <c r="F1378" s="1855"/>
      <c r="G1378" s="1855"/>
      <c r="H1378" s="1855"/>
      <c r="I1378" s="1855"/>
      <c r="J1378" s="1855"/>
      <c r="K1378" s="1855"/>
      <c r="L1378" s="2043"/>
      <c r="M1378" s="1964"/>
      <c r="N1378" s="1994"/>
      <c r="O1378" s="2042"/>
      <c r="P1378" s="2045"/>
      <c r="Q1378" s="2043"/>
      <c r="R1378" s="2108"/>
      <c r="S1378" s="2108"/>
      <c r="T1378" s="2108"/>
      <c r="U1378" s="2108"/>
      <c r="V1378" s="2108"/>
      <c r="W1378" s="2043"/>
      <c r="X1378" s="2043"/>
      <c r="Y1378" s="2043"/>
      <c r="Z1378" s="2043"/>
      <c r="AA1378" s="2043"/>
      <c r="AB1378" s="2043"/>
      <c r="AC1378" s="2043"/>
      <c r="AD1378" s="2043"/>
      <c r="AE1378" s="2043"/>
      <c r="AF1378" s="2043"/>
      <c r="AG1378" s="2043"/>
      <c r="AH1378" s="2043"/>
      <c r="AI1378" s="2043"/>
      <c r="AJ1378" s="2043"/>
      <c r="AK1378" s="2043"/>
      <c r="AL1378" s="2043"/>
      <c r="AM1378" s="2043"/>
      <c r="AN1378" s="2043"/>
      <c r="AO1378" s="2043"/>
      <c r="AP1378" s="2043"/>
      <c r="AQ1378" s="2043"/>
      <c r="AR1378" s="2043"/>
      <c r="AS1378" s="2043"/>
      <c r="AT1378" s="2043"/>
      <c r="AU1378" s="2043"/>
      <c r="AV1378" s="2043"/>
      <c r="AW1378" s="2043"/>
      <c r="AX1378" s="2043"/>
      <c r="AY1378" s="2043"/>
      <c r="AZ1378" s="2043"/>
      <c r="BA1378" s="2043"/>
      <c r="BB1378" s="2043"/>
      <c r="BC1378" s="2043"/>
      <c r="BD1378" s="2043"/>
      <c r="BE1378" s="2043"/>
      <c r="BF1378" s="2043"/>
      <c r="BG1378" s="2043"/>
      <c r="BH1378" s="2043"/>
      <c r="BI1378" s="2043"/>
      <c r="BJ1378" s="2043"/>
      <c r="BK1378" s="2043"/>
      <c r="BL1378" s="2043"/>
    </row>
    <row r="1379" spans="1:64" ht="15">
      <c r="A1379" s="2052">
        <f>'Part VIII Scoring Criteria'!A228</f>
        <v>0</v>
      </c>
      <c r="B1379" s="2052"/>
      <c r="C1379" s="2052"/>
      <c r="D1379" s="2052"/>
      <c r="E1379" s="2052"/>
      <c r="F1379" s="2052"/>
      <c r="G1379" s="2052"/>
      <c r="H1379" s="2052"/>
      <c r="I1379" s="2052"/>
      <c r="J1379" s="2052"/>
      <c r="K1379" s="2052"/>
      <c r="L1379" s="2052"/>
      <c r="M1379" s="2052"/>
      <c r="N1379" s="2052"/>
      <c r="O1379" s="2052"/>
      <c r="P1379" s="2052"/>
      <c r="Q1379" s="1854"/>
      <c r="R1379" s="2043"/>
      <c r="S1379" s="2043"/>
      <c r="T1379" s="2043"/>
      <c r="U1379" s="2043"/>
      <c r="V1379" s="2043"/>
      <c r="W1379" s="2043"/>
      <c r="X1379" s="2043"/>
      <c r="Y1379" s="2043"/>
      <c r="Z1379" s="2043"/>
      <c r="AA1379" s="2043"/>
      <c r="AB1379" s="2043"/>
      <c r="AC1379" s="2043"/>
      <c r="AD1379" s="2043"/>
      <c r="AE1379" s="2043"/>
      <c r="AF1379" s="2043"/>
      <c r="AG1379" s="2043"/>
      <c r="AH1379" s="2043"/>
      <c r="AI1379" s="2043"/>
      <c r="AJ1379" s="2043"/>
      <c r="AK1379" s="2043"/>
      <c r="AL1379" s="2043"/>
      <c r="AM1379" s="2043"/>
      <c r="AN1379" s="2043"/>
      <c r="AO1379" s="2043"/>
      <c r="AP1379" s="2043"/>
      <c r="AQ1379" s="2043"/>
      <c r="AR1379" s="2043"/>
      <c r="AS1379" s="2043"/>
      <c r="AT1379" s="2043"/>
      <c r="AU1379" s="2043"/>
      <c r="AV1379" s="2043"/>
      <c r="AW1379" s="2043"/>
      <c r="AX1379" s="2043"/>
      <c r="AY1379" s="2043"/>
      <c r="AZ1379" s="2043"/>
      <c r="BA1379" s="2043"/>
      <c r="BB1379" s="2043"/>
      <c r="BC1379" s="2043"/>
      <c r="BD1379" s="2043"/>
      <c r="BE1379" s="2043"/>
      <c r="BF1379" s="2043"/>
      <c r="BG1379" s="2043"/>
      <c r="BH1379" s="2043"/>
      <c r="BI1379" s="2043"/>
      <c r="BJ1379" s="2043"/>
      <c r="BK1379" s="2043"/>
      <c r="BL1379" s="2043"/>
    </row>
    <row r="1380" spans="1:64" ht="15">
      <c r="A1380" s="1855"/>
      <c r="B1380" s="2510" t="s">
        <v>1399</v>
      </c>
      <c r="C1380" s="1855"/>
      <c r="D1380" s="2510"/>
      <c r="E1380" s="2487"/>
      <c r="F1380" s="2487"/>
      <c r="G1380" s="2487"/>
      <c r="H1380" s="2487"/>
      <c r="I1380" s="2487"/>
      <c r="J1380" s="2487"/>
      <c r="K1380" s="2487"/>
      <c r="L1380" s="2487"/>
      <c r="M1380" s="2487"/>
      <c r="N1380" s="2511"/>
      <c r="O1380" s="2489"/>
      <c r="P1380" s="2113"/>
      <c r="Q1380" s="2043"/>
      <c r="R1380" s="2043"/>
      <c r="S1380" s="2043"/>
      <c r="T1380" s="2043"/>
      <c r="U1380" s="2043"/>
      <c r="V1380" s="2043"/>
      <c r="W1380" s="2043"/>
      <c r="X1380" s="2043"/>
      <c r="Y1380" s="2043"/>
      <c r="Z1380" s="2043"/>
      <c r="AA1380" s="2043"/>
      <c r="AB1380" s="2043"/>
      <c r="AC1380" s="2043"/>
      <c r="AD1380" s="2043"/>
      <c r="AE1380" s="2043"/>
      <c r="AF1380" s="2043"/>
      <c r="AG1380" s="2043"/>
      <c r="AH1380" s="2043"/>
      <c r="AI1380" s="2043"/>
      <c r="AJ1380" s="2043"/>
      <c r="AK1380" s="2043"/>
      <c r="AL1380" s="2043"/>
      <c r="AM1380" s="2043"/>
      <c r="AN1380" s="2043"/>
      <c r="AO1380" s="2043"/>
      <c r="AP1380" s="2043"/>
      <c r="AQ1380" s="2043"/>
      <c r="AR1380" s="2043"/>
      <c r="AS1380" s="2043"/>
      <c r="AT1380" s="2043"/>
      <c r="AU1380" s="2043"/>
      <c r="AV1380" s="2043"/>
      <c r="AW1380" s="2043"/>
      <c r="AX1380" s="2043"/>
      <c r="AY1380" s="2043"/>
      <c r="AZ1380" s="2043"/>
      <c r="BA1380" s="2043"/>
      <c r="BB1380" s="2043"/>
      <c r="BC1380" s="2043"/>
      <c r="BD1380" s="2043"/>
      <c r="BE1380" s="2043"/>
      <c r="BF1380" s="2043"/>
      <c r="BG1380" s="2043"/>
      <c r="BH1380" s="2043"/>
      <c r="BI1380" s="2043"/>
      <c r="BJ1380" s="2043"/>
      <c r="BK1380" s="2043"/>
      <c r="BL1380" s="2043"/>
    </row>
    <row r="1381" spans="1:64" ht="15">
      <c r="A1381" s="2052"/>
      <c r="B1381" s="2052"/>
      <c r="C1381" s="2052"/>
      <c r="D1381" s="2052"/>
      <c r="E1381" s="2052"/>
      <c r="F1381" s="2052"/>
      <c r="G1381" s="2052"/>
      <c r="H1381" s="2052"/>
      <c r="I1381" s="2052"/>
      <c r="J1381" s="2052"/>
      <c r="K1381" s="2052"/>
      <c r="L1381" s="2052"/>
      <c r="M1381" s="2052"/>
      <c r="N1381" s="2052"/>
      <c r="O1381" s="2052"/>
      <c r="P1381" s="2052"/>
      <c r="Q1381" s="1854"/>
      <c r="R1381" s="2043"/>
      <c r="S1381" s="2043"/>
      <c r="T1381" s="2043"/>
      <c r="U1381" s="2043"/>
      <c r="V1381" s="2043"/>
      <c r="W1381" s="2043"/>
      <c r="X1381" s="2043"/>
      <c r="Y1381" s="2043"/>
      <c r="Z1381" s="2043"/>
      <c r="AA1381" s="2043"/>
      <c r="AB1381" s="2043"/>
      <c r="AC1381" s="2043"/>
      <c r="AD1381" s="2043"/>
      <c r="AE1381" s="2043"/>
      <c r="AF1381" s="2043"/>
      <c r="AG1381" s="2043"/>
      <c r="AH1381" s="2043"/>
      <c r="AI1381" s="2043"/>
      <c r="AJ1381" s="2043"/>
      <c r="AK1381" s="2043"/>
      <c r="AL1381" s="2043"/>
      <c r="AM1381" s="2043"/>
      <c r="AN1381" s="2043"/>
      <c r="AO1381" s="2043"/>
      <c r="AP1381" s="2043"/>
      <c r="AQ1381" s="2043"/>
      <c r="AR1381" s="2043"/>
      <c r="AS1381" s="2043"/>
      <c r="AT1381" s="2043"/>
      <c r="AU1381" s="2043"/>
      <c r="AV1381" s="2043"/>
      <c r="AW1381" s="2043"/>
      <c r="AX1381" s="2043"/>
      <c r="AY1381" s="2043"/>
      <c r="AZ1381" s="2043"/>
      <c r="BA1381" s="2043"/>
      <c r="BB1381" s="2043"/>
      <c r="BC1381" s="2043"/>
      <c r="BD1381" s="2043"/>
      <c r="BE1381" s="2043"/>
      <c r="BF1381" s="2043"/>
      <c r="BG1381" s="2043"/>
      <c r="BH1381" s="2043"/>
      <c r="BI1381" s="2043"/>
      <c r="BJ1381" s="2043"/>
      <c r="BK1381" s="2043"/>
      <c r="BL1381" s="2043"/>
    </row>
    <row r="1382" spans="1:64" ht="15">
      <c r="A1382" s="1855"/>
      <c r="B1382" s="2043"/>
      <c r="C1382" s="2043"/>
      <c r="D1382" s="1855"/>
      <c r="E1382" s="1855"/>
      <c r="F1382" s="2113"/>
      <c r="G1382" s="2113"/>
      <c r="H1382" s="2113"/>
      <c r="I1382" s="2113"/>
      <c r="J1382" s="2046"/>
      <c r="K1382" s="2046"/>
      <c r="L1382" s="2046"/>
      <c r="M1382" s="1964"/>
      <c r="N1382" s="2113"/>
      <c r="O1382" s="2045"/>
      <c r="P1382" s="2042"/>
      <c r="Q1382" s="2043"/>
      <c r="R1382" s="2043"/>
      <c r="S1382" s="2043"/>
      <c r="T1382" s="2043"/>
      <c r="U1382" s="2043"/>
      <c r="V1382" s="2043"/>
      <c r="W1382" s="2043"/>
      <c r="X1382" s="2043"/>
      <c r="Y1382" s="2043"/>
      <c r="Z1382" s="2043"/>
      <c r="AA1382" s="2043"/>
      <c r="AB1382" s="2043"/>
      <c r="AC1382" s="2043"/>
      <c r="AD1382" s="2043"/>
      <c r="AE1382" s="2043"/>
      <c r="AF1382" s="2043"/>
      <c r="AG1382" s="2043"/>
      <c r="AH1382" s="2043"/>
      <c r="AI1382" s="2043"/>
      <c r="AJ1382" s="2043"/>
      <c r="AK1382" s="2043"/>
      <c r="AL1382" s="2043"/>
      <c r="AM1382" s="2043"/>
      <c r="AN1382" s="2043"/>
      <c r="AO1382" s="2043"/>
      <c r="AP1382" s="2043"/>
      <c r="AQ1382" s="2043"/>
      <c r="AR1382" s="2043"/>
      <c r="AS1382" s="2043"/>
      <c r="AT1382" s="2043"/>
      <c r="AU1382" s="2043"/>
      <c r="AV1382" s="2043"/>
      <c r="AW1382" s="2043"/>
      <c r="AX1382" s="2043"/>
      <c r="AY1382" s="2043"/>
      <c r="AZ1382" s="2043"/>
      <c r="BA1382" s="2043"/>
      <c r="BB1382" s="2043"/>
      <c r="BC1382" s="2043"/>
      <c r="BD1382" s="2043"/>
      <c r="BE1382" s="2043"/>
      <c r="BF1382" s="2043"/>
      <c r="BG1382" s="2043"/>
      <c r="BH1382" s="2043"/>
      <c r="BI1382" s="2043"/>
      <c r="BJ1382" s="2043"/>
      <c r="BK1382" s="2043"/>
      <c r="BL1382" s="2043"/>
    </row>
    <row r="1383" spans="1:64" ht="15">
      <c r="A1383" s="1855"/>
      <c r="B1383" s="2043"/>
      <c r="C1383" s="2043"/>
      <c r="D1383" s="1855"/>
      <c r="E1383" s="1855"/>
      <c r="F1383" s="2113"/>
      <c r="G1383" s="2113"/>
      <c r="H1383" s="2113"/>
      <c r="I1383" s="2113"/>
      <c r="J1383" s="2046"/>
      <c r="K1383" s="2046"/>
      <c r="L1383" s="2046"/>
      <c r="M1383" s="1964"/>
      <c r="N1383" s="2113"/>
      <c r="O1383" s="2045"/>
      <c r="P1383" s="2042"/>
      <c r="Q1383" s="2043"/>
      <c r="R1383" s="2043"/>
      <c r="S1383" s="2043"/>
      <c r="T1383" s="2043"/>
      <c r="U1383" s="2043"/>
      <c r="V1383" s="2043"/>
      <c r="W1383" s="2043"/>
      <c r="X1383" s="2043"/>
      <c r="Y1383" s="2043"/>
      <c r="Z1383" s="2043"/>
      <c r="AA1383" s="2043"/>
      <c r="AB1383" s="2043"/>
      <c r="AC1383" s="2043"/>
      <c r="AD1383" s="2043"/>
      <c r="AE1383" s="2043"/>
      <c r="AF1383" s="2043"/>
      <c r="AG1383" s="2043"/>
      <c r="AH1383" s="2043"/>
      <c r="AI1383" s="2043"/>
      <c r="AJ1383" s="2043"/>
      <c r="AK1383" s="2043"/>
      <c r="AL1383" s="2043"/>
      <c r="AM1383" s="2043"/>
      <c r="AN1383" s="2043"/>
      <c r="AO1383" s="2043"/>
      <c r="AP1383" s="2043"/>
      <c r="AQ1383" s="2043"/>
      <c r="AR1383" s="2043"/>
      <c r="AS1383" s="2043"/>
      <c r="AT1383" s="2043"/>
      <c r="AU1383" s="2043"/>
      <c r="AV1383" s="2043"/>
      <c r="AW1383" s="2043"/>
      <c r="AX1383" s="2043"/>
      <c r="AY1383" s="2043"/>
      <c r="AZ1383" s="2043"/>
      <c r="BA1383" s="2043"/>
      <c r="BB1383" s="2043"/>
      <c r="BC1383" s="2043"/>
      <c r="BD1383" s="2043"/>
      <c r="BE1383" s="2043"/>
      <c r="BF1383" s="2043"/>
      <c r="BG1383" s="2043"/>
      <c r="BH1383" s="2043"/>
      <c r="BI1383" s="2043"/>
      <c r="BJ1383" s="2043"/>
      <c r="BK1383" s="2043"/>
      <c r="BL1383" s="2043"/>
    </row>
    <row r="1384" spans="1:64" ht="15">
      <c r="A1384" s="2109" t="s">
        <v>1481</v>
      </c>
      <c r="B1384" s="2110" t="s">
        <v>1828</v>
      </c>
      <c r="C1384" s="1855"/>
      <c r="D1384" s="2110"/>
      <c r="E1384" s="2110"/>
      <c r="F1384" s="1855"/>
      <c r="G1384" s="2557"/>
      <c r="H1384" s="1855"/>
      <c r="I1384" s="1855"/>
      <c r="J1384" s="1855"/>
      <c r="K1384" s="1855"/>
      <c r="L1384" s="2114" t="str">
        <f>IF(AND(O1392&gt;0,O1395&gt;0), "Choose only one option!","")</f>
        <v/>
      </c>
      <c r="M1384" s="2113">
        <v>2</v>
      </c>
      <c r="N1384" s="1964"/>
      <c r="O1384" s="2042">
        <f>'Part VIII Scoring Criteria'!O233</f>
        <v>2</v>
      </c>
      <c r="P1384" s="2042">
        <f>'Part VIII Scoring Criteria'!P233</f>
        <v>0</v>
      </c>
      <c r="Q1384" s="2113" t="s">
        <v>1716</v>
      </c>
      <c r="R1384" s="2108"/>
      <c r="S1384" s="2108"/>
      <c r="T1384" s="2108"/>
      <c r="U1384" s="2108"/>
      <c r="V1384" s="2108"/>
      <c r="W1384" s="1855"/>
      <c r="X1384" s="1855"/>
      <c r="Y1384" s="1855"/>
      <c r="Z1384" s="1855"/>
      <c r="AA1384" s="1855"/>
      <c r="AB1384" s="1855"/>
      <c r="AC1384" s="1855"/>
      <c r="AD1384" s="1855"/>
      <c r="AE1384" s="1855"/>
      <c r="AF1384" s="1855"/>
      <c r="AG1384" s="1855"/>
      <c r="AH1384" s="1855"/>
      <c r="AI1384" s="1855"/>
      <c r="AJ1384" s="1855"/>
      <c r="AK1384" s="1855"/>
      <c r="AL1384" s="1855"/>
      <c r="AM1384" s="1855"/>
      <c r="AN1384" s="1855"/>
      <c r="AO1384" s="1855"/>
      <c r="AP1384" s="1855"/>
      <c r="AQ1384" s="1855"/>
      <c r="AR1384" s="1855"/>
      <c r="AS1384" s="1855"/>
      <c r="AT1384" s="1855"/>
      <c r="AU1384" s="1855"/>
      <c r="AV1384" s="1855"/>
      <c r="AW1384" s="1855"/>
      <c r="AX1384" s="1855"/>
      <c r="AY1384" s="1855"/>
      <c r="AZ1384" s="1855"/>
      <c r="BA1384" s="1855"/>
      <c r="BB1384" s="1855"/>
      <c r="BC1384" s="1855"/>
      <c r="BD1384" s="1855"/>
      <c r="BE1384" s="1855"/>
      <c r="BF1384" s="1855"/>
      <c r="BG1384" s="1855"/>
      <c r="BH1384" s="1855"/>
      <c r="BI1384" s="1855"/>
      <c r="BJ1384" s="1855"/>
      <c r="BK1384" s="1855"/>
      <c r="BL1384" s="1855"/>
    </row>
    <row r="1385" spans="1:64" ht="15">
      <c r="A1385" s="2109"/>
      <c r="B1385" s="1855" t="s">
        <v>1829</v>
      </c>
      <c r="C1385" s="1855"/>
      <c r="D1385" s="2110"/>
      <c r="E1385" s="2110"/>
      <c r="F1385" s="1855"/>
      <c r="G1385" s="1855"/>
      <c r="H1385" s="1855"/>
      <c r="I1385" s="1855"/>
      <c r="J1385" s="2562"/>
      <c r="K1385" s="1855"/>
      <c r="L1385" s="1855"/>
      <c r="M1385" s="2113"/>
      <c r="N1385" s="1855"/>
      <c r="O1385" s="1855"/>
      <c r="P1385" s="1855"/>
      <c r="Q1385" s="2113"/>
      <c r="R1385" s="2108"/>
      <c r="S1385" s="2108"/>
      <c r="T1385" s="2108"/>
      <c r="U1385" s="2108"/>
      <c r="V1385" s="2108"/>
      <c r="W1385" s="2043"/>
      <c r="X1385" s="2043"/>
      <c r="Y1385" s="1855"/>
      <c r="Z1385" s="1855"/>
      <c r="AA1385" s="1855"/>
      <c r="AB1385" s="1855"/>
      <c r="AC1385" s="1855"/>
      <c r="AD1385" s="1855"/>
      <c r="AE1385" s="1855"/>
      <c r="AF1385" s="1855"/>
      <c r="AG1385" s="1855"/>
      <c r="AH1385" s="1855"/>
      <c r="AI1385" s="1855"/>
      <c r="AJ1385" s="1855"/>
      <c r="AK1385" s="1855"/>
      <c r="AL1385" s="1855"/>
      <c r="AM1385" s="1855"/>
      <c r="AN1385" s="1855"/>
      <c r="AO1385" s="1855"/>
      <c r="AP1385" s="1855"/>
      <c r="AQ1385" s="1855"/>
      <c r="AR1385" s="1855"/>
      <c r="AS1385" s="1855"/>
      <c r="AT1385" s="1855"/>
      <c r="AU1385" s="1855"/>
      <c r="AV1385" s="1855"/>
      <c r="AW1385" s="1855"/>
      <c r="AX1385" s="1855"/>
      <c r="AY1385" s="1855"/>
      <c r="AZ1385" s="1855"/>
      <c r="BA1385" s="1855"/>
      <c r="BB1385" s="1855"/>
      <c r="BC1385" s="1855"/>
      <c r="BD1385" s="1855"/>
      <c r="BE1385" s="1855"/>
      <c r="BF1385" s="1855"/>
      <c r="BG1385" s="1855"/>
      <c r="BH1385" s="1855"/>
      <c r="BI1385" s="1855"/>
      <c r="BJ1385" s="1855"/>
      <c r="BK1385" s="1855"/>
      <c r="BL1385" s="1855"/>
    </row>
    <row r="1386" spans="1:64" ht="15" customHeight="1">
      <c r="A1386" s="2109"/>
      <c r="B1386" s="1855"/>
      <c r="C1386" s="1855" t="s">
        <v>1832</v>
      </c>
      <c r="D1386" s="1855"/>
      <c r="E1386" s="1855"/>
      <c r="F1386" s="1855"/>
      <c r="G1386" s="1855"/>
      <c r="H1386" s="1855"/>
      <c r="I1386" s="1855" t="str">
        <f>'Part VIII Scoring Criteria'!I235</f>
        <v>TBD</v>
      </c>
      <c r="J1386" s="1855"/>
      <c r="K1386" s="1855"/>
      <c r="L1386" s="1855"/>
      <c r="M1386" s="2113"/>
      <c r="N1386" s="1855"/>
      <c r="O1386" s="2111" t="s">
        <v>1830</v>
      </c>
      <c r="P1386" s="2111"/>
      <c r="Q1386" s="2113"/>
      <c r="R1386" s="2108"/>
      <c r="S1386" s="2108"/>
      <c r="T1386" s="2108"/>
      <c r="U1386" s="2108"/>
      <c r="V1386" s="2108"/>
      <c r="W1386" s="2043"/>
      <c r="X1386" s="2043"/>
      <c r="Y1386" s="1855"/>
      <c r="Z1386" s="1855"/>
      <c r="AA1386" s="1855"/>
      <c r="AB1386" s="1855"/>
      <c r="AC1386" s="1855"/>
      <c r="AD1386" s="1855"/>
      <c r="AE1386" s="1855"/>
      <c r="AF1386" s="1855"/>
      <c r="AG1386" s="1855"/>
      <c r="AH1386" s="1855"/>
      <c r="AI1386" s="1855"/>
      <c r="AJ1386" s="1855"/>
      <c r="AK1386" s="1855"/>
      <c r="AL1386" s="1855"/>
      <c r="AM1386" s="1855"/>
      <c r="AN1386" s="1855"/>
      <c r="AO1386" s="1855"/>
      <c r="AP1386" s="1855"/>
      <c r="AQ1386" s="1855"/>
      <c r="AR1386" s="1855"/>
      <c r="AS1386" s="1855"/>
      <c r="AT1386" s="1855"/>
      <c r="AU1386" s="1855"/>
      <c r="AV1386" s="1855"/>
      <c r="AW1386" s="1855"/>
      <c r="AX1386" s="1855"/>
      <c r="AY1386" s="1855"/>
      <c r="AZ1386" s="1855"/>
      <c r="BA1386" s="1855"/>
      <c r="BB1386" s="1855"/>
      <c r="BC1386" s="1855"/>
      <c r="BD1386" s="1855"/>
      <c r="BE1386" s="1855"/>
      <c r="BF1386" s="1855"/>
      <c r="BG1386" s="1855"/>
      <c r="BH1386" s="1855"/>
      <c r="BI1386" s="1855"/>
      <c r="BJ1386" s="1855"/>
      <c r="BK1386" s="1855"/>
      <c r="BL1386" s="1855"/>
    </row>
    <row r="1387" spans="1:64" ht="15" customHeight="1">
      <c r="A1387" s="2109"/>
      <c r="B1387" s="1855"/>
      <c r="C1387" s="1855" t="s">
        <v>1833</v>
      </c>
      <c r="D1387" s="1855"/>
      <c r="E1387" s="1855"/>
      <c r="F1387" s="1855"/>
      <c r="G1387" s="1855"/>
      <c r="H1387" s="1855"/>
      <c r="I1387" s="1855">
        <f>'Part VIII Scoring Criteria'!I236</f>
        <v>0</v>
      </c>
      <c r="J1387" s="1855"/>
      <c r="K1387" s="1855"/>
      <c r="L1387" s="1855"/>
      <c r="M1387" s="2113"/>
      <c r="N1387" s="1855"/>
      <c r="O1387" s="2111"/>
      <c r="P1387" s="2111" t="s">
        <v>1831</v>
      </c>
      <c r="Q1387" s="2113"/>
      <c r="R1387" s="2108"/>
      <c r="S1387" s="2108"/>
      <c r="T1387" s="2108"/>
      <c r="U1387" s="2108"/>
      <c r="V1387" s="2108"/>
      <c r="W1387" s="2043"/>
      <c r="X1387" s="2043"/>
      <c r="Y1387" s="1855"/>
      <c r="Z1387" s="1855"/>
      <c r="AA1387" s="1855"/>
      <c r="AB1387" s="1855"/>
      <c r="AC1387" s="1855"/>
      <c r="AD1387" s="1855"/>
      <c r="AE1387" s="1855"/>
      <c r="AF1387" s="1855"/>
      <c r="AG1387" s="1855"/>
      <c r="AH1387" s="1855"/>
      <c r="AI1387" s="1855"/>
      <c r="AJ1387" s="1855"/>
      <c r="AK1387" s="1855"/>
      <c r="AL1387" s="1855"/>
      <c r="AM1387" s="1855"/>
      <c r="AN1387" s="1855"/>
      <c r="AO1387" s="1855"/>
      <c r="AP1387" s="1855"/>
      <c r="AQ1387" s="1855"/>
      <c r="AR1387" s="1855"/>
      <c r="AS1387" s="1855"/>
      <c r="AT1387" s="1855"/>
      <c r="AU1387" s="1855"/>
      <c r="AV1387" s="1855"/>
      <c r="AW1387" s="1855"/>
      <c r="AX1387" s="1855"/>
      <c r="AY1387" s="1855"/>
      <c r="AZ1387" s="1855"/>
      <c r="BA1387" s="1855"/>
      <c r="BB1387" s="1855"/>
      <c r="BC1387" s="1855"/>
      <c r="BD1387" s="1855"/>
      <c r="BE1387" s="1855"/>
      <c r="BF1387" s="1855"/>
      <c r="BG1387" s="1855"/>
      <c r="BH1387" s="1855"/>
      <c r="BI1387" s="1855"/>
      <c r="BJ1387" s="1855"/>
      <c r="BK1387" s="1855"/>
      <c r="BL1387" s="1855"/>
    </row>
    <row r="1388" spans="1:64" ht="15">
      <c r="A1388" s="2109"/>
      <c r="B1388" s="1855"/>
      <c r="C1388" s="1855" t="s">
        <v>1834</v>
      </c>
      <c r="D1388" s="1855"/>
      <c r="E1388" s="1855"/>
      <c r="F1388" s="1855"/>
      <c r="G1388" s="1855"/>
      <c r="H1388" s="1855"/>
      <c r="I1388" s="1855" t="str">
        <f>'Part VIII Scoring Criteria'!I237</f>
        <v>Select Certification</v>
      </c>
      <c r="J1388" s="1855"/>
      <c r="K1388" s="1855"/>
      <c r="L1388" s="1855"/>
      <c r="M1388" s="2113"/>
      <c r="N1388" s="1855"/>
      <c r="O1388" s="2111"/>
      <c r="P1388" s="2111"/>
      <c r="Q1388" s="2113"/>
      <c r="R1388" s="2108"/>
      <c r="S1388" s="2108"/>
      <c r="T1388" s="2108"/>
      <c r="U1388" s="2108"/>
      <c r="V1388" s="2108"/>
      <c r="W1388" s="2043"/>
      <c r="X1388" s="2043"/>
      <c r="Y1388" s="1855"/>
      <c r="Z1388" s="1855"/>
      <c r="AA1388" s="1855"/>
      <c r="AB1388" s="1855"/>
      <c r="AC1388" s="1855"/>
      <c r="AD1388" s="1855"/>
      <c r="AE1388" s="1855"/>
      <c r="AF1388" s="1855"/>
      <c r="AG1388" s="1855"/>
      <c r="AH1388" s="1855"/>
      <c r="AI1388" s="1855"/>
      <c r="AJ1388" s="1855"/>
      <c r="AK1388" s="1855"/>
      <c r="AL1388" s="1855"/>
      <c r="AM1388" s="1855"/>
      <c r="AN1388" s="1855"/>
      <c r="AO1388" s="1855"/>
      <c r="AP1388" s="1855"/>
      <c r="AQ1388" s="1855"/>
      <c r="AR1388" s="1855"/>
      <c r="AS1388" s="1855"/>
      <c r="AT1388" s="1855"/>
      <c r="AU1388" s="1855"/>
      <c r="AV1388" s="1855"/>
      <c r="AW1388" s="1855"/>
      <c r="AX1388" s="1855"/>
      <c r="AY1388" s="1855"/>
      <c r="AZ1388" s="1855"/>
      <c r="BA1388" s="1855"/>
      <c r="BB1388" s="1855"/>
      <c r="BC1388" s="1855"/>
      <c r="BD1388" s="1855"/>
      <c r="BE1388" s="1855"/>
      <c r="BF1388" s="1855"/>
      <c r="BG1388" s="1855"/>
      <c r="BH1388" s="1855"/>
      <c r="BI1388" s="1855"/>
      <c r="BJ1388" s="1855"/>
      <c r="BK1388" s="1855"/>
      <c r="BL1388" s="1855"/>
    </row>
    <row r="1389" spans="1:64" ht="15">
      <c r="A1389" s="2109"/>
      <c r="B1389" s="1855"/>
      <c r="C1389" s="2043"/>
      <c r="D1389" s="2043"/>
      <c r="E1389" s="2043"/>
      <c r="F1389" s="2043"/>
      <c r="G1389" s="2043"/>
      <c r="H1389" s="1854"/>
      <c r="I1389" s="2043"/>
      <c r="J1389" s="2043"/>
      <c r="K1389" s="2043"/>
      <c r="L1389" s="2043"/>
      <c r="M1389" s="2113"/>
      <c r="N1389" s="2112"/>
      <c r="O1389" s="2111"/>
      <c r="P1389" s="2111"/>
      <c r="Q1389" s="2113"/>
      <c r="R1389" s="2083"/>
      <c r="S1389" s="2083"/>
      <c r="T1389" s="2083"/>
      <c r="U1389" s="2083"/>
      <c r="V1389" s="2043"/>
      <c r="W1389" s="2043"/>
      <c r="X1389" s="2043"/>
      <c r="Y1389" s="2043"/>
      <c r="Z1389" s="2043"/>
      <c r="AA1389" s="2043"/>
      <c r="AB1389" s="2043"/>
      <c r="AC1389" s="2043"/>
      <c r="AD1389" s="2043"/>
      <c r="AE1389" s="2043"/>
      <c r="AF1389" s="2043"/>
      <c r="AG1389" s="2043"/>
      <c r="AH1389" s="2043"/>
      <c r="AI1389" s="2043"/>
      <c r="AJ1389" s="2043"/>
      <c r="AK1389" s="2043"/>
      <c r="AL1389" s="2043"/>
      <c r="AM1389" s="2043"/>
      <c r="AN1389" s="2043"/>
      <c r="AO1389" s="2043"/>
      <c r="AP1389" s="2043"/>
      <c r="AQ1389" s="2043"/>
      <c r="AR1389" s="2043"/>
      <c r="AS1389" s="2043"/>
      <c r="AT1389" s="2043"/>
      <c r="AU1389" s="2043"/>
      <c r="AV1389" s="2043"/>
      <c r="AW1389" s="2043"/>
      <c r="AX1389" s="2043"/>
      <c r="AY1389" s="2043"/>
      <c r="AZ1389" s="2043"/>
      <c r="BA1389" s="2043"/>
      <c r="BB1389" s="2043"/>
      <c r="BC1389" s="2043"/>
      <c r="BD1389" s="2043"/>
      <c r="BE1389" s="2043"/>
      <c r="BF1389" s="2043"/>
      <c r="BG1389" s="2043"/>
      <c r="BH1389" s="2043"/>
      <c r="BI1389" s="2043"/>
      <c r="BJ1389" s="2043"/>
      <c r="BK1389" s="2043"/>
      <c r="BL1389" s="2043"/>
    </row>
    <row r="1390" spans="1:64" ht="15" customHeight="1">
      <c r="A1390" s="2563"/>
      <c r="B1390" s="2112"/>
      <c r="C1390" s="1855" t="s">
        <v>1836</v>
      </c>
      <c r="D1390" s="2083"/>
      <c r="E1390" s="2083"/>
      <c r="F1390" s="2083"/>
      <c r="G1390" s="2083"/>
      <c r="H1390" s="2083"/>
      <c r="I1390" s="2083"/>
      <c r="J1390" s="2083"/>
      <c r="K1390" s="2083"/>
      <c r="L1390" s="2083"/>
      <c r="M1390" s="1855"/>
      <c r="N1390" s="2112"/>
      <c r="O1390" s="1964">
        <f>'Part VIII Scoring Criteria'!O239</f>
        <v>0</v>
      </c>
      <c r="P1390" s="2113"/>
      <c r="Q1390" s="2113"/>
      <c r="R1390" s="2083"/>
      <c r="S1390" s="2083"/>
      <c r="T1390" s="2083"/>
      <c r="U1390" s="2083"/>
      <c r="V1390" s="2043"/>
      <c r="W1390" s="2043"/>
      <c r="X1390" s="2043"/>
      <c r="Y1390" s="2043"/>
      <c r="Z1390" s="2043"/>
      <c r="AA1390" s="2043"/>
      <c r="AB1390" s="2043"/>
      <c r="AC1390" s="2043"/>
      <c r="AD1390" s="2043"/>
      <c r="AE1390" s="2043"/>
      <c r="AF1390" s="2043"/>
      <c r="AG1390" s="2043"/>
      <c r="AH1390" s="2043"/>
      <c r="AI1390" s="2043"/>
      <c r="AJ1390" s="2043"/>
      <c r="AK1390" s="2043"/>
      <c r="AL1390" s="2043"/>
      <c r="AM1390" s="2043"/>
      <c r="AN1390" s="2043"/>
      <c r="AO1390" s="2043"/>
      <c r="AP1390" s="2043"/>
      <c r="AQ1390" s="2043"/>
      <c r="AR1390" s="2043"/>
      <c r="AS1390" s="2043"/>
      <c r="AT1390" s="2043"/>
      <c r="AU1390" s="2043"/>
      <c r="AV1390" s="2043"/>
      <c r="AW1390" s="2043"/>
      <c r="AX1390" s="2043"/>
      <c r="AY1390" s="2043"/>
      <c r="AZ1390" s="2043"/>
      <c r="BA1390" s="2043"/>
      <c r="BB1390" s="2043"/>
      <c r="BC1390" s="2043"/>
      <c r="BD1390" s="2043"/>
      <c r="BE1390" s="2043"/>
      <c r="BF1390" s="2043"/>
      <c r="BG1390" s="2043"/>
      <c r="BH1390" s="2043"/>
      <c r="BI1390" s="2043"/>
      <c r="BJ1390" s="2043"/>
      <c r="BK1390" s="2043"/>
      <c r="BL1390" s="2043"/>
    </row>
    <row r="1391" spans="1:64" ht="15">
      <c r="A1391" s="1855"/>
      <c r="B1391" s="2043"/>
      <c r="C1391" s="2043"/>
      <c r="D1391" s="1855"/>
      <c r="E1391" s="1855"/>
      <c r="F1391" s="2113"/>
      <c r="G1391" s="2113"/>
      <c r="H1391" s="2113"/>
      <c r="I1391" s="2113"/>
      <c r="J1391" s="2046"/>
      <c r="K1391" s="2046"/>
      <c r="L1391" s="2046"/>
      <c r="M1391" s="1964"/>
      <c r="N1391" s="2113"/>
      <c r="O1391" s="2045"/>
      <c r="P1391" s="2042"/>
      <c r="Q1391" s="2043"/>
      <c r="R1391" s="2043"/>
      <c r="S1391" s="2043"/>
      <c r="T1391" s="2043"/>
      <c r="U1391" s="2043"/>
      <c r="V1391" s="2043"/>
      <c r="W1391" s="2043"/>
      <c r="X1391" s="2043"/>
      <c r="Y1391" s="2043"/>
      <c r="Z1391" s="2043"/>
      <c r="AA1391" s="2043"/>
      <c r="AB1391" s="2043"/>
      <c r="AC1391" s="2043"/>
      <c r="AD1391" s="2043"/>
      <c r="AE1391" s="2043"/>
      <c r="AF1391" s="2043"/>
      <c r="AG1391" s="2043"/>
      <c r="AH1391" s="2043"/>
      <c r="AI1391" s="2043"/>
      <c r="AJ1391" s="2043"/>
      <c r="AK1391" s="2043"/>
      <c r="AL1391" s="2043"/>
      <c r="AM1391" s="2043"/>
      <c r="AN1391" s="2043"/>
      <c r="AO1391" s="2043"/>
      <c r="AP1391" s="2043"/>
      <c r="AQ1391" s="2043"/>
      <c r="AR1391" s="2043"/>
      <c r="AS1391" s="2043"/>
      <c r="AT1391" s="2043"/>
      <c r="AU1391" s="2043"/>
      <c r="AV1391" s="2043"/>
      <c r="AW1391" s="2043"/>
      <c r="AX1391" s="2043"/>
      <c r="AY1391" s="2043"/>
      <c r="AZ1391" s="2043"/>
      <c r="BA1391" s="2043"/>
      <c r="BB1391" s="2043"/>
      <c r="BC1391" s="2043"/>
      <c r="BD1391" s="2043"/>
      <c r="BE1391" s="2043"/>
      <c r="BF1391" s="2043"/>
      <c r="BG1391" s="2043"/>
      <c r="BH1391" s="2043"/>
      <c r="BI1391" s="2043"/>
      <c r="BJ1391" s="2043"/>
      <c r="BK1391" s="2043"/>
      <c r="BL1391" s="2043"/>
    </row>
    <row r="1392" spans="1:64" ht="15">
      <c r="A1392" s="2113" t="s">
        <v>194</v>
      </c>
      <c r="B1392" s="2558" t="s">
        <v>1837</v>
      </c>
      <c r="C1392" s="2043"/>
      <c r="D1392" s="2050"/>
      <c r="E1392" s="2050"/>
      <c r="F1392" s="2043"/>
      <c r="G1392" s="2050" t="s">
        <v>1838</v>
      </c>
      <c r="H1392" s="2050"/>
      <c r="I1392" s="2043"/>
      <c r="J1392" s="2043"/>
      <c r="K1392" s="2043"/>
      <c r="L1392" s="2050"/>
      <c r="M1392" s="1994">
        <v>2</v>
      </c>
      <c r="N1392" s="2112"/>
      <c r="O1392" s="2042">
        <f>'Part VIII Scoring Criteria'!O241</f>
        <v>2</v>
      </c>
      <c r="P1392" s="2042"/>
      <c r="Q1392" s="2045" t="str">
        <f>IF(OR(O1392=0,O1392="",O1392=$M1392),"","Check!")</f>
        <v/>
      </c>
      <c r="R1392" s="2503"/>
      <c r="S1392" s="2108"/>
      <c r="T1392" s="2108"/>
      <c r="U1392" s="2108"/>
      <c r="V1392" s="2108"/>
      <c r="W1392" s="2043"/>
      <c r="X1392" s="2043"/>
      <c r="Y1392" s="2043"/>
      <c r="Z1392" s="2043"/>
      <c r="AA1392" s="2043"/>
      <c r="AB1392" s="2043"/>
      <c r="AC1392" s="2043"/>
      <c r="AD1392" s="2043"/>
      <c r="AE1392" s="2043"/>
      <c r="AF1392" s="2043"/>
      <c r="AG1392" s="2043"/>
      <c r="AH1392" s="2043"/>
      <c r="AI1392" s="2043"/>
      <c r="AJ1392" s="2043"/>
      <c r="AK1392" s="2043"/>
      <c r="AL1392" s="2043"/>
      <c r="AM1392" s="2043"/>
      <c r="AN1392" s="2043"/>
      <c r="AO1392" s="2043"/>
      <c r="AP1392" s="2043"/>
      <c r="AQ1392" s="2043"/>
      <c r="AR1392" s="2043"/>
      <c r="AS1392" s="2043"/>
      <c r="AT1392" s="2043"/>
      <c r="AU1392" s="2043"/>
      <c r="AV1392" s="2043"/>
      <c r="AW1392" s="2043"/>
      <c r="AX1392" s="2043"/>
      <c r="AY1392" s="2043"/>
      <c r="AZ1392" s="2043"/>
      <c r="BA1392" s="2043"/>
      <c r="BB1392" s="2043"/>
      <c r="BC1392" s="2043"/>
      <c r="BD1392" s="2043"/>
      <c r="BE1392" s="2043"/>
      <c r="BF1392" s="2043"/>
      <c r="BG1392" s="2043"/>
      <c r="BH1392" s="2043"/>
      <c r="BI1392" s="2043"/>
      <c r="BJ1392" s="2043"/>
      <c r="BK1392" s="2043"/>
      <c r="BL1392" s="2043"/>
    </row>
    <row r="1393" spans="1:64" ht="15" customHeight="1">
      <c r="A1393" s="2564"/>
      <c r="B1393" s="2524"/>
      <c r="C1393" s="2049" t="s">
        <v>1839</v>
      </c>
      <c r="D1393" s="2052"/>
      <c r="E1393" s="2052"/>
      <c r="F1393" s="2052"/>
      <c r="G1393" s="2052"/>
      <c r="H1393" s="2052"/>
      <c r="I1393" s="2052"/>
      <c r="J1393" s="2052"/>
      <c r="K1393" s="2052"/>
      <c r="L1393" s="2052"/>
      <c r="M1393" s="2052"/>
      <c r="N1393" s="2507"/>
      <c r="O1393" s="1964" t="str">
        <f>'Part VIII Scoring Criteria'!O242</f>
        <v>Yes</v>
      </c>
      <c r="P1393" s="2113"/>
      <c r="Q1393" s="2531"/>
      <c r="R1393" s="2052"/>
      <c r="S1393" s="2052"/>
      <c r="T1393" s="2052"/>
      <c r="U1393" s="2052"/>
      <c r="V1393" s="2049"/>
      <c r="W1393" s="2049"/>
      <c r="X1393" s="2049"/>
      <c r="Y1393" s="2049"/>
      <c r="Z1393" s="2049"/>
      <c r="AA1393" s="2049"/>
      <c r="AB1393" s="2049"/>
      <c r="AC1393" s="2049"/>
      <c r="AD1393" s="2049"/>
      <c r="AE1393" s="2049"/>
      <c r="AF1393" s="2049"/>
      <c r="AG1393" s="2049"/>
      <c r="AH1393" s="2049"/>
      <c r="AI1393" s="2049"/>
      <c r="AJ1393" s="2049"/>
      <c r="AK1393" s="2049"/>
      <c r="AL1393" s="2049"/>
      <c r="AM1393" s="2049"/>
      <c r="AN1393" s="2049"/>
      <c r="AO1393" s="2049"/>
      <c r="AP1393" s="2049"/>
      <c r="AQ1393" s="2049"/>
      <c r="AR1393" s="2049"/>
      <c r="AS1393" s="2049"/>
      <c r="AT1393" s="2049"/>
      <c r="AU1393" s="2049"/>
      <c r="AV1393" s="2049"/>
      <c r="AW1393" s="2049"/>
      <c r="AX1393" s="2049"/>
      <c r="AY1393" s="2049"/>
      <c r="AZ1393" s="2049"/>
      <c r="BA1393" s="2049"/>
      <c r="BB1393" s="2049"/>
      <c r="BC1393" s="2049"/>
      <c r="BD1393" s="2049"/>
      <c r="BE1393" s="2049"/>
      <c r="BF1393" s="2049"/>
      <c r="BG1393" s="2049"/>
      <c r="BH1393" s="2049"/>
      <c r="BI1393" s="2049"/>
      <c r="BJ1393" s="2049"/>
      <c r="BK1393" s="2049"/>
      <c r="BL1393" s="2049"/>
    </row>
    <row r="1394" spans="1:64" ht="15.75" customHeight="1">
      <c r="A1394" s="2564"/>
      <c r="B1394" s="2524"/>
      <c r="C1394" s="2049" t="s">
        <v>1840</v>
      </c>
      <c r="D1394" s="2052"/>
      <c r="E1394" s="2052"/>
      <c r="F1394" s="2052"/>
      <c r="G1394" s="2052"/>
      <c r="H1394" s="2052"/>
      <c r="I1394" s="2052"/>
      <c r="J1394" s="2052"/>
      <c r="K1394" s="2052"/>
      <c r="L1394" s="2052"/>
      <c r="M1394" s="2052"/>
      <c r="N1394" s="2507"/>
      <c r="O1394" s="1964">
        <f>'Part VIII Scoring Criteria'!O243</f>
        <v>0</v>
      </c>
      <c r="P1394" s="2531"/>
      <c r="Q1394" s="2531"/>
      <c r="R1394" s="2052"/>
      <c r="S1394" s="2052"/>
      <c r="T1394" s="2052"/>
      <c r="U1394" s="2052"/>
      <c r="V1394" s="2049"/>
      <c r="W1394" s="2049"/>
      <c r="X1394" s="2049"/>
      <c r="Y1394" s="2049"/>
      <c r="Z1394" s="2049"/>
      <c r="AA1394" s="2049"/>
      <c r="AB1394" s="2049"/>
      <c r="AC1394" s="2049"/>
      <c r="AD1394" s="2049"/>
      <c r="AE1394" s="2049"/>
      <c r="AF1394" s="2049"/>
      <c r="AG1394" s="2049"/>
      <c r="AH1394" s="2049"/>
      <c r="AI1394" s="2049"/>
      <c r="AJ1394" s="2049"/>
      <c r="AK1394" s="2049"/>
      <c r="AL1394" s="2049"/>
      <c r="AM1394" s="2049"/>
      <c r="AN1394" s="2049"/>
      <c r="AO1394" s="2049"/>
      <c r="AP1394" s="2049"/>
      <c r="AQ1394" s="2049"/>
      <c r="AR1394" s="2049"/>
      <c r="AS1394" s="2049"/>
      <c r="AT1394" s="2049"/>
      <c r="AU1394" s="2049"/>
      <c r="AV1394" s="2049"/>
      <c r="AW1394" s="2049"/>
      <c r="AX1394" s="2049"/>
      <c r="AY1394" s="2049"/>
      <c r="AZ1394" s="2049"/>
      <c r="BA1394" s="2049"/>
      <c r="BB1394" s="2049"/>
      <c r="BC1394" s="2049"/>
      <c r="BD1394" s="2049"/>
      <c r="BE1394" s="2049"/>
      <c r="BF1394" s="2049"/>
      <c r="BG1394" s="2049"/>
      <c r="BH1394" s="2049"/>
      <c r="BI1394" s="2049"/>
      <c r="BJ1394" s="2049"/>
      <c r="BK1394" s="2049"/>
      <c r="BL1394" s="2049"/>
    </row>
    <row r="1395" spans="1:64" ht="15">
      <c r="A1395" s="2113" t="s">
        <v>206</v>
      </c>
      <c r="B1395" s="2558" t="s">
        <v>1841</v>
      </c>
      <c r="C1395" s="2043"/>
      <c r="D1395" s="2050"/>
      <c r="E1395" s="2043"/>
      <c r="F1395" s="2043"/>
      <c r="G1395" s="2043"/>
      <c r="H1395" s="2043"/>
      <c r="I1395" s="2043"/>
      <c r="J1395" s="2043"/>
      <c r="K1395" s="2043"/>
      <c r="L1395" s="2050"/>
      <c r="M1395" s="1994">
        <v>2</v>
      </c>
      <c r="N1395" s="2112"/>
      <c r="O1395" s="2042">
        <f>'Part VIII Scoring Criteria'!O244</f>
        <v>0</v>
      </c>
      <c r="P1395" s="2042"/>
      <c r="Q1395" s="2045" t="str">
        <f>IF(OR(O1395=0,O1395="",O1395=$M1395),"","Check!")</f>
        <v/>
      </c>
      <c r="R1395" s="2503"/>
      <c r="S1395" s="2108"/>
      <c r="T1395" s="2108"/>
      <c r="U1395" s="2108"/>
      <c r="V1395" s="2108"/>
      <c r="W1395" s="2043"/>
      <c r="X1395" s="2043"/>
      <c r="Y1395" s="2043"/>
      <c r="Z1395" s="2043"/>
      <c r="AA1395" s="2043"/>
      <c r="AB1395" s="2043"/>
      <c r="AC1395" s="2043"/>
      <c r="AD1395" s="2043"/>
      <c r="AE1395" s="2043"/>
      <c r="AF1395" s="2043"/>
      <c r="AG1395" s="2043"/>
      <c r="AH1395" s="2043"/>
      <c r="AI1395" s="2043"/>
      <c r="AJ1395" s="2043"/>
      <c r="AK1395" s="2043"/>
      <c r="AL1395" s="2043"/>
      <c r="AM1395" s="2043"/>
      <c r="AN1395" s="2043"/>
      <c r="AO1395" s="2043"/>
      <c r="AP1395" s="2043"/>
      <c r="AQ1395" s="2043"/>
      <c r="AR1395" s="2043"/>
      <c r="AS1395" s="2043"/>
      <c r="AT1395" s="2043"/>
      <c r="AU1395" s="2043"/>
      <c r="AV1395" s="2043"/>
      <c r="AW1395" s="2043"/>
      <c r="AX1395" s="2043"/>
      <c r="AY1395" s="2043"/>
      <c r="AZ1395" s="2043"/>
      <c r="BA1395" s="2043"/>
      <c r="BB1395" s="2043"/>
      <c r="BC1395" s="2043"/>
      <c r="BD1395" s="2043"/>
      <c r="BE1395" s="2043"/>
      <c r="BF1395" s="2043"/>
      <c r="BG1395" s="2043"/>
      <c r="BH1395" s="2043"/>
      <c r="BI1395" s="2043"/>
      <c r="BJ1395" s="2043"/>
      <c r="BK1395" s="2043"/>
      <c r="BL1395" s="2043"/>
    </row>
    <row r="1396" spans="1:64" ht="15">
      <c r="A1396" s="2113"/>
      <c r="B1396" s="2558"/>
      <c r="C1396" s="1855" t="s">
        <v>1842</v>
      </c>
      <c r="D1396" s="2050"/>
      <c r="E1396" s="2043"/>
      <c r="F1396" s="2043"/>
      <c r="G1396" s="2043"/>
      <c r="H1396" s="2043"/>
      <c r="I1396" s="2043"/>
      <c r="J1396" s="2043"/>
      <c r="K1396" s="2043"/>
      <c r="L1396" s="2050"/>
      <c r="M1396" s="1994"/>
      <c r="N1396" s="2112"/>
      <c r="O1396" s="1964">
        <f>'Part VIII Scoring Criteria'!O245</f>
        <v>0</v>
      </c>
      <c r="P1396" s="2113"/>
      <c r="Q1396" s="2045"/>
      <c r="R1396" s="2503"/>
      <c r="S1396" s="2108"/>
      <c r="T1396" s="2108"/>
      <c r="U1396" s="2108"/>
      <c r="V1396" s="2108"/>
      <c r="W1396" s="2043"/>
      <c r="X1396" s="2043"/>
      <c r="Y1396" s="2043"/>
      <c r="Z1396" s="2043"/>
      <c r="AA1396" s="2043"/>
      <c r="AB1396" s="2043"/>
      <c r="AC1396" s="2043"/>
      <c r="AD1396" s="2043"/>
      <c r="AE1396" s="2043"/>
      <c r="AF1396" s="2043"/>
      <c r="AG1396" s="2043"/>
      <c r="AH1396" s="2043"/>
      <c r="AI1396" s="2043"/>
      <c r="AJ1396" s="2043"/>
      <c r="AK1396" s="2043"/>
      <c r="AL1396" s="2043"/>
      <c r="AM1396" s="2043"/>
      <c r="AN1396" s="2043"/>
      <c r="AO1396" s="2043"/>
      <c r="AP1396" s="2043"/>
      <c r="AQ1396" s="2043"/>
      <c r="AR1396" s="2043"/>
      <c r="AS1396" s="2043"/>
      <c r="AT1396" s="2043"/>
      <c r="AU1396" s="2043"/>
      <c r="AV1396" s="2043"/>
      <c r="AW1396" s="2043"/>
      <c r="AX1396" s="2043"/>
      <c r="AY1396" s="2043"/>
      <c r="AZ1396" s="2043"/>
      <c r="BA1396" s="2043"/>
      <c r="BB1396" s="2043"/>
      <c r="BC1396" s="2043"/>
      <c r="BD1396" s="2043"/>
      <c r="BE1396" s="2043"/>
      <c r="BF1396" s="2043"/>
      <c r="BG1396" s="2043"/>
      <c r="BH1396" s="2043"/>
      <c r="BI1396" s="2043"/>
      <c r="BJ1396" s="2043"/>
      <c r="BK1396" s="2043"/>
      <c r="BL1396" s="2043"/>
    </row>
    <row r="1397" spans="1:64" ht="15" customHeight="1">
      <c r="A1397" s="2564"/>
      <c r="B1397" s="2524"/>
      <c r="C1397" s="2049" t="s">
        <v>7044</v>
      </c>
      <c r="D1397" s="2052"/>
      <c r="E1397" s="2052"/>
      <c r="F1397" s="2052"/>
      <c r="G1397" s="2052"/>
      <c r="H1397" s="2052"/>
      <c r="I1397" s="2052"/>
      <c r="J1397" s="2052"/>
      <c r="K1397" s="2052"/>
      <c r="L1397" s="2052"/>
      <c r="M1397" s="2052"/>
      <c r="N1397" s="2507"/>
      <c r="O1397" s="1964">
        <f>'Part VIII Scoring Criteria'!O246</f>
        <v>0</v>
      </c>
      <c r="P1397" s="2531"/>
      <c r="Q1397" s="2531"/>
      <c r="R1397" s="2052"/>
      <c r="S1397" s="2052"/>
      <c r="T1397" s="2052"/>
      <c r="U1397" s="2052"/>
      <c r="V1397" s="2049"/>
      <c r="W1397" s="2049"/>
      <c r="X1397" s="2049"/>
      <c r="Y1397" s="2049"/>
      <c r="Z1397" s="2049"/>
      <c r="AA1397" s="2049"/>
      <c r="AB1397" s="2049"/>
      <c r="AC1397" s="2049"/>
      <c r="AD1397" s="2049"/>
      <c r="AE1397" s="2049"/>
      <c r="AF1397" s="2049"/>
      <c r="AG1397" s="2049"/>
      <c r="AH1397" s="2049"/>
      <c r="AI1397" s="2049"/>
      <c r="AJ1397" s="2049"/>
      <c r="AK1397" s="2049"/>
      <c r="AL1397" s="2049"/>
      <c r="AM1397" s="2049"/>
      <c r="AN1397" s="2049"/>
      <c r="AO1397" s="2049"/>
      <c r="AP1397" s="2049"/>
      <c r="AQ1397" s="2049"/>
      <c r="AR1397" s="2049"/>
      <c r="AS1397" s="2049"/>
      <c r="AT1397" s="2049"/>
      <c r="AU1397" s="2049"/>
      <c r="AV1397" s="2049"/>
      <c r="AW1397" s="2049"/>
      <c r="AX1397" s="2049"/>
      <c r="AY1397" s="2049"/>
      <c r="AZ1397" s="2049"/>
      <c r="BA1397" s="2049"/>
      <c r="BB1397" s="2049"/>
      <c r="BC1397" s="2049"/>
      <c r="BD1397" s="2049"/>
      <c r="BE1397" s="2049"/>
      <c r="BF1397" s="2049"/>
      <c r="BG1397" s="2049"/>
      <c r="BH1397" s="2049"/>
      <c r="BI1397" s="2049"/>
      <c r="BJ1397" s="2049"/>
      <c r="BK1397" s="2049"/>
      <c r="BL1397" s="2049"/>
    </row>
    <row r="1398" spans="1:64" ht="15">
      <c r="A1398" s="1855"/>
      <c r="B1398" s="2110" t="s">
        <v>1739</v>
      </c>
      <c r="C1398" s="1855"/>
      <c r="D1398" s="1855"/>
      <c r="E1398" s="1855"/>
      <c r="F1398" s="1855"/>
      <c r="G1398" s="1855"/>
      <c r="H1398" s="1855"/>
      <c r="I1398" s="1855"/>
      <c r="J1398" s="1855"/>
      <c r="K1398" s="1855"/>
      <c r="L1398" s="2043"/>
      <c r="M1398" s="1964"/>
      <c r="N1398" s="1994"/>
      <c r="O1398" s="2042"/>
      <c r="P1398" s="2045"/>
      <c r="Q1398" s="2043"/>
      <c r="R1398" s="2108"/>
      <c r="S1398" s="2108"/>
      <c r="T1398" s="2108"/>
      <c r="U1398" s="2108"/>
      <c r="V1398" s="2108"/>
      <c r="W1398" s="2043"/>
      <c r="X1398" s="2043"/>
      <c r="Y1398" s="2043"/>
      <c r="Z1398" s="2043"/>
      <c r="AA1398" s="2043"/>
      <c r="AB1398" s="2043"/>
      <c r="AC1398" s="2043"/>
      <c r="AD1398" s="2043"/>
      <c r="AE1398" s="2043"/>
      <c r="AF1398" s="2043"/>
      <c r="AG1398" s="2043"/>
      <c r="AH1398" s="2043"/>
      <c r="AI1398" s="2043"/>
      <c r="AJ1398" s="2043"/>
      <c r="AK1398" s="2043"/>
      <c r="AL1398" s="2043"/>
      <c r="AM1398" s="2043"/>
      <c r="AN1398" s="2043"/>
      <c r="AO1398" s="2043"/>
      <c r="AP1398" s="2043"/>
      <c r="AQ1398" s="2043"/>
      <c r="AR1398" s="2043"/>
      <c r="AS1398" s="2043"/>
      <c r="AT1398" s="2043"/>
      <c r="AU1398" s="2043"/>
      <c r="AV1398" s="2043"/>
      <c r="AW1398" s="2043"/>
      <c r="AX1398" s="2043"/>
      <c r="AY1398" s="2043"/>
      <c r="AZ1398" s="2043"/>
      <c r="BA1398" s="2043"/>
      <c r="BB1398" s="2043"/>
      <c r="BC1398" s="2043"/>
      <c r="BD1398" s="2043"/>
      <c r="BE1398" s="2043"/>
      <c r="BF1398" s="2043"/>
      <c r="BG1398" s="2043"/>
      <c r="BH1398" s="2043"/>
      <c r="BI1398" s="2043"/>
      <c r="BJ1398" s="2043"/>
      <c r="BK1398" s="2043"/>
      <c r="BL1398" s="2043"/>
    </row>
    <row r="1399" spans="1:64" ht="409.5">
      <c r="A1399" s="2052" t="str">
        <f>'Part VIII Scoring Criteria'!A248</f>
        <v xml:space="preserve">As an MBE, Integral is committed to the advancement of other MBEs and will engage MBEs in the development or operations of the proposed property in amounts equal to approx. 5% of total hard construction costs. </v>
      </c>
      <c r="B1399" s="2052"/>
      <c r="C1399" s="2052"/>
      <c r="D1399" s="2052"/>
      <c r="E1399" s="2052"/>
      <c r="F1399" s="2052"/>
      <c r="G1399" s="2052"/>
      <c r="H1399" s="2052"/>
      <c r="I1399" s="2052"/>
      <c r="J1399" s="2052"/>
      <c r="K1399" s="2052"/>
      <c r="L1399" s="2052"/>
      <c r="M1399" s="2052"/>
      <c r="N1399" s="2052"/>
      <c r="O1399" s="2052"/>
      <c r="P1399" s="2052"/>
      <c r="Q1399" s="1854"/>
      <c r="R1399" s="2043"/>
      <c r="S1399" s="2043"/>
      <c r="T1399" s="2043"/>
      <c r="U1399" s="2043"/>
      <c r="V1399" s="2043"/>
      <c r="W1399" s="2043"/>
      <c r="X1399" s="2043"/>
      <c r="Y1399" s="2043"/>
      <c r="Z1399" s="2043"/>
      <c r="AA1399" s="2043"/>
      <c r="AB1399" s="2043"/>
      <c r="AC1399" s="2043"/>
      <c r="AD1399" s="2043"/>
      <c r="AE1399" s="2043"/>
      <c r="AF1399" s="2043"/>
      <c r="AG1399" s="2043"/>
      <c r="AH1399" s="2043"/>
      <c r="AI1399" s="2043"/>
      <c r="AJ1399" s="2043"/>
      <c r="AK1399" s="2043"/>
      <c r="AL1399" s="2043"/>
      <c r="AM1399" s="2043"/>
      <c r="AN1399" s="2043"/>
      <c r="AO1399" s="2043"/>
      <c r="AP1399" s="2043"/>
      <c r="AQ1399" s="2043"/>
      <c r="AR1399" s="2043"/>
      <c r="AS1399" s="2043"/>
      <c r="AT1399" s="2043"/>
      <c r="AU1399" s="2043"/>
      <c r="AV1399" s="2043"/>
      <c r="AW1399" s="2043"/>
      <c r="AX1399" s="2043"/>
      <c r="AY1399" s="2043"/>
      <c r="AZ1399" s="2043"/>
      <c r="BA1399" s="2043"/>
      <c r="BB1399" s="2043"/>
      <c r="BC1399" s="2043"/>
      <c r="BD1399" s="2043"/>
      <c r="BE1399" s="2043"/>
      <c r="BF1399" s="2043"/>
      <c r="BG1399" s="2043"/>
      <c r="BH1399" s="2043"/>
      <c r="BI1399" s="2043"/>
      <c r="BJ1399" s="2043"/>
      <c r="BK1399" s="2043"/>
      <c r="BL1399" s="2043"/>
    </row>
    <row r="1400" spans="1:64" ht="15">
      <c r="A1400" s="1855"/>
      <c r="B1400" s="2510" t="s">
        <v>1399</v>
      </c>
      <c r="C1400" s="1855"/>
      <c r="D1400" s="2510"/>
      <c r="E1400" s="2487"/>
      <c r="F1400" s="2487"/>
      <c r="G1400" s="2487"/>
      <c r="H1400" s="2487"/>
      <c r="I1400" s="2487"/>
      <c r="J1400" s="2487"/>
      <c r="K1400" s="2487"/>
      <c r="L1400" s="2487"/>
      <c r="M1400" s="2487"/>
      <c r="N1400" s="2511"/>
      <c r="O1400" s="2489"/>
      <c r="P1400" s="2113"/>
      <c r="Q1400" s="2043"/>
      <c r="R1400" s="2043"/>
      <c r="S1400" s="2043"/>
      <c r="T1400" s="2043"/>
      <c r="U1400" s="2043"/>
      <c r="V1400" s="2043"/>
      <c r="W1400" s="2043"/>
      <c r="X1400" s="2043"/>
      <c r="Y1400" s="2043"/>
      <c r="Z1400" s="2043"/>
      <c r="AA1400" s="2043"/>
      <c r="AB1400" s="2043"/>
      <c r="AC1400" s="2043"/>
      <c r="AD1400" s="2043"/>
      <c r="AE1400" s="2043"/>
      <c r="AF1400" s="2043"/>
      <c r="AG1400" s="2043"/>
      <c r="AH1400" s="2043"/>
      <c r="AI1400" s="2043"/>
      <c r="AJ1400" s="2043"/>
      <c r="AK1400" s="2043"/>
      <c r="AL1400" s="2043"/>
      <c r="AM1400" s="2043"/>
      <c r="AN1400" s="2043"/>
      <c r="AO1400" s="2043"/>
      <c r="AP1400" s="2043"/>
      <c r="AQ1400" s="2043"/>
      <c r="AR1400" s="2043"/>
      <c r="AS1400" s="2043"/>
      <c r="AT1400" s="2043"/>
      <c r="AU1400" s="2043"/>
      <c r="AV1400" s="2043"/>
      <c r="AW1400" s="2043"/>
      <c r="AX1400" s="2043"/>
      <c r="AY1400" s="2043"/>
      <c r="AZ1400" s="2043"/>
      <c r="BA1400" s="2043"/>
      <c r="BB1400" s="2043"/>
      <c r="BC1400" s="2043"/>
      <c r="BD1400" s="2043"/>
      <c r="BE1400" s="2043"/>
      <c r="BF1400" s="2043"/>
      <c r="BG1400" s="2043"/>
      <c r="BH1400" s="2043"/>
      <c r="BI1400" s="2043"/>
      <c r="BJ1400" s="2043"/>
      <c r="BK1400" s="2043"/>
      <c r="BL1400" s="2043"/>
    </row>
    <row r="1401" spans="1:64" ht="15">
      <c r="A1401" s="2052"/>
      <c r="B1401" s="2052"/>
      <c r="C1401" s="2052"/>
      <c r="D1401" s="2052"/>
      <c r="E1401" s="2052"/>
      <c r="F1401" s="2052"/>
      <c r="G1401" s="2052"/>
      <c r="H1401" s="2052"/>
      <c r="I1401" s="2052"/>
      <c r="J1401" s="2052"/>
      <c r="K1401" s="2052"/>
      <c r="L1401" s="2052"/>
      <c r="M1401" s="2052"/>
      <c r="N1401" s="2052"/>
      <c r="O1401" s="2052"/>
      <c r="P1401" s="2052"/>
      <c r="Q1401" s="1854"/>
      <c r="R1401" s="2043"/>
      <c r="S1401" s="2043"/>
      <c r="T1401" s="2043"/>
      <c r="U1401" s="2043"/>
      <c r="V1401" s="2043"/>
      <c r="W1401" s="2043"/>
      <c r="X1401" s="2043"/>
      <c r="Y1401" s="2043"/>
      <c r="Z1401" s="2043"/>
      <c r="AA1401" s="2043"/>
      <c r="AB1401" s="2043"/>
      <c r="AC1401" s="2043"/>
      <c r="AD1401" s="2043"/>
      <c r="AE1401" s="2043"/>
      <c r="AF1401" s="2043"/>
      <c r="AG1401" s="2043"/>
      <c r="AH1401" s="2043"/>
      <c r="AI1401" s="2043"/>
      <c r="AJ1401" s="2043"/>
      <c r="AK1401" s="2043"/>
      <c r="AL1401" s="2043"/>
      <c r="AM1401" s="2043"/>
      <c r="AN1401" s="2043"/>
      <c r="AO1401" s="2043"/>
      <c r="AP1401" s="2043"/>
      <c r="AQ1401" s="2043"/>
      <c r="AR1401" s="2043"/>
      <c r="AS1401" s="2043"/>
      <c r="AT1401" s="2043"/>
      <c r="AU1401" s="2043"/>
      <c r="AV1401" s="2043"/>
      <c r="AW1401" s="2043"/>
      <c r="AX1401" s="2043"/>
      <c r="AY1401" s="2043"/>
      <c r="AZ1401" s="2043"/>
      <c r="BA1401" s="2043"/>
      <c r="BB1401" s="2043"/>
      <c r="BC1401" s="2043"/>
      <c r="BD1401" s="2043"/>
      <c r="BE1401" s="2043"/>
      <c r="BF1401" s="2043"/>
      <c r="BG1401" s="2043"/>
      <c r="BH1401" s="2043"/>
      <c r="BI1401" s="2043"/>
      <c r="BJ1401" s="2043"/>
      <c r="BK1401" s="2043"/>
      <c r="BL1401" s="2043"/>
    </row>
    <row r="1402" spans="1:64" ht="15">
      <c r="A1402" s="1855"/>
      <c r="B1402" s="2043"/>
      <c r="C1402" s="2043"/>
      <c r="D1402" s="1855"/>
      <c r="E1402" s="1855"/>
      <c r="F1402" s="2113"/>
      <c r="G1402" s="2113"/>
      <c r="H1402" s="2113"/>
      <c r="I1402" s="2113"/>
      <c r="J1402" s="2046"/>
      <c r="K1402" s="2046"/>
      <c r="L1402" s="2046"/>
      <c r="M1402" s="1964"/>
      <c r="N1402" s="2113"/>
      <c r="O1402" s="2045"/>
      <c r="P1402" s="2042"/>
      <c r="Q1402" s="2043"/>
      <c r="R1402" s="2043"/>
      <c r="S1402" s="2043"/>
      <c r="T1402" s="2043"/>
      <c r="U1402" s="2043"/>
      <c r="V1402" s="2043"/>
      <c r="W1402" s="2043"/>
      <c r="X1402" s="2043"/>
      <c r="Y1402" s="2043"/>
      <c r="Z1402" s="2043"/>
      <c r="AA1402" s="2043"/>
      <c r="AB1402" s="2043"/>
      <c r="AC1402" s="2043"/>
      <c r="AD1402" s="2043"/>
      <c r="AE1402" s="2043"/>
      <c r="AF1402" s="2043"/>
      <c r="AG1402" s="2043"/>
      <c r="AH1402" s="2043"/>
      <c r="AI1402" s="2043"/>
      <c r="AJ1402" s="2043"/>
      <c r="AK1402" s="2043"/>
      <c r="AL1402" s="2043"/>
      <c r="AM1402" s="2043"/>
      <c r="AN1402" s="2043"/>
      <c r="AO1402" s="2043"/>
      <c r="AP1402" s="2043"/>
      <c r="AQ1402" s="2043"/>
      <c r="AR1402" s="2043"/>
      <c r="AS1402" s="2043"/>
      <c r="AT1402" s="2043"/>
      <c r="AU1402" s="2043"/>
      <c r="AV1402" s="2043"/>
      <c r="AW1402" s="2043"/>
      <c r="AX1402" s="2043"/>
      <c r="AY1402" s="2043"/>
      <c r="AZ1402" s="2043"/>
      <c r="BA1402" s="2043"/>
      <c r="BB1402" s="2043"/>
      <c r="BC1402" s="2043"/>
      <c r="BD1402" s="2043"/>
      <c r="BE1402" s="2043"/>
      <c r="BF1402" s="2043"/>
      <c r="BG1402" s="2043"/>
      <c r="BH1402" s="2043"/>
      <c r="BI1402" s="2043"/>
      <c r="BJ1402" s="2043"/>
      <c r="BK1402" s="2043"/>
      <c r="BL1402" s="2043"/>
    </row>
    <row r="1403" spans="1:64" ht="15">
      <c r="A1403" s="1855"/>
      <c r="B1403" s="2043"/>
      <c r="C1403" s="2043"/>
      <c r="D1403" s="1855"/>
      <c r="E1403" s="1855"/>
      <c r="F1403" s="2113"/>
      <c r="G1403" s="2113"/>
      <c r="H1403" s="2113"/>
      <c r="I1403" s="2113"/>
      <c r="J1403" s="2046"/>
      <c r="K1403" s="2046"/>
      <c r="L1403" s="2046"/>
      <c r="M1403" s="1964"/>
      <c r="N1403" s="2113"/>
      <c r="O1403" s="2045"/>
      <c r="P1403" s="2042"/>
      <c r="Q1403" s="2043"/>
      <c r="R1403" s="2043"/>
      <c r="S1403" s="2043"/>
      <c r="T1403" s="2043"/>
      <c r="U1403" s="2043"/>
      <c r="V1403" s="2043"/>
      <c r="W1403" s="2043"/>
      <c r="X1403" s="2043"/>
      <c r="Y1403" s="2043"/>
      <c r="Z1403" s="2043"/>
      <c r="AA1403" s="2043"/>
      <c r="AB1403" s="2043"/>
      <c r="AC1403" s="2043"/>
      <c r="AD1403" s="2043"/>
      <c r="AE1403" s="2043"/>
      <c r="AF1403" s="2043"/>
      <c r="AG1403" s="2043"/>
      <c r="AH1403" s="2043"/>
      <c r="AI1403" s="2043"/>
      <c r="AJ1403" s="2043"/>
      <c r="AK1403" s="2043"/>
      <c r="AL1403" s="2043"/>
      <c r="AM1403" s="2043"/>
      <c r="AN1403" s="2043"/>
      <c r="AO1403" s="2043"/>
      <c r="AP1403" s="2043"/>
      <c r="AQ1403" s="2043"/>
      <c r="AR1403" s="2043"/>
      <c r="AS1403" s="2043"/>
      <c r="AT1403" s="2043"/>
      <c r="AU1403" s="2043"/>
      <c r="AV1403" s="2043"/>
      <c r="AW1403" s="2043"/>
      <c r="AX1403" s="2043"/>
      <c r="AY1403" s="2043"/>
      <c r="AZ1403" s="2043"/>
      <c r="BA1403" s="2043"/>
      <c r="BB1403" s="2043"/>
      <c r="BC1403" s="2043"/>
      <c r="BD1403" s="2043"/>
      <c r="BE1403" s="2043"/>
      <c r="BF1403" s="2043"/>
      <c r="BG1403" s="2043"/>
      <c r="BH1403" s="2043"/>
      <c r="BI1403" s="2043"/>
      <c r="BJ1403" s="2043"/>
      <c r="BK1403" s="2043"/>
      <c r="BL1403" s="2043"/>
    </row>
    <row r="1404" spans="1:64" ht="15">
      <c r="A1404" s="2109" t="s">
        <v>1491</v>
      </c>
      <c r="B1404" s="2110" t="s">
        <v>1844</v>
      </c>
      <c r="C1404" s="1855"/>
      <c r="D1404" s="2110"/>
      <c r="E1404" s="2110"/>
      <c r="F1404" s="1855"/>
      <c r="G1404" s="2557"/>
      <c r="H1404" s="1855"/>
      <c r="I1404" s="1855"/>
      <c r="J1404" s="1855"/>
      <c r="K1404" s="1855"/>
      <c r="L1404" s="1855"/>
      <c r="M1404" s="2113">
        <v>2</v>
      </c>
      <c r="N1404" s="1964"/>
      <c r="O1404" s="2042">
        <f>'Part VIII Scoring Criteria'!O253</f>
        <v>0</v>
      </c>
      <c r="P1404" s="2042">
        <f>'Part VIII Scoring Criteria'!P253</f>
        <v>0</v>
      </c>
      <c r="Q1404" s="2113" t="s">
        <v>1716</v>
      </c>
      <c r="R1404" s="2108"/>
      <c r="S1404" s="2108"/>
      <c r="T1404" s="2108"/>
      <c r="U1404" s="2108"/>
      <c r="V1404" s="2108"/>
      <c r="W1404" s="1855"/>
      <c r="X1404" s="1855"/>
      <c r="Y1404" s="1855"/>
      <c r="Z1404" s="1855"/>
      <c r="AA1404" s="1855"/>
      <c r="AB1404" s="1855"/>
      <c r="AC1404" s="1855"/>
      <c r="AD1404" s="1855"/>
      <c r="AE1404" s="1855"/>
      <c r="AF1404" s="1855"/>
      <c r="AG1404" s="1855"/>
      <c r="AH1404" s="1855"/>
      <c r="AI1404" s="1855"/>
      <c r="AJ1404" s="1855"/>
      <c r="AK1404" s="1855"/>
      <c r="AL1404" s="1855"/>
      <c r="AM1404" s="1855"/>
      <c r="AN1404" s="1855"/>
      <c r="AO1404" s="1855"/>
      <c r="AP1404" s="1855"/>
      <c r="AQ1404" s="1855"/>
      <c r="AR1404" s="1855"/>
      <c r="AS1404" s="1855"/>
      <c r="AT1404" s="1855"/>
      <c r="AU1404" s="1855"/>
      <c r="AV1404" s="1855"/>
      <c r="AW1404" s="1855"/>
      <c r="AX1404" s="1855"/>
      <c r="AY1404" s="1855"/>
      <c r="AZ1404" s="1855"/>
      <c r="BA1404" s="1855"/>
      <c r="BB1404" s="1855"/>
      <c r="BC1404" s="1855"/>
      <c r="BD1404" s="1855"/>
      <c r="BE1404" s="1855"/>
      <c r="BF1404" s="1855"/>
      <c r="BG1404" s="1855"/>
      <c r="BH1404" s="1855"/>
      <c r="BI1404" s="1855"/>
      <c r="BJ1404" s="1855"/>
      <c r="BK1404" s="1855"/>
      <c r="BL1404" s="1855"/>
    </row>
    <row r="1405" spans="1:64" ht="15">
      <c r="A1405" s="2113" t="s">
        <v>194</v>
      </c>
      <c r="B1405" s="2558" t="s">
        <v>1845</v>
      </c>
      <c r="C1405" s="2043"/>
      <c r="D1405" s="2050"/>
      <c r="E1405" s="2050" t="s">
        <v>1846</v>
      </c>
      <c r="F1405" s="2050"/>
      <c r="G1405" s="2050"/>
      <c r="H1405" s="2050"/>
      <c r="I1405" s="2043">
        <f>'Part VIII Scoring Criteria'!I254</f>
        <v>0</v>
      </c>
      <c r="J1405" s="2043"/>
      <c r="K1405" s="2043"/>
      <c r="L1405" s="2043"/>
      <c r="M1405" s="1994">
        <v>2</v>
      </c>
      <c r="N1405" s="2112"/>
      <c r="O1405" s="2042">
        <f>'Part VIII Scoring Criteria'!O254</f>
        <v>0</v>
      </c>
      <c r="P1405" s="2042"/>
      <c r="Q1405" s="2045" t="str">
        <f>IF(OR(O1405=0,O1405="",O1405=$M1405),"","Check!")</f>
        <v/>
      </c>
      <c r="R1405" s="2503"/>
      <c r="S1405" s="2108"/>
      <c r="T1405" s="2108"/>
      <c r="U1405" s="2108"/>
      <c r="V1405" s="2108"/>
      <c r="W1405" s="2043"/>
      <c r="X1405" s="2043"/>
      <c r="Y1405" s="2043"/>
      <c r="Z1405" s="2043"/>
      <c r="AA1405" s="2043"/>
      <c r="AB1405" s="2043"/>
      <c r="AC1405" s="2043"/>
      <c r="AD1405" s="2043"/>
      <c r="AE1405" s="2043"/>
      <c r="AF1405" s="2043"/>
      <c r="AG1405" s="2043"/>
      <c r="AH1405" s="2043"/>
      <c r="AI1405" s="2043"/>
      <c r="AJ1405" s="2043"/>
      <c r="AK1405" s="2043"/>
      <c r="AL1405" s="2043"/>
      <c r="AM1405" s="2043"/>
      <c r="AN1405" s="2043"/>
      <c r="AO1405" s="2043"/>
      <c r="AP1405" s="2043"/>
      <c r="AQ1405" s="2043"/>
      <c r="AR1405" s="2043"/>
      <c r="AS1405" s="2043"/>
      <c r="AT1405" s="2043"/>
      <c r="AU1405" s="2043"/>
      <c r="AV1405" s="2043"/>
      <c r="AW1405" s="2043"/>
      <c r="AX1405" s="2043"/>
      <c r="AY1405" s="2043"/>
      <c r="AZ1405" s="2043"/>
      <c r="BA1405" s="2043"/>
      <c r="BB1405" s="2043"/>
      <c r="BC1405" s="2043"/>
      <c r="BD1405" s="2043"/>
      <c r="BE1405" s="2043"/>
      <c r="BF1405" s="2043"/>
      <c r="BG1405" s="2043"/>
      <c r="BH1405" s="2043"/>
      <c r="BI1405" s="2043"/>
      <c r="BJ1405" s="2043"/>
      <c r="BK1405" s="2043"/>
      <c r="BL1405" s="2043"/>
    </row>
    <row r="1406" spans="1:64" ht="15">
      <c r="A1406" s="2113" t="s">
        <v>206</v>
      </c>
      <c r="B1406" s="2558" t="s">
        <v>1847</v>
      </c>
      <c r="C1406" s="2043"/>
      <c r="D1406" s="2050"/>
      <c r="E1406" s="2043"/>
      <c r="F1406" s="2043"/>
      <c r="G1406" s="2043"/>
      <c r="H1406" s="2043"/>
      <c r="I1406" s="2043"/>
      <c r="J1406" s="2043"/>
      <c r="K1406" s="2043"/>
      <c r="L1406" s="2050"/>
      <c r="M1406" s="1994">
        <v>2</v>
      </c>
      <c r="N1406" s="2112"/>
      <c r="O1406" s="2042">
        <f>'Part VIII Scoring Criteria'!O255</f>
        <v>0</v>
      </c>
      <c r="P1406" s="2042"/>
      <c r="Q1406" s="2045" t="str">
        <f>IF(OR(O1406=0,O1406="",O1406=$M1406),"","Check!")</f>
        <v/>
      </c>
      <c r="R1406" s="2503"/>
      <c r="S1406" s="2108"/>
      <c r="T1406" s="2108"/>
      <c r="U1406" s="2108"/>
      <c r="V1406" s="2108"/>
      <c r="W1406" s="2043"/>
      <c r="X1406" s="2043"/>
      <c r="Y1406" s="2043"/>
      <c r="Z1406" s="2043"/>
      <c r="AA1406" s="2043"/>
      <c r="AB1406" s="2043"/>
      <c r="AC1406" s="2043"/>
      <c r="AD1406" s="2043"/>
      <c r="AE1406" s="2043"/>
      <c r="AF1406" s="2043"/>
      <c r="AG1406" s="2043"/>
      <c r="AH1406" s="2043"/>
      <c r="AI1406" s="2043"/>
      <c r="AJ1406" s="2043"/>
      <c r="AK1406" s="2043"/>
      <c r="AL1406" s="2043"/>
      <c r="AM1406" s="2043"/>
      <c r="AN1406" s="2043"/>
      <c r="AO1406" s="2043"/>
      <c r="AP1406" s="2043"/>
      <c r="AQ1406" s="2043"/>
      <c r="AR1406" s="2043"/>
      <c r="AS1406" s="2043"/>
      <c r="AT1406" s="2043"/>
      <c r="AU1406" s="2043"/>
      <c r="AV1406" s="2043"/>
      <c r="AW1406" s="2043"/>
      <c r="AX1406" s="2043"/>
      <c r="AY1406" s="2043"/>
      <c r="AZ1406" s="2043"/>
      <c r="BA1406" s="2043"/>
      <c r="BB1406" s="2043"/>
      <c r="BC1406" s="2043"/>
      <c r="BD1406" s="2043"/>
      <c r="BE1406" s="2043"/>
      <c r="BF1406" s="2043"/>
      <c r="BG1406" s="2043"/>
      <c r="BH1406" s="2043"/>
      <c r="BI1406" s="2043"/>
      <c r="BJ1406" s="2043"/>
      <c r="BK1406" s="2043"/>
      <c r="BL1406" s="2043"/>
    </row>
    <row r="1407" spans="1:64" ht="15">
      <c r="A1407" s="1855"/>
      <c r="B1407" s="2110" t="s">
        <v>1739</v>
      </c>
      <c r="C1407" s="1855"/>
      <c r="D1407" s="1855"/>
      <c r="E1407" s="1855"/>
      <c r="F1407" s="1855"/>
      <c r="G1407" s="1855"/>
      <c r="H1407" s="1855"/>
      <c r="I1407" s="1855"/>
      <c r="J1407" s="1855"/>
      <c r="K1407" s="1855"/>
      <c r="L1407" s="2043"/>
      <c r="M1407" s="1964"/>
      <c r="N1407" s="1994"/>
      <c r="O1407" s="2042"/>
      <c r="P1407" s="2045"/>
      <c r="Q1407" s="2043"/>
      <c r="R1407" s="2108"/>
      <c r="S1407" s="2108"/>
      <c r="T1407" s="2108"/>
      <c r="U1407" s="2108"/>
      <c r="V1407" s="2108"/>
      <c r="W1407" s="2043"/>
      <c r="X1407" s="2043"/>
      <c r="Y1407" s="2043"/>
      <c r="Z1407" s="2043"/>
      <c r="AA1407" s="2043"/>
      <c r="AB1407" s="2043"/>
      <c r="AC1407" s="2043"/>
      <c r="AD1407" s="2043"/>
      <c r="AE1407" s="2043"/>
      <c r="AF1407" s="2043"/>
      <c r="AG1407" s="2043"/>
      <c r="AH1407" s="2043"/>
      <c r="AI1407" s="2043"/>
      <c r="AJ1407" s="2043"/>
      <c r="AK1407" s="2043"/>
      <c r="AL1407" s="2043"/>
      <c r="AM1407" s="2043"/>
      <c r="AN1407" s="2043"/>
      <c r="AO1407" s="2043"/>
      <c r="AP1407" s="2043"/>
      <c r="AQ1407" s="2043"/>
      <c r="AR1407" s="2043"/>
      <c r="AS1407" s="2043"/>
      <c r="AT1407" s="2043"/>
      <c r="AU1407" s="2043"/>
      <c r="AV1407" s="2043"/>
      <c r="AW1407" s="2043"/>
      <c r="AX1407" s="2043"/>
      <c r="AY1407" s="2043"/>
      <c r="AZ1407" s="2043"/>
      <c r="BA1407" s="2043"/>
      <c r="BB1407" s="2043"/>
      <c r="BC1407" s="2043"/>
      <c r="BD1407" s="2043"/>
      <c r="BE1407" s="2043"/>
      <c r="BF1407" s="2043"/>
      <c r="BG1407" s="2043"/>
      <c r="BH1407" s="2043"/>
      <c r="BI1407" s="2043"/>
      <c r="BJ1407" s="2043"/>
      <c r="BK1407" s="2043"/>
      <c r="BL1407" s="2043"/>
    </row>
    <row r="1408" spans="1:64" ht="15">
      <c r="A1408" s="2052">
        <f>'Part VIII Scoring Criteria'!A257</f>
        <v>0</v>
      </c>
      <c r="B1408" s="2052"/>
      <c r="C1408" s="2052"/>
      <c r="D1408" s="2052"/>
      <c r="E1408" s="2052"/>
      <c r="F1408" s="2052"/>
      <c r="G1408" s="2052"/>
      <c r="H1408" s="2052"/>
      <c r="I1408" s="2052"/>
      <c r="J1408" s="2052"/>
      <c r="K1408" s="2052"/>
      <c r="L1408" s="2052"/>
      <c r="M1408" s="2052"/>
      <c r="N1408" s="2052"/>
      <c r="O1408" s="2052"/>
      <c r="P1408" s="2052"/>
      <c r="Q1408" s="1854"/>
      <c r="R1408" s="2043"/>
      <c r="S1408" s="2043"/>
      <c r="T1408" s="2043"/>
      <c r="U1408" s="2043"/>
      <c r="V1408" s="2043"/>
      <c r="W1408" s="2043"/>
      <c r="X1408" s="2043"/>
      <c r="Y1408" s="2043"/>
      <c r="Z1408" s="2043"/>
      <c r="AA1408" s="2043"/>
      <c r="AB1408" s="2043"/>
      <c r="AC1408" s="2043"/>
      <c r="AD1408" s="2043"/>
      <c r="AE1408" s="2043"/>
      <c r="AF1408" s="2043"/>
      <c r="AG1408" s="2043"/>
      <c r="AH1408" s="2043"/>
      <c r="AI1408" s="2043"/>
      <c r="AJ1408" s="2043"/>
      <c r="AK1408" s="2043"/>
      <c r="AL1408" s="2043"/>
      <c r="AM1408" s="2043"/>
      <c r="AN1408" s="2043"/>
      <c r="AO1408" s="2043"/>
      <c r="AP1408" s="2043"/>
      <c r="AQ1408" s="2043"/>
      <c r="AR1408" s="2043"/>
      <c r="AS1408" s="2043"/>
      <c r="AT1408" s="2043"/>
      <c r="AU1408" s="2043"/>
      <c r="AV1408" s="2043"/>
      <c r="AW1408" s="2043"/>
      <c r="AX1408" s="2043"/>
      <c r="AY1408" s="2043"/>
      <c r="AZ1408" s="2043"/>
      <c r="BA1408" s="2043"/>
      <c r="BB1408" s="2043"/>
      <c r="BC1408" s="2043"/>
      <c r="BD1408" s="2043"/>
      <c r="BE1408" s="2043"/>
      <c r="BF1408" s="2043"/>
      <c r="BG1408" s="2043"/>
      <c r="BH1408" s="2043"/>
      <c r="BI1408" s="2043"/>
      <c r="BJ1408" s="2043"/>
      <c r="BK1408" s="2043"/>
      <c r="BL1408" s="2043"/>
    </row>
    <row r="1409" spans="1:64" ht="15">
      <c r="A1409" s="1855"/>
      <c r="B1409" s="2510" t="s">
        <v>1399</v>
      </c>
      <c r="C1409" s="1855"/>
      <c r="D1409" s="2510"/>
      <c r="E1409" s="2487"/>
      <c r="F1409" s="2487"/>
      <c r="G1409" s="2487"/>
      <c r="H1409" s="2487"/>
      <c r="I1409" s="2487"/>
      <c r="J1409" s="2487"/>
      <c r="K1409" s="2487"/>
      <c r="L1409" s="2487"/>
      <c r="M1409" s="2487"/>
      <c r="N1409" s="2511"/>
      <c r="O1409" s="2489"/>
      <c r="P1409" s="2113"/>
      <c r="Q1409" s="2043"/>
      <c r="R1409" s="2043"/>
      <c r="S1409" s="2043"/>
      <c r="T1409" s="2043"/>
      <c r="U1409" s="2043"/>
      <c r="V1409" s="2043"/>
      <c r="W1409" s="2043"/>
      <c r="X1409" s="2043"/>
      <c r="Y1409" s="2043"/>
      <c r="Z1409" s="2043"/>
      <c r="AA1409" s="2043"/>
      <c r="AB1409" s="2043"/>
      <c r="AC1409" s="2043"/>
      <c r="AD1409" s="2043"/>
      <c r="AE1409" s="2043"/>
      <c r="AF1409" s="2043"/>
      <c r="AG1409" s="2043"/>
      <c r="AH1409" s="2043"/>
      <c r="AI1409" s="2043"/>
      <c r="AJ1409" s="2043"/>
      <c r="AK1409" s="2043"/>
      <c r="AL1409" s="2043"/>
      <c r="AM1409" s="2043"/>
      <c r="AN1409" s="2043"/>
      <c r="AO1409" s="2043"/>
      <c r="AP1409" s="2043"/>
      <c r="AQ1409" s="2043"/>
      <c r="AR1409" s="2043"/>
      <c r="AS1409" s="2043"/>
      <c r="AT1409" s="2043"/>
      <c r="AU1409" s="2043"/>
      <c r="AV1409" s="2043"/>
      <c r="AW1409" s="2043"/>
      <c r="AX1409" s="2043"/>
      <c r="AY1409" s="2043"/>
      <c r="AZ1409" s="2043"/>
      <c r="BA1409" s="2043"/>
      <c r="BB1409" s="2043"/>
      <c r="BC1409" s="2043"/>
      <c r="BD1409" s="2043"/>
      <c r="BE1409" s="2043"/>
      <c r="BF1409" s="2043"/>
      <c r="BG1409" s="2043"/>
      <c r="BH1409" s="2043"/>
      <c r="BI1409" s="2043"/>
      <c r="BJ1409" s="2043"/>
      <c r="BK1409" s="2043"/>
      <c r="BL1409" s="2043"/>
    </row>
    <row r="1410" spans="1:64" ht="15">
      <c r="A1410" s="2052"/>
      <c r="B1410" s="2052"/>
      <c r="C1410" s="2052"/>
      <c r="D1410" s="2052"/>
      <c r="E1410" s="2052"/>
      <c r="F1410" s="2052"/>
      <c r="G1410" s="2052"/>
      <c r="H1410" s="2052"/>
      <c r="I1410" s="2052"/>
      <c r="J1410" s="2052"/>
      <c r="K1410" s="2052"/>
      <c r="L1410" s="2052"/>
      <c r="M1410" s="2052"/>
      <c r="N1410" s="2052"/>
      <c r="O1410" s="2052"/>
      <c r="P1410" s="2052"/>
      <c r="Q1410" s="1854"/>
      <c r="R1410" s="2043"/>
      <c r="S1410" s="2043"/>
      <c r="T1410" s="2043"/>
      <c r="U1410" s="2043"/>
      <c r="V1410" s="2043"/>
      <c r="W1410" s="2043"/>
      <c r="X1410" s="2043"/>
      <c r="Y1410" s="2043"/>
      <c r="Z1410" s="2043"/>
      <c r="AA1410" s="2043"/>
      <c r="AB1410" s="2043"/>
      <c r="AC1410" s="2043"/>
      <c r="AD1410" s="2043"/>
      <c r="AE1410" s="2043"/>
      <c r="AF1410" s="2043"/>
      <c r="AG1410" s="2043"/>
      <c r="AH1410" s="2043"/>
      <c r="AI1410" s="2043"/>
      <c r="AJ1410" s="2043"/>
      <c r="AK1410" s="2043"/>
      <c r="AL1410" s="2043"/>
      <c r="AM1410" s="2043"/>
      <c r="AN1410" s="2043"/>
      <c r="AO1410" s="2043"/>
      <c r="AP1410" s="2043"/>
      <c r="AQ1410" s="2043"/>
      <c r="AR1410" s="2043"/>
      <c r="AS1410" s="2043"/>
      <c r="AT1410" s="2043"/>
      <c r="AU1410" s="2043"/>
      <c r="AV1410" s="2043"/>
      <c r="AW1410" s="2043"/>
      <c r="AX1410" s="2043"/>
      <c r="AY1410" s="2043"/>
      <c r="AZ1410" s="2043"/>
      <c r="BA1410" s="2043"/>
      <c r="BB1410" s="2043"/>
      <c r="BC1410" s="2043"/>
      <c r="BD1410" s="2043"/>
      <c r="BE1410" s="2043"/>
      <c r="BF1410" s="2043"/>
      <c r="BG1410" s="2043"/>
      <c r="BH1410" s="2043"/>
      <c r="BI1410" s="2043"/>
      <c r="BJ1410" s="2043"/>
      <c r="BK1410" s="2043"/>
      <c r="BL1410" s="2043"/>
    </row>
    <row r="1411" spans="1:64" ht="15">
      <c r="A1411" s="1855"/>
      <c r="B1411" s="2043"/>
      <c r="C1411" s="2043"/>
      <c r="D1411" s="1855"/>
      <c r="E1411" s="1855"/>
      <c r="F1411" s="2113"/>
      <c r="G1411" s="2113"/>
      <c r="H1411" s="2113"/>
      <c r="I1411" s="2113"/>
      <c r="J1411" s="2046"/>
      <c r="K1411" s="2046"/>
      <c r="L1411" s="2046"/>
      <c r="M1411" s="1964"/>
      <c r="N1411" s="2113"/>
      <c r="O1411" s="2045"/>
      <c r="P1411" s="2042"/>
      <c r="Q1411" s="2043"/>
      <c r="R1411" s="2043"/>
      <c r="S1411" s="2043"/>
      <c r="T1411" s="2043"/>
      <c r="U1411" s="2043"/>
      <c r="V1411" s="2043"/>
      <c r="W1411" s="2043"/>
      <c r="X1411" s="2043"/>
      <c r="Y1411" s="2043"/>
      <c r="Z1411" s="2043"/>
      <c r="AA1411" s="2043"/>
      <c r="AB1411" s="2043"/>
      <c r="AC1411" s="2043"/>
      <c r="AD1411" s="2043"/>
      <c r="AE1411" s="2043"/>
      <c r="AF1411" s="2043"/>
      <c r="AG1411" s="2043"/>
      <c r="AH1411" s="2043"/>
      <c r="AI1411" s="2043"/>
      <c r="AJ1411" s="2043"/>
      <c r="AK1411" s="2043"/>
      <c r="AL1411" s="2043"/>
      <c r="AM1411" s="2043"/>
      <c r="AN1411" s="2043"/>
      <c r="AO1411" s="2043"/>
      <c r="AP1411" s="2043"/>
      <c r="AQ1411" s="2043"/>
      <c r="AR1411" s="2043"/>
      <c r="AS1411" s="2043"/>
      <c r="AT1411" s="2043"/>
      <c r="AU1411" s="2043"/>
      <c r="AV1411" s="2043"/>
      <c r="AW1411" s="2043"/>
      <c r="AX1411" s="2043"/>
      <c r="AY1411" s="2043"/>
      <c r="AZ1411" s="2043"/>
      <c r="BA1411" s="2043"/>
      <c r="BB1411" s="2043"/>
      <c r="BC1411" s="2043"/>
      <c r="BD1411" s="2043"/>
      <c r="BE1411" s="2043"/>
      <c r="BF1411" s="2043"/>
      <c r="BG1411" s="2043"/>
      <c r="BH1411" s="2043"/>
      <c r="BI1411" s="2043"/>
      <c r="BJ1411" s="2043"/>
      <c r="BK1411" s="2043"/>
      <c r="BL1411" s="2043"/>
    </row>
    <row r="1412" spans="1:64" ht="15">
      <c r="A1412" s="1855"/>
      <c r="B1412" s="2043"/>
      <c r="C1412" s="2043"/>
      <c r="D1412" s="1855"/>
      <c r="E1412" s="1855"/>
      <c r="F1412" s="2113"/>
      <c r="G1412" s="2113"/>
      <c r="H1412" s="2113"/>
      <c r="I1412" s="2043"/>
      <c r="J1412" s="2043"/>
      <c r="K1412" s="2046"/>
      <c r="L1412" s="2046"/>
      <c r="M1412" s="1964"/>
      <c r="N1412" s="2113"/>
      <c r="O1412" s="2045"/>
      <c r="P1412" s="2042"/>
      <c r="Q1412" s="2043"/>
      <c r="R1412" s="2043"/>
      <c r="S1412" s="2043"/>
      <c r="T1412" s="2043"/>
      <c r="U1412" s="2043"/>
      <c r="V1412" s="2043"/>
      <c r="W1412" s="2043"/>
      <c r="X1412" s="2043"/>
      <c r="Y1412" s="2043"/>
      <c r="Z1412" s="2043"/>
      <c r="AA1412" s="2043"/>
      <c r="AB1412" s="2043"/>
      <c r="AC1412" s="2043"/>
      <c r="AD1412" s="2043"/>
      <c r="AE1412" s="2043"/>
      <c r="AF1412" s="2043"/>
      <c r="AG1412" s="2043"/>
      <c r="AH1412" s="2043"/>
      <c r="AI1412" s="2043"/>
      <c r="AJ1412" s="2043"/>
      <c r="AK1412" s="2043"/>
      <c r="AL1412" s="2043"/>
      <c r="AM1412" s="2043"/>
      <c r="AN1412" s="2043"/>
      <c r="AO1412" s="2043"/>
      <c r="AP1412" s="2043"/>
      <c r="AQ1412" s="2043"/>
      <c r="AR1412" s="2043"/>
      <c r="AS1412" s="2043"/>
      <c r="AT1412" s="2043"/>
      <c r="AU1412" s="2043"/>
      <c r="AV1412" s="2043"/>
      <c r="AW1412" s="2043"/>
      <c r="AX1412" s="2043"/>
      <c r="AY1412" s="2043"/>
      <c r="AZ1412" s="2043"/>
      <c r="BA1412" s="2043"/>
      <c r="BB1412" s="2043"/>
      <c r="BC1412" s="2043"/>
      <c r="BD1412" s="2043"/>
      <c r="BE1412" s="2043"/>
      <c r="BF1412" s="2043"/>
      <c r="BG1412" s="2043"/>
      <c r="BH1412" s="2043"/>
      <c r="BI1412" s="2043"/>
      <c r="BJ1412" s="2043"/>
      <c r="BK1412" s="2043"/>
      <c r="BL1412" s="2043"/>
    </row>
    <row r="1413" spans="1:64" ht="15">
      <c r="A1413" s="2556" t="s">
        <v>1500</v>
      </c>
      <c r="B1413" s="2110" t="s">
        <v>1848</v>
      </c>
      <c r="C1413" s="2051"/>
      <c r="D1413" s="2043"/>
      <c r="E1413" s="1855"/>
      <c r="F1413" s="2043"/>
      <c r="G1413" s="2043"/>
      <c r="H1413" s="2043"/>
      <c r="I1413" s="2043"/>
      <c r="J1413" s="2043"/>
      <c r="K1413" s="1855"/>
      <c r="L1413" s="1855"/>
      <c r="M1413" s="2113">
        <v>2</v>
      </c>
      <c r="N1413" s="1964"/>
      <c r="O1413" s="2042"/>
      <c r="P1413" s="2042">
        <f>'Part VIII Scoring Criteria'!P262</f>
        <v>0</v>
      </c>
      <c r="Q1413" s="2113" t="s">
        <v>1716</v>
      </c>
      <c r="R1413" s="2043"/>
      <c r="S1413" s="2043"/>
      <c r="T1413" s="2043"/>
      <c r="U1413" s="2043"/>
      <c r="V1413" s="2043"/>
      <c r="W1413" s="2043"/>
      <c r="X1413" s="2043"/>
      <c r="Y1413" s="2043"/>
      <c r="Z1413" s="2043"/>
      <c r="AA1413" s="2043"/>
      <c r="AB1413" s="2043"/>
      <c r="AC1413" s="2043"/>
      <c r="AD1413" s="2043"/>
      <c r="AE1413" s="2043"/>
      <c r="AF1413" s="2043"/>
      <c r="AG1413" s="2043"/>
      <c r="AH1413" s="2043"/>
      <c r="AI1413" s="2043"/>
      <c r="AJ1413" s="2043"/>
      <c r="AK1413" s="2043"/>
      <c r="AL1413" s="2043"/>
      <c r="AM1413" s="2043"/>
      <c r="AN1413" s="2043"/>
      <c r="AO1413" s="2043"/>
      <c r="AP1413" s="2043"/>
      <c r="AQ1413" s="2043"/>
      <c r="AR1413" s="2043"/>
      <c r="AS1413" s="2043"/>
      <c r="AT1413" s="2043"/>
      <c r="AU1413" s="2043"/>
      <c r="AV1413" s="2043"/>
      <c r="AW1413" s="2043"/>
      <c r="AX1413" s="2043"/>
      <c r="AY1413" s="2043"/>
      <c r="AZ1413" s="2043"/>
      <c r="BA1413" s="2043"/>
      <c r="BB1413" s="2043"/>
      <c r="BC1413" s="2043"/>
      <c r="BD1413" s="2043"/>
      <c r="BE1413" s="2043"/>
      <c r="BF1413" s="2043"/>
      <c r="BG1413" s="2043"/>
      <c r="BH1413" s="2043"/>
      <c r="BI1413" s="2043"/>
      <c r="BJ1413" s="2043"/>
      <c r="BK1413" s="2043"/>
      <c r="BL1413" s="2043"/>
    </row>
    <row r="1414" spans="1:64" ht="15">
      <c r="A1414" s="2113" t="s">
        <v>194</v>
      </c>
      <c r="B1414" s="1854" t="s">
        <v>1849</v>
      </c>
      <c r="C1414" s="2051"/>
      <c r="D1414" s="2043"/>
      <c r="E1414" s="1855"/>
      <c r="F1414" s="2043"/>
      <c r="G1414" s="2044"/>
      <c r="H1414" s="2043"/>
      <c r="I1414" s="2046"/>
      <c r="J1414" s="2043"/>
      <c r="K1414" s="2046"/>
      <c r="L1414" s="2043"/>
      <c r="M1414" s="1964">
        <v>2</v>
      </c>
      <c r="N1414" s="2112"/>
      <c r="O1414" s="2043"/>
      <c r="P1414" s="2113"/>
      <c r="Q1414" s="2113"/>
      <c r="R1414" s="2503"/>
      <c r="S1414" s="2043"/>
      <c r="T1414" s="2043"/>
      <c r="U1414" s="2043"/>
      <c r="V1414" s="2043"/>
      <c r="W1414" s="2043"/>
      <c r="X1414" s="2043"/>
      <c r="Y1414" s="2043"/>
      <c r="Z1414" s="2043"/>
      <c r="AA1414" s="2043"/>
      <c r="AB1414" s="2043"/>
      <c r="AC1414" s="2043"/>
      <c r="AD1414" s="2043"/>
      <c r="AE1414" s="2043"/>
      <c r="AF1414" s="2043"/>
      <c r="AG1414" s="2043"/>
      <c r="AH1414" s="2043"/>
      <c r="AI1414" s="2043"/>
      <c r="AJ1414" s="2043"/>
      <c r="AK1414" s="2043"/>
      <c r="AL1414" s="2043"/>
      <c r="AM1414" s="2043"/>
      <c r="AN1414" s="2043"/>
      <c r="AO1414" s="2043"/>
      <c r="AP1414" s="2043"/>
      <c r="AQ1414" s="2043"/>
      <c r="AR1414" s="2043"/>
      <c r="AS1414" s="2043"/>
      <c r="AT1414" s="2043"/>
      <c r="AU1414" s="2043"/>
      <c r="AV1414" s="2043"/>
      <c r="AW1414" s="2043"/>
      <c r="AX1414" s="2043"/>
      <c r="AY1414" s="2043"/>
      <c r="AZ1414" s="2043"/>
      <c r="BA1414" s="2043"/>
      <c r="BB1414" s="2043"/>
      <c r="BC1414" s="2043"/>
      <c r="BD1414" s="2043"/>
      <c r="BE1414" s="2043"/>
      <c r="BF1414" s="2043"/>
      <c r="BG1414" s="2043"/>
      <c r="BH1414" s="2043"/>
      <c r="BI1414" s="2043"/>
      <c r="BJ1414" s="2043"/>
      <c r="BK1414" s="2043"/>
      <c r="BL1414" s="2043"/>
    </row>
    <row r="1415" spans="1:64" ht="15">
      <c r="A1415" s="2113"/>
      <c r="B1415" s="1855" t="s">
        <v>1850</v>
      </c>
      <c r="C1415" s="1855"/>
      <c r="D1415" s="1855"/>
      <c r="E1415" s="1855"/>
      <c r="F1415" s="1855"/>
      <c r="G1415" s="1855"/>
      <c r="H1415" s="1855"/>
      <c r="I1415" s="1855"/>
      <c r="J1415" s="1855"/>
      <c r="K1415" s="1855"/>
      <c r="L1415" s="1855"/>
      <c r="M1415" s="1855"/>
      <c r="N1415" s="2485"/>
      <c r="O1415" s="1964">
        <f>'Part VIII Scoring Criteria'!O264</f>
        <v>0</v>
      </c>
      <c r="P1415" s="2113"/>
      <c r="Q1415" s="1855"/>
      <c r="R1415" s="2502"/>
      <c r="S1415" s="1855"/>
      <c r="T1415" s="1855"/>
      <c r="U1415" s="1855"/>
      <c r="V1415" s="1855"/>
      <c r="W1415" s="1855"/>
      <c r="X1415" s="1855"/>
      <c r="Y1415" s="1855"/>
      <c r="Z1415" s="1855"/>
      <c r="AA1415" s="1855"/>
      <c r="AB1415" s="1855"/>
      <c r="AC1415" s="1855"/>
      <c r="AD1415" s="1855"/>
      <c r="AE1415" s="1855"/>
      <c r="AF1415" s="1855"/>
      <c r="AG1415" s="1855"/>
      <c r="AH1415" s="1855"/>
      <c r="AI1415" s="1855"/>
      <c r="AJ1415" s="1855"/>
      <c r="AK1415" s="1855"/>
      <c r="AL1415" s="1855"/>
      <c r="AM1415" s="1855"/>
      <c r="AN1415" s="1855"/>
      <c r="AO1415" s="1855"/>
      <c r="AP1415" s="1855"/>
      <c r="AQ1415" s="1855"/>
      <c r="AR1415" s="1855"/>
      <c r="AS1415" s="1855"/>
      <c r="AT1415" s="1855"/>
      <c r="AU1415" s="1855"/>
      <c r="AV1415" s="1855"/>
      <c r="AW1415" s="1855"/>
      <c r="AX1415" s="1855"/>
      <c r="AY1415" s="1855"/>
      <c r="AZ1415" s="1855"/>
      <c r="BA1415" s="1855"/>
      <c r="BB1415" s="1855"/>
      <c r="BC1415" s="1855"/>
      <c r="BD1415" s="1855"/>
      <c r="BE1415" s="1855"/>
      <c r="BF1415" s="1855"/>
      <c r="BG1415" s="1855"/>
      <c r="BH1415" s="1855"/>
      <c r="BI1415" s="1855"/>
      <c r="BJ1415" s="1855"/>
      <c r="BK1415" s="1855"/>
      <c r="BL1415" s="1855"/>
    </row>
    <row r="1416" spans="1:64" ht="15">
      <c r="A1416" s="2113" t="s">
        <v>206</v>
      </c>
      <c r="B1416" s="1854" t="s">
        <v>1851</v>
      </c>
      <c r="C1416" s="2051"/>
      <c r="D1416" s="2043"/>
      <c r="E1416" s="1855"/>
      <c r="F1416" s="2043"/>
      <c r="G1416" s="2044"/>
      <c r="H1416" s="2043"/>
      <c r="I1416" s="2044"/>
      <c r="J1416" s="2043"/>
      <c r="K1416" s="2043"/>
      <c r="L1416" s="1994"/>
      <c r="M1416" s="1964">
        <v>2</v>
      </c>
      <c r="N1416" s="2112"/>
      <c r="O1416" s="2043"/>
      <c r="P1416" s="2113"/>
      <c r="Q1416" s="2113"/>
      <c r="R1416" s="2503"/>
      <c r="S1416" s="2043"/>
      <c r="T1416" s="2043"/>
      <c r="U1416" s="2043"/>
      <c r="V1416" s="2043"/>
      <c r="W1416" s="2043"/>
      <c r="X1416" s="2043"/>
      <c r="Y1416" s="2043"/>
      <c r="Z1416" s="2043"/>
      <c r="AA1416" s="2043"/>
      <c r="AB1416" s="2043"/>
      <c r="AC1416" s="2043"/>
      <c r="AD1416" s="2043"/>
      <c r="AE1416" s="2043"/>
      <c r="AF1416" s="2043"/>
      <c r="AG1416" s="2043"/>
      <c r="AH1416" s="2043"/>
      <c r="AI1416" s="2043"/>
      <c r="AJ1416" s="2043"/>
      <c r="AK1416" s="2043"/>
      <c r="AL1416" s="2043"/>
      <c r="AM1416" s="2043"/>
      <c r="AN1416" s="2043"/>
      <c r="AO1416" s="2043"/>
      <c r="AP1416" s="2043"/>
      <c r="AQ1416" s="2043"/>
      <c r="AR1416" s="2043"/>
      <c r="AS1416" s="2043"/>
      <c r="AT1416" s="2043"/>
      <c r="AU1416" s="2043"/>
      <c r="AV1416" s="2043"/>
      <c r="AW1416" s="2043"/>
      <c r="AX1416" s="2043"/>
      <c r="AY1416" s="2043"/>
      <c r="AZ1416" s="2043"/>
      <c r="BA1416" s="2043"/>
      <c r="BB1416" s="2043"/>
      <c r="BC1416" s="2043"/>
      <c r="BD1416" s="2043"/>
      <c r="BE1416" s="2043"/>
      <c r="BF1416" s="2043"/>
      <c r="BG1416" s="2043"/>
      <c r="BH1416" s="2043"/>
      <c r="BI1416" s="2043"/>
      <c r="BJ1416" s="2043"/>
      <c r="BK1416" s="2043"/>
      <c r="BL1416" s="2043"/>
    </row>
    <row r="1417" spans="1:64" ht="15">
      <c r="A1417" s="2556"/>
      <c r="B1417" s="1855" t="s">
        <v>1850</v>
      </c>
      <c r="C1417" s="1855"/>
      <c r="D1417" s="1855"/>
      <c r="E1417" s="1855"/>
      <c r="F1417" s="1855"/>
      <c r="G1417" s="1855"/>
      <c r="H1417" s="1855"/>
      <c r="I1417" s="1855"/>
      <c r="J1417" s="1855"/>
      <c r="K1417" s="1855"/>
      <c r="L1417" s="1855"/>
      <c r="M1417" s="2113"/>
      <c r="N1417" s="2485"/>
      <c r="O1417" s="1964">
        <f>'Part VIII Scoring Criteria'!O266</f>
        <v>0</v>
      </c>
      <c r="P1417" s="2113"/>
      <c r="Q1417" s="2113"/>
      <c r="R1417" s="1855"/>
      <c r="S1417" s="1855"/>
      <c r="T1417" s="1855"/>
      <c r="U1417" s="1855"/>
      <c r="V1417" s="1855"/>
      <c r="W1417" s="1855"/>
      <c r="X1417" s="1855"/>
      <c r="Y1417" s="1855"/>
      <c r="Z1417" s="1855"/>
      <c r="AA1417" s="1855"/>
      <c r="AB1417" s="1855"/>
      <c r="AC1417" s="1855"/>
      <c r="AD1417" s="1855"/>
      <c r="AE1417" s="1855"/>
      <c r="AF1417" s="1855"/>
      <c r="AG1417" s="1855"/>
      <c r="AH1417" s="1855"/>
      <c r="AI1417" s="1855"/>
      <c r="AJ1417" s="1855"/>
      <c r="AK1417" s="1855"/>
      <c r="AL1417" s="1855"/>
      <c r="AM1417" s="1855"/>
      <c r="AN1417" s="1855"/>
      <c r="AO1417" s="1855"/>
      <c r="AP1417" s="1855"/>
      <c r="AQ1417" s="1855"/>
      <c r="AR1417" s="1855"/>
      <c r="AS1417" s="1855"/>
      <c r="AT1417" s="1855"/>
      <c r="AU1417" s="1855"/>
      <c r="AV1417" s="1855"/>
      <c r="AW1417" s="1855"/>
      <c r="AX1417" s="1855"/>
      <c r="AY1417" s="1855"/>
      <c r="AZ1417" s="1855"/>
      <c r="BA1417" s="1855"/>
      <c r="BB1417" s="1855"/>
      <c r="BC1417" s="1855"/>
      <c r="BD1417" s="1855"/>
      <c r="BE1417" s="1855"/>
      <c r="BF1417" s="1855"/>
      <c r="BG1417" s="1855"/>
      <c r="BH1417" s="1855"/>
      <c r="BI1417" s="1855"/>
      <c r="BJ1417" s="1855"/>
      <c r="BK1417" s="1855"/>
      <c r="BL1417" s="1855"/>
    </row>
    <row r="1418" spans="1:64" ht="15">
      <c r="A1418" s="2043"/>
      <c r="B1418" s="2510" t="s">
        <v>1399</v>
      </c>
      <c r="C1418" s="1855"/>
      <c r="D1418" s="2510"/>
      <c r="E1418" s="2487"/>
      <c r="F1418" s="2487"/>
      <c r="G1418" s="2487"/>
      <c r="H1418" s="2487"/>
      <c r="I1418" s="2487"/>
      <c r="J1418" s="2487"/>
      <c r="K1418" s="2487"/>
      <c r="L1418" s="2487"/>
      <c r="M1418" s="2487"/>
      <c r="N1418" s="2511"/>
      <c r="O1418" s="2489"/>
      <c r="P1418" s="2113"/>
      <c r="Q1418" s="2043"/>
      <c r="R1418" s="2043"/>
      <c r="S1418" s="2043"/>
      <c r="T1418" s="2043"/>
      <c r="U1418" s="2043"/>
      <c r="V1418" s="2043"/>
      <c r="W1418" s="2043"/>
      <c r="X1418" s="2043"/>
      <c r="Y1418" s="2043"/>
      <c r="Z1418" s="2043"/>
      <c r="AA1418" s="2043"/>
      <c r="AB1418" s="2043"/>
      <c r="AC1418" s="2043"/>
      <c r="AD1418" s="2043"/>
      <c r="AE1418" s="2043"/>
      <c r="AF1418" s="2043"/>
      <c r="AG1418" s="2043"/>
      <c r="AH1418" s="2043"/>
      <c r="AI1418" s="2043"/>
      <c r="AJ1418" s="2043"/>
      <c r="AK1418" s="2043"/>
      <c r="AL1418" s="2043"/>
      <c r="AM1418" s="2043"/>
      <c r="AN1418" s="2043"/>
      <c r="AO1418" s="2043"/>
      <c r="AP1418" s="2043"/>
      <c r="AQ1418" s="2043"/>
      <c r="AR1418" s="2043"/>
      <c r="AS1418" s="2043"/>
      <c r="AT1418" s="2043"/>
      <c r="AU1418" s="2043"/>
      <c r="AV1418" s="2043"/>
      <c r="AW1418" s="2043"/>
      <c r="AX1418" s="2043"/>
      <c r="AY1418" s="2043"/>
      <c r="AZ1418" s="2043"/>
      <c r="BA1418" s="2043"/>
      <c r="BB1418" s="2043"/>
      <c r="BC1418" s="2043"/>
      <c r="BD1418" s="2043"/>
      <c r="BE1418" s="2043"/>
      <c r="BF1418" s="2043"/>
      <c r="BG1418" s="2043"/>
      <c r="BH1418" s="2043"/>
      <c r="BI1418" s="2043"/>
      <c r="BJ1418" s="2043"/>
      <c r="BK1418" s="2043"/>
      <c r="BL1418" s="2043"/>
    </row>
    <row r="1419" spans="1:64" ht="15">
      <c r="A1419" s="2052"/>
      <c r="B1419" s="2052"/>
      <c r="C1419" s="2052"/>
      <c r="D1419" s="2052"/>
      <c r="E1419" s="2052"/>
      <c r="F1419" s="2052"/>
      <c r="G1419" s="2052"/>
      <c r="H1419" s="2052"/>
      <c r="I1419" s="2052"/>
      <c r="J1419" s="2052"/>
      <c r="K1419" s="2052"/>
      <c r="L1419" s="2052"/>
      <c r="M1419" s="2052"/>
      <c r="N1419" s="2052"/>
      <c r="O1419" s="2052"/>
      <c r="P1419" s="2052"/>
      <c r="Q1419" s="1854"/>
      <c r="R1419" s="2043"/>
      <c r="S1419" s="2043"/>
      <c r="T1419" s="2043"/>
      <c r="U1419" s="2043"/>
      <c r="V1419" s="2043"/>
      <c r="W1419" s="2043"/>
      <c r="X1419" s="2043"/>
      <c r="Y1419" s="2043"/>
      <c r="Z1419" s="2043"/>
      <c r="AA1419" s="2043"/>
      <c r="AB1419" s="2043"/>
      <c r="AC1419" s="2043"/>
      <c r="AD1419" s="2043"/>
      <c r="AE1419" s="2043"/>
      <c r="AF1419" s="2043"/>
      <c r="AG1419" s="2043"/>
      <c r="AH1419" s="2043"/>
      <c r="AI1419" s="2043"/>
      <c r="AJ1419" s="2043"/>
      <c r="AK1419" s="2043"/>
      <c r="AL1419" s="2043"/>
      <c r="AM1419" s="2043"/>
      <c r="AN1419" s="2043"/>
      <c r="AO1419" s="2043"/>
      <c r="AP1419" s="2043"/>
      <c r="AQ1419" s="2043"/>
      <c r="AR1419" s="2043"/>
      <c r="AS1419" s="2043"/>
      <c r="AT1419" s="2043"/>
      <c r="AU1419" s="2043"/>
      <c r="AV1419" s="2043"/>
      <c r="AW1419" s="2043"/>
      <c r="AX1419" s="2043"/>
      <c r="AY1419" s="2043"/>
      <c r="AZ1419" s="2043"/>
      <c r="BA1419" s="2043"/>
      <c r="BB1419" s="2043"/>
      <c r="BC1419" s="2043"/>
      <c r="BD1419" s="2043"/>
      <c r="BE1419" s="2043"/>
      <c r="BF1419" s="2043"/>
      <c r="BG1419" s="2043"/>
      <c r="BH1419" s="2043"/>
      <c r="BI1419" s="2043"/>
      <c r="BJ1419" s="2043"/>
      <c r="BK1419" s="2043"/>
      <c r="BL1419" s="2043"/>
    </row>
    <row r="1420" spans="1:64" ht="15">
      <c r="A1420" s="2043"/>
      <c r="B1420" s="2043"/>
      <c r="C1420" s="2043"/>
      <c r="D1420" s="2043"/>
      <c r="E1420" s="2043"/>
      <c r="F1420" s="2043"/>
      <c r="G1420" s="2043"/>
      <c r="H1420" s="2043"/>
      <c r="I1420" s="2043"/>
      <c r="J1420" s="2043"/>
      <c r="K1420" s="2043"/>
      <c r="L1420" s="2043"/>
      <c r="M1420" s="2043"/>
      <c r="N1420" s="1994"/>
      <c r="O1420" s="2045"/>
      <c r="P1420" s="2045"/>
      <c r="Q1420" s="2043"/>
      <c r="R1420" s="2043"/>
      <c r="S1420" s="2043"/>
      <c r="T1420" s="2043"/>
      <c r="U1420" s="2043"/>
      <c r="V1420" s="2043"/>
      <c r="W1420" s="2043"/>
      <c r="X1420" s="2043"/>
      <c r="Y1420" s="2043"/>
      <c r="Z1420" s="2043"/>
      <c r="AA1420" s="2043"/>
      <c r="AB1420" s="2043"/>
      <c r="AC1420" s="2043"/>
      <c r="AD1420" s="2043"/>
      <c r="AE1420" s="2043"/>
      <c r="AF1420" s="2043"/>
      <c r="AG1420" s="2043"/>
      <c r="AH1420" s="2043"/>
      <c r="AI1420" s="2043"/>
      <c r="AJ1420" s="2043"/>
      <c r="AK1420" s="2043"/>
      <c r="AL1420" s="2043"/>
      <c r="AM1420" s="2043"/>
      <c r="AN1420" s="2043"/>
      <c r="AO1420" s="2043"/>
      <c r="AP1420" s="2043"/>
      <c r="AQ1420" s="2043"/>
      <c r="AR1420" s="2043"/>
      <c r="AS1420" s="2043"/>
      <c r="AT1420" s="2043"/>
      <c r="AU1420" s="2043"/>
      <c r="AV1420" s="2043"/>
      <c r="AW1420" s="2043"/>
      <c r="AX1420" s="2043"/>
      <c r="AY1420" s="2043"/>
      <c r="AZ1420" s="2043"/>
      <c r="BA1420" s="2043"/>
      <c r="BB1420" s="2043"/>
      <c r="BC1420" s="2043"/>
      <c r="BD1420" s="2043"/>
      <c r="BE1420" s="2043"/>
      <c r="BF1420" s="2043"/>
      <c r="BG1420" s="2043"/>
      <c r="BH1420" s="2043"/>
      <c r="BI1420" s="2043"/>
      <c r="BJ1420" s="2043"/>
      <c r="BK1420" s="2043"/>
      <c r="BL1420" s="2043"/>
    </row>
    <row r="1421" spans="1:64" ht="15">
      <c r="A1421" s="2043"/>
      <c r="B1421" s="2043"/>
      <c r="C1421" s="2043"/>
      <c r="D1421" s="2043"/>
      <c r="E1421" s="2043"/>
      <c r="F1421" s="2043"/>
      <c r="G1421" s="2043"/>
      <c r="H1421" s="2043"/>
      <c r="I1421" s="2043"/>
      <c r="J1421" s="2043"/>
      <c r="K1421" s="2043"/>
      <c r="L1421" s="2043"/>
      <c r="M1421" s="2043"/>
      <c r="N1421" s="1994"/>
      <c r="O1421" s="2045"/>
      <c r="P1421" s="2045"/>
      <c r="Q1421" s="2043"/>
      <c r="R1421" s="2043"/>
      <c r="S1421" s="2043"/>
      <c r="T1421" s="2043"/>
      <c r="U1421" s="2043"/>
      <c r="V1421" s="2043"/>
      <c r="W1421" s="2043"/>
      <c r="X1421" s="2043"/>
      <c r="Y1421" s="2043"/>
      <c r="Z1421" s="2043"/>
      <c r="AA1421" s="2043"/>
      <c r="AB1421" s="2043"/>
      <c r="AC1421" s="2043"/>
      <c r="AD1421" s="2043"/>
      <c r="AE1421" s="2043"/>
      <c r="AF1421" s="2043"/>
      <c r="AG1421" s="2043"/>
      <c r="AH1421" s="2043"/>
      <c r="AI1421" s="2043"/>
      <c r="AJ1421" s="2043"/>
      <c r="AK1421" s="2043"/>
      <c r="AL1421" s="2043"/>
      <c r="AM1421" s="2043"/>
      <c r="AN1421" s="2043"/>
      <c r="AO1421" s="2043"/>
      <c r="AP1421" s="2043"/>
      <c r="AQ1421" s="2043"/>
      <c r="AR1421" s="2043"/>
      <c r="AS1421" s="2043"/>
      <c r="AT1421" s="2043"/>
      <c r="AU1421" s="2043"/>
      <c r="AV1421" s="2043"/>
      <c r="AW1421" s="2043"/>
      <c r="AX1421" s="2043"/>
      <c r="AY1421" s="2043"/>
      <c r="AZ1421" s="2043"/>
      <c r="BA1421" s="2043"/>
      <c r="BB1421" s="2043"/>
      <c r="BC1421" s="2043"/>
      <c r="BD1421" s="2043"/>
      <c r="BE1421" s="2043"/>
      <c r="BF1421" s="2043"/>
      <c r="BG1421" s="2043"/>
      <c r="BH1421" s="2043"/>
      <c r="BI1421" s="2043"/>
      <c r="BJ1421" s="2043"/>
      <c r="BK1421" s="2043"/>
      <c r="BL1421" s="2043"/>
    </row>
    <row r="1422" spans="1:64" ht="15">
      <c r="A1422" s="2556" t="s">
        <v>1508</v>
      </c>
      <c r="B1422" s="2110" t="s">
        <v>1852</v>
      </c>
      <c r="C1422" s="2043"/>
      <c r="D1422" s="2051"/>
      <c r="E1422" s="2051"/>
      <c r="F1422" s="2043"/>
      <c r="G1422" s="1855"/>
      <c r="H1422" s="2043"/>
      <c r="I1422" s="2043"/>
      <c r="J1422" s="2043"/>
      <c r="K1422" s="2043"/>
      <c r="L1422" s="2043"/>
      <c r="M1422" s="2113">
        <v>2</v>
      </c>
      <c r="N1422" s="2502"/>
      <c r="O1422" s="2042">
        <f>'Part VIII Scoring Criteria'!O271</f>
        <v>0</v>
      </c>
      <c r="P1422" s="2042">
        <f>'Part VIII Scoring Criteria'!P271</f>
        <v>0</v>
      </c>
      <c r="Q1422" s="2113" t="s">
        <v>1716</v>
      </c>
      <c r="R1422" s="2527"/>
      <c r="S1422" s="2527"/>
      <c r="T1422" s="2043"/>
      <c r="U1422" s="2043"/>
      <c r="V1422" s="2043"/>
      <c r="W1422" s="2043"/>
      <c r="X1422" s="2043"/>
      <c r="Y1422" s="2043"/>
      <c r="Z1422" s="2043"/>
      <c r="AA1422" s="2043"/>
      <c r="AB1422" s="2043"/>
      <c r="AC1422" s="2043"/>
      <c r="AD1422" s="2043"/>
      <c r="AE1422" s="2043"/>
      <c r="AF1422" s="2043"/>
      <c r="AG1422" s="2043"/>
      <c r="AH1422" s="2043"/>
      <c r="AI1422" s="2043"/>
      <c r="AJ1422" s="2043"/>
      <c r="AK1422" s="2043"/>
      <c r="AL1422" s="2043"/>
      <c r="AM1422" s="2043"/>
      <c r="AN1422" s="2043"/>
      <c r="AO1422" s="2043"/>
      <c r="AP1422" s="2043"/>
      <c r="AQ1422" s="2043"/>
      <c r="AR1422" s="2043"/>
      <c r="AS1422" s="2043"/>
      <c r="AT1422" s="2043"/>
      <c r="AU1422" s="2043"/>
      <c r="AV1422" s="2043"/>
      <c r="AW1422" s="2043"/>
      <c r="AX1422" s="2043"/>
      <c r="AY1422" s="2043"/>
      <c r="AZ1422" s="2043"/>
      <c r="BA1422" s="2043"/>
      <c r="BB1422" s="2043"/>
      <c r="BC1422" s="2043"/>
      <c r="BD1422" s="2043"/>
      <c r="BE1422" s="2043"/>
      <c r="BF1422" s="2043"/>
      <c r="BG1422" s="2043"/>
      <c r="BH1422" s="2043"/>
      <c r="BI1422" s="2043"/>
      <c r="BJ1422" s="2043"/>
      <c r="BK1422" s="2043"/>
      <c r="BL1422" s="2043"/>
    </row>
    <row r="1423" spans="1:64" ht="15">
      <c r="A1423" s="2114"/>
      <c r="B1423" s="2503" t="s">
        <v>1853</v>
      </c>
      <c r="C1423" s="2043"/>
      <c r="D1423" s="2051"/>
      <c r="E1423" s="2051"/>
      <c r="F1423" s="2043"/>
      <c r="G1423" s="1855"/>
      <c r="H1423" s="2043"/>
      <c r="I1423" s="1855" t="str">
        <f>'Part VIII Scoring Criteria'!I272</f>
        <v>Enter GICH Community Name</v>
      </c>
      <c r="J1423" s="1855"/>
      <c r="K1423" s="1855"/>
      <c r="L1423" s="1855"/>
      <c r="M1423" s="1964"/>
      <c r="N1423" s="1964"/>
      <c r="O1423" s="1994"/>
      <c r="P1423" s="1994"/>
      <c r="Q1423" s="2543"/>
      <c r="R1423" s="2527"/>
      <c r="S1423" s="2527"/>
      <c r="T1423" s="2043"/>
      <c r="U1423" s="2043"/>
      <c r="V1423" s="2043"/>
      <c r="W1423" s="2043"/>
      <c r="X1423" s="2043"/>
      <c r="Y1423" s="2043"/>
      <c r="Z1423" s="2043"/>
      <c r="AA1423" s="2043"/>
      <c r="AB1423" s="2043"/>
      <c r="AC1423" s="2043"/>
      <c r="AD1423" s="2043"/>
      <c r="AE1423" s="2043"/>
      <c r="AF1423" s="2043"/>
      <c r="AG1423" s="2043"/>
      <c r="AH1423" s="2043"/>
      <c r="AI1423" s="2043"/>
      <c r="AJ1423" s="2043"/>
      <c r="AK1423" s="2043"/>
      <c r="AL1423" s="2043"/>
      <c r="AM1423" s="2043"/>
      <c r="AN1423" s="2043"/>
      <c r="AO1423" s="2043"/>
      <c r="AP1423" s="2043"/>
      <c r="AQ1423" s="2043"/>
      <c r="AR1423" s="2043"/>
      <c r="AS1423" s="2043"/>
      <c r="AT1423" s="2043"/>
      <c r="AU1423" s="2043"/>
      <c r="AV1423" s="2043"/>
      <c r="AW1423" s="2043"/>
      <c r="AX1423" s="2043"/>
      <c r="AY1423" s="2043"/>
      <c r="AZ1423" s="2043"/>
      <c r="BA1423" s="2043"/>
      <c r="BB1423" s="2043"/>
      <c r="BC1423" s="2043"/>
      <c r="BD1423" s="2043"/>
      <c r="BE1423" s="2043"/>
      <c r="BF1423" s="2043"/>
      <c r="BG1423" s="2043"/>
      <c r="BH1423" s="2043"/>
      <c r="BI1423" s="2043"/>
      <c r="BJ1423" s="2043"/>
      <c r="BK1423" s="2043"/>
      <c r="BL1423" s="2043"/>
    </row>
    <row r="1424" spans="1:64" ht="15">
      <c r="A1424" s="2043"/>
      <c r="B1424" s="2503"/>
      <c r="C1424" s="2043"/>
      <c r="D1424" s="1855"/>
      <c r="E1424" s="1855"/>
      <c r="F1424" s="1855"/>
      <c r="G1424" s="1855"/>
      <c r="H1424" s="1855"/>
      <c r="I1424" s="1855"/>
      <c r="J1424" s="1855"/>
      <c r="K1424" s="1855"/>
      <c r="L1424" s="1855"/>
      <c r="M1424" s="1855"/>
      <c r="N1424" s="2112"/>
      <c r="O1424" s="2112"/>
      <c r="P1424" s="2112"/>
      <c r="Q1424" s="2043"/>
      <c r="R1424" s="2043"/>
      <c r="S1424" s="2043"/>
      <c r="T1424" s="2043"/>
      <c r="U1424" s="2043"/>
      <c r="V1424" s="2043"/>
      <c r="W1424" s="2043"/>
      <c r="X1424" s="2043"/>
      <c r="Y1424" s="2043"/>
      <c r="Z1424" s="2043"/>
      <c r="AA1424" s="2043"/>
      <c r="AB1424" s="2043"/>
      <c r="AC1424" s="2043"/>
      <c r="AD1424" s="2043"/>
      <c r="AE1424" s="2043"/>
      <c r="AF1424" s="2043"/>
      <c r="AG1424" s="2043"/>
      <c r="AH1424" s="2043"/>
      <c r="AI1424" s="2043"/>
      <c r="AJ1424" s="2043"/>
      <c r="AK1424" s="2043"/>
      <c r="AL1424" s="2043"/>
      <c r="AM1424" s="2043"/>
      <c r="AN1424" s="2043"/>
      <c r="AO1424" s="2043"/>
      <c r="AP1424" s="2043"/>
      <c r="AQ1424" s="2043"/>
      <c r="AR1424" s="2043"/>
      <c r="AS1424" s="2043"/>
      <c r="AT1424" s="2043"/>
      <c r="AU1424" s="2043"/>
      <c r="AV1424" s="2043"/>
      <c r="AW1424" s="2043"/>
      <c r="AX1424" s="2043"/>
      <c r="AY1424" s="2043"/>
      <c r="AZ1424" s="2043"/>
      <c r="BA1424" s="2043"/>
      <c r="BB1424" s="2043"/>
      <c r="BC1424" s="2043"/>
      <c r="BD1424" s="2043"/>
      <c r="BE1424" s="2043"/>
      <c r="BF1424" s="2043"/>
      <c r="BG1424" s="2043"/>
      <c r="BH1424" s="2043"/>
      <c r="BI1424" s="2043"/>
      <c r="BJ1424" s="2043"/>
      <c r="BK1424" s="2043"/>
      <c r="BL1424" s="2043"/>
    </row>
    <row r="1425" spans="1:64" ht="15">
      <c r="A1425" s="1855"/>
      <c r="B1425" s="2110" t="s">
        <v>1739</v>
      </c>
      <c r="C1425" s="1855"/>
      <c r="D1425" s="1855"/>
      <c r="E1425" s="1855"/>
      <c r="F1425" s="1855"/>
      <c r="G1425" s="1855"/>
      <c r="H1425" s="1855"/>
      <c r="I1425" s="1855"/>
      <c r="J1425" s="1855"/>
      <c r="K1425" s="1855"/>
      <c r="L1425" s="1855"/>
      <c r="M1425" s="1964"/>
      <c r="N1425" s="1964"/>
      <c r="O1425" s="2042"/>
      <c r="P1425" s="2113"/>
      <c r="Q1425" s="1855"/>
      <c r="R1425" s="1855"/>
      <c r="S1425" s="1855"/>
      <c r="T1425" s="1855"/>
      <c r="U1425" s="1855"/>
      <c r="V1425" s="1855"/>
      <c r="W1425" s="1855"/>
      <c r="X1425" s="1855"/>
      <c r="Y1425" s="1855"/>
      <c r="Z1425" s="1855"/>
      <c r="AA1425" s="1855"/>
      <c r="AB1425" s="1855"/>
      <c r="AC1425" s="1855"/>
      <c r="AD1425" s="1855"/>
      <c r="AE1425" s="1855"/>
      <c r="AF1425" s="1855"/>
      <c r="AG1425" s="1855"/>
      <c r="AH1425" s="1855"/>
      <c r="AI1425" s="1855"/>
      <c r="AJ1425" s="1855"/>
      <c r="AK1425" s="1855"/>
      <c r="AL1425" s="1855"/>
      <c r="AM1425" s="1855"/>
      <c r="AN1425" s="1855"/>
      <c r="AO1425" s="1855"/>
      <c r="AP1425" s="1855"/>
      <c r="AQ1425" s="1855"/>
      <c r="AR1425" s="1855"/>
      <c r="AS1425" s="1855"/>
      <c r="AT1425" s="1855"/>
      <c r="AU1425" s="1855"/>
      <c r="AV1425" s="1855"/>
      <c r="AW1425" s="1855"/>
      <c r="AX1425" s="1855"/>
      <c r="AY1425" s="1855"/>
      <c r="AZ1425" s="1855"/>
      <c r="BA1425" s="1855"/>
      <c r="BB1425" s="1855"/>
      <c r="BC1425" s="1855"/>
      <c r="BD1425" s="1855"/>
      <c r="BE1425" s="1855"/>
      <c r="BF1425" s="1855"/>
      <c r="BG1425" s="1855"/>
      <c r="BH1425" s="1855"/>
      <c r="BI1425" s="1855"/>
      <c r="BJ1425" s="1855"/>
      <c r="BK1425" s="1855"/>
      <c r="BL1425" s="1855"/>
    </row>
    <row r="1426" spans="1:64" ht="15">
      <c r="A1426" s="2052">
        <f>'Part VIII Scoring Criteria'!A275</f>
        <v>0</v>
      </c>
      <c r="B1426" s="2052"/>
      <c r="C1426" s="2052"/>
      <c r="D1426" s="2052"/>
      <c r="E1426" s="2052"/>
      <c r="F1426" s="2052"/>
      <c r="G1426" s="2052"/>
      <c r="H1426" s="2052"/>
      <c r="I1426" s="2052"/>
      <c r="J1426" s="2052"/>
      <c r="K1426" s="2052"/>
      <c r="L1426" s="2052"/>
      <c r="M1426" s="2052"/>
      <c r="N1426" s="2052"/>
      <c r="O1426" s="2052"/>
      <c r="P1426" s="2052"/>
      <c r="Q1426" s="1854"/>
      <c r="R1426" s="2043"/>
      <c r="S1426" s="2043"/>
      <c r="T1426" s="2043"/>
      <c r="U1426" s="2043"/>
      <c r="V1426" s="2043"/>
      <c r="W1426" s="2043"/>
      <c r="X1426" s="2043"/>
      <c r="Y1426" s="2043"/>
      <c r="Z1426" s="2043"/>
      <c r="AA1426" s="2043"/>
      <c r="AB1426" s="2043"/>
      <c r="AC1426" s="2043"/>
      <c r="AD1426" s="2043"/>
      <c r="AE1426" s="2043"/>
      <c r="AF1426" s="2043"/>
      <c r="AG1426" s="2043"/>
      <c r="AH1426" s="2043"/>
      <c r="AI1426" s="2043"/>
      <c r="AJ1426" s="2043"/>
      <c r="AK1426" s="2043"/>
      <c r="AL1426" s="2043"/>
      <c r="AM1426" s="2043"/>
      <c r="AN1426" s="2043"/>
      <c r="AO1426" s="2043"/>
      <c r="AP1426" s="2043"/>
      <c r="AQ1426" s="2043"/>
      <c r="AR1426" s="2043"/>
      <c r="AS1426" s="2043"/>
      <c r="AT1426" s="2043"/>
      <c r="AU1426" s="2043"/>
      <c r="AV1426" s="2043"/>
      <c r="AW1426" s="2043"/>
      <c r="AX1426" s="2043"/>
      <c r="AY1426" s="2043"/>
      <c r="AZ1426" s="2043"/>
      <c r="BA1426" s="2043"/>
      <c r="BB1426" s="2043"/>
      <c r="BC1426" s="2043"/>
      <c r="BD1426" s="2043"/>
      <c r="BE1426" s="2043"/>
      <c r="BF1426" s="2043"/>
      <c r="BG1426" s="2043"/>
      <c r="BH1426" s="2043"/>
      <c r="BI1426" s="2043"/>
      <c r="BJ1426" s="2043"/>
      <c r="BK1426" s="2043"/>
      <c r="BL1426" s="2043"/>
    </row>
    <row r="1427" spans="1:64" ht="15">
      <c r="A1427" s="1855"/>
      <c r="B1427" s="2484" t="s">
        <v>1399</v>
      </c>
      <c r="C1427" s="1855"/>
      <c r="D1427" s="2484"/>
      <c r="E1427" s="2532"/>
      <c r="F1427" s="2532"/>
      <c r="G1427" s="2532"/>
      <c r="H1427" s="2532"/>
      <c r="I1427" s="2532"/>
      <c r="J1427" s="2532"/>
      <c r="K1427" s="2532"/>
      <c r="L1427" s="2532"/>
      <c r="M1427" s="2532"/>
      <c r="N1427" s="2533"/>
      <c r="O1427" s="2478"/>
      <c r="P1427" s="2113"/>
      <c r="Q1427" s="2043"/>
      <c r="R1427" s="1855"/>
      <c r="S1427" s="1855"/>
      <c r="T1427" s="1855"/>
      <c r="U1427" s="1855"/>
      <c r="V1427" s="1855"/>
      <c r="W1427" s="1855"/>
      <c r="X1427" s="1855"/>
      <c r="Y1427" s="1855"/>
      <c r="Z1427" s="1855"/>
      <c r="AA1427" s="1855"/>
      <c r="AB1427" s="1855"/>
      <c r="AC1427" s="1855"/>
      <c r="AD1427" s="1855"/>
      <c r="AE1427" s="1855"/>
      <c r="AF1427" s="1855"/>
      <c r="AG1427" s="1855"/>
      <c r="AH1427" s="1855"/>
      <c r="AI1427" s="1855"/>
      <c r="AJ1427" s="1855"/>
      <c r="AK1427" s="1855"/>
      <c r="AL1427" s="1855"/>
      <c r="AM1427" s="1855"/>
      <c r="AN1427" s="1855"/>
      <c r="AO1427" s="1855"/>
      <c r="AP1427" s="1855"/>
      <c r="AQ1427" s="1855"/>
      <c r="AR1427" s="1855"/>
      <c r="AS1427" s="1855"/>
      <c r="AT1427" s="1855"/>
      <c r="AU1427" s="1855"/>
      <c r="AV1427" s="1855"/>
      <c r="AW1427" s="1855"/>
      <c r="AX1427" s="1855"/>
      <c r="AY1427" s="1855"/>
      <c r="AZ1427" s="1855"/>
      <c r="BA1427" s="1855"/>
      <c r="BB1427" s="1855"/>
      <c r="BC1427" s="1855"/>
      <c r="BD1427" s="1855"/>
      <c r="BE1427" s="1855"/>
      <c r="BF1427" s="1855"/>
      <c r="BG1427" s="1855"/>
      <c r="BH1427" s="1855"/>
      <c r="BI1427" s="1855"/>
      <c r="BJ1427" s="1855"/>
      <c r="BK1427" s="1855"/>
      <c r="BL1427" s="1855"/>
    </row>
    <row r="1428" spans="1:64" ht="15">
      <c r="A1428" s="2052"/>
      <c r="B1428" s="2052"/>
      <c r="C1428" s="2052"/>
      <c r="D1428" s="2052"/>
      <c r="E1428" s="2052"/>
      <c r="F1428" s="2052"/>
      <c r="G1428" s="2052"/>
      <c r="H1428" s="2052"/>
      <c r="I1428" s="2052"/>
      <c r="J1428" s="2052"/>
      <c r="K1428" s="2052"/>
      <c r="L1428" s="2052"/>
      <c r="M1428" s="2052"/>
      <c r="N1428" s="2052"/>
      <c r="O1428" s="2052"/>
      <c r="P1428" s="2052"/>
      <c r="Q1428" s="1854"/>
      <c r="R1428" s="2043"/>
      <c r="S1428" s="2043"/>
      <c r="T1428" s="2043"/>
      <c r="U1428" s="2043"/>
      <c r="V1428" s="2043"/>
      <c r="W1428" s="2043"/>
      <c r="X1428" s="2043"/>
      <c r="Y1428" s="2043"/>
      <c r="Z1428" s="2043"/>
      <c r="AA1428" s="2043"/>
      <c r="AB1428" s="2043"/>
      <c r="AC1428" s="2043"/>
      <c r="AD1428" s="2043"/>
      <c r="AE1428" s="2043"/>
      <c r="AF1428" s="2043"/>
      <c r="AG1428" s="2043"/>
      <c r="AH1428" s="2043"/>
      <c r="AI1428" s="2043"/>
      <c r="AJ1428" s="2043"/>
      <c r="AK1428" s="2043"/>
      <c r="AL1428" s="2043"/>
      <c r="AM1428" s="2043"/>
      <c r="AN1428" s="2043"/>
      <c r="AO1428" s="2043"/>
      <c r="AP1428" s="2043"/>
      <c r="AQ1428" s="2043"/>
      <c r="AR1428" s="2043"/>
      <c r="AS1428" s="2043"/>
      <c r="AT1428" s="2043"/>
      <c r="AU1428" s="2043"/>
      <c r="AV1428" s="2043"/>
      <c r="AW1428" s="2043"/>
      <c r="AX1428" s="2043"/>
      <c r="AY1428" s="2043"/>
      <c r="AZ1428" s="2043"/>
      <c r="BA1428" s="2043"/>
      <c r="BB1428" s="2043"/>
      <c r="BC1428" s="2043"/>
      <c r="BD1428" s="2043"/>
      <c r="BE1428" s="2043"/>
      <c r="BF1428" s="2043"/>
      <c r="BG1428" s="2043"/>
      <c r="BH1428" s="2043"/>
      <c r="BI1428" s="2043"/>
      <c r="BJ1428" s="2043"/>
      <c r="BK1428" s="2043"/>
      <c r="BL1428" s="2043"/>
    </row>
    <row r="1429" spans="1:64" ht="15">
      <c r="A1429" s="2043"/>
      <c r="B1429" s="2043"/>
      <c r="C1429" s="2043"/>
      <c r="D1429" s="2043"/>
      <c r="E1429" s="2043"/>
      <c r="F1429" s="2043"/>
      <c r="G1429" s="2043"/>
      <c r="H1429" s="2043"/>
      <c r="I1429" s="2043"/>
      <c r="J1429" s="2043"/>
      <c r="K1429" s="2043"/>
      <c r="L1429" s="2043"/>
      <c r="M1429" s="2043"/>
      <c r="N1429" s="1994"/>
      <c r="O1429" s="2045"/>
      <c r="P1429" s="2045"/>
      <c r="Q1429" s="2043"/>
      <c r="R1429" s="2043"/>
      <c r="S1429" s="2043"/>
      <c r="T1429" s="2043"/>
      <c r="U1429" s="2043"/>
      <c r="V1429" s="2043"/>
      <c r="W1429" s="2043"/>
      <c r="X1429" s="2043"/>
      <c r="Y1429" s="2043"/>
      <c r="Z1429" s="2043"/>
      <c r="AA1429" s="2043"/>
      <c r="AB1429" s="2043"/>
      <c r="AC1429" s="2043"/>
      <c r="AD1429" s="2043"/>
      <c r="AE1429" s="2043"/>
      <c r="AF1429" s="2043"/>
      <c r="AG1429" s="2043"/>
      <c r="AH1429" s="2043"/>
      <c r="AI1429" s="2043"/>
      <c r="AJ1429" s="2043"/>
      <c r="AK1429" s="2043"/>
      <c r="AL1429" s="2043"/>
      <c r="AM1429" s="2043"/>
      <c r="AN1429" s="2043"/>
      <c r="AO1429" s="2043"/>
      <c r="AP1429" s="2043"/>
      <c r="AQ1429" s="2043"/>
      <c r="AR1429" s="2043"/>
      <c r="AS1429" s="2043"/>
      <c r="AT1429" s="2043"/>
      <c r="AU1429" s="2043"/>
      <c r="AV1429" s="2043"/>
      <c r="AW1429" s="2043"/>
      <c r="AX1429" s="2043"/>
      <c r="AY1429" s="2043"/>
      <c r="AZ1429" s="2043"/>
      <c r="BA1429" s="2043"/>
      <c r="BB1429" s="2043"/>
      <c r="BC1429" s="2043"/>
      <c r="BD1429" s="2043"/>
      <c r="BE1429" s="2043"/>
      <c r="BF1429" s="2043"/>
      <c r="BG1429" s="2043"/>
      <c r="BH1429" s="2043"/>
      <c r="BI1429" s="2043"/>
      <c r="BJ1429" s="2043"/>
      <c r="BK1429" s="2043"/>
      <c r="BL1429" s="2043"/>
    </row>
    <row r="1430" spans="1:64" ht="15">
      <c r="A1430" s="2043"/>
      <c r="B1430" s="2043"/>
      <c r="C1430" s="2043"/>
      <c r="D1430" s="2043"/>
      <c r="E1430" s="2043"/>
      <c r="F1430" s="2043"/>
      <c r="G1430" s="2043"/>
      <c r="H1430" s="2043"/>
      <c r="I1430" s="2043"/>
      <c r="J1430" s="2043"/>
      <c r="K1430" s="2043"/>
      <c r="L1430" s="2043"/>
      <c r="M1430" s="2043"/>
      <c r="N1430" s="1994"/>
      <c r="O1430" s="2045"/>
      <c r="P1430" s="2045"/>
      <c r="Q1430" s="2043"/>
      <c r="R1430" s="2043"/>
      <c r="S1430" s="2043"/>
      <c r="T1430" s="2043"/>
      <c r="U1430" s="2043"/>
      <c r="V1430" s="2043"/>
      <c r="W1430" s="2043"/>
      <c r="X1430" s="2043"/>
      <c r="Y1430" s="2043"/>
      <c r="Z1430" s="2043"/>
      <c r="AA1430" s="2043"/>
      <c r="AB1430" s="2043"/>
      <c r="AC1430" s="2043"/>
      <c r="AD1430" s="2043"/>
      <c r="AE1430" s="2043"/>
      <c r="AF1430" s="2043"/>
      <c r="AG1430" s="2043"/>
      <c r="AH1430" s="2043"/>
      <c r="AI1430" s="2043"/>
      <c r="AJ1430" s="2043"/>
      <c r="AK1430" s="2043"/>
      <c r="AL1430" s="2043"/>
      <c r="AM1430" s="2043"/>
      <c r="AN1430" s="2043"/>
      <c r="AO1430" s="2043"/>
      <c r="AP1430" s="2043"/>
      <c r="AQ1430" s="2043"/>
      <c r="AR1430" s="2043"/>
      <c r="AS1430" s="2043"/>
      <c r="AT1430" s="2043"/>
      <c r="AU1430" s="2043"/>
      <c r="AV1430" s="2043"/>
      <c r="AW1430" s="2043"/>
      <c r="AX1430" s="2043"/>
      <c r="AY1430" s="2043"/>
      <c r="AZ1430" s="2043"/>
      <c r="BA1430" s="2043"/>
      <c r="BB1430" s="2043"/>
      <c r="BC1430" s="2043"/>
      <c r="BD1430" s="2043"/>
      <c r="BE1430" s="2043"/>
      <c r="BF1430" s="2043"/>
      <c r="BG1430" s="2043"/>
      <c r="BH1430" s="2043"/>
      <c r="BI1430" s="2043"/>
      <c r="BJ1430" s="2043"/>
      <c r="BK1430" s="2043"/>
      <c r="BL1430" s="2043"/>
    </row>
    <row r="1431" spans="1:64" ht="15">
      <c r="A1431" s="2109" t="s">
        <v>1515</v>
      </c>
      <c r="B1431" s="2110" t="s">
        <v>1855</v>
      </c>
      <c r="C1431" s="2043"/>
      <c r="D1431" s="2051"/>
      <c r="E1431" s="2051"/>
      <c r="F1431" s="1855"/>
      <c r="G1431" s="1855"/>
      <c r="H1431" s="1855"/>
      <c r="I1431" s="2043"/>
      <c r="J1431" s="2559"/>
      <c r="K1431" s="2113"/>
      <c r="L1431" s="2043"/>
      <c r="M1431" s="2042">
        <v>4</v>
      </c>
      <c r="N1431" s="1964"/>
      <c r="O1431" s="2042">
        <f>'Part VIII Scoring Criteria'!O280</f>
        <v>4</v>
      </c>
      <c r="P1431" s="2042">
        <f>'Part VIII Scoring Criteria'!P280</f>
        <v>0</v>
      </c>
      <c r="Q1431" s="2113" t="s">
        <v>1716</v>
      </c>
      <c r="R1431" s="2043"/>
      <c r="S1431" s="2043"/>
      <c r="T1431" s="2043"/>
      <c r="U1431" s="2043"/>
      <c r="V1431" s="2043"/>
      <c r="W1431" s="2043"/>
      <c r="X1431" s="2043"/>
      <c r="Y1431" s="2043"/>
      <c r="Z1431" s="2043"/>
      <c r="AA1431" s="2043"/>
      <c r="AB1431" s="2043"/>
      <c r="AC1431" s="2043"/>
      <c r="AD1431" s="2043"/>
      <c r="AE1431" s="2043"/>
      <c r="AF1431" s="2043"/>
      <c r="AG1431" s="2043"/>
      <c r="AH1431" s="2043"/>
      <c r="AI1431" s="2043"/>
      <c r="AJ1431" s="2043"/>
      <c r="AK1431" s="2043"/>
      <c r="AL1431" s="2043"/>
      <c r="AM1431" s="2043"/>
      <c r="AN1431" s="2043"/>
      <c r="AO1431" s="2043"/>
      <c r="AP1431" s="2043"/>
      <c r="AQ1431" s="2043"/>
      <c r="AR1431" s="2043"/>
      <c r="AS1431" s="2043"/>
      <c r="AT1431" s="2043"/>
      <c r="AU1431" s="2043"/>
      <c r="AV1431" s="2043"/>
      <c r="AW1431" s="2043"/>
      <c r="AX1431" s="2043"/>
      <c r="AY1431" s="2043"/>
      <c r="AZ1431" s="2043"/>
      <c r="BA1431" s="2043"/>
      <c r="BB1431" s="2043"/>
      <c r="BC1431" s="2043"/>
      <c r="BD1431" s="2043"/>
      <c r="BE1431" s="2043"/>
      <c r="BF1431" s="2043"/>
      <c r="BG1431" s="2043"/>
      <c r="BH1431" s="2043"/>
      <c r="BI1431" s="2043"/>
      <c r="BJ1431" s="2043"/>
      <c r="BK1431" s="2043"/>
      <c r="BL1431" s="2043"/>
    </row>
    <row r="1432" spans="1:64" ht="15">
      <c r="A1432" s="2541" t="s">
        <v>194</v>
      </c>
      <c r="B1432" s="1854" t="s">
        <v>1856</v>
      </c>
      <c r="C1432" s="2043"/>
      <c r="D1432" s="2043"/>
      <c r="E1432" s="2043"/>
      <c r="F1432" s="2043"/>
      <c r="G1432" s="2043"/>
      <c r="H1432" s="2043"/>
      <c r="I1432" s="2043"/>
      <c r="J1432" s="2043"/>
      <c r="K1432" s="2043"/>
      <c r="L1432" s="2502" t="str">
        <f>IF(O1432&lt;=M1432,"","* * Check Score! * *")</f>
        <v/>
      </c>
      <c r="M1432" s="1964">
        <v>3</v>
      </c>
      <c r="N1432" s="2112"/>
      <c r="O1432" s="2042">
        <f>'Part VIII Scoring Criteria'!O281</f>
        <v>3</v>
      </c>
      <c r="P1432" s="2042"/>
      <c r="Q1432" s="2543" t="str">
        <f>IF(O1432&lt;=M1432,"","*CHECK!*")</f>
        <v/>
      </c>
      <c r="R1432" s="1854"/>
      <c r="S1432" s="1854"/>
      <c r="T1432" s="2475"/>
      <c r="U1432" s="2043"/>
      <c r="V1432" s="2043"/>
      <c r="W1432" s="2043"/>
      <c r="X1432" s="2043"/>
      <c r="Y1432" s="2043"/>
      <c r="Z1432" s="2043"/>
      <c r="AA1432" s="2043"/>
      <c r="AB1432" s="2043"/>
      <c r="AC1432" s="2043"/>
      <c r="AD1432" s="2043"/>
      <c r="AE1432" s="2043"/>
      <c r="AF1432" s="2043"/>
      <c r="AG1432" s="2043"/>
      <c r="AH1432" s="2043"/>
      <c r="AI1432" s="2043"/>
      <c r="AJ1432" s="2043"/>
      <c r="AK1432" s="2043"/>
      <c r="AL1432" s="2043"/>
      <c r="AM1432" s="2043"/>
      <c r="AN1432" s="2043"/>
      <c r="AO1432" s="2043"/>
      <c r="AP1432" s="2043"/>
      <c r="AQ1432" s="2043"/>
      <c r="AR1432" s="2043"/>
      <c r="AS1432" s="2043"/>
      <c r="AT1432" s="2043"/>
      <c r="AU1432" s="2043"/>
      <c r="AV1432" s="2043"/>
      <c r="AW1432" s="2043"/>
      <c r="AX1432" s="2043"/>
      <c r="AY1432" s="2043"/>
      <c r="AZ1432" s="2043"/>
      <c r="BA1432" s="2043"/>
      <c r="BB1432" s="2043"/>
      <c r="BC1432" s="2043"/>
      <c r="BD1432" s="2043"/>
      <c r="BE1432" s="2043"/>
      <c r="BF1432" s="2043"/>
      <c r="BG1432" s="2043"/>
      <c r="BH1432" s="2043"/>
      <c r="BI1432" s="2043"/>
      <c r="BJ1432" s="2043"/>
      <c r="BK1432" s="2043"/>
      <c r="BL1432" s="2043"/>
    </row>
    <row r="1433" spans="1:64" ht="15" customHeight="1">
      <c r="A1433" s="2541"/>
      <c r="B1433" s="2563" t="s">
        <v>1857</v>
      </c>
      <c r="C1433" s="2565"/>
      <c r="D1433" s="2565"/>
      <c r="E1433" s="2565"/>
      <c r="F1433" s="2565"/>
      <c r="G1433" s="2565"/>
      <c r="H1433" s="2565"/>
      <c r="I1433" s="2565"/>
      <c r="J1433" s="2565"/>
      <c r="K1433" s="2565"/>
      <c r="L1433" s="2565"/>
      <c r="M1433" s="2043"/>
      <c r="N1433" s="2043"/>
      <c r="O1433" s="1964" t="str">
        <f>'Part VIII Scoring Criteria'!O282</f>
        <v>Yes</v>
      </c>
      <c r="P1433" s="2113"/>
      <c r="Q1433" s="2043"/>
      <c r="R1433" s="1854"/>
      <c r="S1433" s="1854"/>
      <c r="T1433" s="2475"/>
      <c r="U1433" s="2043"/>
      <c r="V1433" s="2043"/>
      <c r="W1433" s="2043"/>
      <c r="X1433" s="2043"/>
      <c r="Y1433" s="2043"/>
      <c r="Z1433" s="2043"/>
      <c r="AA1433" s="2043"/>
      <c r="AB1433" s="2043"/>
      <c r="AC1433" s="2043"/>
      <c r="AD1433" s="2043"/>
      <c r="AE1433" s="2043"/>
      <c r="AF1433" s="2043"/>
      <c r="AG1433" s="2043"/>
      <c r="AH1433" s="2043"/>
      <c r="AI1433" s="2043"/>
      <c r="AJ1433" s="2043"/>
      <c r="AK1433" s="2043"/>
      <c r="AL1433" s="2043"/>
      <c r="AM1433" s="2043"/>
      <c r="AN1433" s="2043"/>
      <c r="AO1433" s="2043"/>
      <c r="AP1433" s="2043"/>
      <c r="AQ1433" s="2043"/>
      <c r="AR1433" s="2043"/>
      <c r="AS1433" s="2043"/>
      <c r="AT1433" s="2043"/>
      <c r="AU1433" s="2043"/>
      <c r="AV1433" s="2043"/>
      <c r="AW1433" s="2043"/>
      <c r="AX1433" s="2043"/>
      <c r="AY1433" s="2043"/>
      <c r="AZ1433" s="2043"/>
      <c r="BA1433" s="2043"/>
      <c r="BB1433" s="2043"/>
      <c r="BC1433" s="2043"/>
      <c r="BD1433" s="2043"/>
      <c r="BE1433" s="2043"/>
      <c r="BF1433" s="2043"/>
      <c r="BG1433" s="2043"/>
      <c r="BH1433" s="2043"/>
      <c r="BI1433" s="2043"/>
      <c r="BJ1433" s="2043"/>
      <c r="BK1433" s="2043"/>
      <c r="BL1433" s="2043"/>
    </row>
    <row r="1434" spans="1:64" ht="15">
      <c r="A1434" s="2541"/>
      <c r="B1434" s="2566"/>
      <c r="C1434" s="2049"/>
      <c r="D1434" s="2049"/>
      <c r="E1434" s="2049"/>
      <c r="F1434" s="2049"/>
      <c r="G1434" s="2049"/>
      <c r="H1434" s="2049"/>
      <c r="I1434" s="2049"/>
      <c r="J1434" s="2551" t="s">
        <v>1858</v>
      </c>
      <c r="K1434" s="2551"/>
      <c r="L1434" s="2043"/>
      <c r="M1434" s="2551" t="s">
        <v>1858</v>
      </c>
      <c r="N1434" s="2551"/>
      <c r="O1434" s="2551"/>
      <c r="P1434" s="2551"/>
      <c r="Q1434" s="2043"/>
      <c r="R1434" s="2567"/>
      <c r="S1434" s="2567"/>
      <c r="T1434" s="2475"/>
      <c r="U1434" s="2043"/>
      <c r="V1434" s="2043"/>
      <c r="W1434" s="2043"/>
      <c r="X1434" s="2043"/>
      <c r="Y1434" s="2043"/>
      <c r="Z1434" s="2043"/>
      <c r="AA1434" s="2043"/>
      <c r="AB1434" s="2043"/>
      <c r="AC1434" s="2043"/>
      <c r="AD1434" s="2043"/>
      <c r="AE1434" s="2043"/>
      <c r="AF1434" s="2043"/>
      <c r="AG1434" s="2043"/>
      <c r="AH1434" s="2043"/>
      <c r="AI1434" s="2043"/>
      <c r="AJ1434" s="2043"/>
      <c r="AK1434" s="2043"/>
      <c r="AL1434" s="2043"/>
      <c r="AM1434" s="2043"/>
      <c r="AN1434" s="2043"/>
      <c r="AO1434" s="2043"/>
      <c r="AP1434" s="2043"/>
      <c r="AQ1434" s="2043"/>
      <c r="AR1434" s="2043"/>
      <c r="AS1434" s="2043"/>
      <c r="AT1434" s="2043"/>
      <c r="AU1434" s="2043"/>
      <c r="AV1434" s="2043"/>
      <c r="AW1434" s="2043"/>
      <c r="AX1434" s="2043"/>
      <c r="AY1434" s="2043"/>
      <c r="AZ1434" s="2043"/>
      <c r="BA1434" s="2043"/>
      <c r="BB1434" s="2043"/>
      <c r="BC1434" s="2043"/>
      <c r="BD1434" s="2043"/>
      <c r="BE1434" s="2043"/>
      <c r="BF1434" s="2043"/>
      <c r="BG1434" s="2043"/>
      <c r="BH1434" s="2043"/>
      <c r="BI1434" s="2043"/>
      <c r="BJ1434" s="2043"/>
      <c r="BK1434" s="2043"/>
      <c r="BL1434" s="2043"/>
    </row>
    <row r="1435" spans="1:64" ht="14.25">
      <c r="A1435" s="2112"/>
      <c r="B1435" s="2507" t="s">
        <v>209</v>
      </c>
      <c r="C1435" s="1855" t="s">
        <v>1859</v>
      </c>
      <c r="D1435" s="2043"/>
      <c r="E1435" s="2043"/>
      <c r="F1435" s="2043"/>
      <c r="G1435" s="2043"/>
      <c r="H1435" s="2043"/>
      <c r="I1435" s="2112"/>
      <c r="J1435" s="2568">
        <f>'Part VIII Scoring Criteria'!J284</f>
        <v>0</v>
      </c>
      <c r="K1435" s="2568"/>
      <c r="L1435" s="2112"/>
      <c r="M1435" s="2568"/>
      <c r="N1435" s="2568"/>
      <c r="O1435" s="2568"/>
      <c r="P1435" s="2568"/>
      <c r="Q1435" s="2043"/>
      <c r="R1435" s="2502"/>
      <c r="S1435" s="2043"/>
      <c r="T1435" s="2043"/>
      <c r="U1435" s="2043"/>
      <c r="V1435" s="2043"/>
      <c r="W1435" s="2043"/>
      <c r="X1435" s="2043"/>
      <c r="Y1435" s="2043"/>
      <c r="Z1435" s="2043"/>
      <c r="AA1435" s="2043"/>
      <c r="AB1435" s="2043"/>
      <c r="AC1435" s="2043"/>
      <c r="AD1435" s="2043"/>
      <c r="AE1435" s="2043"/>
      <c r="AF1435" s="2043"/>
      <c r="AG1435" s="2043"/>
      <c r="AH1435" s="2043"/>
      <c r="AI1435" s="2043"/>
      <c r="AJ1435" s="2043"/>
      <c r="AK1435" s="2043"/>
      <c r="AL1435" s="2043"/>
      <c r="AM1435" s="2043"/>
      <c r="AN1435" s="2043"/>
      <c r="AO1435" s="2043"/>
      <c r="AP1435" s="2043"/>
      <c r="AQ1435" s="2043"/>
      <c r="AR1435" s="2043"/>
      <c r="AS1435" s="2043"/>
      <c r="AT1435" s="2043"/>
      <c r="AU1435" s="2043"/>
      <c r="AV1435" s="2043"/>
      <c r="AW1435" s="2043"/>
      <c r="AX1435" s="2043"/>
      <c r="AY1435" s="2043"/>
      <c r="AZ1435" s="2043"/>
      <c r="BA1435" s="2043"/>
      <c r="BB1435" s="2043"/>
      <c r="BC1435" s="2043"/>
      <c r="BD1435" s="2043"/>
      <c r="BE1435" s="2043"/>
      <c r="BF1435" s="2043"/>
      <c r="BG1435" s="2043"/>
      <c r="BH1435" s="2043"/>
      <c r="BI1435" s="2043"/>
      <c r="BJ1435" s="2043"/>
      <c r="BK1435" s="2043"/>
      <c r="BL1435" s="2043"/>
    </row>
    <row r="1436" spans="1:64" ht="14.25">
      <c r="A1436" s="2500"/>
      <c r="B1436" s="2494" t="s">
        <v>217</v>
      </c>
      <c r="C1436" s="1855" t="s">
        <v>1860</v>
      </c>
      <c r="D1436" s="2043"/>
      <c r="E1436" s="2043"/>
      <c r="F1436" s="2043"/>
      <c r="G1436" s="2043"/>
      <c r="H1436" s="2043"/>
      <c r="I1436" s="2509"/>
      <c r="J1436" s="2568">
        <f>'Part VIII Scoring Criteria'!J285</f>
        <v>0</v>
      </c>
      <c r="K1436" s="2568"/>
      <c r="L1436" s="2509"/>
      <c r="M1436" s="2568"/>
      <c r="N1436" s="2568"/>
      <c r="O1436" s="2568"/>
      <c r="P1436" s="2568"/>
      <c r="Q1436" s="2043"/>
      <c r="R1436" s="2502"/>
      <c r="S1436" s="2043"/>
      <c r="T1436" s="2043"/>
      <c r="U1436" s="2043"/>
      <c r="V1436" s="2043"/>
      <c r="W1436" s="2043"/>
      <c r="X1436" s="2043"/>
      <c r="Y1436" s="2043"/>
      <c r="Z1436" s="2043"/>
      <c r="AA1436" s="2043"/>
      <c r="AB1436" s="2043"/>
      <c r="AC1436" s="2043"/>
      <c r="AD1436" s="2043"/>
      <c r="AE1436" s="2043"/>
      <c r="AF1436" s="2043"/>
      <c r="AG1436" s="2043"/>
      <c r="AH1436" s="2043"/>
      <c r="AI1436" s="2043"/>
      <c r="AJ1436" s="2043"/>
      <c r="AK1436" s="2043"/>
      <c r="AL1436" s="2043"/>
      <c r="AM1436" s="2043"/>
      <c r="AN1436" s="2043"/>
      <c r="AO1436" s="2043"/>
      <c r="AP1436" s="2043"/>
      <c r="AQ1436" s="2043"/>
      <c r="AR1436" s="2043"/>
      <c r="AS1436" s="2043"/>
      <c r="AT1436" s="2043"/>
      <c r="AU1436" s="2043"/>
      <c r="AV1436" s="2043"/>
      <c r="AW1436" s="2043"/>
      <c r="AX1436" s="2043"/>
      <c r="AY1436" s="2043"/>
      <c r="AZ1436" s="2043"/>
      <c r="BA1436" s="2043"/>
      <c r="BB1436" s="2043"/>
      <c r="BC1436" s="2043"/>
      <c r="BD1436" s="2043"/>
      <c r="BE1436" s="2043"/>
      <c r="BF1436" s="2043"/>
      <c r="BG1436" s="2043"/>
      <c r="BH1436" s="2043"/>
      <c r="BI1436" s="2043"/>
      <c r="BJ1436" s="2043"/>
      <c r="BK1436" s="2043"/>
      <c r="BL1436" s="2043"/>
    </row>
    <row r="1437" spans="1:64" ht="14.25">
      <c r="A1437" s="2043"/>
      <c r="B1437" s="2507" t="s">
        <v>221</v>
      </c>
      <c r="C1437" s="1855" t="s">
        <v>1861</v>
      </c>
      <c r="D1437" s="2043"/>
      <c r="E1437" s="2043"/>
      <c r="F1437" s="2043"/>
      <c r="G1437" s="2043"/>
      <c r="H1437" s="2043"/>
      <c r="I1437" s="2112"/>
      <c r="J1437" s="2568">
        <f>'Part VIII Scoring Criteria'!J286</f>
        <v>0</v>
      </c>
      <c r="K1437" s="2568"/>
      <c r="L1437" s="2112"/>
      <c r="M1437" s="2568"/>
      <c r="N1437" s="2568"/>
      <c r="O1437" s="2568"/>
      <c r="P1437" s="2568"/>
      <c r="Q1437" s="2043"/>
      <c r="R1437" s="2502"/>
      <c r="S1437" s="2043"/>
      <c r="T1437" s="2043"/>
      <c r="U1437" s="2043"/>
      <c r="V1437" s="2043"/>
      <c r="W1437" s="2043"/>
      <c r="X1437" s="2043"/>
      <c r="Y1437" s="2043"/>
      <c r="Z1437" s="2043"/>
      <c r="AA1437" s="2043"/>
      <c r="AB1437" s="2043"/>
      <c r="AC1437" s="2043"/>
      <c r="AD1437" s="2043"/>
      <c r="AE1437" s="2043"/>
      <c r="AF1437" s="2043"/>
      <c r="AG1437" s="2043"/>
      <c r="AH1437" s="2043"/>
      <c r="AI1437" s="2043"/>
      <c r="AJ1437" s="2043"/>
      <c r="AK1437" s="2043"/>
      <c r="AL1437" s="2043"/>
      <c r="AM1437" s="2043"/>
      <c r="AN1437" s="2043"/>
      <c r="AO1437" s="2043"/>
      <c r="AP1437" s="2043"/>
      <c r="AQ1437" s="2043"/>
      <c r="AR1437" s="2043"/>
      <c r="AS1437" s="2043"/>
      <c r="AT1437" s="2043"/>
      <c r="AU1437" s="2043"/>
      <c r="AV1437" s="2043"/>
      <c r="AW1437" s="2043"/>
      <c r="AX1437" s="2043"/>
      <c r="AY1437" s="2043"/>
      <c r="AZ1437" s="2043"/>
      <c r="BA1437" s="2043"/>
      <c r="BB1437" s="2043"/>
      <c r="BC1437" s="2043"/>
      <c r="BD1437" s="2043"/>
      <c r="BE1437" s="2043"/>
      <c r="BF1437" s="2043"/>
      <c r="BG1437" s="2043"/>
      <c r="BH1437" s="2043"/>
      <c r="BI1437" s="2043"/>
      <c r="BJ1437" s="2043"/>
      <c r="BK1437" s="2043"/>
      <c r="BL1437" s="2043"/>
    </row>
    <row r="1438" spans="1:64" ht="14.25">
      <c r="A1438" s="2500"/>
      <c r="B1438" s="2507" t="s">
        <v>261</v>
      </c>
      <c r="C1438" s="1855" t="s">
        <v>1862</v>
      </c>
      <c r="D1438" s="2043"/>
      <c r="E1438" s="2043"/>
      <c r="F1438" s="2043"/>
      <c r="G1438" s="2043"/>
      <c r="H1438" s="2043"/>
      <c r="I1438" s="2112"/>
      <c r="J1438" s="2568">
        <f>'Part VIII Scoring Criteria'!J287</f>
        <v>0</v>
      </c>
      <c r="K1438" s="2568"/>
      <c r="L1438" s="2112"/>
      <c r="M1438" s="2568"/>
      <c r="N1438" s="2568"/>
      <c r="O1438" s="2568"/>
      <c r="P1438" s="2568"/>
      <c r="Q1438" s="2043"/>
      <c r="R1438" s="2502"/>
      <c r="S1438" s="2043"/>
      <c r="T1438" s="2043"/>
      <c r="U1438" s="2043"/>
      <c r="V1438" s="2043"/>
      <c r="W1438" s="2043"/>
      <c r="X1438" s="2043"/>
      <c r="Y1438" s="2043"/>
      <c r="Z1438" s="2043"/>
      <c r="AA1438" s="2043"/>
      <c r="AB1438" s="2043"/>
      <c r="AC1438" s="2043"/>
      <c r="AD1438" s="2043"/>
      <c r="AE1438" s="2043"/>
      <c r="AF1438" s="2043"/>
      <c r="AG1438" s="2043"/>
      <c r="AH1438" s="2043"/>
      <c r="AI1438" s="2043"/>
      <c r="AJ1438" s="2043"/>
      <c r="AK1438" s="2043"/>
      <c r="AL1438" s="2043"/>
      <c r="AM1438" s="2043"/>
      <c r="AN1438" s="2043"/>
      <c r="AO1438" s="2043"/>
      <c r="AP1438" s="2043"/>
      <c r="AQ1438" s="2043"/>
      <c r="AR1438" s="2043"/>
      <c r="AS1438" s="2043"/>
      <c r="AT1438" s="2043"/>
      <c r="AU1438" s="2043"/>
      <c r="AV1438" s="2043"/>
      <c r="AW1438" s="2043"/>
      <c r="AX1438" s="2043"/>
      <c r="AY1438" s="2043"/>
      <c r="AZ1438" s="2043"/>
      <c r="BA1438" s="2043"/>
      <c r="BB1438" s="2043"/>
      <c r="BC1438" s="2043"/>
      <c r="BD1438" s="2043"/>
      <c r="BE1438" s="2043"/>
      <c r="BF1438" s="2043"/>
      <c r="BG1438" s="2043"/>
      <c r="BH1438" s="2043"/>
      <c r="BI1438" s="2043"/>
      <c r="BJ1438" s="2043"/>
      <c r="BK1438" s="2043"/>
      <c r="BL1438" s="2043"/>
    </row>
    <row r="1439" spans="1:64" ht="14.25">
      <c r="A1439" s="2112"/>
      <c r="B1439" s="2494" t="s">
        <v>263</v>
      </c>
      <c r="C1439" s="1855" t="s">
        <v>1863</v>
      </c>
      <c r="D1439" s="2043"/>
      <c r="E1439" s="2043"/>
      <c r="F1439" s="2043"/>
      <c r="G1439" s="2043"/>
      <c r="H1439" s="2043"/>
      <c r="I1439" s="2509"/>
      <c r="J1439" s="2568">
        <f>'Part VIII Scoring Criteria'!J288</f>
        <v>0</v>
      </c>
      <c r="K1439" s="2568"/>
      <c r="L1439" s="2509"/>
      <c r="M1439" s="2568"/>
      <c r="N1439" s="2568"/>
      <c r="O1439" s="2568"/>
      <c r="P1439" s="2568"/>
      <c r="Q1439" s="2043"/>
      <c r="R1439" s="2502"/>
      <c r="S1439" s="2043"/>
      <c r="T1439" s="2043"/>
      <c r="U1439" s="2043"/>
      <c r="V1439" s="2043"/>
      <c r="W1439" s="2043"/>
      <c r="X1439" s="2043"/>
      <c r="Y1439" s="2043"/>
      <c r="Z1439" s="2043"/>
      <c r="AA1439" s="2043"/>
      <c r="AB1439" s="2043"/>
      <c r="AC1439" s="2043"/>
      <c r="AD1439" s="2043"/>
      <c r="AE1439" s="2043"/>
      <c r="AF1439" s="2043"/>
      <c r="AG1439" s="2043"/>
      <c r="AH1439" s="2043"/>
      <c r="AI1439" s="2043"/>
      <c r="AJ1439" s="2043"/>
      <c r="AK1439" s="2043"/>
      <c r="AL1439" s="2043"/>
      <c r="AM1439" s="2043"/>
      <c r="AN1439" s="2043"/>
      <c r="AO1439" s="2043"/>
      <c r="AP1439" s="2043"/>
      <c r="AQ1439" s="2043"/>
      <c r="AR1439" s="2043"/>
      <c r="AS1439" s="2043"/>
      <c r="AT1439" s="2043"/>
      <c r="AU1439" s="2043"/>
      <c r="AV1439" s="2043"/>
      <c r="AW1439" s="2043"/>
      <c r="AX1439" s="2043"/>
      <c r="AY1439" s="2043"/>
      <c r="AZ1439" s="2043"/>
      <c r="BA1439" s="2043"/>
      <c r="BB1439" s="2043"/>
      <c r="BC1439" s="2043"/>
      <c r="BD1439" s="2043"/>
      <c r="BE1439" s="2043"/>
      <c r="BF1439" s="2043"/>
      <c r="BG1439" s="2043"/>
      <c r="BH1439" s="2043"/>
      <c r="BI1439" s="2043"/>
      <c r="BJ1439" s="2043"/>
      <c r="BK1439" s="2043"/>
      <c r="BL1439" s="2043"/>
    </row>
    <row r="1440" spans="1:64" ht="14.25">
      <c r="A1440" s="2043"/>
      <c r="B1440" s="2507" t="s">
        <v>265</v>
      </c>
      <c r="C1440" s="1855" t="s">
        <v>1864</v>
      </c>
      <c r="D1440" s="2043"/>
      <c r="E1440" s="2043"/>
      <c r="F1440" s="2043"/>
      <c r="G1440" s="2043"/>
      <c r="H1440" s="2043"/>
      <c r="I1440" s="2112"/>
      <c r="J1440" s="2568">
        <f>'Part VIII Scoring Criteria'!J289</f>
        <v>0</v>
      </c>
      <c r="K1440" s="2568"/>
      <c r="L1440" s="2112"/>
      <c r="M1440" s="2568"/>
      <c r="N1440" s="2568"/>
      <c r="O1440" s="2568"/>
      <c r="P1440" s="2568"/>
      <c r="Q1440" s="2043"/>
      <c r="R1440" s="2502"/>
      <c r="S1440" s="2043"/>
      <c r="T1440" s="2043"/>
      <c r="U1440" s="2043"/>
      <c r="V1440" s="2043"/>
      <c r="W1440" s="2043"/>
      <c r="X1440" s="2043"/>
      <c r="Y1440" s="2043"/>
      <c r="Z1440" s="2043"/>
      <c r="AA1440" s="2043"/>
      <c r="AB1440" s="2043"/>
      <c r="AC1440" s="2043"/>
      <c r="AD1440" s="2043"/>
      <c r="AE1440" s="2043"/>
      <c r="AF1440" s="2043"/>
      <c r="AG1440" s="2043"/>
      <c r="AH1440" s="2043"/>
      <c r="AI1440" s="2043"/>
      <c r="AJ1440" s="2043"/>
      <c r="AK1440" s="2043"/>
      <c r="AL1440" s="2043"/>
      <c r="AM1440" s="2043"/>
      <c r="AN1440" s="2043"/>
      <c r="AO1440" s="2043"/>
      <c r="AP1440" s="2043"/>
      <c r="AQ1440" s="2043"/>
      <c r="AR1440" s="2043"/>
      <c r="AS1440" s="2043"/>
      <c r="AT1440" s="2043"/>
      <c r="AU1440" s="2043"/>
      <c r="AV1440" s="2043"/>
      <c r="AW1440" s="2043"/>
      <c r="AX1440" s="2043"/>
      <c r="AY1440" s="2043"/>
      <c r="AZ1440" s="2043"/>
      <c r="BA1440" s="2043"/>
      <c r="BB1440" s="2043"/>
      <c r="BC1440" s="2043"/>
      <c r="BD1440" s="2043"/>
      <c r="BE1440" s="2043"/>
      <c r="BF1440" s="2043"/>
      <c r="BG1440" s="2043"/>
      <c r="BH1440" s="2043"/>
      <c r="BI1440" s="2043"/>
      <c r="BJ1440" s="2043"/>
      <c r="BK1440" s="2043"/>
      <c r="BL1440" s="2043"/>
    </row>
    <row r="1441" spans="1:64" ht="14.25">
      <c r="A1441" s="2043"/>
      <c r="B1441" s="2507" t="s">
        <v>267</v>
      </c>
      <c r="C1441" s="1855" t="s">
        <v>1865</v>
      </c>
      <c r="D1441" s="2043"/>
      <c r="E1441" s="2043"/>
      <c r="F1441" s="2043"/>
      <c r="G1441" s="2043"/>
      <c r="H1441" s="2043"/>
      <c r="I1441" s="2112"/>
      <c r="J1441" s="2568">
        <f>'Part VIII Scoring Criteria'!J290</f>
        <v>0</v>
      </c>
      <c r="K1441" s="2568"/>
      <c r="L1441" s="2112"/>
      <c r="M1441" s="2492"/>
      <c r="N1441" s="2492"/>
      <c r="O1441" s="2492"/>
      <c r="P1441" s="2492"/>
      <c r="Q1441" s="2043"/>
      <c r="R1441" s="2502"/>
      <c r="S1441" s="2043"/>
      <c r="T1441" s="2043"/>
      <c r="U1441" s="2043"/>
      <c r="V1441" s="2043"/>
      <c r="W1441" s="2043"/>
      <c r="X1441" s="2043"/>
      <c r="Y1441" s="2043"/>
      <c r="Z1441" s="2043"/>
      <c r="AA1441" s="2043"/>
      <c r="AB1441" s="2043"/>
      <c r="AC1441" s="2043"/>
      <c r="AD1441" s="2043"/>
      <c r="AE1441" s="2043"/>
      <c r="AF1441" s="2043"/>
      <c r="AG1441" s="2043"/>
      <c r="AH1441" s="2043"/>
      <c r="AI1441" s="2043"/>
      <c r="AJ1441" s="2043"/>
      <c r="AK1441" s="2043"/>
      <c r="AL1441" s="2043"/>
      <c r="AM1441" s="2043"/>
      <c r="AN1441" s="2043"/>
      <c r="AO1441" s="2043"/>
      <c r="AP1441" s="2043"/>
      <c r="AQ1441" s="2043"/>
      <c r="AR1441" s="2043"/>
      <c r="AS1441" s="2043"/>
      <c r="AT1441" s="2043"/>
      <c r="AU1441" s="2043"/>
      <c r="AV1441" s="2043"/>
      <c r="AW1441" s="2043"/>
      <c r="AX1441" s="2043"/>
      <c r="AY1441" s="2043"/>
      <c r="AZ1441" s="2043"/>
      <c r="BA1441" s="2043"/>
      <c r="BB1441" s="2043"/>
      <c r="BC1441" s="2043"/>
      <c r="BD1441" s="2043"/>
      <c r="BE1441" s="2043"/>
      <c r="BF1441" s="2043"/>
      <c r="BG1441" s="2043"/>
      <c r="BH1441" s="2043"/>
      <c r="BI1441" s="2043"/>
      <c r="BJ1441" s="2043"/>
      <c r="BK1441" s="2043"/>
      <c r="BL1441" s="2043"/>
    </row>
    <row r="1442" spans="1:64" ht="14.25">
      <c r="A1442" s="2500"/>
      <c r="B1442" s="2507" t="s">
        <v>269</v>
      </c>
      <c r="C1442" s="1855" t="s">
        <v>1866</v>
      </c>
      <c r="D1442" s="2043"/>
      <c r="E1442" s="2043"/>
      <c r="F1442" s="2043"/>
      <c r="G1442" s="2043"/>
      <c r="H1442" s="2043"/>
      <c r="I1442" s="2112"/>
      <c r="J1442" s="2568">
        <f>'Part VIII Scoring Criteria'!J291</f>
        <v>0</v>
      </c>
      <c r="K1442" s="2568"/>
      <c r="L1442" s="2112"/>
      <c r="M1442" s="2568"/>
      <c r="N1442" s="2568"/>
      <c r="O1442" s="2568"/>
      <c r="P1442" s="2568"/>
      <c r="Q1442" s="2043"/>
      <c r="R1442" s="2502"/>
      <c r="S1442" s="2043"/>
      <c r="T1442" s="2043"/>
      <c r="U1442" s="2043"/>
      <c r="V1442" s="2043"/>
      <c r="W1442" s="2043"/>
      <c r="X1442" s="2043"/>
      <c r="Y1442" s="2043"/>
      <c r="Z1442" s="2043"/>
      <c r="AA1442" s="2043"/>
      <c r="AB1442" s="2043"/>
      <c r="AC1442" s="2043"/>
      <c r="AD1442" s="2043"/>
      <c r="AE1442" s="2043"/>
      <c r="AF1442" s="2043"/>
      <c r="AG1442" s="2043"/>
      <c r="AH1442" s="2043"/>
      <c r="AI1442" s="2043"/>
      <c r="AJ1442" s="2043"/>
      <c r="AK1442" s="2043"/>
      <c r="AL1442" s="2043"/>
      <c r="AM1442" s="2043"/>
      <c r="AN1442" s="2043"/>
      <c r="AO1442" s="2043"/>
      <c r="AP1442" s="2043"/>
      <c r="AQ1442" s="2043"/>
      <c r="AR1442" s="2043"/>
      <c r="AS1442" s="2043"/>
      <c r="AT1442" s="2043"/>
      <c r="AU1442" s="2043"/>
      <c r="AV1442" s="2043"/>
      <c r="AW1442" s="2043"/>
      <c r="AX1442" s="2043"/>
      <c r="AY1442" s="2043"/>
      <c r="AZ1442" s="2043"/>
      <c r="BA1442" s="2043"/>
      <c r="BB1442" s="2043"/>
      <c r="BC1442" s="2043"/>
      <c r="BD1442" s="2043"/>
      <c r="BE1442" s="2043"/>
      <c r="BF1442" s="2043"/>
      <c r="BG1442" s="2043"/>
      <c r="BH1442" s="2043"/>
      <c r="BI1442" s="2043"/>
      <c r="BJ1442" s="2043"/>
      <c r="BK1442" s="2043"/>
      <c r="BL1442" s="2043"/>
    </row>
    <row r="1443" spans="1:64" ht="14.25">
      <c r="A1443" s="2043"/>
      <c r="B1443" s="2507" t="s">
        <v>271</v>
      </c>
      <c r="C1443" s="1855" t="s">
        <v>1867</v>
      </c>
      <c r="D1443" s="2043"/>
      <c r="E1443" s="2043"/>
      <c r="F1443" s="2043"/>
      <c r="G1443" s="2043"/>
      <c r="H1443" s="2043"/>
      <c r="I1443" s="2112"/>
      <c r="J1443" s="2568">
        <f>'Part VIII Scoring Criteria'!J292</f>
        <v>0</v>
      </c>
      <c r="K1443" s="2568"/>
      <c r="L1443" s="2112"/>
      <c r="M1443" s="2568"/>
      <c r="N1443" s="2568"/>
      <c r="O1443" s="2568"/>
      <c r="P1443" s="2568"/>
      <c r="Q1443" s="2043"/>
      <c r="R1443" s="2502"/>
      <c r="S1443" s="2043"/>
      <c r="T1443" s="2043"/>
      <c r="U1443" s="2043"/>
      <c r="V1443" s="2043"/>
      <c r="W1443" s="2043"/>
      <c r="X1443" s="2043"/>
      <c r="Y1443" s="2043"/>
      <c r="Z1443" s="2043"/>
      <c r="AA1443" s="2043"/>
      <c r="AB1443" s="2043"/>
      <c r="AC1443" s="2043"/>
      <c r="AD1443" s="2043"/>
      <c r="AE1443" s="2043"/>
      <c r="AF1443" s="2043"/>
      <c r="AG1443" s="2043"/>
      <c r="AH1443" s="2043"/>
      <c r="AI1443" s="2043"/>
      <c r="AJ1443" s="2043"/>
      <c r="AK1443" s="2043"/>
      <c r="AL1443" s="2043"/>
      <c r="AM1443" s="2043"/>
      <c r="AN1443" s="2043"/>
      <c r="AO1443" s="2043"/>
      <c r="AP1443" s="2043"/>
      <c r="AQ1443" s="2043"/>
      <c r="AR1443" s="2043"/>
      <c r="AS1443" s="2043"/>
      <c r="AT1443" s="2043"/>
      <c r="AU1443" s="2043"/>
      <c r="AV1443" s="2043"/>
      <c r="AW1443" s="2043"/>
      <c r="AX1443" s="2043"/>
      <c r="AY1443" s="2043"/>
      <c r="AZ1443" s="2043"/>
      <c r="BA1443" s="2043"/>
      <c r="BB1443" s="2043"/>
      <c r="BC1443" s="2043"/>
      <c r="BD1443" s="2043"/>
      <c r="BE1443" s="2043"/>
      <c r="BF1443" s="2043"/>
      <c r="BG1443" s="2043"/>
      <c r="BH1443" s="2043"/>
      <c r="BI1443" s="2043"/>
      <c r="BJ1443" s="2043"/>
      <c r="BK1443" s="2043"/>
      <c r="BL1443" s="2043"/>
    </row>
    <row r="1444" spans="1:64" ht="14.25">
      <c r="A1444" s="2043"/>
      <c r="B1444" s="2507" t="s">
        <v>1868</v>
      </c>
      <c r="C1444" s="1855" t="s">
        <v>1869</v>
      </c>
      <c r="D1444" s="2043"/>
      <c r="E1444" s="2043"/>
      <c r="F1444" s="2043"/>
      <c r="G1444" s="2043"/>
      <c r="H1444" s="2043"/>
      <c r="I1444" s="2112"/>
      <c r="J1444" s="2568">
        <f>'Part VIII Scoring Criteria'!J293</f>
        <v>0</v>
      </c>
      <c r="K1444" s="2568"/>
      <c r="L1444" s="2112"/>
      <c r="M1444" s="2568"/>
      <c r="N1444" s="2568"/>
      <c r="O1444" s="2568"/>
      <c r="P1444" s="2568"/>
      <c r="Q1444" s="2043"/>
      <c r="R1444" s="2502"/>
      <c r="S1444" s="2043"/>
      <c r="T1444" s="2043"/>
      <c r="U1444" s="2043"/>
      <c r="V1444" s="2043"/>
      <c r="W1444" s="2043"/>
      <c r="X1444" s="2043"/>
      <c r="Y1444" s="2043"/>
      <c r="Z1444" s="2043"/>
      <c r="AA1444" s="2043"/>
      <c r="AB1444" s="2043"/>
      <c r="AC1444" s="2043"/>
      <c r="AD1444" s="2043"/>
      <c r="AE1444" s="2043"/>
      <c r="AF1444" s="2043"/>
      <c r="AG1444" s="2043"/>
      <c r="AH1444" s="2043"/>
      <c r="AI1444" s="2043"/>
      <c r="AJ1444" s="2043"/>
      <c r="AK1444" s="2043"/>
      <c r="AL1444" s="2043"/>
      <c r="AM1444" s="2043"/>
      <c r="AN1444" s="2043"/>
      <c r="AO1444" s="2043"/>
      <c r="AP1444" s="2043"/>
      <c r="AQ1444" s="2043"/>
      <c r="AR1444" s="2043"/>
      <c r="AS1444" s="2043"/>
      <c r="AT1444" s="2043"/>
      <c r="AU1444" s="2043"/>
      <c r="AV1444" s="2043"/>
      <c r="AW1444" s="2043"/>
      <c r="AX1444" s="2043"/>
      <c r="AY1444" s="2043"/>
      <c r="AZ1444" s="2043"/>
      <c r="BA1444" s="2043"/>
      <c r="BB1444" s="2043"/>
      <c r="BC1444" s="2043"/>
      <c r="BD1444" s="2043"/>
      <c r="BE1444" s="2043"/>
      <c r="BF1444" s="2043"/>
      <c r="BG1444" s="2043"/>
      <c r="BH1444" s="2043"/>
      <c r="BI1444" s="2043"/>
      <c r="BJ1444" s="2043"/>
      <c r="BK1444" s="2043"/>
      <c r="BL1444" s="2043"/>
    </row>
    <row r="1445" spans="1:64" ht="14.25">
      <c r="A1445" s="2043"/>
      <c r="B1445" s="2507" t="s">
        <v>1870</v>
      </c>
      <c r="C1445" s="1855" t="s">
        <v>1871</v>
      </c>
      <c r="D1445" s="2043"/>
      <c r="E1445" s="2043"/>
      <c r="F1445" s="2043"/>
      <c r="G1445" s="2043"/>
      <c r="H1445" s="2043"/>
      <c r="I1445" s="2112"/>
      <c r="J1445" s="2568">
        <f>'Part VIII Scoring Criteria'!J294</f>
        <v>8276060</v>
      </c>
      <c r="K1445" s="2568"/>
      <c r="L1445" s="2112"/>
      <c r="M1445" s="2568"/>
      <c r="N1445" s="2568"/>
      <c r="O1445" s="2568"/>
      <c r="P1445" s="2568"/>
      <c r="Q1445" s="2043"/>
      <c r="R1445" s="2502"/>
      <c r="S1445" s="2043"/>
      <c r="T1445" s="2043"/>
      <c r="U1445" s="2043"/>
      <c r="V1445" s="2043"/>
      <c r="W1445" s="2043"/>
      <c r="X1445" s="2043"/>
      <c r="Y1445" s="2043"/>
      <c r="Z1445" s="2043"/>
      <c r="AA1445" s="2043"/>
      <c r="AB1445" s="2043"/>
      <c r="AC1445" s="2043"/>
      <c r="AD1445" s="2043"/>
      <c r="AE1445" s="2043"/>
      <c r="AF1445" s="2043"/>
      <c r="AG1445" s="2043"/>
      <c r="AH1445" s="2043"/>
      <c r="AI1445" s="2043"/>
      <c r="AJ1445" s="2043"/>
      <c r="AK1445" s="2043"/>
      <c r="AL1445" s="2043"/>
      <c r="AM1445" s="2043"/>
      <c r="AN1445" s="2043"/>
      <c r="AO1445" s="2043"/>
      <c r="AP1445" s="2043"/>
      <c r="AQ1445" s="2043"/>
      <c r="AR1445" s="2043"/>
      <c r="AS1445" s="2043"/>
      <c r="AT1445" s="2043"/>
      <c r="AU1445" s="2043"/>
      <c r="AV1445" s="2043"/>
      <c r="AW1445" s="2043"/>
      <c r="AX1445" s="2043"/>
      <c r="AY1445" s="2043"/>
      <c r="AZ1445" s="2043"/>
      <c r="BA1445" s="2043"/>
      <c r="BB1445" s="2043"/>
      <c r="BC1445" s="2043"/>
      <c r="BD1445" s="2043"/>
      <c r="BE1445" s="2043"/>
      <c r="BF1445" s="2043"/>
      <c r="BG1445" s="2043"/>
      <c r="BH1445" s="2043"/>
      <c r="BI1445" s="2043"/>
      <c r="BJ1445" s="2043"/>
      <c r="BK1445" s="2043"/>
      <c r="BL1445" s="2043"/>
    </row>
    <row r="1446" spans="1:64" ht="15">
      <c r="A1446" s="2043"/>
      <c r="B1446" s="1855"/>
      <c r="C1446" s="2043"/>
      <c r="D1446" s="2043"/>
      <c r="E1446" s="2043"/>
      <c r="F1446" s="2043"/>
      <c r="G1446" s="2043"/>
      <c r="H1446" s="2043"/>
      <c r="I1446" s="2114" t="s">
        <v>1872</v>
      </c>
      <c r="J1446" s="2568">
        <f>SUM(J1435:K1445)</f>
        <v>8276060</v>
      </c>
      <c r="K1446" s="2568"/>
      <c r="L1446" s="2043"/>
      <c r="M1446" s="2568">
        <f>SUM($M1435:$M1445)</f>
        <v>0</v>
      </c>
      <c r="N1446" s="2568"/>
      <c r="O1446" s="2568"/>
      <c r="P1446" s="2568"/>
      <c r="Q1446" s="2043"/>
      <c r="R1446" s="2502"/>
      <c r="S1446" s="2043"/>
      <c r="T1446" s="2043"/>
      <c r="U1446" s="2043"/>
      <c r="V1446" s="2043"/>
      <c r="W1446" s="2043"/>
      <c r="X1446" s="2043"/>
      <c r="Y1446" s="2043"/>
      <c r="Z1446" s="2043"/>
      <c r="AA1446" s="2043"/>
      <c r="AB1446" s="2043"/>
      <c r="AC1446" s="2043"/>
      <c r="AD1446" s="2043"/>
      <c r="AE1446" s="2043"/>
      <c r="AF1446" s="2043"/>
      <c r="AG1446" s="2043"/>
      <c r="AH1446" s="2043"/>
      <c r="AI1446" s="2043"/>
      <c r="AJ1446" s="2043"/>
      <c r="AK1446" s="2043"/>
      <c r="AL1446" s="2043"/>
      <c r="AM1446" s="2043"/>
      <c r="AN1446" s="2043"/>
      <c r="AO1446" s="2043"/>
      <c r="AP1446" s="2043"/>
      <c r="AQ1446" s="2043"/>
      <c r="AR1446" s="2043"/>
      <c r="AS1446" s="2043"/>
      <c r="AT1446" s="2043"/>
      <c r="AU1446" s="2043"/>
      <c r="AV1446" s="2043"/>
      <c r="AW1446" s="2043"/>
      <c r="AX1446" s="2043"/>
      <c r="AY1446" s="2043"/>
      <c r="AZ1446" s="2043"/>
      <c r="BA1446" s="2043"/>
      <c r="BB1446" s="2043"/>
      <c r="BC1446" s="2043"/>
      <c r="BD1446" s="2043"/>
      <c r="BE1446" s="2043"/>
      <c r="BF1446" s="2043"/>
      <c r="BG1446" s="2043"/>
      <c r="BH1446" s="2043"/>
      <c r="BI1446" s="2043"/>
      <c r="BJ1446" s="2043"/>
      <c r="BK1446" s="2043"/>
      <c r="BL1446" s="2043"/>
    </row>
    <row r="1447" spans="1:64" ht="15">
      <c r="A1447" s="2043"/>
      <c r="B1447" s="2043"/>
      <c r="C1447" s="2043"/>
      <c r="D1447" s="2043"/>
      <c r="E1447" s="2043"/>
      <c r="F1447" s="2043"/>
      <c r="G1447" s="2043"/>
      <c r="H1447" s="2043"/>
      <c r="I1447" s="2043"/>
      <c r="J1447" s="2043"/>
      <c r="K1447" s="2043"/>
      <c r="L1447" s="2043"/>
      <c r="M1447" s="1854"/>
      <c r="N1447" s="1854"/>
      <c r="O1447" s="2043"/>
      <c r="P1447" s="1854"/>
      <c r="Q1447" s="2043"/>
      <c r="R1447" s="2043"/>
      <c r="S1447" s="2043"/>
      <c r="T1447" s="2043"/>
      <c r="U1447" s="2043" t="s">
        <v>1873</v>
      </c>
      <c r="V1447" s="2043"/>
      <c r="W1447" s="2043"/>
      <c r="X1447" s="2043"/>
      <c r="Y1447" s="2043"/>
      <c r="Z1447" s="2043"/>
      <c r="AA1447" s="2043"/>
      <c r="AB1447" s="2043"/>
      <c r="AC1447" s="2043"/>
      <c r="AD1447" s="2043"/>
      <c r="AE1447" s="2043"/>
      <c r="AF1447" s="2043"/>
      <c r="AG1447" s="2043"/>
      <c r="AH1447" s="2043"/>
      <c r="AI1447" s="2043"/>
      <c r="AJ1447" s="2043"/>
      <c r="AK1447" s="2043"/>
      <c r="AL1447" s="2043"/>
      <c r="AM1447" s="2043"/>
      <c r="AN1447" s="2043"/>
      <c r="AO1447" s="2043"/>
      <c r="AP1447" s="2043"/>
      <c r="AQ1447" s="2043"/>
      <c r="AR1447" s="2043"/>
      <c r="AS1447" s="2043"/>
      <c r="AT1447" s="2043"/>
      <c r="AU1447" s="2043"/>
      <c r="AV1447" s="2043"/>
      <c r="AW1447" s="2043"/>
      <c r="AX1447" s="2043"/>
      <c r="AY1447" s="2043"/>
      <c r="AZ1447" s="2043"/>
      <c r="BA1447" s="2043"/>
      <c r="BB1447" s="2043"/>
      <c r="BC1447" s="2043"/>
      <c r="BD1447" s="2043"/>
      <c r="BE1447" s="2043"/>
      <c r="BF1447" s="2043"/>
      <c r="BG1447" s="2043"/>
      <c r="BH1447" s="2043"/>
      <c r="BI1447" s="2043"/>
      <c r="BJ1447" s="2043"/>
      <c r="BK1447" s="2043"/>
      <c r="BL1447" s="2043"/>
    </row>
    <row r="1448" spans="1:64" ht="15">
      <c r="A1448" s="1855"/>
      <c r="B1448" s="2505"/>
      <c r="C1448" s="2051" t="s">
        <v>1874</v>
      </c>
      <c r="D1448" s="2083"/>
      <c r="E1448" s="2083"/>
      <c r="F1448" s="2043"/>
      <c r="G1448" s="2043"/>
      <c r="H1448" s="2043"/>
      <c r="I1448" s="2112" t="s">
        <v>1875</v>
      </c>
      <c r="J1448" s="2568">
        <f>'Part V-Revenues &amp; Expenses'!$P$67</f>
        <v>199</v>
      </c>
      <c r="K1448" s="2568"/>
      <c r="L1448" s="1854"/>
      <c r="M1448" s="1854"/>
      <c r="N1448" s="1854"/>
      <c r="O1448" s="2043"/>
      <c r="P1448" s="1854"/>
      <c r="Q1448" s="2043"/>
      <c r="R1448" s="2043"/>
      <c r="S1448" s="2043"/>
      <c r="T1448" s="2043"/>
      <c r="U1448" s="2569" t="s">
        <v>1876</v>
      </c>
      <c r="V1448" s="2569" t="s">
        <v>1711</v>
      </c>
      <c r="W1448" s="2569" t="s">
        <v>1876</v>
      </c>
      <c r="X1448" s="2569" t="s">
        <v>1711</v>
      </c>
      <c r="Y1448" s="2569" t="s">
        <v>1876</v>
      </c>
      <c r="Z1448" s="2569" t="s">
        <v>1711</v>
      </c>
      <c r="AA1448" s="2043"/>
      <c r="AB1448" s="2043"/>
      <c r="AC1448" s="2043"/>
      <c r="AD1448" s="2043"/>
      <c r="AE1448" s="2043"/>
      <c r="AF1448" s="2043"/>
      <c r="AG1448" s="2043"/>
      <c r="AH1448" s="2043"/>
      <c r="AI1448" s="2043"/>
      <c r="AJ1448" s="2043"/>
      <c r="AK1448" s="2043"/>
      <c r="AL1448" s="2043"/>
      <c r="AM1448" s="2043"/>
      <c r="AN1448" s="2043"/>
      <c r="AO1448" s="2043"/>
      <c r="AP1448" s="2043"/>
      <c r="AQ1448" s="2043"/>
      <c r="AR1448" s="2043"/>
      <c r="AS1448" s="2043"/>
      <c r="AT1448" s="2043"/>
      <c r="AU1448" s="2043"/>
      <c r="AV1448" s="2043"/>
      <c r="AW1448" s="2043"/>
      <c r="AX1448" s="2043"/>
      <c r="AY1448" s="2043"/>
      <c r="AZ1448" s="2043"/>
      <c r="BA1448" s="2043"/>
      <c r="BB1448" s="2043"/>
      <c r="BC1448" s="2043"/>
      <c r="BD1448" s="2043"/>
      <c r="BE1448" s="2043"/>
      <c r="BF1448" s="2043"/>
      <c r="BG1448" s="2043"/>
      <c r="BH1448" s="2043"/>
      <c r="BI1448" s="2043"/>
      <c r="BJ1448" s="2043"/>
      <c r="BK1448" s="2043"/>
      <c r="BL1448" s="2043"/>
    </row>
    <row r="1449" spans="1:64" ht="14.25">
      <c r="A1449" s="2043"/>
      <c r="B1449" s="2043"/>
      <c r="C1449" s="2083"/>
      <c r="D1449" s="2083"/>
      <c r="E1449" s="2083"/>
      <c r="F1449" s="2043"/>
      <c r="G1449" s="2043"/>
      <c r="H1449" s="2043"/>
      <c r="I1449" s="2500" t="s">
        <v>1877</v>
      </c>
      <c r="J1449" s="2570">
        <f>IF(J1448=0,0,J1446/J1448)</f>
        <v>41588.24120603015</v>
      </c>
      <c r="K1449" s="2570"/>
      <c r="L1449" s="2043"/>
      <c r="M1449" s="2570">
        <f>IF(J1448=0,0,M1446/J1448)</f>
        <v>0</v>
      </c>
      <c r="N1449" s="2570"/>
      <c r="O1449" s="2570"/>
      <c r="P1449" s="2570"/>
      <c r="Q1449" s="2043"/>
      <c r="R1449" s="2043"/>
      <c r="S1449" s="2571" t="s">
        <v>1878</v>
      </c>
      <c r="T1449" s="2043"/>
      <c r="U1449" s="2572">
        <v>500000</v>
      </c>
      <c r="V1449" s="2573">
        <v>999999.99</v>
      </c>
      <c r="W1449" s="2572">
        <v>1000000</v>
      </c>
      <c r="X1449" s="2573">
        <v>1999999.99</v>
      </c>
      <c r="Y1449" s="2572">
        <v>2000000</v>
      </c>
      <c r="Z1449" s="2572"/>
      <c r="AA1449" s="2043"/>
      <c r="AB1449" s="2043"/>
      <c r="AC1449" s="2043"/>
      <c r="AD1449" s="2043"/>
      <c r="AE1449" s="2043"/>
      <c r="AF1449" s="2043"/>
      <c r="AG1449" s="2043"/>
      <c r="AH1449" s="2043"/>
      <c r="AI1449" s="2043"/>
      <c r="AJ1449" s="2043"/>
      <c r="AK1449" s="2043"/>
      <c r="AL1449" s="2043"/>
      <c r="AM1449" s="2043"/>
      <c r="AN1449" s="2043"/>
      <c r="AO1449" s="2043"/>
      <c r="AP1449" s="2043"/>
      <c r="AQ1449" s="2043"/>
      <c r="AR1449" s="2043"/>
      <c r="AS1449" s="2043"/>
      <c r="AT1449" s="2043"/>
      <c r="AU1449" s="2043"/>
      <c r="AV1449" s="2043"/>
      <c r="AW1449" s="2043"/>
      <c r="AX1449" s="2043"/>
      <c r="AY1449" s="2043"/>
      <c r="AZ1449" s="2043"/>
      <c r="BA1449" s="2043"/>
      <c r="BB1449" s="2043"/>
      <c r="BC1449" s="2043"/>
      <c r="BD1449" s="2043"/>
      <c r="BE1449" s="2043"/>
      <c r="BF1449" s="2043"/>
      <c r="BG1449" s="2043"/>
      <c r="BH1449" s="2043"/>
      <c r="BI1449" s="2043"/>
      <c r="BJ1449" s="2043"/>
      <c r="BK1449" s="2043"/>
      <c r="BL1449" s="2043"/>
    </row>
    <row r="1450" spans="1:64" ht="14.25">
      <c r="A1450" s="2043"/>
      <c r="B1450" s="2043"/>
      <c r="C1450" s="2083"/>
      <c r="D1450" s="2083"/>
      <c r="E1450" s="2083"/>
      <c r="F1450" s="2043"/>
      <c r="G1450" s="2043"/>
      <c r="H1450" s="2043"/>
      <c r="I1450" s="2500" t="s">
        <v>1879</v>
      </c>
      <c r="J1450" s="2570">
        <f>'Part VIII Scoring Criteria'!J299</f>
        <v>3</v>
      </c>
      <c r="K1450" s="2570"/>
      <c r="L1450" s="2043"/>
      <c r="M1450" s="2570">
        <f>'Part VIII Scoring Criteria'!M299</f>
        <v>0</v>
      </c>
      <c r="N1450" s="2570"/>
      <c r="O1450" s="2570">
        <f t="shared" ref="O1450" si="403">IF(O1446&gt;=$Y$295,$Y$297,IF(O1446&gt;=$W$295,$W$297,IF(O1446&gt;=$U$295,$U$297,0)))</f>
        <v>0</v>
      </c>
      <c r="P1450" s="2570"/>
      <c r="Q1450" s="2043"/>
      <c r="R1450" s="2043"/>
      <c r="S1450" s="2571" t="s">
        <v>1880</v>
      </c>
      <c r="T1450" s="2043"/>
      <c r="U1450" s="2572">
        <v>10000</v>
      </c>
      <c r="V1450" s="2573">
        <v>19999.990000000002</v>
      </c>
      <c r="W1450" s="2572">
        <v>20000</v>
      </c>
      <c r="X1450" s="2573">
        <v>29999.99</v>
      </c>
      <c r="Y1450" s="2572">
        <v>30000</v>
      </c>
      <c r="Z1450" s="2572"/>
      <c r="AA1450" s="2043"/>
      <c r="AB1450" s="2043"/>
      <c r="AC1450" s="2043"/>
      <c r="AD1450" s="2043"/>
      <c r="AE1450" s="2043"/>
      <c r="AF1450" s="2043"/>
      <c r="AG1450" s="2043"/>
      <c r="AH1450" s="2043"/>
      <c r="AI1450" s="2043"/>
      <c r="AJ1450" s="2043"/>
      <c r="AK1450" s="2043"/>
      <c r="AL1450" s="2043"/>
      <c r="AM1450" s="2043"/>
      <c r="AN1450" s="2043"/>
      <c r="AO1450" s="2043"/>
      <c r="AP1450" s="2043"/>
      <c r="AQ1450" s="2043"/>
      <c r="AR1450" s="2043"/>
      <c r="AS1450" s="2043"/>
      <c r="AT1450" s="2043"/>
      <c r="AU1450" s="2043"/>
      <c r="AV1450" s="2043"/>
      <c r="AW1450" s="2043"/>
      <c r="AX1450" s="2043"/>
      <c r="AY1450" s="2043"/>
      <c r="AZ1450" s="2043"/>
      <c r="BA1450" s="2043"/>
      <c r="BB1450" s="2043"/>
      <c r="BC1450" s="2043"/>
      <c r="BD1450" s="2043"/>
      <c r="BE1450" s="2043"/>
      <c r="BF1450" s="2043"/>
      <c r="BG1450" s="2043"/>
      <c r="BH1450" s="2043"/>
      <c r="BI1450" s="2043"/>
      <c r="BJ1450" s="2043"/>
      <c r="BK1450" s="2043"/>
      <c r="BL1450" s="2043"/>
    </row>
    <row r="1451" spans="1:64" ht="15">
      <c r="A1451" s="2043"/>
      <c r="B1451" s="2043"/>
      <c r="C1451" s="2083"/>
      <c r="D1451" s="2083"/>
      <c r="E1451" s="2083"/>
      <c r="F1451" s="2043"/>
      <c r="G1451" s="2043"/>
      <c r="H1451" s="2043"/>
      <c r="I1451" s="2500" t="s">
        <v>1881</v>
      </c>
      <c r="J1451" s="2574">
        <f>'Part VIII Scoring Criteria'!J300</f>
        <v>3</v>
      </c>
      <c r="K1451" s="2574"/>
      <c r="L1451" s="1854"/>
      <c r="M1451" s="2574">
        <f>'Part VIII Scoring Criteria'!M300</f>
        <v>0</v>
      </c>
      <c r="N1451" s="2574"/>
      <c r="O1451" s="2574"/>
      <c r="P1451" s="2574"/>
      <c r="Q1451" s="2043"/>
      <c r="R1451" s="2043"/>
      <c r="S1451" s="2571" t="s">
        <v>1742</v>
      </c>
      <c r="T1451" s="2043"/>
      <c r="U1451" s="1855">
        <v>1</v>
      </c>
      <c r="V1451" s="1855"/>
      <c r="W1451" s="1855">
        <v>2</v>
      </c>
      <c r="X1451" s="1855"/>
      <c r="Y1451" s="1855">
        <v>3</v>
      </c>
      <c r="Z1451" s="1855"/>
      <c r="AA1451" s="2043"/>
      <c r="AB1451" s="2043"/>
      <c r="AC1451" s="2043"/>
      <c r="AD1451" s="2043"/>
      <c r="AE1451" s="2043"/>
      <c r="AF1451" s="2043"/>
      <c r="AG1451" s="2043"/>
      <c r="AH1451" s="2043"/>
      <c r="AI1451" s="2043"/>
      <c r="AJ1451" s="2043"/>
      <c r="AK1451" s="2043"/>
      <c r="AL1451" s="2043"/>
      <c r="AM1451" s="2043"/>
      <c r="AN1451" s="2043"/>
      <c r="AO1451" s="2043"/>
      <c r="AP1451" s="2043"/>
      <c r="AQ1451" s="2043"/>
      <c r="AR1451" s="2043"/>
      <c r="AS1451" s="2043"/>
      <c r="AT1451" s="2043"/>
      <c r="AU1451" s="2043"/>
      <c r="AV1451" s="2043"/>
      <c r="AW1451" s="2043"/>
      <c r="AX1451" s="2043"/>
      <c r="AY1451" s="2043"/>
      <c r="AZ1451" s="2043"/>
      <c r="BA1451" s="2043"/>
      <c r="BB1451" s="2043"/>
      <c r="BC1451" s="2043"/>
      <c r="BD1451" s="2043"/>
      <c r="BE1451" s="2043"/>
      <c r="BF1451" s="2043"/>
      <c r="BG1451" s="2043"/>
      <c r="BH1451" s="2043"/>
      <c r="BI1451" s="2043"/>
      <c r="BJ1451" s="2043"/>
      <c r="BK1451" s="2043"/>
      <c r="BL1451" s="2043"/>
    </row>
    <row r="1452" spans="1:64" ht="15">
      <c r="A1452" s="2043"/>
      <c r="B1452" s="2043"/>
      <c r="C1452" s="2043"/>
      <c r="D1452" s="2043"/>
      <c r="E1452" s="2043"/>
      <c r="F1452" s="2043"/>
      <c r="G1452" s="2043"/>
      <c r="H1452" s="2043"/>
      <c r="I1452" s="2043"/>
      <c r="J1452" s="2043"/>
      <c r="K1452" s="2043"/>
      <c r="L1452" s="2043"/>
      <c r="M1452" s="2043"/>
      <c r="N1452" s="1994"/>
      <c r="O1452" s="2045"/>
      <c r="P1452" s="2045"/>
      <c r="Q1452" s="2043"/>
      <c r="R1452" s="2043"/>
      <c r="S1452" s="2043"/>
      <c r="T1452" s="2043"/>
      <c r="U1452" s="2043"/>
      <c r="V1452" s="2043"/>
      <c r="W1452" s="2043"/>
      <c r="X1452" s="2043"/>
      <c r="Y1452" s="2043"/>
      <c r="Z1452" s="2043"/>
      <c r="AA1452" s="2043"/>
      <c r="AB1452" s="2043"/>
      <c r="AC1452" s="2043"/>
      <c r="AD1452" s="2043"/>
      <c r="AE1452" s="2043"/>
      <c r="AF1452" s="2043"/>
      <c r="AG1452" s="2043"/>
      <c r="AH1452" s="2043"/>
      <c r="AI1452" s="2043"/>
      <c r="AJ1452" s="2043"/>
      <c r="AK1452" s="2043"/>
      <c r="AL1452" s="2043"/>
      <c r="AM1452" s="2043"/>
      <c r="AN1452" s="2043"/>
      <c r="AO1452" s="2043"/>
      <c r="AP1452" s="2043"/>
      <c r="AQ1452" s="2043"/>
      <c r="AR1452" s="2043"/>
      <c r="AS1452" s="2043"/>
      <c r="AT1452" s="2043"/>
      <c r="AU1452" s="2043"/>
      <c r="AV1452" s="2043"/>
      <c r="AW1452" s="2043"/>
      <c r="AX1452" s="2043"/>
      <c r="AY1452" s="2043"/>
      <c r="AZ1452" s="2043"/>
      <c r="BA1452" s="2043"/>
      <c r="BB1452" s="2043"/>
      <c r="BC1452" s="2043"/>
      <c r="BD1452" s="2043"/>
      <c r="BE1452" s="2043"/>
      <c r="BF1452" s="2043"/>
      <c r="BG1452" s="2043"/>
      <c r="BH1452" s="2043"/>
      <c r="BI1452" s="2043"/>
      <c r="BJ1452" s="2043"/>
      <c r="BK1452" s="2043"/>
      <c r="BL1452" s="2043"/>
    </row>
    <row r="1453" spans="1:64" ht="15">
      <c r="A1453" s="2113" t="s">
        <v>206</v>
      </c>
      <c r="B1453" s="2503" t="s">
        <v>1882</v>
      </c>
      <c r="C1453" s="1855"/>
      <c r="D1453" s="1855"/>
      <c r="E1453" s="1855"/>
      <c r="F1453" s="2113"/>
      <c r="G1453" s="1855"/>
      <c r="H1453" s="1855"/>
      <c r="I1453" s="2113"/>
      <c r="J1453" s="2046"/>
      <c r="K1453" s="2046"/>
      <c r="L1453" s="2502" t="str">
        <f>IF(OR($O1453=$M1453,$O1453=0,$O1453=""),"","* * Check Score! * *")</f>
        <v/>
      </c>
      <c r="M1453" s="1964">
        <v>1</v>
      </c>
      <c r="N1453" s="2112"/>
      <c r="O1453" s="2042">
        <f>'Part VIII Scoring Criteria'!O302</f>
        <v>1</v>
      </c>
      <c r="P1453" s="2042"/>
      <c r="Q1453" s="2503"/>
      <c r="R1453" s="1855"/>
      <c r="S1453" s="1855"/>
      <c r="T1453" s="1855"/>
      <c r="U1453" s="1855"/>
      <c r="V1453" s="2561"/>
      <c r="W1453" s="1855"/>
      <c r="X1453" s="1855"/>
      <c r="Y1453" s="1855"/>
      <c r="Z1453" s="1855"/>
      <c r="AA1453" s="1855"/>
      <c r="AB1453" s="1855"/>
      <c r="AC1453" s="1855"/>
      <c r="AD1453" s="1855"/>
      <c r="AE1453" s="1855"/>
      <c r="AF1453" s="1855"/>
      <c r="AG1453" s="1855"/>
      <c r="AH1453" s="1855"/>
      <c r="AI1453" s="1855"/>
      <c r="AJ1453" s="1855"/>
      <c r="AK1453" s="1855"/>
      <c r="AL1453" s="1855"/>
      <c r="AM1453" s="1855"/>
      <c r="AN1453" s="1855"/>
      <c r="AO1453" s="1855"/>
      <c r="AP1453" s="1855"/>
      <c r="AQ1453" s="1855"/>
      <c r="AR1453" s="1855"/>
      <c r="AS1453" s="1855"/>
      <c r="AT1453" s="1855"/>
      <c r="AU1453" s="1855"/>
      <c r="AV1453" s="1855"/>
      <c r="AW1453" s="1855"/>
      <c r="AX1453" s="1855"/>
      <c r="AY1453" s="1855"/>
      <c r="AZ1453" s="1855"/>
      <c r="BA1453" s="1855"/>
      <c r="BB1453" s="1855"/>
      <c r="BC1453" s="1855"/>
      <c r="BD1453" s="1855"/>
      <c r="BE1453" s="1855"/>
      <c r="BF1453" s="1855"/>
      <c r="BG1453" s="1855"/>
      <c r="BH1453" s="1855"/>
      <c r="BI1453" s="1855"/>
      <c r="BJ1453" s="1855"/>
      <c r="BK1453" s="1855"/>
      <c r="BL1453" s="1855"/>
    </row>
    <row r="1454" spans="1:64" ht="15" customHeight="1">
      <c r="A1454" s="2114"/>
      <c r="B1454" s="2524"/>
      <c r="C1454" s="2052" t="s">
        <v>1883</v>
      </c>
      <c r="D1454" s="2052"/>
      <c r="E1454" s="2052"/>
      <c r="F1454" s="2052"/>
      <c r="G1454" s="2052"/>
      <c r="H1454" s="2052"/>
      <c r="I1454" s="2052"/>
      <c r="J1454" s="2052"/>
      <c r="K1454" s="2052"/>
      <c r="L1454" s="2052"/>
      <c r="M1454" s="2052"/>
      <c r="N1454" s="2525"/>
      <c r="O1454" s="1964" t="str">
        <f>'Part VIII Scoring Criteria'!O303</f>
        <v>Yes</v>
      </c>
      <c r="P1454" s="2531"/>
      <c r="Q1454" s="2043"/>
      <c r="R1454" s="2043"/>
      <c r="S1454" s="2043"/>
      <c r="T1454" s="2043"/>
      <c r="U1454" s="2043"/>
      <c r="V1454" s="2561"/>
      <c r="W1454" s="2043"/>
      <c r="X1454" s="2043"/>
      <c r="Y1454" s="2043"/>
      <c r="Z1454" s="2043"/>
      <c r="AA1454" s="2043"/>
      <c r="AB1454" s="2043"/>
      <c r="AC1454" s="2043"/>
      <c r="AD1454" s="2043"/>
      <c r="AE1454" s="2043"/>
      <c r="AF1454" s="2043"/>
      <c r="AG1454" s="2043"/>
      <c r="AH1454" s="2043"/>
      <c r="AI1454" s="2043"/>
      <c r="AJ1454" s="2043"/>
      <c r="AK1454" s="2043"/>
      <c r="AL1454" s="2043"/>
      <c r="AM1454" s="2043"/>
      <c r="AN1454" s="2043"/>
      <c r="AO1454" s="2043"/>
      <c r="AP1454" s="2043"/>
      <c r="AQ1454" s="2043"/>
      <c r="AR1454" s="2043"/>
      <c r="AS1454" s="2043"/>
      <c r="AT1454" s="2043"/>
      <c r="AU1454" s="2043"/>
      <c r="AV1454" s="2043"/>
      <c r="AW1454" s="2043"/>
      <c r="AX1454" s="2043"/>
      <c r="AY1454" s="2043"/>
      <c r="AZ1454" s="2043"/>
      <c r="BA1454" s="2043"/>
      <c r="BB1454" s="2043"/>
      <c r="BC1454" s="2043"/>
      <c r="BD1454" s="2043"/>
      <c r="BE1454" s="2043"/>
      <c r="BF1454" s="2043"/>
      <c r="BG1454" s="2043"/>
      <c r="BH1454" s="2043"/>
      <c r="BI1454" s="2043"/>
      <c r="BJ1454" s="2043"/>
      <c r="BK1454" s="2043"/>
      <c r="BL1454" s="2043"/>
    </row>
    <row r="1455" spans="1:64" ht="15">
      <c r="A1455" s="2114"/>
      <c r="B1455" s="2541"/>
      <c r="C1455" s="1855" t="s">
        <v>1884</v>
      </c>
      <c r="D1455" s="1855"/>
      <c r="E1455" s="1855"/>
      <c r="F1455" s="1855"/>
      <c r="G1455" s="1855"/>
      <c r="H1455" s="1855"/>
      <c r="I1455" s="1855"/>
      <c r="J1455" s="1855"/>
      <c r="K1455" s="1855"/>
      <c r="L1455" s="2043"/>
      <c r="M1455" s="1855"/>
      <c r="N1455" s="2485"/>
      <c r="O1455" s="1964" t="str">
        <f>'Part VIII Scoring Criteria'!O304</f>
        <v>Yes</v>
      </c>
      <c r="P1455" s="2113"/>
      <c r="Q1455" s="2043"/>
      <c r="R1455" s="2043"/>
      <c r="S1455" s="2043"/>
      <c r="T1455" s="2043"/>
      <c r="U1455" s="2043"/>
      <c r="V1455" s="2561"/>
      <c r="W1455" s="2043"/>
      <c r="X1455" s="2043"/>
      <c r="Y1455" s="2043"/>
      <c r="Z1455" s="2043"/>
      <c r="AA1455" s="2043"/>
      <c r="AB1455" s="2043"/>
      <c r="AC1455" s="2043"/>
      <c r="AD1455" s="2043"/>
      <c r="AE1455" s="2043"/>
      <c r="AF1455" s="2043"/>
      <c r="AG1455" s="2043"/>
      <c r="AH1455" s="2043"/>
      <c r="AI1455" s="2043"/>
      <c r="AJ1455" s="2043"/>
      <c r="AK1455" s="2043"/>
      <c r="AL1455" s="2043"/>
      <c r="AM1455" s="2043"/>
      <c r="AN1455" s="2043"/>
      <c r="AO1455" s="2043"/>
      <c r="AP1455" s="2043"/>
      <c r="AQ1455" s="2043"/>
      <c r="AR1455" s="2043"/>
      <c r="AS1455" s="2043"/>
      <c r="AT1455" s="2043"/>
      <c r="AU1455" s="2043"/>
      <c r="AV1455" s="2043"/>
      <c r="AW1455" s="2043"/>
      <c r="AX1455" s="2043"/>
      <c r="AY1455" s="2043"/>
      <c r="AZ1455" s="2043"/>
      <c r="BA1455" s="2043"/>
      <c r="BB1455" s="2043"/>
      <c r="BC1455" s="2043"/>
      <c r="BD1455" s="2043"/>
      <c r="BE1455" s="2043"/>
      <c r="BF1455" s="2043"/>
      <c r="BG1455" s="2043"/>
      <c r="BH1455" s="2043"/>
      <c r="BI1455" s="2043"/>
      <c r="BJ1455" s="2043"/>
      <c r="BK1455" s="2043"/>
      <c r="BL1455" s="2043"/>
    </row>
    <row r="1456" spans="1:64" ht="15">
      <c r="A1456" s="2043"/>
      <c r="B1456" s="2541"/>
      <c r="C1456" s="2043" t="s">
        <v>1885</v>
      </c>
      <c r="D1456" s="2043"/>
      <c r="E1456" s="2043"/>
      <c r="F1456" s="2043"/>
      <c r="G1456" s="2043"/>
      <c r="H1456" s="2043"/>
      <c r="I1456" s="2043"/>
      <c r="J1456" s="2043"/>
      <c r="K1456" s="2043"/>
      <c r="L1456" s="2043"/>
      <c r="M1456" s="2043"/>
      <c r="N1456" s="2485"/>
      <c r="O1456" s="1964" t="str">
        <f>'Part VIII Scoring Criteria'!O305</f>
        <v>Yes</v>
      </c>
      <c r="P1456" s="2113"/>
      <c r="Q1456" s="2043"/>
      <c r="R1456" s="2043"/>
      <c r="S1456" s="2043"/>
      <c r="T1456" s="2043"/>
      <c r="U1456" s="2043"/>
      <c r="V1456" s="2043"/>
      <c r="W1456" s="2043"/>
      <c r="X1456" s="2043"/>
      <c r="Y1456" s="2043"/>
      <c r="Z1456" s="2043"/>
      <c r="AA1456" s="2043"/>
      <c r="AB1456" s="2043"/>
      <c r="AC1456" s="2043"/>
      <c r="AD1456" s="2043"/>
      <c r="AE1456" s="2043"/>
      <c r="AF1456" s="2043"/>
      <c r="AG1456" s="2043"/>
      <c r="AH1456" s="2043"/>
      <c r="AI1456" s="2043"/>
      <c r="AJ1456" s="2043"/>
      <c r="AK1456" s="2043"/>
      <c r="AL1456" s="2043"/>
      <c r="AM1456" s="2043"/>
      <c r="AN1456" s="2043"/>
      <c r="AO1456" s="2043"/>
      <c r="AP1456" s="2043"/>
      <c r="AQ1456" s="2043"/>
      <c r="AR1456" s="2043"/>
      <c r="AS1456" s="2043"/>
      <c r="AT1456" s="2043"/>
      <c r="AU1456" s="2043"/>
      <c r="AV1456" s="2043"/>
      <c r="AW1456" s="2043"/>
      <c r="AX1456" s="2043"/>
      <c r="AY1456" s="2043"/>
      <c r="AZ1456" s="2043"/>
      <c r="BA1456" s="2043"/>
      <c r="BB1456" s="2043"/>
      <c r="BC1456" s="2043"/>
      <c r="BD1456" s="2043"/>
      <c r="BE1456" s="2043"/>
      <c r="BF1456" s="2043"/>
      <c r="BG1456" s="2043"/>
      <c r="BH1456" s="2043"/>
      <c r="BI1456" s="2043"/>
      <c r="BJ1456" s="2043"/>
      <c r="BK1456" s="2043"/>
      <c r="BL1456" s="2043"/>
    </row>
    <row r="1457" spans="1:64" ht="15">
      <c r="A1457" s="2043"/>
      <c r="B1457" s="2110" t="s">
        <v>1739</v>
      </c>
      <c r="C1457" s="2043"/>
      <c r="D1457" s="2043"/>
      <c r="E1457" s="2043"/>
      <c r="F1457" s="2043"/>
      <c r="G1457" s="2043"/>
      <c r="H1457" s="2043"/>
      <c r="I1457" s="2043"/>
      <c r="J1457" s="2043"/>
      <c r="K1457" s="2043"/>
      <c r="L1457" s="2043"/>
      <c r="M1457" s="2043"/>
      <c r="N1457" s="1994"/>
      <c r="O1457" s="2045"/>
      <c r="P1457" s="2045"/>
      <c r="Q1457" s="2043"/>
      <c r="R1457" s="2043"/>
      <c r="S1457" s="2043"/>
      <c r="T1457" s="2043"/>
      <c r="U1457" s="2043"/>
      <c r="V1457" s="2043"/>
      <c r="W1457" s="2043"/>
      <c r="X1457" s="2043"/>
      <c r="Y1457" s="2043"/>
      <c r="Z1457" s="2043"/>
      <c r="AA1457" s="2043"/>
      <c r="AB1457" s="2043"/>
      <c r="AC1457" s="2043"/>
      <c r="AD1457" s="2043"/>
      <c r="AE1457" s="2043"/>
      <c r="AF1457" s="2043"/>
      <c r="AG1457" s="2043"/>
      <c r="AH1457" s="2043"/>
      <c r="AI1457" s="2043"/>
      <c r="AJ1457" s="2043"/>
      <c r="AK1457" s="2043"/>
      <c r="AL1457" s="2043"/>
      <c r="AM1457" s="2043"/>
      <c r="AN1457" s="2043"/>
      <c r="AO1457" s="2043"/>
      <c r="AP1457" s="2043"/>
      <c r="AQ1457" s="2043"/>
      <c r="AR1457" s="2043"/>
      <c r="AS1457" s="2043"/>
      <c r="AT1457" s="2043"/>
      <c r="AU1457" s="2043"/>
      <c r="AV1457" s="2043"/>
      <c r="AW1457" s="2043"/>
      <c r="AX1457" s="2043"/>
      <c r="AY1457" s="2043"/>
      <c r="AZ1457" s="2043"/>
      <c r="BA1457" s="2043"/>
      <c r="BB1457" s="2043"/>
      <c r="BC1457" s="2043"/>
      <c r="BD1457" s="2043"/>
      <c r="BE1457" s="2043"/>
      <c r="BF1457" s="2043"/>
      <c r="BG1457" s="2043"/>
      <c r="BH1457" s="2043"/>
      <c r="BI1457" s="2043"/>
      <c r="BJ1457" s="2043"/>
      <c r="BK1457" s="2043"/>
      <c r="BL1457" s="2043"/>
    </row>
    <row r="1458" spans="1:64" ht="409.5">
      <c r="A1458" s="2052" t="str">
        <f>'Part VIII Scoring Criteria'!A307</f>
        <v xml:space="preserve">Applicant will receive a loan from Atlanta Housing at 1% interest.  Seller will assign the existing nominal ground lease to the Application, and per the terms of AH's commitment letter, AH will extend the term of the ground lease for at least 45 years. </v>
      </c>
      <c r="B1458" s="2052"/>
      <c r="C1458" s="2052"/>
      <c r="D1458" s="2052"/>
      <c r="E1458" s="2052"/>
      <c r="F1458" s="2052"/>
      <c r="G1458" s="2052"/>
      <c r="H1458" s="2052"/>
      <c r="I1458" s="2052"/>
      <c r="J1458" s="2052"/>
      <c r="K1458" s="2052"/>
      <c r="L1458" s="2052"/>
      <c r="M1458" s="2052"/>
      <c r="N1458" s="2052"/>
      <c r="O1458" s="2052"/>
      <c r="P1458" s="2052"/>
      <c r="Q1458" s="1854"/>
      <c r="R1458" s="2043"/>
      <c r="S1458" s="2043"/>
      <c r="T1458" s="2043"/>
      <c r="U1458" s="2043"/>
      <c r="V1458" s="2043"/>
      <c r="W1458" s="2043"/>
      <c r="X1458" s="2043"/>
      <c r="Y1458" s="2043"/>
      <c r="Z1458" s="2043"/>
      <c r="AA1458" s="2043"/>
      <c r="AB1458" s="2043"/>
      <c r="AC1458" s="2043"/>
      <c r="AD1458" s="2043"/>
      <c r="AE1458" s="2043"/>
      <c r="AF1458" s="2043"/>
      <c r="AG1458" s="2043"/>
      <c r="AH1458" s="2043"/>
      <c r="AI1458" s="2043"/>
      <c r="AJ1458" s="2043"/>
      <c r="AK1458" s="2043"/>
      <c r="AL1458" s="2043"/>
      <c r="AM1458" s="2043"/>
      <c r="AN1458" s="2043"/>
      <c r="AO1458" s="2043"/>
      <c r="AP1458" s="2043"/>
      <c r="AQ1458" s="2043"/>
      <c r="AR1458" s="2043"/>
      <c r="AS1458" s="2043"/>
      <c r="AT1458" s="2043"/>
      <c r="AU1458" s="2043"/>
      <c r="AV1458" s="2043"/>
      <c r="AW1458" s="2043"/>
      <c r="AX1458" s="2043"/>
      <c r="AY1458" s="2043"/>
      <c r="AZ1458" s="2043"/>
      <c r="BA1458" s="2043"/>
      <c r="BB1458" s="2043"/>
      <c r="BC1458" s="2043"/>
      <c r="BD1458" s="2043"/>
      <c r="BE1458" s="2043"/>
      <c r="BF1458" s="2043"/>
      <c r="BG1458" s="2043"/>
      <c r="BH1458" s="2043"/>
      <c r="BI1458" s="2043"/>
      <c r="BJ1458" s="2043"/>
      <c r="BK1458" s="2043"/>
      <c r="BL1458" s="2043"/>
    </row>
    <row r="1459" spans="1:64" ht="15">
      <c r="A1459" s="1855"/>
      <c r="B1459" s="2484" t="s">
        <v>1399</v>
      </c>
      <c r="C1459" s="1855"/>
      <c r="D1459" s="2484"/>
      <c r="E1459" s="2532"/>
      <c r="F1459" s="2532"/>
      <c r="G1459" s="2532"/>
      <c r="H1459" s="2532"/>
      <c r="I1459" s="2532"/>
      <c r="J1459" s="2532"/>
      <c r="K1459" s="2532"/>
      <c r="L1459" s="2532"/>
      <c r="M1459" s="2532"/>
      <c r="N1459" s="2533"/>
      <c r="O1459" s="2478"/>
      <c r="P1459" s="2113"/>
      <c r="Q1459" s="2043"/>
      <c r="R1459" s="1855"/>
      <c r="S1459" s="1855"/>
      <c r="T1459" s="1855"/>
      <c r="U1459" s="1855"/>
      <c r="V1459" s="1855"/>
      <c r="W1459" s="1855"/>
      <c r="X1459" s="1855"/>
      <c r="Y1459" s="1855"/>
      <c r="Z1459" s="1855"/>
      <c r="AA1459" s="1855"/>
      <c r="AB1459" s="1855"/>
      <c r="AC1459" s="1855"/>
      <c r="AD1459" s="1855"/>
      <c r="AE1459" s="1855"/>
      <c r="AF1459" s="1855"/>
      <c r="AG1459" s="1855"/>
      <c r="AH1459" s="1855"/>
      <c r="AI1459" s="1855"/>
      <c r="AJ1459" s="1855"/>
      <c r="AK1459" s="1855"/>
      <c r="AL1459" s="1855"/>
      <c r="AM1459" s="1855"/>
      <c r="AN1459" s="1855"/>
      <c r="AO1459" s="1855"/>
      <c r="AP1459" s="1855"/>
      <c r="AQ1459" s="1855"/>
      <c r="AR1459" s="1855"/>
      <c r="AS1459" s="1855"/>
      <c r="AT1459" s="1855"/>
      <c r="AU1459" s="1855"/>
      <c r="AV1459" s="1855"/>
      <c r="AW1459" s="1855"/>
      <c r="AX1459" s="1855"/>
      <c r="AY1459" s="1855"/>
      <c r="AZ1459" s="1855"/>
      <c r="BA1459" s="1855"/>
      <c r="BB1459" s="1855"/>
      <c r="BC1459" s="1855"/>
      <c r="BD1459" s="1855"/>
      <c r="BE1459" s="1855"/>
      <c r="BF1459" s="1855"/>
      <c r="BG1459" s="1855"/>
      <c r="BH1459" s="1855"/>
      <c r="BI1459" s="1855"/>
      <c r="BJ1459" s="1855"/>
      <c r="BK1459" s="1855"/>
      <c r="BL1459" s="1855"/>
    </row>
    <row r="1460" spans="1:64" ht="15">
      <c r="A1460" s="2052"/>
      <c r="B1460" s="2052"/>
      <c r="C1460" s="2052"/>
      <c r="D1460" s="2052"/>
      <c r="E1460" s="2052"/>
      <c r="F1460" s="2052"/>
      <c r="G1460" s="2052"/>
      <c r="H1460" s="2052"/>
      <c r="I1460" s="2052"/>
      <c r="J1460" s="2052"/>
      <c r="K1460" s="2052"/>
      <c r="L1460" s="2052"/>
      <c r="M1460" s="2052"/>
      <c r="N1460" s="2052"/>
      <c r="O1460" s="2052"/>
      <c r="P1460" s="2052"/>
      <c r="Q1460" s="1854"/>
      <c r="R1460" s="2043"/>
      <c r="S1460" s="2043"/>
      <c r="T1460" s="2043"/>
      <c r="U1460" s="2043"/>
      <c r="V1460" s="2043"/>
      <c r="W1460" s="2043"/>
      <c r="X1460" s="2043"/>
      <c r="Y1460" s="2043"/>
      <c r="Z1460" s="2043"/>
      <c r="AA1460" s="2043"/>
      <c r="AB1460" s="2043"/>
      <c r="AC1460" s="2043"/>
      <c r="AD1460" s="2043"/>
      <c r="AE1460" s="2043"/>
      <c r="AF1460" s="2043"/>
      <c r="AG1460" s="2043"/>
      <c r="AH1460" s="2043"/>
      <c r="AI1460" s="2043"/>
      <c r="AJ1460" s="2043"/>
      <c r="AK1460" s="2043"/>
      <c r="AL1460" s="2043"/>
      <c r="AM1460" s="2043"/>
      <c r="AN1460" s="2043"/>
      <c r="AO1460" s="2043"/>
      <c r="AP1460" s="2043"/>
      <c r="AQ1460" s="2043"/>
      <c r="AR1460" s="2043"/>
      <c r="AS1460" s="2043"/>
      <c r="AT1460" s="2043"/>
      <c r="AU1460" s="2043"/>
      <c r="AV1460" s="2043"/>
      <c r="AW1460" s="2043"/>
      <c r="AX1460" s="2043"/>
      <c r="AY1460" s="2043"/>
      <c r="AZ1460" s="2043"/>
      <c r="BA1460" s="2043"/>
      <c r="BB1460" s="2043"/>
      <c r="BC1460" s="2043"/>
      <c r="BD1460" s="2043"/>
      <c r="BE1460" s="2043"/>
      <c r="BF1460" s="2043"/>
      <c r="BG1460" s="2043"/>
      <c r="BH1460" s="2043"/>
      <c r="BI1460" s="2043"/>
      <c r="BJ1460" s="2043"/>
      <c r="BK1460" s="2043"/>
      <c r="BL1460" s="2043"/>
    </row>
    <row r="1461" spans="1:64" ht="15">
      <c r="A1461" s="1855"/>
      <c r="B1461" s="1855"/>
      <c r="C1461" s="2487"/>
      <c r="D1461" s="2487"/>
      <c r="E1461" s="2487"/>
      <c r="F1461" s="2487"/>
      <c r="G1461" s="2487"/>
      <c r="H1461" s="2487"/>
      <c r="I1461" s="2487"/>
      <c r="J1461" s="2487"/>
      <c r="K1461" s="2487"/>
      <c r="L1461" s="2487"/>
      <c r="M1461" s="2487"/>
      <c r="N1461" s="2511"/>
      <c r="O1461" s="2489"/>
      <c r="P1461" s="2113"/>
      <c r="Q1461" s="2043"/>
      <c r="R1461" s="2043"/>
      <c r="S1461" s="2043"/>
      <c r="T1461" s="2043"/>
      <c r="U1461" s="2043"/>
      <c r="V1461" s="2043"/>
      <c r="W1461" s="2043"/>
      <c r="X1461" s="2043"/>
      <c r="Y1461" s="2043"/>
      <c r="Z1461" s="2043"/>
      <c r="AA1461" s="2043"/>
      <c r="AB1461" s="2043"/>
      <c r="AC1461" s="2043"/>
      <c r="AD1461" s="2043"/>
      <c r="AE1461" s="2043"/>
      <c r="AF1461" s="2043"/>
      <c r="AG1461" s="2043"/>
      <c r="AH1461" s="2043"/>
      <c r="AI1461" s="2043"/>
      <c r="AJ1461" s="2043"/>
      <c r="AK1461" s="2043"/>
      <c r="AL1461" s="2043"/>
      <c r="AM1461" s="2043"/>
      <c r="AN1461" s="2043"/>
      <c r="AO1461" s="2043"/>
      <c r="AP1461" s="2043"/>
      <c r="AQ1461" s="2043"/>
      <c r="AR1461" s="2043"/>
      <c r="AS1461" s="2043"/>
      <c r="AT1461" s="2043"/>
      <c r="AU1461" s="2043"/>
      <c r="AV1461" s="2043"/>
      <c r="AW1461" s="2043"/>
      <c r="AX1461" s="2043"/>
      <c r="AY1461" s="2043"/>
      <c r="AZ1461" s="2043"/>
      <c r="BA1461" s="2043"/>
      <c r="BB1461" s="2043"/>
      <c r="BC1461" s="2043"/>
      <c r="BD1461" s="2043"/>
      <c r="BE1461" s="2043"/>
      <c r="BF1461" s="2043"/>
      <c r="BG1461" s="2043"/>
      <c r="BH1461" s="2043"/>
      <c r="BI1461" s="2043"/>
      <c r="BJ1461" s="2043"/>
      <c r="BK1461" s="2043"/>
      <c r="BL1461" s="2043"/>
    </row>
    <row r="1462" spans="1:64" ht="15">
      <c r="A1462" s="1855"/>
      <c r="B1462" s="1855"/>
      <c r="C1462" s="2487"/>
      <c r="D1462" s="2487"/>
      <c r="E1462" s="2487"/>
      <c r="F1462" s="2487"/>
      <c r="G1462" s="2487"/>
      <c r="H1462" s="2487"/>
      <c r="I1462" s="2487"/>
      <c r="J1462" s="2487"/>
      <c r="K1462" s="2487"/>
      <c r="L1462" s="2487"/>
      <c r="M1462" s="2487"/>
      <c r="N1462" s="2511"/>
      <c r="O1462" s="2489"/>
      <c r="P1462" s="2113"/>
      <c r="Q1462" s="2043"/>
      <c r="R1462" s="2043"/>
      <c r="S1462" s="2043"/>
      <c r="T1462" s="2043"/>
      <c r="U1462" s="2043"/>
      <c r="V1462" s="2043"/>
      <c r="W1462" s="2043"/>
      <c r="X1462" s="2043"/>
      <c r="Y1462" s="2043"/>
      <c r="Z1462" s="2043"/>
      <c r="AA1462" s="2043"/>
      <c r="AB1462" s="2043"/>
      <c r="AC1462" s="2043"/>
      <c r="AD1462" s="2043"/>
      <c r="AE1462" s="2043"/>
      <c r="AF1462" s="2043"/>
      <c r="AG1462" s="2043"/>
      <c r="AH1462" s="2043"/>
      <c r="AI1462" s="2043"/>
      <c r="AJ1462" s="2043"/>
      <c r="AK1462" s="2043"/>
      <c r="AL1462" s="2043"/>
      <c r="AM1462" s="2043"/>
      <c r="AN1462" s="2043"/>
      <c r="AO1462" s="2043"/>
      <c r="AP1462" s="2043"/>
      <c r="AQ1462" s="2043"/>
      <c r="AR1462" s="2043"/>
      <c r="AS1462" s="2043"/>
      <c r="AT1462" s="2043"/>
      <c r="AU1462" s="2043"/>
      <c r="AV1462" s="2043"/>
      <c r="AW1462" s="2043"/>
      <c r="AX1462" s="2043"/>
      <c r="AY1462" s="2043"/>
      <c r="AZ1462" s="2043"/>
      <c r="BA1462" s="2043"/>
      <c r="BB1462" s="2043"/>
      <c r="BC1462" s="2043"/>
      <c r="BD1462" s="2043"/>
      <c r="BE1462" s="2043"/>
      <c r="BF1462" s="2043"/>
      <c r="BG1462" s="2043"/>
      <c r="BH1462" s="2043"/>
      <c r="BI1462" s="2043"/>
      <c r="BJ1462" s="2043"/>
      <c r="BK1462" s="2043"/>
      <c r="BL1462" s="2043"/>
    </row>
    <row r="1463" spans="1:64" ht="15">
      <c r="A1463" s="2109" t="s">
        <v>1529</v>
      </c>
      <c r="B1463" s="2110" t="s">
        <v>1886</v>
      </c>
      <c r="C1463" s="2043"/>
      <c r="D1463" s="2046"/>
      <c r="E1463" s="2043"/>
      <c r="F1463" s="2043"/>
      <c r="G1463" s="2487"/>
      <c r="H1463" s="2487"/>
      <c r="I1463" s="2487"/>
      <c r="J1463" s="2487"/>
      <c r="K1463" s="2487"/>
      <c r="L1463" s="2487"/>
      <c r="M1463" s="2113">
        <v>2</v>
      </c>
      <c r="N1463" s="2112"/>
      <c r="O1463" s="2042">
        <f>'Part VIII Scoring Criteria'!O312</f>
        <v>0</v>
      </c>
      <c r="P1463" s="2042">
        <f>'Part VIII Scoring Criteria'!P312</f>
        <v>0</v>
      </c>
      <c r="Q1463" s="2113" t="s">
        <v>1716</v>
      </c>
      <c r="R1463" s="2503" t="str">
        <f>IF(AND(O1463&gt;0,NOT($F$31="New Supply")), "Ineligible to score in this section, not New Supply!","")</f>
        <v/>
      </c>
      <c r="S1463" s="2043"/>
      <c r="T1463" s="2043"/>
      <c r="U1463" s="2043"/>
      <c r="V1463" s="2043"/>
      <c r="W1463" s="2043"/>
      <c r="X1463" s="2043"/>
      <c r="Y1463" s="2043"/>
      <c r="Z1463" s="2043"/>
      <c r="AA1463" s="2043"/>
      <c r="AB1463" s="2043"/>
      <c r="AC1463" s="2043"/>
      <c r="AD1463" s="2043"/>
      <c r="AE1463" s="2043"/>
      <c r="AF1463" s="2043"/>
      <c r="AG1463" s="2043"/>
      <c r="AH1463" s="2043"/>
      <c r="AI1463" s="2043"/>
      <c r="AJ1463" s="2043"/>
      <c r="AK1463" s="2043"/>
      <c r="AL1463" s="2043"/>
      <c r="AM1463" s="2043"/>
      <c r="AN1463" s="2043"/>
      <c r="AO1463" s="2043"/>
      <c r="AP1463" s="2043"/>
      <c r="AQ1463" s="2043"/>
      <c r="AR1463" s="2043"/>
      <c r="AS1463" s="2043"/>
      <c r="AT1463" s="2043"/>
      <c r="AU1463" s="2043"/>
      <c r="AV1463" s="2043"/>
      <c r="AW1463" s="2043"/>
      <c r="AX1463" s="2043"/>
      <c r="AY1463" s="2043"/>
      <c r="AZ1463" s="2043"/>
      <c r="BA1463" s="2043"/>
      <c r="BB1463" s="2043"/>
      <c r="BC1463" s="2043"/>
      <c r="BD1463" s="2043"/>
      <c r="BE1463" s="2043"/>
      <c r="BF1463" s="2043"/>
      <c r="BG1463" s="2043"/>
      <c r="BH1463" s="2043"/>
      <c r="BI1463" s="2043"/>
      <c r="BJ1463" s="2043"/>
      <c r="BK1463" s="2043"/>
      <c r="BL1463" s="2043"/>
    </row>
    <row r="1464" spans="1:64" ht="14.25">
      <c r="A1464" s="2556"/>
      <c r="B1464" s="2049"/>
      <c r="C1464" s="2049"/>
      <c r="D1464" s="2049"/>
      <c r="E1464" s="2548" t="s">
        <v>1887</v>
      </c>
      <c r="F1464" s="2049"/>
      <c r="G1464" s="1855" t="str">
        <f>'Part VIII Scoring Criteria'!G313</f>
        <v>&lt;Select applicable status&gt;</v>
      </c>
      <c r="H1464" s="1855"/>
      <c r="I1464" s="1855"/>
      <c r="J1464" s="1855"/>
      <c r="K1464" s="1855"/>
      <c r="L1464" s="1855"/>
      <c r="M1464" s="2048"/>
      <c r="N1464" s="2048"/>
      <c r="O1464" s="2048"/>
      <c r="P1464" s="2048"/>
      <c r="Q1464" s="1855"/>
      <c r="R1464" s="2049"/>
      <c r="S1464" s="2049"/>
      <c r="T1464" s="2049"/>
      <c r="U1464" s="2049"/>
      <c r="V1464" s="2049"/>
      <c r="W1464" s="2049"/>
      <c r="X1464" s="2049"/>
      <c r="Y1464" s="2049"/>
      <c r="Z1464" s="2049"/>
      <c r="AA1464" s="2049"/>
      <c r="AB1464" s="2049"/>
      <c r="AC1464" s="2049"/>
      <c r="AD1464" s="2049"/>
      <c r="AE1464" s="2049"/>
      <c r="AF1464" s="2049"/>
      <c r="AG1464" s="2049"/>
      <c r="AH1464" s="2049"/>
      <c r="AI1464" s="2049"/>
      <c r="AJ1464" s="2049"/>
      <c r="AK1464" s="2049"/>
      <c r="AL1464" s="2049"/>
      <c r="AM1464" s="2049"/>
      <c r="AN1464" s="2049"/>
      <c r="AO1464" s="2049"/>
      <c r="AP1464" s="2049"/>
      <c r="AQ1464" s="2049"/>
      <c r="AR1464" s="2049"/>
      <c r="AS1464" s="2049"/>
      <c r="AT1464" s="2049"/>
      <c r="AU1464" s="2049"/>
      <c r="AV1464" s="2049"/>
      <c r="AW1464" s="2049"/>
      <c r="AX1464" s="2049"/>
      <c r="AY1464" s="2049"/>
      <c r="AZ1464" s="2049"/>
      <c r="BA1464" s="2049"/>
      <c r="BB1464" s="2049"/>
      <c r="BC1464" s="2049"/>
      <c r="BD1464" s="2049"/>
      <c r="BE1464" s="2049"/>
      <c r="BF1464" s="2049"/>
      <c r="BG1464" s="2049"/>
      <c r="BH1464" s="2049"/>
      <c r="BI1464" s="2049"/>
      <c r="BJ1464" s="2049"/>
      <c r="BK1464" s="2049"/>
      <c r="BL1464" s="2049"/>
    </row>
    <row r="1465" spans="1:64" ht="15">
      <c r="A1465" s="2495" t="s">
        <v>194</v>
      </c>
      <c r="B1465" s="1854" t="s">
        <v>1889</v>
      </c>
      <c r="C1465" s="2049"/>
      <c r="D1465" s="2049"/>
      <c r="E1465" s="2049"/>
      <c r="F1465" s="2049"/>
      <c r="G1465" s="2049"/>
      <c r="H1465" s="2049"/>
      <c r="I1465" s="2049"/>
      <c r="J1465" s="2049"/>
      <c r="K1465" s="2049"/>
      <c r="L1465" s="2049"/>
      <c r="M1465" s="2048">
        <v>2</v>
      </c>
      <c r="N1465" s="2509"/>
      <c r="O1465" s="2042">
        <f>'Part VIII Scoring Criteria'!O314</f>
        <v>0</v>
      </c>
      <c r="P1465" s="2042"/>
      <c r="Q1465" s="2543" t="str">
        <f>IF(OR($O1465=$M1465,$O1465=0,$O1465=""),"","*CHECK!*")</f>
        <v/>
      </c>
      <c r="R1465" s="2503"/>
      <c r="S1465" s="2049"/>
      <c r="T1465" s="2049"/>
      <c r="U1465" s="2049"/>
      <c r="V1465" s="2049"/>
      <c r="W1465" s="2049"/>
      <c r="X1465" s="2049"/>
      <c r="Y1465" s="2049"/>
      <c r="Z1465" s="2049"/>
      <c r="AA1465" s="2049"/>
      <c r="AB1465" s="2049"/>
      <c r="AC1465" s="2049"/>
      <c r="AD1465" s="2049"/>
      <c r="AE1465" s="2049"/>
      <c r="AF1465" s="2049"/>
      <c r="AG1465" s="2049"/>
      <c r="AH1465" s="2049"/>
      <c r="AI1465" s="2049"/>
      <c r="AJ1465" s="2049"/>
      <c r="AK1465" s="2049"/>
      <c r="AL1465" s="2049"/>
      <c r="AM1465" s="2049"/>
      <c r="AN1465" s="2049"/>
      <c r="AO1465" s="2049"/>
      <c r="AP1465" s="2049"/>
      <c r="AQ1465" s="2049"/>
      <c r="AR1465" s="2049"/>
      <c r="AS1465" s="2049"/>
      <c r="AT1465" s="2049"/>
      <c r="AU1465" s="2049"/>
      <c r="AV1465" s="2049"/>
      <c r="AW1465" s="2049"/>
      <c r="AX1465" s="2049"/>
      <c r="AY1465" s="2049"/>
      <c r="AZ1465" s="2049"/>
      <c r="BA1465" s="2049"/>
      <c r="BB1465" s="2049"/>
      <c r="BC1465" s="2049"/>
      <c r="BD1465" s="2049"/>
      <c r="BE1465" s="2049"/>
      <c r="BF1465" s="2049"/>
      <c r="BG1465" s="2049"/>
      <c r="BH1465" s="2049"/>
      <c r="BI1465" s="2049"/>
      <c r="BJ1465" s="2049"/>
      <c r="BK1465" s="2049"/>
      <c r="BL1465" s="2049"/>
    </row>
    <row r="1466" spans="1:64" ht="15" customHeight="1">
      <c r="A1466" s="2051"/>
      <c r="B1466" s="2052" t="str">
        <f>'Part VIII Scoring Criteria'!B315</f>
        <v>&lt;&lt; Enter here Applicant's Narrative of how building will be reused. Adjust row height as needed. &gt;&gt;</v>
      </c>
      <c r="C1466" s="2052"/>
      <c r="D1466" s="2052"/>
      <c r="E1466" s="2052"/>
      <c r="F1466" s="2052"/>
      <c r="G1466" s="2052"/>
      <c r="H1466" s="2052"/>
      <c r="I1466" s="2052"/>
      <c r="J1466" s="2052"/>
      <c r="K1466" s="2052"/>
      <c r="L1466" s="2052"/>
      <c r="M1466" s="2052"/>
      <c r="N1466" s="2052"/>
      <c r="O1466" s="2052"/>
      <c r="P1466" s="2052"/>
      <c r="Q1466" s="1854"/>
      <c r="R1466" s="1854"/>
      <c r="S1466" s="1854"/>
      <c r="T1466" s="2043"/>
      <c r="U1466" s="2043"/>
      <c r="V1466" s="2043"/>
      <c r="W1466" s="2043"/>
      <c r="X1466" s="2043"/>
      <c r="Y1466" s="2043"/>
      <c r="Z1466" s="2043"/>
      <c r="AA1466" s="2043"/>
      <c r="AB1466" s="2043"/>
      <c r="AC1466" s="2043"/>
      <c r="AD1466" s="2043"/>
      <c r="AE1466" s="2043"/>
      <c r="AF1466" s="2043"/>
      <c r="AG1466" s="2043"/>
      <c r="AH1466" s="2043"/>
      <c r="AI1466" s="2043"/>
      <c r="AJ1466" s="2043"/>
      <c r="AK1466" s="2043"/>
      <c r="AL1466" s="2043"/>
      <c r="AM1466" s="2043"/>
      <c r="AN1466" s="2043"/>
      <c r="AO1466" s="2043"/>
      <c r="AP1466" s="2043"/>
      <c r="AQ1466" s="2043"/>
      <c r="AR1466" s="2043"/>
      <c r="AS1466" s="2043"/>
      <c r="AT1466" s="2043"/>
      <c r="AU1466" s="2043"/>
      <c r="AV1466" s="2043"/>
      <c r="AW1466" s="2043"/>
      <c r="AX1466" s="2043"/>
      <c r="AY1466" s="2043"/>
      <c r="AZ1466" s="2043"/>
      <c r="BA1466" s="2043"/>
      <c r="BB1466" s="2043"/>
      <c r="BC1466" s="2043"/>
      <c r="BD1466" s="2043"/>
      <c r="BE1466" s="2043"/>
      <c r="BF1466" s="2043"/>
      <c r="BG1466" s="2043"/>
      <c r="BH1466" s="2043"/>
      <c r="BI1466" s="2043"/>
      <c r="BJ1466" s="2043"/>
      <c r="BK1466" s="2043"/>
      <c r="BL1466" s="2043"/>
    </row>
    <row r="1467" spans="1:64" ht="15">
      <c r="A1467" s="2575" t="s">
        <v>206</v>
      </c>
      <c r="B1467" s="2527" t="s">
        <v>1891</v>
      </c>
      <c r="C1467" s="2049"/>
      <c r="D1467" s="2049"/>
      <c r="E1467" s="2049"/>
      <c r="F1467" s="2049"/>
      <c r="G1467" s="2049"/>
      <c r="H1467" s="2049"/>
      <c r="I1467" s="2049"/>
      <c r="J1467" s="2049"/>
      <c r="K1467" s="2049"/>
      <c r="L1467" s="2049"/>
      <c r="M1467" s="2048">
        <v>2</v>
      </c>
      <c r="N1467" s="2509"/>
      <c r="O1467" s="2042">
        <f>'Part VIII Scoring Criteria'!O316</f>
        <v>0</v>
      </c>
      <c r="P1467" s="2042"/>
      <c r="Q1467" s="2543" t="str">
        <f>IF(OR($O1467=$M1467,$O1467=0,$O1467=""),"","*CHECK!*")</f>
        <v/>
      </c>
      <c r="R1467" s="2503"/>
      <c r="S1467" s="2049"/>
      <c r="T1467" s="2049"/>
      <c r="U1467" s="2049"/>
      <c r="V1467" s="2049"/>
      <c r="W1467" s="2049"/>
      <c r="X1467" s="2049"/>
      <c r="Y1467" s="2049"/>
      <c r="Z1467" s="2049"/>
      <c r="AA1467" s="2049"/>
      <c r="AB1467" s="2049"/>
      <c r="AC1467" s="2049"/>
      <c r="AD1467" s="2049"/>
      <c r="AE1467" s="2049"/>
      <c r="AF1467" s="2049"/>
      <c r="AG1467" s="2049"/>
      <c r="AH1467" s="2049"/>
      <c r="AI1467" s="2049"/>
      <c r="AJ1467" s="2049"/>
      <c r="AK1467" s="2049"/>
      <c r="AL1467" s="2049"/>
      <c r="AM1467" s="2049"/>
      <c r="AN1467" s="2049"/>
      <c r="AO1467" s="2049"/>
      <c r="AP1467" s="2049"/>
      <c r="AQ1467" s="2049"/>
      <c r="AR1467" s="2049"/>
      <c r="AS1467" s="2049"/>
      <c r="AT1467" s="2049"/>
      <c r="AU1467" s="2049"/>
      <c r="AV1467" s="2049"/>
      <c r="AW1467" s="2049"/>
      <c r="AX1467" s="2049"/>
      <c r="AY1467" s="2049"/>
      <c r="AZ1467" s="2049"/>
      <c r="BA1467" s="2049"/>
      <c r="BB1467" s="2049"/>
      <c r="BC1467" s="2049"/>
      <c r="BD1467" s="2049"/>
      <c r="BE1467" s="2049"/>
      <c r="BF1467" s="2049"/>
      <c r="BG1467" s="2049"/>
      <c r="BH1467" s="2049"/>
      <c r="BI1467" s="2049"/>
      <c r="BJ1467" s="2049"/>
      <c r="BK1467" s="2049"/>
      <c r="BL1467" s="2049"/>
    </row>
    <row r="1468" spans="1:64" ht="15">
      <c r="A1468" s="1855"/>
      <c r="B1468" s="2110" t="s">
        <v>1739</v>
      </c>
      <c r="C1468" s="1855"/>
      <c r="D1468" s="1855"/>
      <c r="E1468" s="1855"/>
      <c r="F1468" s="1855"/>
      <c r="G1468" s="1855"/>
      <c r="H1468" s="1855"/>
      <c r="I1468" s="1855"/>
      <c r="J1468" s="1855"/>
      <c r="K1468" s="1855"/>
      <c r="L1468" s="2043"/>
      <c r="M1468" s="1964"/>
      <c r="N1468" s="1994"/>
      <c r="O1468" s="2042"/>
      <c r="P1468" s="2045"/>
      <c r="Q1468" s="2043"/>
      <c r="R1468" s="2043"/>
      <c r="S1468" s="2043"/>
      <c r="T1468" s="2043"/>
      <c r="U1468" s="2043"/>
      <c r="V1468" s="2043"/>
      <c r="W1468" s="2043"/>
      <c r="X1468" s="2043"/>
      <c r="Y1468" s="2043"/>
      <c r="Z1468" s="2043"/>
      <c r="AA1468" s="2043"/>
      <c r="AB1468" s="2043"/>
      <c r="AC1468" s="2043"/>
      <c r="AD1468" s="2043"/>
      <c r="AE1468" s="2043"/>
      <c r="AF1468" s="2043"/>
      <c r="AG1468" s="2043"/>
      <c r="AH1468" s="2043"/>
      <c r="AI1468" s="2043"/>
      <c r="AJ1468" s="2043"/>
      <c r="AK1468" s="2043"/>
      <c r="AL1468" s="2043"/>
      <c r="AM1468" s="2043"/>
      <c r="AN1468" s="2043"/>
      <c r="AO1468" s="2043"/>
      <c r="AP1468" s="2043"/>
      <c r="AQ1468" s="2043"/>
      <c r="AR1468" s="2043"/>
      <c r="AS1468" s="2043"/>
      <c r="AT1468" s="2043"/>
      <c r="AU1468" s="2043"/>
      <c r="AV1468" s="2043"/>
      <c r="AW1468" s="2043"/>
      <c r="AX1468" s="2043"/>
      <c r="AY1468" s="2043"/>
      <c r="AZ1468" s="2043"/>
      <c r="BA1468" s="2043"/>
      <c r="BB1468" s="2043"/>
      <c r="BC1468" s="2043"/>
      <c r="BD1468" s="2043"/>
      <c r="BE1468" s="2043"/>
      <c r="BF1468" s="2043"/>
      <c r="BG1468" s="2043"/>
      <c r="BH1468" s="2043"/>
      <c r="BI1468" s="2043"/>
      <c r="BJ1468" s="2043"/>
      <c r="BK1468" s="2043"/>
      <c r="BL1468" s="2043"/>
    </row>
    <row r="1469" spans="1:64" ht="15">
      <c r="A1469" s="2052">
        <f>'Part VIII Scoring Criteria'!A318</f>
        <v>0</v>
      </c>
      <c r="B1469" s="2052"/>
      <c r="C1469" s="2052"/>
      <c r="D1469" s="2052"/>
      <c r="E1469" s="2052"/>
      <c r="F1469" s="2052"/>
      <c r="G1469" s="2052"/>
      <c r="H1469" s="2052"/>
      <c r="I1469" s="2052"/>
      <c r="J1469" s="2052"/>
      <c r="K1469" s="2052"/>
      <c r="L1469" s="2052"/>
      <c r="M1469" s="2052"/>
      <c r="N1469" s="2052"/>
      <c r="O1469" s="2052"/>
      <c r="P1469" s="2052"/>
      <c r="Q1469" s="1854"/>
      <c r="R1469" s="1854"/>
      <c r="S1469" s="2043"/>
      <c r="T1469" s="2043"/>
      <c r="U1469" s="2043"/>
      <c r="V1469" s="2043"/>
      <c r="W1469" s="2043"/>
      <c r="X1469" s="2043"/>
      <c r="Y1469" s="2043"/>
      <c r="Z1469" s="2043"/>
      <c r="AA1469" s="2043"/>
      <c r="AB1469" s="2043"/>
      <c r="AC1469" s="2043"/>
      <c r="AD1469" s="2043"/>
      <c r="AE1469" s="2043"/>
      <c r="AF1469" s="2043"/>
      <c r="AG1469" s="2043"/>
      <c r="AH1469" s="2043"/>
      <c r="AI1469" s="2043"/>
      <c r="AJ1469" s="2043"/>
      <c r="AK1469" s="2043"/>
      <c r="AL1469" s="2043"/>
      <c r="AM1469" s="2043"/>
      <c r="AN1469" s="2043"/>
      <c r="AO1469" s="2043"/>
      <c r="AP1469" s="2043"/>
      <c r="AQ1469" s="2043"/>
      <c r="AR1469" s="2043"/>
      <c r="AS1469" s="2043"/>
      <c r="AT1469" s="2043"/>
      <c r="AU1469" s="2043"/>
      <c r="AV1469" s="2043"/>
      <c r="AW1469" s="2043"/>
      <c r="AX1469" s="2043"/>
      <c r="AY1469" s="2043"/>
      <c r="AZ1469" s="2043"/>
      <c r="BA1469" s="2043"/>
      <c r="BB1469" s="2043"/>
      <c r="BC1469" s="2043"/>
      <c r="BD1469" s="2043"/>
      <c r="BE1469" s="2043"/>
      <c r="BF1469" s="2043"/>
      <c r="BG1469" s="2043"/>
      <c r="BH1469" s="2043"/>
      <c r="BI1469" s="2043"/>
      <c r="BJ1469" s="2043"/>
      <c r="BK1469" s="2043"/>
      <c r="BL1469" s="2043"/>
    </row>
    <row r="1470" spans="1:64" ht="15">
      <c r="A1470" s="2043"/>
      <c r="B1470" s="2510" t="s">
        <v>1399</v>
      </c>
      <c r="C1470" s="1855"/>
      <c r="D1470" s="2510"/>
      <c r="E1470" s="2487"/>
      <c r="F1470" s="2487"/>
      <c r="G1470" s="2487"/>
      <c r="H1470" s="2487"/>
      <c r="I1470" s="2487"/>
      <c r="J1470" s="2487"/>
      <c r="K1470" s="2487"/>
      <c r="L1470" s="2487"/>
      <c r="M1470" s="2487"/>
      <c r="N1470" s="2511"/>
      <c r="O1470" s="2489"/>
      <c r="P1470" s="2113"/>
      <c r="Q1470" s="2043"/>
      <c r="R1470" s="2043"/>
      <c r="S1470" s="2043"/>
      <c r="T1470" s="2043"/>
      <c r="U1470" s="2043"/>
      <c r="V1470" s="2043"/>
      <c r="W1470" s="2043"/>
      <c r="X1470" s="2043"/>
      <c r="Y1470" s="2043"/>
      <c r="Z1470" s="2043"/>
      <c r="AA1470" s="2043"/>
      <c r="AB1470" s="2043"/>
      <c r="AC1470" s="2043"/>
      <c r="AD1470" s="2043"/>
      <c r="AE1470" s="2043"/>
      <c r="AF1470" s="2043"/>
      <c r="AG1470" s="2043"/>
      <c r="AH1470" s="2043"/>
      <c r="AI1470" s="2043"/>
      <c r="AJ1470" s="2043"/>
      <c r="AK1470" s="2043"/>
      <c r="AL1470" s="2043"/>
      <c r="AM1470" s="2043"/>
      <c r="AN1470" s="2043"/>
      <c r="AO1470" s="2043"/>
      <c r="AP1470" s="2043"/>
      <c r="AQ1470" s="2043"/>
      <c r="AR1470" s="2043"/>
      <c r="AS1470" s="2043"/>
      <c r="AT1470" s="2043"/>
      <c r="AU1470" s="2043"/>
      <c r="AV1470" s="2043"/>
      <c r="AW1470" s="2043"/>
      <c r="AX1470" s="2043"/>
      <c r="AY1470" s="2043"/>
      <c r="AZ1470" s="2043"/>
      <c r="BA1470" s="2043"/>
      <c r="BB1470" s="2043"/>
      <c r="BC1470" s="2043"/>
      <c r="BD1470" s="2043"/>
      <c r="BE1470" s="2043"/>
      <c r="BF1470" s="2043"/>
      <c r="BG1470" s="2043"/>
      <c r="BH1470" s="2043"/>
      <c r="BI1470" s="2043"/>
      <c r="BJ1470" s="2043"/>
      <c r="BK1470" s="2043"/>
      <c r="BL1470" s="2043"/>
    </row>
    <row r="1471" spans="1:64" ht="15">
      <c r="A1471" s="2052"/>
      <c r="B1471" s="2052"/>
      <c r="C1471" s="2052"/>
      <c r="D1471" s="2052"/>
      <c r="E1471" s="2052"/>
      <c r="F1471" s="2052"/>
      <c r="G1471" s="2052"/>
      <c r="H1471" s="2052"/>
      <c r="I1471" s="2052"/>
      <c r="J1471" s="2052"/>
      <c r="K1471" s="2052"/>
      <c r="L1471" s="2052"/>
      <c r="M1471" s="2052"/>
      <c r="N1471" s="2052"/>
      <c r="O1471" s="2052"/>
      <c r="P1471" s="2052"/>
      <c r="Q1471" s="1854"/>
      <c r="R1471" s="2043"/>
      <c r="S1471" s="2043"/>
      <c r="T1471" s="2043"/>
      <c r="U1471" s="2043"/>
      <c r="V1471" s="2043"/>
      <c r="W1471" s="2043"/>
      <c r="X1471" s="2043"/>
      <c r="Y1471" s="2043"/>
      <c r="Z1471" s="2043"/>
      <c r="AA1471" s="2043"/>
      <c r="AB1471" s="2043"/>
      <c r="AC1471" s="2043"/>
      <c r="AD1471" s="2043"/>
      <c r="AE1471" s="2043"/>
      <c r="AF1471" s="2043"/>
      <c r="AG1471" s="2043"/>
      <c r="AH1471" s="2043"/>
      <c r="AI1471" s="2043"/>
      <c r="AJ1471" s="2043"/>
      <c r="AK1471" s="2043"/>
      <c r="AL1471" s="2043"/>
      <c r="AM1471" s="2043"/>
      <c r="AN1471" s="2043"/>
      <c r="AO1471" s="2043"/>
      <c r="AP1471" s="2043"/>
      <c r="AQ1471" s="2043"/>
      <c r="AR1471" s="2043"/>
      <c r="AS1471" s="2043"/>
      <c r="AT1471" s="2043"/>
      <c r="AU1471" s="2043"/>
      <c r="AV1471" s="2043"/>
      <c r="AW1471" s="2043"/>
      <c r="AX1471" s="2043"/>
      <c r="AY1471" s="2043"/>
      <c r="AZ1471" s="2043"/>
      <c r="BA1471" s="2043"/>
      <c r="BB1471" s="2043"/>
      <c r="BC1471" s="2043"/>
      <c r="BD1471" s="2043"/>
      <c r="BE1471" s="2043"/>
      <c r="BF1471" s="2043"/>
      <c r="BG1471" s="2043"/>
      <c r="BH1471" s="2043"/>
      <c r="BI1471" s="2043"/>
      <c r="BJ1471" s="2043"/>
      <c r="BK1471" s="2043"/>
      <c r="BL1471" s="2043"/>
    </row>
    <row r="1472" spans="1:64" ht="15">
      <c r="A1472" s="1855"/>
      <c r="B1472" s="1855"/>
      <c r="C1472" s="2487"/>
      <c r="D1472" s="2487"/>
      <c r="E1472" s="2487"/>
      <c r="F1472" s="2487"/>
      <c r="G1472" s="2487"/>
      <c r="H1472" s="2487"/>
      <c r="I1472" s="2487"/>
      <c r="J1472" s="2487"/>
      <c r="K1472" s="2487"/>
      <c r="L1472" s="2487"/>
      <c r="M1472" s="2487"/>
      <c r="N1472" s="2511"/>
      <c r="O1472" s="2489"/>
      <c r="P1472" s="2113"/>
      <c r="Q1472" s="2043"/>
      <c r="R1472" s="2043"/>
      <c r="S1472" s="2043"/>
      <c r="T1472" s="2043"/>
      <c r="U1472" s="2043"/>
      <c r="V1472" s="2043"/>
      <c r="W1472" s="2043"/>
      <c r="X1472" s="2043"/>
      <c r="Y1472" s="2043"/>
      <c r="Z1472" s="2043"/>
      <c r="AA1472" s="2043"/>
      <c r="AB1472" s="2043"/>
      <c r="AC1472" s="2043"/>
      <c r="AD1472" s="2043"/>
      <c r="AE1472" s="2043"/>
      <c r="AF1472" s="2043"/>
      <c r="AG1472" s="2043"/>
      <c r="AH1472" s="2043"/>
      <c r="AI1472" s="2043"/>
      <c r="AJ1472" s="2043"/>
      <c r="AK1472" s="2043"/>
      <c r="AL1472" s="2043"/>
      <c r="AM1472" s="2043"/>
      <c r="AN1472" s="2043"/>
      <c r="AO1472" s="2043"/>
      <c r="AP1472" s="2043"/>
      <c r="AQ1472" s="2043"/>
      <c r="AR1472" s="2043"/>
      <c r="AS1472" s="2043"/>
      <c r="AT1472" s="2043"/>
      <c r="AU1472" s="2043"/>
      <c r="AV1472" s="2043"/>
      <c r="AW1472" s="2043"/>
      <c r="AX1472" s="2043"/>
      <c r="AY1472" s="2043"/>
      <c r="AZ1472" s="2043"/>
      <c r="BA1472" s="2043"/>
      <c r="BB1472" s="2043"/>
      <c r="BC1472" s="2043"/>
      <c r="BD1472" s="2043"/>
      <c r="BE1472" s="2043"/>
      <c r="BF1472" s="2043"/>
      <c r="BG1472" s="2043"/>
      <c r="BH1472" s="2043"/>
      <c r="BI1472" s="2043"/>
      <c r="BJ1472" s="2043"/>
      <c r="BK1472" s="2043"/>
      <c r="BL1472" s="2043"/>
    </row>
    <row r="1473" spans="1:64" ht="15">
      <c r="A1473" s="1855"/>
      <c r="B1473" s="1855"/>
      <c r="C1473" s="2487"/>
      <c r="D1473" s="2487"/>
      <c r="E1473" s="2487"/>
      <c r="F1473" s="2487"/>
      <c r="G1473" s="2487"/>
      <c r="H1473" s="2487"/>
      <c r="I1473" s="2487"/>
      <c r="J1473" s="2487"/>
      <c r="K1473" s="2487"/>
      <c r="L1473" s="2487"/>
      <c r="M1473" s="2487"/>
      <c r="N1473" s="2511"/>
      <c r="O1473" s="2489"/>
      <c r="P1473" s="2113"/>
      <c r="Q1473" s="2043"/>
      <c r="R1473" s="2043"/>
      <c r="S1473" s="2043"/>
      <c r="T1473" s="2043"/>
      <c r="U1473" s="2043"/>
      <c r="V1473" s="2043"/>
      <c r="W1473" s="2043"/>
      <c r="X1473" s="2043"/>
      <c r="Y1473" s="2043"/>
      <c r="Z1473" s="2043"/>
      <c r="AA1473" s="2043"/>
      <c r="AB1473" s="2043"/>
      <c r="AC1473" s="2043"/>
      <c r="AD1473" s="2043"/>
      <c r="AE1473" s="2043"/>
      <c r="AF1473" s="2043"/>
      <c r="AG1473" s="2043"/>
      <c r="AH1473" s="2043"/>
      <c r="AI1473" s="2043"/>
      <c r="AJ1473" s="2043"/>
      <c r="AK1473" s="2043"/>
      <c r="AL1473" s="2043"/>
      <c r="AM1473" s="2043"/>
      <c r="AN1473" s="2043"/>
      <c r="AO1473" s="2043"/>
      <c r="AP1473" s="2043"/>
      <c r="AQ1473" s="2043"/>
      <c r="AR1473" s="2043"/>
      <c r="AS1473" s="2043"/>
      <c r="AT1473" s="2043"/>
      <c r="AU1473" s="2043"/>
      <c r="AV1473" s="2043"/>
      <c r="AW1473" s="2043"/>
      <c r="AX1473" s="2043"/>
      <c r="AY1473" s="2043"/>
      <c r="AZ1473" s="2043"/>
      <c r="BA1473" s="2043"/>
      <c r="BB1473" s="2043"/>
      <c r="BC1473" s="2043"/>
      <c r="BD1473" s="2043"/>
      <c r="BE1473" s="2043"/>
      <c r="BF1473" s="2043"/>
      <c r="BG1473" s="2043"/>
      <c r="BH1473" s="2043"/>
      <c r="BI1473" s="2043"/>
      <c r="BJ1473" s="2043"/>
      <c r="BK1473" s="2043"/>
      <c r="BL1473" s="2043"/>
    </row>
    <row r="1474" spans="1:64" ht="15">
      <c r="A1474" s="2556" t="s">
        <v>1536</v>
      </c>
      <c r="B1474" s="2110" t="s">
        <v>1892</v>
      </c>
      <c r="C1474" s="1855"/>
      <c r="D1474" s="2110"/>
      <c r="E1474" s="2110"/>
      <c r="F1474" s="1855"/>
      <c r="G1474" s="1855"/>
      <c r="H1474" s="1855"/>
      <c r="I1474" s="1855"/>
      <c r="J1474" s="1855"/>
      <c r="K1474" s="1855"/>
      <c r="L1474" s="2502" t="str">
        <f>IF(OR($O1474=$M1474,$O1474&lt;=0,$O1474=""),"","* * Check Score! * *")</f>
        <v/>
      </c>
      <c r="M1474" s="2113">
        <v>10</v>
      </c>
      <c r="N1474" s="1964"/>
      <c r="O1474" s="2042">
        <f>'Part VIII Scoring Criteria'!O323</f>
        <v>10</v>
      </c>
      <c r="P1474" s="2042">
        <f>'Part VIII Scoring Criteria'!P323</f>
        <v>10</v>
      </c>
      <c r="Q1474" s="2113" t="s">
        <v>1716</v>
      </c>
      <c r="R1474" s="1855"/>
      <c r="S1474" s="1855"/>
      <c r="T1474" s="1855"/>
      <c r="U1474" s="1855"/>
      <c r="V1474" s="1855"/>
      <c r="W1474" s="1855"/>
      <c r="X1474" s="1855"/>
      <c r="Y1474" s="1855"/>
      <c r="Z1474" s="1855"/>
      <c r="AA1474" s="1855"/>
      <c r="AB1474" s="1855"/>
      <c r="AC1474" s="1855"/>
      <c r="AD1474" s="1855"/>
      <c r="AE1474" s="1855"/>
      <c r="AF1474" s="1855"/>
      <c r="AG1474" s="1855"/>
      <c r="AH1474" s="1855"/>
      <c r="AI1474" s="1855"/>
      <c r="AJ1474" s="1855"/>
      <c r="AK1474" s="1855"/>
      <c r="AL1474" s="1855"/>
      <c r="AM1474" s="1855"/>
      <c r="AN1474" s="1855"/>
      <c r="AO1474" s="1855"/>
      <c r="AP1474" s="1855"/>
      <c r="AQ1474" s="1855"/>
      <c r="AR1474" s="1855"/>
      <c r="AS1474" s="1855"/>
      <c r="AT1474" s="1855"/>
      <c r="AU1474" s="1855"/>
      <c r="AV1474" s="1855"/>
      <c r="AW1474" s="1855"/>
      <c r="AX1474" s="1855"/>
      <c r="AY1474" s="1855"/>
      <c r="AZ1474" s="1855"/>
      <c r="BA1474" s="1855"/>
      <c r="BB1474" s="1855"/>
      <c r="BC1474" s="1855"/>
      <c r="BD1474" s="1855"/>
      <c r="BE1474" s="1855"/>
      <c r="BF1474" s="1855"/>
      <c r="BG1474" s="1855"/>
      <c r="BH1474" s="1855"/>
      <c r="BI1474" s="1855"/>
      <c r="BJ1474" s="1855"/>
      <c r="BK1474" s="1855"/>
      <c r="BL1474" s="1855"/>
    </row>
    <row r="1475" spans="1:64" ht="15">
      <c r="A1475" s="2556"/>
      <c r="B1475" s="2110"/>
      <c r="C1475" s="1855"/>
      <c r="D1475" s="2110"/>
      <c r="E1475" s="2110"/>
      <c r="F1475" s="1855"/>
      <c r="G1475" s="1855"/>
      <c r="H1475" s="1855"/>
      <c r="I1475" s="1855"/>
      <c r="J1475" s="1855"/>
      <c r="K1475" s="1855"/>
      <c r="L1475" s="2502"/>
      <c r="M1475" s="2113"/>
      <c r="N1475" s="1964"/>
      <c r="O1475" s="1964"/>
      <c r="P1475" s="1964"/>
      <c r="Q1475" s="2113"/>
      <c r="R1475" s="1855"/>
      <c r="S1475" s="1855"/>
      <c r="T1475" s="1855"/>
      <c r="U1475" s="1855"/>
      <c r="V1475" s="1855"/>
      <c r="W1475" s="1855"/>
      <c r="X1475" s="1855"/>
      <c r="Y1475" s="1855"/>
      <c r="Z1475" s="1855"/>
      <c r="AA1475" s="1855"/>
      <c r="AB1475" s="1855"/>
      <c r="AC1475" s="1855"/>
      <c r="AD1475" s="1855"/>
      <c r="AE1475" s="1855"/>
      <c r="AF1475" s="1855"/>
      <c r="AG1475" s="1855"/>
      <c r="AH1475" s="1855"/>
      <c r="AI1475" s="1855"/>
      <c r="AJ1475" s="1855"/>
      <c r="AK1475" s="1855"/>
      <c r="AL1475" s="1855"/>
      <c r="AM1475" s="1855"/>
      <c r="AN1475" s="1855"/>
      <c r="AO1475" s="1855"/>
      <c r="AP1475" s="1855"/>
      <c r="AQ1475" s="1855"/>
      <c r="AR1475" s="1855"/>
      <c r="AS1475" s="1855"/>
      <c r="AT1475" s="1855"/>
      <c r="AU1475" s="1855"/>
      <c r="AV1475" s="1855"/>
      <c r="AW1475" s="1855"/>
      <c r="AX1475" s="1855"/>
      <c r="AY1475" s="1855"/>
      <c r="AZ1475" s="1855"/>
      <c r="BA1475" s="1855"/>
      <c r="BB1475" s="1855"/>
      <c r="BC1475" s="1855"/>
      <c r="BD1475" s="1855"/>
      <c r="BE1475" s="1855"/>
      <c r="BF1475" s="1855"/>
      <c r="BG1475" s="1855"/>
      <c r="BH1475" s="1855"/>
      <c r="BI1475" s="1855"/>
      <c r="BJ1475" s="1855"/>
      <c r="BK1475" s="1855"/>
      <c r="BL1475" s="1855"/>
    </row>
    <row r="1476" spans="1:64" ht="15">
      <c r="A1476" s="2556"/>
      <c r="B1476" s="1854" t="s">
        <v>1893</v>
      </c>
      <c r="C1476" s="1855"/>
      <c r="D1476" s="2110"/>
      <c r="E1476" s="2110"/>
      <c r="F1476" s="1855"/>
      <c r="G1476" s="1855"/>
      <c r="H1476" s="1855"/>
      <c r="I1476" s="1855"/>
      <c r="J1476" s="1855"/>
      <c r="K1476" s="1855"/>
      <c r="L1476" s="2502"/>
      <c r="M1476" s="2113"/>
      <c r="N1476" s="1964"/>
      <c r="O1476" s="2042">
        <v>10</v>
      </c>
      <c r="P1476" s="2042">
        <v>10</v>
      </c>
      <c r="Q1476" s="2113"/>
      <c r="R1476" s="1855"/>
      <c r="S1476" s="1855"/>
      <c r="T1476" s="1855"/>
      <c r="U1476" s="1855"/>
      <c r="V1476" s="1855"/>
      <c r="W1476" s="1855"/>
      <c r="X1476" s="1855"/>
      <c r="Y1476" s="1855"/>
      <c r="Z1476" s="1855"/>
      <c r="AA1476" s="1855"/>
      <c r="AB1476" s="1855"/>
      <c r="AC1476" s="1855"/>
      <c r="AD1476" s="1855"/>
      <c r="AE1476" s="1855"/>
      <c r="AF1476" s="1855"/>
      <c r="AG1476" s="1855"/>
      <c r="AH1476" s="1855"/>
      <c r="AI1476" s="1855"/>
      <c r="AJ1476" s="1855"/>
      <c r="AK1476" s="1855"/>
      <c r="AL1476" s="1855"/>
      <c r="AM1476" s="1855"/>
      <c r="AN1476" s="1855"/>
      <c r="AO1476" s="1855"/>
      <c r="AP1476" s="1855"/>
      <c r="AQ1476" s="1855"/>
      <c r="AR1476" s="1855"/>
      <c r="AS1476" s="1855"/>
      <c r="AT1476" s="1855"/>
      <c r="AU1476" s="1855"/>
      <c r="AV1476" s="1855"/>
      <c r="AW1476" s="1855"/>
      <c r="AX1476" s="1855"/>
      <c r="AY1476" s="1855"/>
      <c r="AZ1476" s="1855"/>
      <c r="BA1476" s="1855"/>
      <c r="BB1476" s="1855"/>
      <c r="BC1476" s="1855"/>
      <c r="BD1476" s="1855"/>
      <c r="BE1476" s="1855"/>
      <c r="BF1476" s="1855"/>
      <c r="BG1476" s="1855"/>
      <c r="BH1476" s="1855"/>
      <c r="BI1476" s="1855"/>
      <c r="BJ1476" s="1855"/>
      <c r="BK1476" s="1855"/>
      <c r="BL1476" s="1855"/>
    </row>
    <row r="1477" spans="1:64" ht="15">
      <c r="A1477" s="2556"/>
      <c r="B1477" s="1854" t="s">
        <v>1724</v>
      </c>
      <c r="C1477" s="1855"/>
      <c r="D1477" s="2110"/>
      <c r="E1477" s="2110"/>
      <c r="F1477" s="1855"/>
      <c r="G1477" s="1855"/>
      <c r="H1477" s="1855"/>
      <c r="I1477" s="1855"/>
      <c r="J1477" s="1855"/>
      <c r="K1477" s="1855"/>
      <c r="L1477" s="2502"/>
      <c r="M1477" s="2113"/>
      <c r="N1477" s="1964"/>
      <c r="O1477" s="2042">
        <f>'Part VIII Scoring Criteria'!O326</f>
        <v>0</v>
      </c>
      <c r="P1477" s="2042"/>
      <c r="Q1477" s="2113"/>
      <c r="R1477" s="1855"/>
      <c r="S1477" s="1855"/>
      <c r="T1477" s="1855"/>
      <c r="U1477" s="1855"/>
      <c r="V1477" s="1855"/>
      <c r="W1477" s="1855"/>
      <c r="X1477" s="1855"/>
      <c r="Y1477" s="1855"/>
      <c r="Z1477" s="1855"/>
      <c r="AA1477" s="1855"/>
      <c r="AB1477" s="1855"/>
      <c r="AC1477" s="1855"/>
      <c r="AD1477" s="1855"/>
      <c r="AE1477" s="1855"/>
      <c r="AF1477" s="1855"/>
      <c r="AG1477" s="1855"/>
      <c r="AH1477" s="1855"/>
      <c r="AI1477" s="1855"/>
      <c r="AJ1477" s="1855"/>
      <c r="AK1477" s="1855"/>
      <c r="AL1477" s="1855"/>
      <c r="AM1477" s="1855"/>
      <c r="AN1477" s="1855"/>
      <c r="AO1477" s="1855"/>
      <c r="AP1477" s="1855"/>
      <c r="AQ1477" s="1855"/>
      <c r="AR1477" s="1855"/>
      <c r="AS1477" s="1855"/>
      <c r="AT1477" s="1855"/>
      <c r="AU1477" s="1855"/>
      <c r="AV1477" s="1855"/>
      <c r="AW1477" s="1855"/>
      <c r="AX1477" s="1855"/>
      <c r="AY1477" s="1855"/>
      <c r="AZ1477" s="1855"/>
      <c r="BA1477" s="1855"/>
      <c r="BB1477" s="1855"/>
      <c r="BC1477" s="1855"/>
      <c r="BD1477" s="1855"/>
      <c r="BE1477" s="1855"/>
      <c r="BF1477" s="1855"/>
      <c r="BG1477" s="1855"/>
      <c r="BH1477" s="1855"/>
      <c r="BI1477" s="1855"/>
      <c r="BJ1477" s="1855"/>
      <c r="BK1477" s="1855"/>
      <c r="BL1477" s="1855"/>
    </row>
    <row r="1478" spans="1:64" ht="15">
      <c r="A1478" s="2556"/>
      <c r="B1478" s="1854" t="s">
        <v>2665</v>
      </c>
      <c r="C1478" s="1855"/>
      <c r="D1478" s="2110"/>
      <c r="E1478" s="2110"/>
      <c r="F1478" s="1855"/>
      <c r="G1478" s="1855"/>
      <c r="H1478" s="1855"/>
      <c r="I1478" s="1855"/>
      <c r="J1478" s="1855"/>
      <c r="K1478" s="1855"/>
      <c r="L1478" s="2502"/>
      <c r="M1478" s="2113"/>
      <c r="N1478" s="1964"/>
      <c r="O1478" s="2042">
        <f>'Part VIII Scoring Criteria'!O327</f>
        <v>5</v>
      </c>
      <c r="P1478" s="2042"/>
      <c r="Q1478" s="2113"/>
      <c r="R1478" s="1855"/>
      <c r="S1478" s="1855"/>
      <c r="T1478" s="1855"/>
      <c r="U1478" s="1855"/>
      <c r="V1478" s="1855"/>
      <c r="W1478" s="1855"/>
      <c r="X1478" s="1855"/>
      <c r="Y1478" s="1855"/>
      <c r="Z1478" s="1855"/>
      <c r="AA1478" s="1855"/>
      <c r="AB1478" s="1855"/>
      <c r="AC1478" s="1855"/>
      <c r="AD1478" s="1855"/>
      <c r="AE1478" s="1855"/>
      <c r="AF1478" s="1855"/>
      <c r="AG1478" s="1855"/>
      <c r="AH1478" s="1855"/>
      <c r="AI1478" s="1855"/>
      <c r="AJ1478" s="1855"/>
      <c r="AK1478" s="1855"/>
      <c r="AL1478" s="1855"/>
      <c r="AM1478" s="1855"/>
      <c r="AN1478" s="1855"/>
      <c r="AO1478" s="1855"/>
      <c r="AP1478" s="1855"/>
      <c r="AQ1478" s="1855"/>
      <c r="AR1478" s="1855"/>
      <c r="AS1478" s="1855"/>
      <c r="AT1478" s="1855"/>
      <c r="AU1478" s="1855"/>
      <c r="AV1478" s="1855"/>
      <c r="AW1478" s="1855"/>
      <c r="AX1478" s="1855"/>
      <c r="AY1478" s="1855"/>
      <c r="AZ1478" s="1855"/>
      <c r="BA1478" s="1855"/>
      <c r="BB1478" s="1855"/>
      <c r="BC1478" s="1855"/>
      <c r="BD1478" s="1855"/>
      <c r="BE1478" s="1855"/>
      <c r="BF1478" s="1855"/>
      <c r="BG1478" s="1855"/>
      <c r="BH1478" s="1855"/>
      <c r="BI1478" s="1855"/>
      <c r="BJ1478" s="1855"/>
      <c r="BK1478" s="1855"/>
      <c r="BL1478" s="1855"/>
    </row>
    <row r="1479" spans="1:64" ht="15">
      <c r="A1479" s="2484"/>
      <c r="B1479" s="2484" t="s">
        <v>1399</v>
      </c>
      <c r="C1479" s="1855"/>
      <c r="D1479" s="2484"/>
      <c r="E1479" s="2532"/>
      <c r="F1479" s="2532"/>
      <c r="G1479" s="2532"/>
      <c r="H1479" s="2532"/>
      <c r="I1479" s="2532"/>
      <c r="J1479" s="2532"/>
      <c r="K1479" s="2532"/>
      <c r="L1479" s="2532"/>
      <c r="M1479" s="2532"/>
      <c r="N1479" s="2533"/>
      <c r="O1479" s="2478"/>
      <c r="P1479" s="2113"/>
      <c r="Q1479" s="1855"/>
      <c r="R1479" s="1855"/>
      <c r="S1479" s="1855"/>
      <c r="T1479" s="1855"/>
      <c r="U1479" s="1855"/>
      <c r="V1479" s="1855"/>
      <c r="W1479" s="1855"/>
      <c r="X1479" s="1855"/>
      <c r="Y1479" s="1855"/>
      <c r="Z1479" s="1855"/>
      <c r="AA1479" s="1855"/>
      <c r="AB1479" s="1855"/>
      <c r="AC1479" s="1855"/>
      <c r="AD1479" s="1855"/>
      <c r="AE1479" s="1855"/>
      <c r="AF1479" s="1855"/>
      <c r="AG1479" s="1855"/>
      <c r="AH1479" s="1855"/>
      <c r="AI1479" s="1855"/>
      <c r="AJ1479" s="1855"/>
      <c r="AK1479" s="1855"/>
      <c r="AL1479" s="1855"/>
      <c r="AM1479" s="1855"/>
      <c r="AN1479" s="1855"/>
      <c r="AO1479" s="1855"/>
      <c r="AP1479" s="1855"/>
      <c r="AQ1479" s="1855"/>
      <c r="AR1479" s="1855"/>
      <c r="AS1479" s="1855"/>
      <c r="AT1479" s="1855"/>
      <c r="AU1479" s="1855"/>
      <c r="AV1479" s="1855"/>
      <c r="AW1479" s="1855"/>
      <c r="AX1479" s="1855"/>
      <c r="AY1479" s="1855"/>
      <c r="AZ1479" s="1855"/>
      <c r="BA1479" s="1855"/>
      <c r="BB1479" s="1855"/>
      <c r="BC1479" s="1855"/>
      <c r="BD1479" s="1855"/>
      <c r="BE1479" s="1855"/>
      <c r="BF1479" s="1855"/>
      <c r="BG1479" s="1855"/>
      <c r="BH1479" s="1855"/>
      <c r="BI1479" s="1855"/>
      <c r="BJ1479" s="1855"/>
      <c r="BK1479" s="1855"/>
      <c r="BL1479" s="1855"/>
    </row>
    <row r="1480" spans="1:64" ht="15">
      <c r="A1480" s="2052"/>
      <c r="B1480" s="2052"/>
      <c r="C1480" s="2052"/>
      <c r="D1480" s="2052"/>
      <c r="E1480" s="2052"/>
      <c r="F1480" s="2052"/>
      <c r="G1480" s="2052"/>
      <c r="H1480" s="2052"/>
      <c r="I1480" s="2052"/>
      <c r="J1480" s="2052"/>
      <c r="K1480" s="2052"/>
      <c r="L1480" s="2052"/>
      <c r="M1480" s="2052"/>
      <c r="N1480" s="2052"/>
      <c r="O1480" s="2052"/>
      <c r="P1480" s="2052"/>
      <c r="Q1480" s="1854"/>
      <c r="R1480" s="1854"/>
      <c r="S1480" s="2043"/>
      <c r="T1480" s="2043"/>
      <c r="U1480" s="2043"/>
      <c r="V1480" s="2043"/>
      <c r="W1480" s="2043"/>
      <c r="X1480" s="2043"/>
      <c r="Y1480" s="2043"/>
      <c r="Z1480" s="2043"/>
      <c r="AA1480" s="2043"/>
      <c r="AB1480" s="2043"/>
      <c r="AC1480" s="2043"/>
      <c r="AD1480" s="2043"/>
      <c r="AE1480" s="2043"/>
      <c r="AF1480" s="2043"/>
      <c r="AG1480" s="2043"/>
      <c r="AH1480" s="2043"/>
      <c r="AI1480" s="2043"/>
      <c r="AJ1480" s="2043"/>
      <c r="AK1480" s="2043"/>
      <c r="AL1480" s="2043"/>
      <c r="AM1480" s="2043"/>
      <c r="AN1480" s="2043"/>
      <c r="AO1480" s="2043"/>
      <c r="AP1480" s="2043"/>
      <c r="AQ1480" s="2043"/>
      <c r="AR1480" s="2043"/>
      <c r="AS1480" s="2043"/>
      <c r="AT1480" s="2043"/>
      <c r="AU1480" s="2043"/>
      <c r="AV1480" s="2043"/>
      <c r="AW1480" s="2043"/>
      <c r="AX1480" s="2043"/>
      <c r="AY1480" s="2043"/>
      <c r="AZ1480" s="2043"/>
      <c r="BA1480" s="2043"/>
      <c r="BB1480" s="2043"/>
      <c r="BC1480" s="2043"/>
      <c r="BD1480" s="2043"/>
      <c r="BE1480" s="2043"/>
      <c r="BF1480" s="2043"/>
      <c r="BG1480" s="2043"/>
      <c r="BH1480" s="2043"/>
      <c r="BI1480" s="2043"/>
      <c r="BJ1480" s="2043"/>
      <c r="BK1480" s="2043"/>
      <c r="BL1480" s="2043"/>
    </row>
    <row r="1481" spans="1:64" ht="15">
      <c r="A1481" s="2556"/>
      <c r="B1481" s="1855"/>
      <c r="C1481" s="2487"/>
      <c r="D1481" s="2487"/>
      <c r="E1481" s="2487"/>
      <c r="F1481" s="2487"/>
      <c r="G1481" s="2487"/>
      <c r="H1481" s="2487"/>
      <c r="I1481" s="2487"/>
      <c r="J1481" s="2487"/>
      <c r="K1481" s="2487"/>
      <c r="L1481" s="2487"/>
      <c r="M1481" s="2487"/>
      <c r="N1481" s="2511"/>
      <c r="O1481" s="2489"/>
      <c r="P1481" s="2113"/>
      <c r="Q1481" s="2043"/>
      <c r="R1481" s="2043"/>
      <c r="S1481" s="2043"/>
      <c r="T1481" s="2043"/>
      <c r="U1481" s="2043"/>
      <c r="V1481" s="2043"/>
      <c r="W1481" s="2043"/>
      <c r="X1481" s="2043"/>
      <c r="Y1481" s="2043"/>
      <c r="Z1481" s="2043"/>
      <c r="AA1481" s="2043"/>
      <c r="AB1481" s="2043"/>
      <c r="AC1481" s="2043"/>
      <c r="AD1481" s="2043"/>
      <c r="AE1481" s="2043"/>
      <c r="AF1481" s="2043"/>
      <c r="AG1481" s="2043"/>
      <c r="AH1481" s="2043"/>
      <c r="AI1481" s="2043"/>
      <c r="AJ1481" s="2043"/>
      <c r="AK1481" s="2043"/>
      <c r="AL1481" s="2043"/>
      <c r="AM1481" s="2043"/>
      <c r="AN1481" s="2043"/>
      <c r="AO1481" s="2043"/>
      <c r="AP1481" s="2043"/>
      <c r="AQ1481" s="2043"/>
      <c r="AR1481" s="2043"/>
      <c r="AS1481" s="2043"/>
      <c r="AT1481" s="2043"/>
      <c r="AU1481" s="2043"/>
      <c r="AV1481" s="2043"/>
      <c r="AW1481" s="2043"/>
      <c r="AX1481" s="2043"/>
      <c r="AY1481" s="2043"/>
      <c r="AZ1481" s="2043"/>
      <c r="BA1481" s="2043"/>
      <c r="BB1481" s="2043"/>
      <c r="BC1481" s="2043"/>
      <c r="BD1481" s="2043"/>
      <c r="BE1481" s="2043"/>
      <c r="BF1481" s="2043"/>
      <c r="BG1481" s="2043"/>
      <c r="BH1481" s="2043"/>
      <c r="BI1481" s="2043"/>
      <c r="BJ1481" s="2043"/>
      <c r="BK1481" s="2043"/>
      <c r="BL1481" s="2043"/>
    </row>
    <row r="1482" spans="1:64" ht="15">
      <c r="A1482" s="2556"/>
      <c r="B1482" s="1855"/>
      <c r="C1482" s="2487"/>
      <c r="D1482" s="2487"/>
      <c r="E1482" s="2487"/>
      <c r="F1482" s="2487"/>
      <c r="G1482" s="2487"/>
      <c r="H1482" s="2487"/>
      <c r="I1482" s="2487"/>
      <c r="J1482" s="2487"/>
      <c r="K1482" s="2487"/>
      <c r="L1482" s="2487"/>
      <c r="M1482" s="2487"/>
      <c r="N1482" s="2511"/>
      <c r="O1482" s="2489"/>
      <c r="P1482" s="2113"/>
      <c r="Q1482" s="2043"/>
      <c r="R1482" s="2043"/>
      <c r="S1482" s="2043"/>
      <c r="T1482" s="2043"/>
      <c r="U1482" s="2043"/>
      <c r="V1482" s="2043"/>
      <c r="W1482" s="2043"/>
      <c r="X1482" s="2043"/>
      <c r="Y1482" s="2043"/>
      <c r="Z1482" s="2043"/>
      <c r="AA1482" s="2043"/>
      <c r="AB1482" s="2043"/>
      <c r="AC1482" s="2043"/>
      <c r="AD1482" s="2043"/>
      <c r="AE1482" s="2043"/>
      <c r="AF1482" s="2043"/>
      <c r="AG1482" s="2043"/>
      <c r="AH1482" s="2043"/>
      <c r="AI1482" s="2043"/>
      <c r="AJ1482" s="2043"/>
      <c r="AK1482" s="2043"/>
      <c r="AL1482" s="2043"/>
      <c r="AM1482" s="2043"/>
      <c r="AN1482" s="2043"/>
      <c r="AO1482" s="2043"/>
      <c r="AP1482" s="2043"/>
      <c r="AQ1482" s="2043"/>
      <c r="AR1482" s="2043"/>
      <c r="AS1482" s="2043"/>
      <c r="AT1482" s="2043"/>
      <c r="AU1482" s="2043"/>
      <c r="AV1482" s="2043"/>
      <c r="AW1482" s="2043"/>
      <c r="AX1482" s="2043"/>
      <c r="AY1482" s="2043"/>
      <c r="AZ1482" s="2043"/>
      <c r="BA1482" s="2043"/>
      <c r="BB1482" s="2043"/>
      <c r="BC1482" s="2043"/>
      <c r="BD1482" s="2043"/>
      <c r="BE1482" s="2043"/>
      <c r="BF1482" s="2043"/>
      <c r="BG1482" s="2043"/>
      <c r="BH1482" s="2043"/>
      <c r="BI1482" s="2043"/>
      <c r="BJ1482" s="2043"/>
      <c r="BK1482" s="2043"/>
      <c r="BL1482" s="2043"/>
    </row>
    <row r="1483" spans="1:64" ht="15">
      <c r="A1483" s="2556" t="s">
        <v>1543</v>
      </c>
      <c r="B1483" s="2110" t="s">
        <v>1896</v>
      </c>
      <c r="C1483" s="2487"/>
      <c r="D1483" s="2487"/>
      <c r="E1483" s="2487"/>
      <c r="F1483" s="2487"/>
      <c r="G1483" s="2508"/>
      <c r="H1483" s="2487"/>
      <c r="I1483" s="2043"/>
      <c r="J1483" s="2043"/>
      <c r="K1483" s="2487"/>
      <c r="L1483" s="2487"/>
      <c r="M1483" s="2113">
        <v>3</v>
      </c>
      <c r="N1483" s="2511"/>
      <c r="O1483" s="2042">
        <f>'Part VIII Scoring Criteria'!O332</f>
        <v>3</v>
      </c>
      <c r="P1483" s="2042">
        <f>'Part VIII Scoring Criteria'!P332</f>
        <v>2</v>
      </c>
      <c r="Q1483" s="2113" t="s">
        <v>1716</v>
      </c>
      <c r="R1483" s="2503"/>
      <c r="S1483" s="2043"/>
      <c r="T1483" s="2043"/>
      <c r="U1483" s="2043"/>
      <c r="V1483" s="2043"/>
      <c r="W1483" s="2043"/>
      <c r="X1483" s="2043"/>
      <c r="Y1483" s="2043"/>
      <c r="Z1483" s="2043"/>
      <c r="AA1483" s="2043"/>
      <c r="AB1483" s="2043"/>
      <c r="AC1483" s="2043"/>
      <c r="AD1483" s="2043"/>
      <c r="AE1483" s="2043"/>
      <c r="AF1483" s="2043"/>
      <c r="AG1483" s="2043"/>
      <c r="AH1483" s="2043"/>
      <c r="AI1483" s="2043"/>
      <c r="AJ1483" s="2043"/>
      <c r="AK1483" s="2043"/>
      <c r="AL1483" s="2043"/>
      <c r="AM1483" s="2043"/>
      <c r="AN1483" s="2043"/>
      <c r="AO1483" s="2043"/>
      <c r="AP1483" s="2043"/>
      <c r="AQ1483" s="2043"/>
      <c r="AR1483" s="2043"/>
      <c r="AS1483" s="2043"/>
      <c r="AT1483" s="2043"/>
      <c r="AU1483" s="2043"/>
      <c r="AV1483" s="2043"/>
      <c r="AW1483" s="2043"/>
      <c r="AX1483" s="2043"/>
      <c r="AY1483" s="2043"/>
      <c r="AZ1483" s="2043"/>
      <c r="BA1483" s="2043"/>
      <c r="BB1483" s="2043"/>
      <c r="BC1483" s="2043"/>
      <c r="BD1483" s="2043"/>
      <c r="BE1483" s="2043"/>
      <c r="BF1483" s="2043"/>
      <c r="BG1483" s="2043"/>
      <c r="BH1483" s="2043"/>
      <c r="BI1483" s="2043"/>
      <c r="BJ1483" s="2043"/>
      <c r="BK1483" s="2043"/>
      <c r="BL1483" s="2043"/>
    </row>
    <row r="1484" spans="1:64" ht="15">
      <c r="A1484" s="2113" t="s">
        <v>194</v>
      </c>
      <c r="B1484" s="1854" t="s">
        <v>1897</v>
      </c>
      <c r="C1484" s="1855"/>
      <c r="D1484" s="1855"/>
      <c r="E1484" s="1854"/>
      <c r="F1484" s="1855"/>
      <c r="G1484" s="1855"/>
      <c r="H1484" s="1855"/>
      <c r="I1484" s="1855"/>
      <c r="J1484" s="1855"/>
      <c r="K1484" s="1964"/>
      <c r="L1484" s="2112"/>
      <c r="M1484" s="1964">
        <v>1</v>
      </c>
      <c r="N1484" s="2576"/>
      <c r="O1484" s="2042">
        <f>'Part VIII Scoring Criteria'!O333</f>
        <v>1</v>
      </c>
      <c r="P1484" s="2042"/>
      <c r="Q1484" s="2543" t="str">
        <f>IF(OR($O1484=$M1484,$O1484=0,$O1484=""),"","*CHECK!*")</f>
        <v/>
      </c>
      <c r="R1484" s="2503"/>
      <c r="S1484" s="2043"/>
      <c r="T1484" s="2043"/>
      <c r="U1484" s="2043"/>
      <c r="V1484" s="2043"/>
      <c r="W1484" s="2043"/>
      <c r="X1484" s="2043"/>
      <c r="Y1484" s="2043"/>
      <c r="Z1484" s="2043"/>
      <c r="AA1484" s="2043"/>
      <c r="AB1484" s="2043"/>
      <c r="AC1484" s="2043"/>
      <c r="AD1484" s="2043"/>
      <c r="AE1484" s="2043"/>
      <c r="AF1484" s="2043"/>
      <c r="AG1484" s="2043"/>
      <c r="AH1484" s="2043"/>
      <c r="AI1484" s="2043"/>
      <c r="AJ1484" s="2043"/>
      <c r="AK1484" s="2043"/>
      <c r="AL1484" s="2043"/>
      <c r="AM1484" s="2043"/>
      <c r="AN1484" s="2043"/>
      <c r="AO1484" s="2043"/>
      <c r="AP1484" s="2043"/>
      <c r="AQ1484" s="2043"/>
      <c r="AR1484" s="2043"/>
      <c r="AS1484" s="2043"/>
      <c r="AT1484" s="2043"/>
      <c r="AU1484" s="2043"/>
      <c r="AV1484" s="2043"/>
      <c r="AW1484" s="2043"/>
      <c r="AX1484" s="2043"/>
      <c r="AY1484" s="2043"/>
      <c r="AZ1484" s="2043"/>
      <c r="BA1484" s="2043"/>
      <c r="BB1484" s="2043"/>
      <c r="BC1484" s="2043"/>
      <c r="BD1484" s="2043"/>
      <c r="BE1484" s="2043"/>
      <c r="BF1484" s="2043"/>
      <c r="BG1484" s="2043"/>
      <c r="BH1484" s="2043"/>
      <c r="BI1484" s="2043"/>
      <c r="BJ1484" s="2043"/>
      <c r="BK1484" s="2043"/>
      <c r="BL1484" s="2043"/>
    </row>
    <row r="1485" spans="1:64" ht="15">
      <c r="A1485" s="2113" t="s">
        <v>206</v>
      </c>
      <c r="B1485" s="1854" t="s">
        <v>1898</v>
      </c>
      <c r="C1485" s="2083"/>
      <c r="D1485" s="2083"/>
      <c r="E1485" s="2083"/>
      <c r="F1485" s="2083"/>
      <c r="G1485" s="1855"/>
      <c r="H1485" s="2083"/>
      <c r="I1485" s="2083"/>
      <c r="J1485" s="2083"/>
      <c r="K1485" s="2083"/>
      <c r="L1485" s="2083"/>
      <c r="M1485" s="1964">
        <v>1</v>
      </c>
      <c r="N1485" s="2576"/>
      <c r="O1485" s="2042">
        <f>'Part VIII Scoring Criteria'!O334</f>
        <v>0</v>
      </c>
      <c r="P1485" s="2042"/>
      <c r="Q1485" s="2543" t="str">
        <f>IF(OR($O1485=$M1485,$O1485=0,$O1485=""),"","*CHECK!*")</f>
        <v/>
      </c>
      <c r="R1485" s="2503"/>
      <c r="S1485" s="2049"/>
      <c r="T1485" s="2049"/>
      <c r="U1485" s="2049"/>
      <c r="V1485" s="2049"/>
      <c r="W1485" s="2049"/>
      <c r="X1485" s="2049"/>
      <c r="Y1485" s="2049"/>
      <c r="Z1485" s="2049"/>
      <c r="AA1485" s="2049"/>
      <c r="AB1485" s="2049"/>
      <c r="AC1485" s="2049"/>
      <c r="AD1485" s="2049"/>
      <c r="AE1485" s="2049"/>
      <c r="AF1485" s="2049"/>
      <c r="AG1485" s="2049"/>
      <c r="AH1485" s="2049"/>
      <c r="AI1485" s="2049"/>
      <c r="AJ1485" s="2049"/>
      <c r="AK1485" s="2049"/>
      <c r="AL1485" s="2049"/>
      <c r="AM1485" s="2049"/>
      <c r="AN1485" s="2049"/>
      <c r="AO1485" s="2049"/>
      <c r="AP1485" s="2049"/>
      <c r="AQ1485" s="2049"/>
      <c r="AR1485" s="2049"/>
      <c r="AS1485" s="2049"/>
      <c r="AT1485" s="2049"/>
      <c r="AU1485" s="2049"/>
      <c r="AV1485" s="2049"/>
      <c r="AW1485" s="2049"/>
      <c r="AX1485" s="2049"/>
      <c r="AY1485" s="2049"/>
      <c r="AZ1485" s="2049"/>
      <c r="BA1485" s="2049"/>
      <c r="BB1485" s="2049"/>
      <c r="BC1485" s="2049"/>
      <c r="BD1485" s="2049"/>
      <c r="BE1485" s="2049"/>
      <c r="BF1485" s="2049"/>
      <c r="BG1485" s="2049"/>
      <c r="BH1485" s="2049"/>
      <c r="BI1485" s="2049"/>
      <c r="BJ1485" s="2049"/>
      <c r="BK1485" s="2049"/>
      <c r="BL1485" s="2049"/>
    </row>
    <row r="1486" spans="1:64" ht="15">
      <c r="A1486" s="2113" t="s">
        <v>227</v>
      </c>
      <c r="B1486" s="1854" t="s">
        <v>1899</v>
      </c>
      <c r="C1486" s="1855"/>
      <c r="D1486" s="1855"/>
      <c r="E1486" s="1855"/>
      <c r="F1486" s="1855"/>
      <c r="G1486" s="1855"/>
      <c r="H1486" s="1855"/>
      <c r="I1486" s="1855"/>
      <c r="J1486" s="1855"/>
      <c r="K1486" s="1855"/>
      <c r="L1486" s="1855"/>
      <c r="M1486" s="1964">
        <v>1</v>
      </c>
      <c r="N1486" s="2576"/>
      <c r="O1486" s="2042">
        <f>'Part VIII Scoring Criteria'!O335</f>
        <v>0</v>
      </c>
      <c r="P1486" s="2042"/>
      <c r="Q1486" s="2543" t="str">
        <f>IF(OR($O1486=$M1486,$O1486=0,$O1486=""),"","*CHECK!*")</f>
        <v/>
      </c>
      <c r="R1486" s="2503"/>
      <c r="S1486" s="2043"/>
      <c r="T1486" s="2043"/>
      <c r="U1486" s="2043"/>
      <c r="V1486" s="2043"/>
      <c r="W1486" s="2043"/>
      <c r="X1486" s="2043"/>
      <c r="Y1486" s="2043"/>
      <c r="Z1486" s="2043"/>
      <c r="AA1486" s="2043"/>
      <c r="AB1486" s="2043"/>
      <c r="AC1486" s="2043"/>
      <c r="AD1486" s="2043"/>
      <c r="AE1486" s="2043"/>
      <c r="AF1486" s="2043"/>
      <c r="AG1486" s="2043"/>
      <c r="AH1486" s="2043"/>
      <c r="AI1486" s="2043"/>
      <c r="AJ1486" s="2043"/>
      <c r="AK1486" s="2043"/>
      <c r="AL1486" s="2043"/>
      <c r="AM1486" s="2043"/>
      <c r="AN1486" s="2043"/>
      <c r="AO1486" s="2043"/>
      <c r="AP1486" s="2043"/>
      <c r="AQ1486" s="2043"/>
      <c r="AR1486" s="2043"/>
      <c r="AS1486" s="2043"/>
      <c r="AT1486" s="2043"/>
      <c r="AU1486" s="2043"/>
      <c r="AV1486" s="2043"/>
      <c r="AW1486" s="2043"/>
      <c r="AX1486" s="2043"/>
      <c r="AY1486" s="2043"/>
      <c r="AZ1486" s="2043"/>
      <c r="BA1486" s="2043"/>
      <c r="BB1486" s="2043"/>
      <c r="BC1486" s="2043"/>
      <c r="BD1486" s="2043"/>
      <c r="BE1486" s="2043"/>
      <c r="BF1486" s="2043"/>
      <c r="BG1486" s="2043"/>
      <c r="BH1486" s="2043"/>
      <c r="BI1486" s="2043"/>
      <c r="BJ1486" s="2043"/>
      <c r="BK1486" s="2043"/>
      <c r="BL1486" s="2043"/>
    </row>
    <row r="1487" spans="1:64" ht="15">
      <c r="A1487" s="2113" t="s">
        <v>229</v>
      </c>
      <c r="B1487" s="1854" t="s">
        <v>1900</v>
      </c>
      <c r="C1487" s="1855"/>
      <c r="D1487" s="1855"/>
      <c r="E1487" s="1855"/>
      <c r="F1487" s="1855"/>
      <c r="G1487" s="1855"/>
      <c r="H1487" s="1855"/>
      <c r="I1487" s="1855"/>
      <c r="J1487" s="1855"/>
      <c r="K1487" s="1855"/>
      <c r="L1487" s="1855"/>
      <c r="M1487" s="1964">
        <v>2</v>
      </c>
      <c r="N1487" s="2576"/>
      <c r="O1487" s="2042">
        <f>O1488-O1489</f>
        <v>2</v>
      </c>
      <c r="P1487" s="2042">
        <f>P1488-P1489</f>
        <v>2</v>
      </c>
      <c r="Q1487" s="2543" t="str">
        <f>IF(OR($O1487=$M1487,$O1487=0,$O1487=""),"","*CHECK!*")</f>
        <v/>
      </c>
      <c r="R1487" s="1855"/>
      <c r="S1487" s="1855"/>
      <c r="T1487" s="1855"/>
      <c r="U1487" s="1855"/>
      <c r="V1487" s="1855"/>
      <c r="W1487" s="1855"/>
      <c r="X1487" s="1855"/>
      <c r="Y1487" s="1855"/>
      <c r="Z1487" s="1855"/>
      <c r="AA1487" s="1855"/>
      <c r="AB1487" s="1855"/>
      <c r="AC1487" s="1855"/>
      <c r="AD1487" s="1855"/>
      <c r="AE1487" s="1855"/>
      <c r="AF1487" s="1855"/>
      <c r="AG1487" s="1855"/>
      <c r="AH1487" s="1855"/>
      <c r="AI1487" s="1855"/>
      <c r="AJ1487" s="1855"/>
      <c r="AK1487" s="1855"/>
      <c r="AL1487" s="1855"/>
      <c r="AM1487" s="1855"/>
      <c r="AN1487" s="1855"/>
      <c r="AO1487" s="1855"/>
      <c r="AP1487" s="1855"/>
      <c r="AQ1487" s="1855"/>
      <c r="AR1487" s="1855"/>
      <c r="AS1487" s="1855"/>
      <c r="AT1487" s="1855"/>
      <c r="AU1487" s="1855"/>
      <c r="AV1487" s="1855"/>
      <c r="AW1487" s="1855"/>
      <c r="AX1487" s="1855"/>
      <c r="AY1487" s="1855"/>
      <c r="AZ1487" s="1855"/>
      <c r="BA1487" s="1855"/>
      <c r="BB1487" s="1855"/>
      <c r="BC1487" s="1855"/>
      <c r="BD1487" s="1855"/>
      <c r="BE1487" s="1855"/>
      <c r="BF1487" s="1855"/>
      <c r="BG1487" s="1855"/>
      <c r="BH1487" s="1855"/>
      <c r="BI1487" s="1855"/>
      <c r="BJ1487" s="1855"/>
      <c r="BK1487" s="1855"/>
      <c r="BL1487" s="1855"/>
    </row>
    <row r="1488" spans="1:64" ht="15">
      <c r="A1488" s="2556"/>
      <c r="B1488" s="1855"/>
      <c r="C1488" s="1854" t="s">
        <v>1893</v>
      </c>
      <c r="D1488" s="2110"/>
      <c r="E1488" s="2110"/>
      <c r="F1488" s="1855"/>
      <c r="G1488" s="1855"/>
      <c r="H1488" s="1855"/>
      <c r="I1488" s="1855"/>
      <c r="J1488" s="1855"/>
      <c r="K1488" s="1855"/>
      <c r="L1488" s="2502"/>
      <c r="M1488" s="2113"/>
      <c r="N1488" s="1964"/>
      <c r="O1488" s="2042">
        <v>2</v>
      </c>
      <c r="P1488" s="2042">
        <v>2</v>
      </c>
      <c r="Q1488" s="2113"/>
      <c r="R1488" s="1855"/>
      <c r="S1488" s="1855"/>
      <c r="T1488" s="1855"/>
      <c r="U1488" s="1855"/>
      <c r="V1488" s="1855"/>
      <c r="W1488" s="1855"/>
      <c r="X1488" s="1855"/>
      <c r="Y1488" s="1855"/>
      <c r="Z1488" s="1855"/>
      <c r="AA1488" s="1855"/>
      <c r="AB1488" s="1855"/>
      <c r="AC1488" s="1855"/>
      <c r="AD1488" s="1855"/>
      <c r="AE1488" s="1855"/>
      <c r="AF1488" s="1855"/>
      <c r="AG1488" s="1855"/>
      <c r="AH1488" s="1855"/>
      <c r="AI1488" s="1855"/>
      <c r="AJ1488" s="1855"/>
      <c r="AK1488" s="1855"/>
      <c r="AL1488" s="1855"/>
      <c r="AM1488" s="1855"/>
      <c r="AN1488" s="1855"/>
      <c r="AO1488" s="1855"/>
      <c r="AP1488" s="1855"/>
      <c r="AQ1488" s="1855"/>
      <c r="AR1488" s="1855"/>
      <c r="AS1488" s="1855"/>
      <c r="AT1488" s="1855"/>
      <c r="AU1488" s="1855"/>
      <c r="AV1488" s="1855"/>
      <c r="AW1488" s="1855"/>
      <c r="AX1488" s="1855"/>
      <c r="AY1488" s="1855"/>
      <c r="AZ1488" s="1855"/>
      <c r="BA1488" s="1855"/>
      <c r="BB1488" s="1855"/>
      <c r="BC1488" s="1855"/>
      <c r="BD1488" s="1855"/>
      <c r="BE1488" s="1855"/>
      <c r="BF1488" s="1855"/>
      <c r="BG1488" s="1855"/>
      <c r="BH1488" s="1855"/>
      <c r="BI1488" s="1855"/>
      <c r="BJ1488" s="1855"/>
      <c r="BK1488" s="1855"/>
      <c r="BL1488" s="1855"/>
    </row>
    <row r="1489" spans="1:64" ht="15">
      <c r="A1489" s="2556"/>
      <c r="B1489" s="1855"/>
      <c r="C1489" s="1854" t="s">
        <v>1724</v>
      </c>
      <c r="D1489" s="2110"/>
      <c r="E1489" s="2110"/>
      <c r="F1489" s="1855"/>
      <c r="G1489" s="1855"/>
      <c r="H1489" s="1855"/>
      <c r="I1489" s="1855"/>
      <c r="J1489" s="1855"/>
      <c r="K1489" s="1855"/>
      <c r="L1489" s="2502"/>
      <c r="M1489" s="2113"/>
      <c r="N1489" s="1964"/>
      <c r="O1489" s="2042">
        <f>'Part VIII Scoring Criteria'!O338</f>
        <v>0</v>
      </c>
      <c r="P1489" s="2042"/>
      <c r="Q1489" s="2113"/>
      <c r="R1489" s="2503"/>
      <c r="S1489" s="1855"/>
      <c r="T1489" s="1855"/>
      <c r="U1489" s="1855"/>
      <c r="V1489" s="1855"/>
      <c r="W1489" s="1855"/>
      <c r="X1489" s="1855"/>
      <c r="Y1489" s="1855"/>
      <c r="Z1489" s="1855"/>
      <c r="AA1489" s="1855"/>
      <c r="AB1489" s="1855"/>
      <c r="AC1489" s="1855"/>
      <c r="AD1489" s="1855"/>
      <c r="AE1489" s="1855"/>
      <c r="AF1489" s="1855"/>
      <c r="AG1489" s="1855"/>
      <c r="AH1489" s="1855"/>
      <c r="AI1489" s="1855"/>
      <c r="AJ1489" s="1855"/>
      <c r="AK1489" s="1855"/>
      <c r="AL1489" s="1855"/>
      <c r="AM1489" s="1855"/>
      <c r="AN1489" s="1855"/>
      <c r="AO1489" s="1855"/>
      <c r="AP1489" s="1855"/>
      <c r="AQ1489" s="1855"/>
      <c r="AR1489" s="1855"/>
      <c r="AS1489" s="1855"/>
      <c r="AT1489" s="1855"/>
      <c r="AU1489" s="1855"/>
      <c r="AV1489" s="1855"/>
      <c r="AW1489" s="1855"/>
      <c r="AX1489" s="1855"/>
      <c r="AY1489" s="1855"/>
      <c r="AZ1489" s="1855"/>
      <c r="BA1489" s="1855"/>
      <c r="BB1489" s="1855"/>
      <c r="BC1489" s="1855"/>
      <c r="BD1489" s="1855"/>
      <c r="BE1489" s="1855"/>
      <c r="BF1489" s="1855"/>
      <c r="BG1489" s="1855"/>
      <c r="BH1489" s="1855"/>
      <c r="BI1489" s="1855"/>
      <c r="BJ1489" s="1855"/>
      <c r="BK1489" s="1855"/>
      <c r="BL1489" s="1855"/>
    </row>
    <row r="1490" spans="1:64" ht="15">
      <c r="A1490" s="1855"/>
      <c r="B1490" s="2110" t="s">
        <v>1739</v>
      </c>
      <c r="C1490" s="1855"/>
      <c r="D1490" s="1855"/>
      <c r="E1490" s="1855"/>
      <c r="F1490" s="1855"/>
      <c r="G1490" s="1855"/>
      <c r="H1490" s="1855"/>
      <c r="I1490" s="1855"/>
      <c r="J1490" s="1855"/>
      <c r="K1490" s="1855"/>
      <c r="L1490" s="2043"/>
      <c r="M1490" s="1964"/>
      <c r="N1490" s="1994"/>
      <c r="O1490" s="2042"/>
      <c r="P1490" s="2045"/>
      <c r="Q1490" s="2043"/>
      <c r="R1490" s="2043"/>
      <c r="S1490" s="2043"/>
      <c r="T1490" s="2043"/>
      <c r="U1490" s="2043"/>
      <c r="V1490" s="2043"/>
      <c r="W1490" s="2043"/>
      <c r="X1490" s="2043"/>
      <c r="Y1490" s="2043"/>
      <c r="Z1490" s="2043"/>
      <c r="AA1490" s="2043"/>
      <c r="AB1490" s="2043"/>
      <c r="AC1490" s="2043"/>
      <c r="AD1490" s="2043"/>
      <c r="AE1490" s="2043"/>
      <c r="AF1490" s="2043"/>
      <c r="AG1490" s="2043"/>
      <c r="AH1490" s="2043"/>
      <c r="AI1490" s="2043"/>
      <c r="AJ1490" s="2043"/>
      <c r="AK1490" s="2043"/>
      <c r="AL1490" s="2043"/>
      <c r="AM1490" s="2043"/>
      <c r="AN1490" s="2043"/>
      <c r="AO1490" s="2043"/>
      <c r="AP1490" s="2043"/>
      <c r="AQ1490" s="2043"/>
      <c r="AR1490" s="2043"/>
      <c r="AS1490" s="2043"/>
      <c r="AT1490" s="2043"/>
      <c r="AU1490" s="2043"/>
      <c r="AV1490" s="2043"/>
      <c r="AW1490" s="2043"/>
      <c r="AX1490" s="2043"/>
      <c r="AY1490" s="2043"/>
      <c r="AZ1490" s="2043"/>
      <c r="BA1490" s="2043"/>
      <c r="BB1490" s="2043"/>
      <c r="BC1490" s="2043"/>
      <c r="BD1490" s="2043"/>
      <c r="BE1490" s="2043"/>
      <c r="BF1490" s="2043"/>
      <c r="BG1490" s="2043"/>
      <c r="BH1490" s="2043"/>
      <c r="BI1490" s="2043"/>
      <c r="BJ1490" s="2043"/>
      <c r="BK1490" s="2043"/>
      <c r="BL1490" s="2043"/>
    </row>
    <row r="1491" spans="1:64" ht="409.5">
      <c r="A1491" s="2052" t="str">
        <f>'Part VIII Scoring Criteria'!A340</f>
        <v xml:space="preserve">Applicant certifies that the property meets the requirements for the DCA PBRA Agreement.  Principals of the Applicant have multiple successful properties that participate in the Section 811 program. </v>
      </c>
      <c r="B1491" s="2052"/>
      <c r="C1491" s="2052"/>
      <c r="D1491" s="2052"/>
      <c r="E1491" s="2052"/>
      <c r="F1491" s="2052"/>
      <c r="G1491" s="2052"/>
      <c r="H1491" s="2052"/>
      <c r="I1491" s="2052"/>
      <c r="J1491" s="2052"/>
      <c r="K1491" s="2052"/>
      <c r="L1491" s="2052"/>
      <c r="M1491" s="2052"/>
      <c r="N1491" s="2052"/>
      <c r="O1491" s="2052"/>
      <c r="P1491" s="2052"/>
      <c r="Q1491" s="1854"/>
      <c r="R1491" s="1854"/>
      <c r="S1491" s="2043"/>
      <c r="T1491" s="2043"/>
      <c r="U1491" s="2043"/>
      <c r="V1491" s="2043"/>
      <c r="W1491" s="2043"/>
      <c r="X1491" s="2043"/>
      <c r="Y1491" s="2043"/>
      <c r="Z1491" s="2043"/>
      <c r="AA1491" s="2043"/>
      <c r="AB1491" s="2043"/>
      <c r="AC1491" s="2043"/>
      <c r="AD1491" s="2043"/>
      <c r="AE1491" s="2043"/>
      <c r="AF1491" s="2043"/>
      <c r="AG1491" s="2043"/>
      <c r="AH1491" s="2043"/>
      <c r="AI1491" s="2043"/>
      <c r="AJ1491" s="2043"/>
      <c r="AK1491" s="2043"/>
      <c r="AL1491" s="2043"/>
      <c r="AM1491" s="2043"/>
      <c r="AN1491" s="2043"/>
      <c r="AO1491" s="2043"/>
      <c r="AP1491" s="2043"/>
      <c r="AQ1491" s="2043"/>
      <c r="AR1491" s="2043"/>
      <c r="AS1491" s="2043"/>
      <c r="AT1491" s="2043"/>
      <c r="AU1491" s="2043"/>
      <c r="AV1491" s="2043"/>
      <c r="AW1491" s="2043"/>
      <c r="AX1491" s="2043"/>
      <c r="AY1491" s="2043"/>
      <c r="AZ1491" s="2043"/>
      <c r="BA1491" s="2043"/>
      <c r="BB1491" s="2043"/>
      <c r="BC1491" s="2043"/>
      <c r="BD1491" s="2043"/>
      <c r="BE1491" s="2043"/>
      <c r="BF1491" s="2043"/>
      <c r="BG1491" s="2043"/>
      <c r="BH1491" s="2043"/>
      <c r="BI1491" s="2043"/>
      <c r="BJ1491" s="2043"/>
      <c r="BK1491" s="2043"/>
      <c r="BL1491" s="2043"/>
    </row>
    <row r="1492" spans="1:64" ht="15">
      <c r="A1492" s="2043"/>
      <c r="B1492" s="2510" t="s">
        <v>1399</v>
      </c>
      <c r="C1492" s="1855"/>
      <c r="D1492" s="2510"/>
      <c r="E1492" s="2487"/>
      <c r="F1492" s="2487"/>
      <c r="G1492" s="2487"/>
      <c r="H1492" s="2487"/>
      <c r="I1492" s="2487"/>
      <c r="J1492" s="2487"/>
      <c r="K1492" s="2487"/>
      <c r="L1492" s="2487"/>
      <c r="M1492" s="2487"/>
      <c r="N1492" s="2511"/>
      <c r="O1492" s="2489"/>
      <c r="P1492" s="2113"/>
      <c r="Q1492" s="2043"/>
      <c r="R1492" s="2043"/>
      <c r="S1492" s="2043"/>
      <c r="T1492" s="2043"/>
      <c r="U1492" s="2043"/>
      <c r="V1492" s="2043"/>
      <c r="W1492" s="2043"/>
      <c r="X1492" s="2043"/>
      <c r="Y1492" s="2043"/>
      <c r="Z1492" s="2043"/>
      <c r="AA1492" s="2043"/>
      <c r="AB1492" s="2043"/>
      <c r="AC1492" s="2043"/>
      <c r="AD1492" s="2043"/>
      <c r="AE1492" s="2043"/>
      <c r="AF1492" s="2043"/>
      <c r="AG1492" s="2043"/>
      <c r="AH1492" s="2043"/>
      <c r="AI1492" s="2043"/>
      <c r="AJ1492" s="2043"/>
      <c r="AK1492" s="2043"/>
      <c r="AL1492" s="2043"/>
      <c r="AM1492" s="2043"/>
      <c r="AN1492" s="2043"/>
      <c r="AO1492" s="2043"/>
      <c r="AP1492" s="2043"/>
      <c r="AQ1492" s="2043"/>
      <c r="AR1492" s="2043"/>
      <c r="AS1492" s="2043"/>
      <c r="AT1492" s="2043"/>
      <c r="AU1492" s="2043"/>
      <c r="AV1492" s="2043"/>
      <c r="AW1492" s="2043"/>
      <c r="AX1492" s="2043"/>
      <c r="AY1492" s="2043"/>
      <c r="AZ1492" s="2043"/>
      <c r="BA1492" s="2043"/>
      <c r="BB1492" s="2043"/>
      <c r="BC1492" s="2043"/>
      <c r="BD1492" s="2043"/>
      <c r="BE1492" s="2043"/>
      <c r="BF1492" s="2043"/>
      <c r="BG1492" s="2043"/>
      <c r="BH1492" s="2043"/>
      <c r="BI1492" s="2043"/>
      <c r="BJ1492" s="2043"/>
      <c r="BK1492" s="2043"/>
      <c r="BL1492" s="2043"/>
    </row>
    <row r="1493" spans="1:64" ht="15">
      <c r="A1493" s="2052"/>
      <c r="B1493" s="2052"/>
      <c r="C1493" s="2052"/>
      <c r="D1493" s="2052"/>
      <c r="E1493" s="2052"/>
      <c r="F1493" s="2052"/>
      <c r="G1493" s="2052"/>
      <c r="H1493" s="2052"/>
      <c r="I1493" s="2052"/>
      <c r="J1493" s="2052"/>
      <c r="K1493" s="2052"/>
      <c r="L1493" s="2052"/>
      <c r="M1493" s="2052"/>
      <c r="N1493" s="2052"/>
      <c r="O1493" s="2052"/>
      <c r="P1493" s="2052"/>
      <c r="Q1493" s="1854"/>
      <c r="R1493" s="2043"/>
      <c r="S1493" s="2043"/>
      <c r="T1493" s="2043"/>
      <c r="U1493" s="2043"/>
      <c r="V1493" s="2043"/>
      <c r="W1493" s="2043"/>
      <c r="X1493" s="2043"/>
      <c r="Y1493" s="2043"/>
      <c r="Z1493" s="2043"/>
      <c r="AA1493" s="2043"/>
      <c r="AB1493" s="2043"/>
      <c r="AC1493" s="2043"/>
      <c r="AD1493" s="2043"/>
      <c r="AE1493" s="2043"/>
      <c r="AF1493" s="2043"/>
      <c r="AG1493" s="2043"/>
      <c r="AH1493" s="2043"/>
      <c r="AI1493" s="2043"/>
      <c r="AJ1493" s="2043"/>
      <c r="AK1493" s="2043"/>
      <c r="AL1493" s="2043"/>
      <c r="AM1493" s="2043"/>
      <c r="AN1493" s="2043"/>
      <c r="AO1493" s="2043"/>
      <c r="AP1493" s="2043"/>
      <c r="AQ1493" s="2043"/>
      <c r="AR1493" s="2043"/>
      <c r="AS1493" s="2043"/>
      <c r="AT1493" s="2043"/>
      <c r="AU1493" s="2043"/>
      <c r="AV1493" s="2043"/>
      <c r="AW1493" s="2043"/>
      <c r="AX1493" s="2043"/>
      <c r="AY1493" s="2043"/>
      <c r="AZ1493" s="2043"/>
      <c r="BA1493" s="2043"/>
      <c r="BB1493" s="2043"/>
      <c r="BC1493" s="2043"/>
      <c r="BD1493" s="2043"/>
      <c r="BE1493" s="2043"/>
      <c r="BF1493" s="2043"/>
      <c r="BG1493" s="2043"/>
      <c r="BH1493" s="2043"/>
      <c r="BI1493" s="2043"/>
      <c r="BJ1493" s="2043"/>
      <c r="BK1493" s="2043"/>
      <c r="BL1493" s="2043"/>
    </row>
    <row r="1494" spans="1:64" ht="15">
      <c r="A1494" s="2556"/>
      <c r="B1494" s="1855"/>
      <c r="C1494" s="2487"/>
      <c r="D1494" s="2487"/>
      <c r="E1494" s="2487"/>
      <c r="F1494" s="2487"/>
      <c r="G1494" s="2487"/>
      <c r="H1494" s="2487"/>
      <c r="I1494" s="2487"/>
      <c r="J1494" s="2487"/>
      <c r="K1494" s="2487"/>
      <c r="L1494" s="2487"/>
      <c r="M1494" s="2487"/>
      <c r="N1494" s="2511"/>
      <c r="O1494" s="2489"/>
      <c r="P1494" s="2113"/>
      <c r="Q1494" s="2043"/>
      <c r="R1494" s="2043"/>
      <c r="S1494" s="2043"/>
      <c r="T1494" s="2043"/>
      <c r="U1494" s="2043"/>
      <c r="V1494" s="2043"/>
      <c r="W1494" s="2043"/>
      <c r="X1494" s="2043"/>
      <c r="Y1494" s="2043"/>
      <c r="Z1494" s="2043"/>
      <c r="AA1494" s="2043"/>
      <c r="AB1494" s="2043"/>
      <c r="AC1494" s="2043"/>
      <c r="AD1494" s="2043"/>
      <c r="AE1494" s="2043"/>
      <c r="AF1494" s="2043"/>
      <c r="AG1494" s="2043"/>
      <c r="AH1494" s="2043"/>
      <c r="AI1494" s="2043"/>
      <c r="AJ1494" s="2043"/>
      <c r="AK1494" s="2043"/>
      <c r="AL1494" s="2043"/>
      <c r="AM1494" s="2043"/>
      <c r="AN1494" s="2043"/>
      <c r="AO1494" s="2043"/>
      <c r="AP1494" s="2043"/>
      <c r="AQ1494" s="2043"/>
      <c r="AR1494" s="2043"/>
      <c r="AS1494" s="2043"/>
      <c r="AT1494" s="2043"/>
      <c r="AU1494" s="2043"/>
      <c r="AV1494" s="2043"/>
      <c r="AW1494" s="2043"/>
      <c r="AX1494" s="2043"/>
      <c r="AY1494" s="2043"/>
      <c r="AZ1494" s="2043"/>
      <c r="BA1494" s="2043"/>
      <c r="BB1494" s="2043"/>
      <c r="BC1494" s="2043"/>
      <c r="BD1494" s="2043"/>
      <c r="BE1494" s="2043"/>
      <c r="BF1494" s="2043"/>
      <c r="BG1494" s="2043"/>
      <c r="BH1494" s="2043"/>
      <c r="BI1494" s="2043"/>
      <c r="BJ1494" s="2043"/>
      <c r="BK1494" s="2043"/>
      <c r="BL1494" s="2043"/>
    </row>
    <row r="1495" spans="1:64" ht="15">
      <c r="A1495" s="2556"/>
      <c r="B1495" s="1855"/>
      <c r="C1495" s="2487"/>
      <c r="D1495" s="2487"/>
      <c r="E1495" s="2487"/>
      <c r="F1495" s="2487"/>
      <c r="G1495" s="2487"/>
      <c r="H1495" s="2487"/>
      <c r="I1495" s="2487"/>
      <c r="J1495" s="2487"/>
      <c r="K1495" s="2487"/>
      <c r="L1495" s="2487"/>
      <c r="M1495" s="2487"/>
      <c r="N1495" s="2511"/>
      <c r="O1495" s="2489"/>
      <c r="P1495" s="2113"/>
      <c r="Q1495" s="2043"/>
      <c r="R1495" s="2043"/>
      <c r="S1495" s="2043"/>
      <c r="T1495" s="2043"/>
      <c r="U1495" s="2043"/>
      <c r="V1495" s="2043"/>
      <c r="W1495" s="2043"/>
      <c r="X1495" s="2043"/>
      <c r="Y1495" s="2043"/>
      <c r="Z1495" s="2043"/>
      <c r="AA1495" s="2043"/>
      <c r="AB1495" s="2043"/>
      <c r="AC1495" s="2043"/>
      <c r="AD1495" s="2043"/>
      <c r="AE1495" s="2043"/>
      <c r="AF1495" s="2043"/>
      <c r="AG1495" s="2043"/>
      <c r="AH1495" s="2043"/>
      <c r="AI1495" s="2043"/>
      <c r="AJ1495" s="2043"/>
      <c r="AK1495" s="2043"/>
      <c r="AL1495" s="2043"/>
      <c r="AM1495" s="2043"/>
      <c r="AN1495" s="2043"/>
      <c r="AO1495" s="2043"/>
      <c r="AP1495" s="2043"/>
      <c r="AQ1495" s="2043"/>
      <c r="AR1495" s="2043"/>
      <c r="AS1495" s="2043"/>
      <c r="AT1495" s="2043"/>
      <c r="AU1495" s="2043"/>
      <c r="AV1495" s="2043"/>
      <c r="AW1495" s="2043"/>
      <c r="AX1495" s="2043"/>
      <c r="AY1495" s="2043"/>
      <c r="AZ1495" s="2043"/>
      <c r="BA1495" s="2043"/>
      <c r="BB1495" s="2043"/>
      <c r="BC1495" s="2043"/>
      <c r="BD1495" s="2043"/>
      <c r="BE1495" s="2043"/>
      <c r="BF1495" s="2043"/>
      <c r="BG1495" s="2043"/>
      <c r="BH1495" s="2043"/>
      <c r="BI1495" s="2043"/>
      <c r="BJ1495" s="2043"/>
      <c r="BK1495" s="2043"/>
      <c r="BL1495" s="2043"/>
    </row>
    <row r="1496" spans="1:64" ht="15">
      <c r="A1496" s="2556" t="s">
        <v>1556</v>
      </c>
      <c r="B1496" s="2110" t="s">
        <v>1901</v>
      </c>
      <c r="C1496" s="1855"/>
      <c r="D1496" s="2110"/>
      <c r="E1496" s="2110"/>
      <c r="F1496" s="1855"/>
      <c r="G1496" s="1855"/>
      <c r="H1496" s="1855"/>
      <c r="I1496" s="1855"/>
      <c r="J1496" s="1855"/>
      <c r="K1496" s="1855"/>
      <c r="L1496" s="2543"/>
      <c r="M1496" s="2113">
        <v>6</v>
      </c>
      <c r="N1496" s="1964"/>
      <c r="O1496" s="2042">
        <f>'Part VIII Scoring Criteria'!O345</f>
        <v>4</v>
      </c>
      <c r="P1496" s="2042"/>
      <c r="Q1496" s="2113" t="s">
        <v>1716</v>
      </c>
      <c r="R1496" s="2503"/>
      <c r="S1496" s="1855"/>
      <c r="T1496" s="1855"/>
      <c r="U1496" s="1855"/>
      <c r="V1496" s="1855"/>
      <c r="W1496" s="1855"/>
      <c r="X1496" s="1855"/>
      <c r="Y1496" s="1855"/>
      <c r="Z1496" s="1855"/>
      <c r="AA1496" s="1855"/>
      <c r="AB1496" s="1855"/>
      <c r="AC1496" s="1855"/>
      <c r="AD1496" s="1855"/>
      <c r="AE1496" s="1855"/>
      <c r="AF1496" s="1855"/>
      <c r="AG1496" s="1855"/>
      <c r="AH1496" s="1855"/>
      <c r="AI1496" s="1855"/>
      <c r="AJ1496" s="1855"/>
      <c r="AK1496" s="1855"/>
      <c r="AL1496" s="1855"/>
      <c r="AM1496" s="1855"/>
      <c r="AN1496" s="1855"/>
      <c r="AO1496" s="1855"/>
      <c r="AP1496" s="1855"/>
      <c r="AQ1496" s="1855"/>
      <c r="AR1496" s="1855"/>
      <c r="AS1496" s="1855"/>
      <c r="AT1496" s="1855"/>
      <c r="AU1496" s="1855"/>
      <c r="AV1496" s="1855"/>
      <c r="AW1496" s="1855"/>
      <c r="AX1496" s="1855"/>
      <c r="AY1496" s="1855"/>
      <c r="AZ1496" s="1855"/>
      <c r="BA1496" s="1855"/>
      <c r="BB1496" s="1855"/>
      <c r="BC1496" s="1855"/>
      <c r="BD1496" s="1855"/>
      <c r="BE1496" s="1855"/>
      <c r="BF1496" s="1855"/>
      <c r="BG1496" s="1855"/>
      <c r="BH1496" s="1855"/>
      <c r="BI1496" s="1855"/>
      <c r="BJ1496" s="1855"/>
      <c r="BK1496" s="1855"/>
      <c r="BL1496" s="1855"/>
    </row>
    <row r="1497" spans="1:64" ht="15">
      <c r="A1497" s="1855"/>
      <c r="B1497" s="2110" t="s">
        <v>1739</v>
      </c>
      <c r="C1497" s="1855"/>
      <c r="D1497" s="1855"/>
      <c r="E1497" s="1855"/>
      <c r="F1497" s="1855"/>
      <c r="G1497" s="1855"/>
      <c r="H1497" s="1855"/>
      <c r="I1497" s="1855"/>
      <c r="J1497" s="1855"/>
      <c r="K1497" s="1855"/>
      <c r="L1497" s="2043"/>
      <c r="M1497" s="1964"/>
      <c r="N1497" s="1994"/>
      <c r="O1497" s="2042"/>
      <c r="P1497" s="2045"/>
      <c r="Q1497" s="2043"/>
      <c r="R1497" s="2043"/>
      <c r="S1497" s="2043"/>
      <c r="T1497" s="2043"/>
      <c r="U1497" s="2043"/>
      <c r="V1497" s="2043"/>
      <c r="W1497" s="2043"/>
      <c r="X1497" s="2043"/>
      <c r="Y1497" s="2043"/>
      <c r="Z1497" s="2043"/>
      <c r="AA1497" s="2043"/>
      <c r="AB1497" s="2043"/>
      <c r="AC1497" s="2043"/>
      <c r="AD1497" s="2043"/>
      <c r="AE1497" s="2043"/>
      <c r="AF1497" s="2043"/>
      <c r="AG1497" s="2043"/>
      <c r="AH1497" s="2043"/>
      <c r="AI1497" s="2043"/>
      <c r="AJ1497" s="2043"/>
      <c r="AK1497" s="2043"/>
      <c r="AL1497" s="2043"/>
      <c r="AM1497" s="2043"/>
      <c r="AN1497" s="2043"/>
      <c r="AO1497" s="2043"/>
      <c r="AP1497" s="2043"/>
      <c r="AQ1497" s="2043"/>
      <c r="AR1497" s="2043"/>
      <c r="AS1497" s="2043"/>
      <c r="AT1497" s="2043"/>
      <c r="AU1497" s="2043"/>
      <c r="AV1497" s="2043"/>
      <c r="AW1497" s="2043"/>
      <c r="AX1497" s="2043"/>
      <c r="AY1497" s="2043"/>
      <c r="AZ1497" s="2043"/>
      <c r="BA1497" s="2043"/>
      <c r="BB1497" s="2043"/>
      <c r="BC1497" s="2043"/>
      <c r="BD1497" s="2043"/>
      <c r="BE1497" s="2043"/>
      <c r="BF1497" s="2043"/>
      <c r="BG1497" s="2043"/>
      <c r="BH1497" s="2043"/>
      <c r="BI1497" s="2043"/>
      <c r="BJ1497" s="2043"/>
      <c r="BK1497" s="2043"/>
      <c r="BL1497" s="2043"/>
    </row>
    <row r="1498" spans="1:64" ht="299.25">
      <c r="A1498" s="2052" t="str">
        <f>'Part VIII Scoring Criteria'!A347</f>
        <v>Ashley Collegetown has an average occupancy of 94.89 for the 24 month period through July 2023.  Please see documentation in tab 46.</v>
      </c>
      <c r="B1498" s="2052"/>
      <c r="C1498" s="2052"/>
      <c r="D1498" s="2052"/>
      <c r="E1498" s="2052"/>
      <c r="F1498" s="2052"/>
      <c r="G1498" s="2052"/>
      <c r="H1498" s="2052"/>
      <c r="I1498" s="2052"/>
      <c r="J1498" s="2052"/>
      <c r="K1498" s="2052"/>
      <c r="L1498" s="2052"/>
      <c r="M1498" s="2052"/>
      <c r="N1498" s="2052"/>
      <c r="O1498" s="2052"/>
      <c r="P1498" s="2052"/>
      <c r="Q1498" s="1854"/>
      <c r="R1498" s="1854"/>
      <c r="S1498" s="2043"/>
      <c r="T1498" s="2043"/>
      <c r="U1498" s="2043"/>
      <c r="V1498" s="2043"/>
      <c r="W1498" s="2043"/>
      <c r="X1498" s="2043"/>
      <c r="Y1498" s="2043"/>
      <c r="Z1498" s="2043"/>
      <c r="AA1498" s="2043"/>
      <c r="AB1498" s="2043"/>
      <c r="AC1498" s="2043"/>
      <c r="AD1498" s="2043"/>
      <c r="AE1498" s="2043"/>
      <c r="AF1498" s="2043"/>
      <c r="AG1498" s="2043"/>
      <c r="AH1498" s="2043"/>
      <c r="AI1498" s="2043"/>
      <c r="AJ1498" s="2043"/>
      <c r="AK1498" s="2043"/>
      <c r="AL1498" s="2043"/>
      <c r="AM1498" s="2043"/>
      <c r="AN1498" s="2043"/>
      <c r="AO1498" s="2043"/>
      <c r="AP1498" s="2043"/>
      <c r="AQ1498" s="2043"/>
      <c r="AR1498" s="2043"/>
      <c r="AS1498" s="2043"/>
      <c r="AT1498" s="2043"/>
      <c r="AU1498" s="2043"/>
      <c r="AV1498" s="2043"/>
      <c r="AW1498" s="2043"/>
      <c r="AX1498" s="2043"/>
      <c r="AY1498" s="2043"/>
      <c r="AZ1498" s="2043"/>
      <c r="BA1498" s="2043"/>
      <c r="BB1498" s="2043"/>
      <c r="BC1498" s="2043"/>
      <c r="BD1498" s="2043"/>
      <c r="BE1498" s="2043"/>
      <c r="BF1498" s="2043"/>
      <c r="BG1498" s="2043"/>
      <c r="BH1498" s="2043"/>
      <c r="BI1498" s="2043"/>
      <c r="BJ1498" s="2043"/>
      <c r="BK1498" s="2043"/>
      <c r="BL1498" s="2043"/>
    </row>
    <row r="1499" spans="1:64" ht="15">
      <c r="A1499" s="2484"/>
      <c r="B1499" s="2484" t="s">
        <v>1399</v>
      </c>
      <c r="C1499" s="1855"/>
      <c r="D1499" s="2484"/>
      <c r="E1499" s="2532"/>
      <c r="F1499" s="2532"/>
      <c r="G1499" s="2532"/>
      <c r="H1499" s="2532"/>
      <c r="I1499" s="2532"/>
      <c r="J1499" s="2532"/>
      <c r="K1499" s="2532"/>
      <c r="L1499" s="2532"/>
      <c r="M1499" s="2532"/>
      <c r="N1499" s="2533"/>
      <c r="O1499" s="2478"/>
      <c r="P1499" s="2113"/>
      <c r="Q1499" s="1855"/>
      <c r="R1499" s="1855"/>
      <c r="S1499" s="1855"/>
      <c r="T1499" s="1855"/>
      <c r="U1499" s="1855"/>
      <c r="V1499" s="1855"/>
      <c r="W1499" s="1855"/>
      <c r="X1499" s="1855"/>
      <c r="Y1499" s="1855"/>
      <c r="Z1499" s="1855"/>
      <c r="AA1499" s="1855"/>
      <c r="AB1499" s="1855"/>
      <c r="AC1499" s="1855"/>
      <c r="AD1499" s="1855"/>
      <c r="AE1499" s="1855"/>
      <c r="AF1499" s="1855"/>
      <c r="AG1499" s="1855"/>
      <c r="AH1499" s="1855"/>
      <c r="AI1499" s="1855"/>
      <c r="AJ1499" s="1855"/>
      <c r="AK1499" s="1855"/>
      <c r="AL1499" s="1855"/>
      <c r="AM1499" s="1855"/>
      <c r="AN1499" s="1855"/>
      <c r="AO1499" s="1855"/>
      <c r="AP1499" s="1855"/>
      <c r="AQ1499" s="1855"/>
      <c r="AR1499" s="1855"/>
      <c r="AS1499" s="1855"/>
      <c r="AT1499" s="1855"/>
      <c r="AU1499" s="1855"/>
      <c r="AV1499" s="1855"/>
      <c r="AW1499" s="1855"/>
      <c r="AX1499" s="1855"/>
      <c r="AY1499" s="1855"/>
      <c r="AZ1499" s="1855"/>
      <c r="BA1499" s="1855"/>
      <c r="BB1499" s="1855"/>
      <c r="BC1499" s="1855"/>
      <c r="BD1499" s="1855"/>
      <c r="BE1499" s="1855"/>
      <c r="BF1499" s="1855"/>
      <c r="BG1499" s="1855"/>
      <c r="BH1499" s="1855"/>
      <c r="BI1499" s="1855"/>
      <c r="BJ1499" s="1855"/>
      <c r="BK1499" s="1855"/>
      <c r="BL1499" s="1855"/>
    </row>
    <row r="1500" spans="1:64" ht="15">
      <c r="A1500" s="2052"/>
      <c r="B1500" s="2052"/>
      <c r="C1500" s="2052"/>
      <c r="D1500" s="2052"/>
      <c r="E1500" s="2052"/>
      <c r="F1500" s="2052"/>
      <c r="G1500" s="2052"/>
      <c r="H1500" s="2052"/>
      <c r="I1500" s="2052"/>
      <c r="J1500" s="2052"/>
      <c r="K1500" s="2052"/>
      <c r="L1500" s="2052"/>
      <c r="M1500" s="2052"/>
      <c r="N1500" s="2052"/>
      <c r="O1500" s="2052"/>
      <c r="P1500" s="2052"/>
      <c r="Q1500" s="1854"/>
      <c r="R1500" s="1854"/>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c r="AS1500" s="2043"/>
      <c r="AT1500" s="2043"/>
      <c r="AU1500" s="2043"/>
      <c r="AV1500" s="2043"/>
      <c r="AW1500" s="2043"/>
      <c r="AX1500" s="2043"/>
      <c r="AY1500" s="2043"/>
      <c r="AZ1500" s="2043"/>
      <c r="BA1500" s="2043"/>
      <c r="BB1500" s="2043"/>
      <c r="BC1500" s="2043"/>
      <c r="BD1500" s="2043"/>
      <c r="BE1500" s="2043"/>
      <c r="BF1500" s="2043"/>
      <c r="BG1500" s="2043"/>
      <c r="BH1500" s="2043"/>
      <c r="BI1500" s="2043"/>
      <c r="BJ1500" s="2043"/>
      <c r="BK1500" s="2043"/>
      <c r="BL1500" s="2043"/>
    </row>
    <row r="1501" spans="1:64" ht="15">
      <c r="A1501" s="2556"/>
      <c r="B1501" s="1855"/>
      <c r="C1501" s="2487"/>
      <c r="D1501" s="2487"/>
      <c r="E1501" s="2487"/>
      <c r="F1501" s="2487"/>
      <c r="G1501" s="2487"/>
      <c r="H1501" s="2487"/>
      <c r="I1501" s="2487"/>
      <c r="J1501" s="2487"/>
      <c r="K1501" s="2487"/>
      <c r="L1501" s="2487"/>
      <c r="M1501" s="2487"/>
      <c r="N1501" s="2511"/>
      <c r="O1501" s="2489"/>
      <c r="P1501" s="2113"/>
      <c r="Q1501" s="2043"/>
      <c r="R1501" s="2043"/>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c r="AS1501" s="2043"/>
      <c r="AT1501" s="2043"/>
      <c r="AU1501" s="2043"/>
      <c r="AV1501" s="2043"/>
      <c r="AW1501" s="2043"/>
      <c r="AX1501" s="2043"/>
      <c r="AY1501" s="2043"/>
      <c r="AZ1501" s="2043"/>
      <c r="BA1501" s="2043"/>
      <c r="BB1501" s="2043"/>
      <c r="BC1501" s="2043"/>
      <c r="BD1501" s="2043"/>
      <c r="BE1501" s="2043"/>
      <c r="BF1501" s="2043"/>
      <c r="BG1501" s="2043"/>
      <c r="BH1501" s="2043"/>
      <c r="BI1501" s="2043"/>
      <c r="BJ1501" s="2043"/>
      <c r="BK1501" s="2043"/>
      <c r="BL1501" s="2043"/>
    </row>
    <row r="1502" spans="1:64" ht="15">
      <c r="A1502" s="2556"/>
      <c r="B1502" s="1855"/>
      <c r="C1502" s="2487"/>
      <c r="D1502" s="2487"/>
      <c r="E1502" s="2487"/>
      <c r="F1502" s="2487"/>
      <c r="G1502" s="2487"/>
      <c r="H1502" s="2487"/>
      <c r="I1502" s="2487"/>
      <c r="J1502" s="2487"/>
      <c r="K1502" s="2487"/>
      <c r="L1502" s="2487"/>
      <c r="M1502" s="2487"/>
      <c r="N1502" s="2511"/>
      <c r="O1502" s="2489"/>
      <c r="P1502" s="2113"/>
      <c r="Q1502" s="2043"/>
      <c r="R1502" s="2043"/>
      <c r="S1502" s="2043"/>
      <c r="T1502" s="2043"/>
      <c r="U1502" s="2043"/>
      <c r="V1502" s="2043"/>
      <c r="W1502" s="2043"/>
      <c r="X1502" s="2043"/>
      <c r="Y1502" s="2043"/>
      <c r="Z1502" s="2043"/>
      <c r="AA1502" s="2043"/>
      <c r="AB1502" s="2043"/>
      <c r="AC1502" s="2043"/>
      <c r="AD1502" s="2043"/>
      <c r="AE1502" s="2043"/>
      <c r="AF1502" s="2043"/>
      <c r="AG1502" s="2043"/>
      <c r="AH1502" s="2043"/>
      <c r="AI1502" s="2043"/>
      <c r="AJ1502" s="2043"/>
      <c r="AK1502" s="2043"/>
      <c r="AL1502" s="2043"/>
      <c r="AM1502" s="2043"/>
      <c r="AN1502" s="2043"/>
      <c r="AO1502" s="2043"/>
      <c r="AP1502" s="2043"/>
      <c r="AQ1502" s="2043"/>
      <c r="AR1502" s="2043"/>
      <c r="AS1502" s="2043"/>
      <c r="AT1502" s="2043"/>
      <c r="AU1502" s="2043"/>
      <c r="AV1502" s="2043"/>
      <c r="AW1502" s="2043"/>
      <c r="AX1502" s="2043"/>
      <c r="AY1502" s="2043"/>
      <c r="AZ1502" s="2043"/>
      <c r="BA1502" s="2043"/>
      <c r="BB1502" s="2043"/>
      <c r="BC1502" s="2043"/>
      <c r="BD1502" s="2043"/>
      <c r="BE1502" s="2043"/>
      <c r="BF1502" s="2043"/>
      <c r="BG1502" s="2043"/>
      <c r="BH1502" s="2043"/>
      <c r="BI1502" s="2043"/>
      <c r="BJ1502" s="2043"/>
      <c r="BK1502" s="2043"/>
      <c r="BL1502" s="2043"/>
    </row>
    <row r="1503" spans="1:64" ht="15">
      <c r="A1503" s="2556" t="s">
        <v>1902</v>
      </c>
      <c r="B1503" s="2110" t="s">
        <v>1903</v>
      </c>
      <c r="C1503" s="1855"/>
      <c r="D1503" s="2110"/>
      <c r="E1503" s="2110"/>
      <c r="F1503" s="1854"/>
      <c r="G1503" s="1855"/>
      <c r="H1503" s="1855"/>
      <c r="I1503" s="1855"/>
      <c r="J1503" s="1855"/>
      <c r="K1503" s="1855"/>
      <c r="L1503" s="2543" t="str">
        <f>IF(OR($O1503=$M1503,$O1503=0,$O1503=""),"","*CHECK!*")</f>
        <v/>
      </c>
      <c r="M1503" s="2113">
        <v>6</v>
      </c>
      <c r="N1503" s="1964"/>
      <c r="O1503" s="2042"/>
      <c r="P1503" s="2042">
        <f>'Part VIII Scoring Criteria'!P352</f>
        <v>0</v>
      </c>
      <c r="Q1503" s="2113" t="s">
        <v>1716</v>
      </c>
      <c r="R1503" s="2503"/>
      <c r="S1503" s="1855"/>
      <c r="T1503" s="1855"/>
      <c r="U1503" s="1855"/>
      <c r="V1503" s="1855"/>
      <c r="W1503" s="1855"/>
      <c r="X1503" s="1855"/>
      <c r="Y1503" s="1855"/>
      <c r="Z1503" s="1855"/>
      <c r="AA1503" s="1855"/>
      <c r="AB1503" s="1855"/>
      <c r="AC1503" s="1855"/>
      <c r="AD1503" s="1855"/>
      <c r="AE1503" s="1855"/>
      <c r="AF1503" s="1855"/>
      <c r="AG1503" s="1855"/>
      <c r="AH1503" s="1855"/>
      <c r="AI1503" s="1855"/>
      <c r="AJ1503" s="1855"/>
      <c r="AK1503" s="1855"/>
      <c r="AL1503" s="1855"/>
      <c r="AM1503" s="1855"/>
      <c r="AN1503" s="1855"/>
      <c r="AO1503" s="1855"/>
      <c r="AP1503" s="1855"/>
      <c r="AQ1503" s="1855"/>
      <c r="AR1503" s="1855"/>
      <c r="AS1503" s="1855"/>
      <c r="AT1503" s="1855"/>
      <c r="AU1503" s="1855"/>
      <c r="AV1503" s="1855"/>
      <c r="AW1503" s="1855"/>
      <c r="AX1503" s="1855"/>
      <c r="AY1503" s="1855"/>
      <c r="AZ1503" s="1855"/>
      <c r="BA1503" s="1855"/>
      <c r="BB1503" s="1855"/>
      <c r="BC1503" s="1855"/>
      <c r="BD1503" s="1855"/>
      <c r="BE1503" s="1855"/>
      <c r="BF1503" s="1855"/>
      <c r="BG1503" s="1855"/>
      <c r="BH1503" s="1855"/>
      <c r="BI1503" s="1855"/>
      <c r="BJ1503" s="1855"/>
      <c r="BK1503" s="1855"/>
      <c r="BL1503" s="1855"/>
    </row>
    <row r="1504" spans="1:64" ht="15">
      <c r="A1504" s="2556"/>
      <c r="B1504" s="1855" t="s">
        <v>1904</v>
      </c>
      <c r="C1504" s="1855"/>
      <c r="D1504" s="2110"/>
      <c r="E1504" s="2110"/>
      <c r="F1504" s="1854"/>
      <c r="G1504" s="1855"/>
      <c r="H1504" s="1855"/>
      <c r="I1504" s="1855"/>
      <c r="J1504" s="1855"/>
      <c r="K1504" s="1855"/>
      <c r="L1504" s="2543"/>
      <c r="M1504" s="2113"/>
      <c r="N1504" s="1964"/>
      <c r="O1504" s="1964" t="str">
        <f>'Part VIII Scoring Criteria'!O353</f>
        <v>Yes</v>
      </c>
      <c r="P1504" s="2113"/>
      <c r="Q1504" s="2113"/>
      <c r="R1504" s="2503"/>
      <c r="S1504" s="1855"/>
      <c r="T1504" s="1855"/>
      <c r="U1504" s="1855"/>
      <c r="V1504" s="1855"/>
      <c r="W1504" s="1855"/>
      <c r="X1504" s="1855"/>
      <c r="Y1504" s="1855"/>
      <c r="Z1504" s="1855"/>
      <c r="AA1504" s="1855"/>
      <c r="AB1504" s="1855"/>
      <c r="AC1504" s="1855"/>
      <c r="AD1504" s="1855"/>
      <c r="AE1504" s="1855"/>
      <c r="AF1504" s="1855"/>
      <c r="AG1504" s="1855"/>
      <c r="AH1504" s="1855"/>
      <c r="AI1504" s="1855"/>
      <c r="AJ1504" s="1855"/>
      <c r="AK1504" s="1855"/>
      <c r="AL1504" s="1855"/>
      <c r="AM1504" s="1855"/>
      <c r="AN1504" s="1855"/>
      <c r="AO1504" s="1855"/>
      <c r="AP1504" s="1855"/>
      <c r="AQ1504" s="1855"/>
      <c r="AR1504" s="1855"/>
      <c r="AS1504" s="1855"/>
      <c r="AT1504" s="1855"/>
      <c r="AU1504" s="1855"/>
      <c r="AV1504" s="1855"/>
      <c r="AW1504" s="1855"/>
      <c r="AX1504" s="1855"/>
      <c r="AY1504" s="1855"/>
      <c r="AZ1504" s="1855"/>
      <c r="BA1504" s="1855"/>
      <c r="BB1504" s="1855"/>
      <c r="BC1504" s="1855"/>
      <c r="BD1504" s="1855"/>
      <c r="BE1504" s="1855"/>
      <c r="BF1504" s="1855"/>
      <c r="BG1504" s="1855"/>
      <c r="BH1504" s="1855"/>
      <c r="BI1504" s="1855"/>
      <c r="BJ1504" s="1855"/>
      <c r="BK1504" s="1855"/>
      <c r="BL1504" s="1855"/>
    </row>
    <row r="1505" spans="1:64" ht="15">
      <c r="A1505" s="2484"/>
      <c r="B1505" s="2484" t="s">
        <v>1399</v>
      </c>
      <c r="C1505" s="1855"/>
      <c r="D1505" s="2484"/>
      <c r="E1505" s="2532"/>
      <c r="F1505" s="2532"/>
      <c r="G1505" s="2532"/>
      <c r="H1505" s="2532"/>
      <c r="I1505" s="2532"/>
      <c r="J1505" s="2532"/>
      <c r="K1505" s="2532"/>
      <c r="L1505" s="2532"/>
      <c r="M1505" s="2532"/>
      <c r="N1505" s="2533"/>
      <c r="O1505" s="2478"/>
      <c r="P1505" s="2113"/>
      <c r="Q1505" s="1855"/>
      <c r="R1505" s="1855"/>
      <c r="S1505" s="1855"/>
      <c r="T1505" s="1855"/>
      <c r="U1505" s="1855"/>
      <c r="V1505" s="1855"/>
      <c r="W1505" s="1855"/>
      <c r="X1505" s="1855"/>
      <c r="Y1505" s="1855"/>
      <c r="Z1505" s="1855"/>
      <c r="AA1505" s="1855"/>
      <c r="AB1505" s="1855"/>
      <c r="AC1505" s="1855"/>
      <c r="AD1505" s="1855"/>
      <c r="AE1505" s="1855"/>
      <c r="AF1505" s="1855"/>
      <c r="AG1505" s="1855"/>
      <c r="AH1505" s="1855"/>
      <c r="AI1505" s="1855"/>
      <c r="AJ1505" s="1855"/>
      <c r="AK1505" s="1855"/>
      <c r="AL1505" s="1855"/>
      <c r="AM1505" s="1855"/>
      <c r="AN1505" s="1855"/>
      <c r="AO1505" s="1855"/>
      <c r="AP1505" s="1855"/>
      <c r="AQ1505" s="1855"/>
      <c r="AR1505" s="1855"/>
      <c r="AS1505" s="1855"/>
      <c r="AT1505" s="1855"/>
      <c r="AU1505" s="1855"/>
      <c r="AV1505" s="1855"/>
      <c r="AW1505" s="1855"/>
      <c r="AX1505" s="1855"/>
      <c r="AY1505" s="1855"/>
      <c r="AZ1505" s="1855"/>
      <c r="BA1505" s="1855"/>
      <c r="BB1505" s="1855"/>
      <c r="BC1505" s="1855"/>
      <c r="BD1505" s="1855"/>
      <c r="BE1505" s="1855"/>
      <c r="BF1505" s="1855"/>
      <c r="BG1505" s="1855"/>
      <c r="BH1505" s="1855"/>
      <c r="BI1505" s="1855"/>
      <c r="BJ1505" s="1855"/>
      <c r="BK1505" s="1855"/>
      <c r="BL1505" s="1855"/>
    </row>
    <row r="1506" spans="1:64" ht="15">
      <c r="A1506" s="2052"/>
      <c r="B1506" s="2052"/>
      <c r="C1506" s="2052"/>
      <c r="D1506" s="2052"/>
      <c r="E1506" s="2052"/>
      <c r="F1506" s="2052"/>
      <c r="G1506" s="2052"/>
      <c r="H1506" s="2052"/>
      <c r="I1506" s="2052"/>
      <c r="J1506" s="2052"/>
      <c r="K1506" s="2052"/>
      <c r="L1506" s="2052"/>
      <c r="M1506" s="2052"/>
      <c r="N1506" s="2052"/>
      <c r="O1506" s="2052"/>
      <c r="P1506" s="2052"/>
      <c r="Q1506" s="1854"/>
      <c r="R1506" s="1854"/>
      <c r="S1506" s="2043"/>
      <c r="T1506" s="2043"/>
      <c r="U1506" s="2043"/>
      <c r="V1506" s="2043"/>
      <c r="W1506" s="2043"/>
      <c r="X1506" s="2043"/>
      <c r="Y1506" s="2043"/>
      <c r="Z1506" s="2043"/>
      <c r="AA1506" s="2043"/>
      <c r="AB1506" s="2043"/>
      <c r="AC1506" s="2043"/>
      <c r="AD1506" s="2043"/>
      <c r="AE1506" s="2043"/>
      <c r="AF1506" s="2043"/>
      <c r="AG1506" s="2043"/>
      <c r="AH1506" s="2043"/>
      <c r="AI1506" s="2043"/>
      <c r="AJ1506" s="2043"/>
      <c r="AK1506" s="2043"/>
      <c r="AL1506" s="2043"/>
      <c r="AM1506" s="2043"/>
      <c r="AN1506" s="2043"/>
      <c r="AO1506" s="2043"/>
      <c r="AP1506" s="2043"/>
      <c r="AQ1506" s="2043"/>
      <c r="AR1506" s="2043"/>
      <c r="AS1506" s="2043"/>
      <c r="AT1506" s="2043"/>
      <c r="AU1506" s="2043"/>
      <c r="AV1506" s="2043"/>
      <c r="AW1506" s="2043"/>
      <c r="AX1506" s="2043"/>
      <c r="AY1506" s="2043"/>
      <c r="AZ1506" s="2043"/>
      <c r="BA1506" s="2043"/>
      <c r="BB1506" s="2043"/>
      <c r="BC1506" s="2043"/>
      <c r="BD1506" s="2043"/>
      <c r="BE1506" s="2043"/>
      <c r="BF1506" s="2043"/>
      <c r="BG1506" s="2043"/>
      <c r="BH1506" s="2043"/>
      <c r="BI1506" s="2043"/>
      <c r="BJ1506" s="2043"/>
      <c r="BK1506" s="2043"/>
      <c r="BL1506" s="2043"/>
    </row>
    <row r="1507" spans="1:64" ht="15">
      <c r="A1507" s="2556"/>
      <c r="B1507" s="1855"/>
      <c r="C1507" s="2487"/>
      <c r="D1507" s="2487"/>
      <c r="E1507" s="2487"/>
      <c r="F1507" s="2487"/>
      <c r="G1507" s="2487"/>
      <c r="H1507" s="2487"/>
      <c r="I1507" s="2487"/>
      <c r="J1507" s="2487"/>
      <c r="K1507" s="2487"/>
      <c r="L1507" s="2487"/>
      <c r="M1507" s="2487"/>
      <c r="N1507" s="2511"/>
      <c r="O1507" s="2489"/>
      <c r="P1507" s="2113"/>
      <c r="Q1507" s="2043"/>
      <c r="R1507" s="2043"/>
      <c r="S1507" s="2043"/>
      <c r="T1507" s="2043"/>
      <c r="U1507" s="2043"/>
      <c r="V1507" s="2043"/>
      <c r="W1507" s="2043"/>
      <c r="X1507" s="2043"/>
      <c r="Y1507" s="2043"/>
      <c r="Z1507" s="2043"/>
      <c r="AA1507" s="2043"/>
      <c r="AB1507" s="2043"/>
      <c r="AC1507" s="2043"/>
      <c r="AD1507" s="2043"/>
      <c r="AE1507" s="2043"/>
      <c r="AF1507" s="2043"/>
      <c r="AG1507" s="2043"/>
      <c r="AH1507" s="2043"/>
      <c r="AI1507" s="2043"/>
      <c r="AJ1507" s="2043"/>
      <c r="AK1507" s="2043"/>
      <c r="AL1507" s="2043"/>
      <c r="AM1507" s="2043"/>
      <c r="AN1507" s="2043"/>
      <c r="AO1507" s="2043"/>
      <c r="AP1507" s="2043"/>
      <c r="AQ1507" s="2043"/>
      <c r="AR1507" s="2043"/>
      <c r="AS1507" s="2043"/>
      <c r="AT1507" s="2043"/>
      <c r="AU1507" s="2043"/>
      <c r="AV1507" s="2043"/>
      <c r="AW1507" s="2043"/>
      <c r="AX1507" s="2043"/>
      <c r="AY1507" s="2043"/>
      <c r="AZ1507" s="2043"/>
      <c r="BA1507" s="2043"/>
      <c r="BB1507" s="2043"/>
      <c r="BC1507" s="2043"/>
      <c r="BD1507" s="2043"/>
      <c r="BE1507" s="2043"/>
      <c r="BF1507" s="2043"/>
      <c r="BG1507" s="2043"/>
      <c r="BH1507" s="2043"/>
      <c r="BI1507" s="2043"/>
      <c r="BJ1507" s="2043"/>
      <c r="BK1507" s="2043"/>
      <c r="BL1507" s="2043"/>
    </row>
    <row r="1508" spans="1:64" ht="15">
      <c r="A1508" s="2556"/>
      <c r="B1508" s="1855"/>
      <c r="C1508" s="2487"/>
      <c r="D1508" s="2487"/>
      <c r="E1508" s="2487"/>
      <c r="F1508" s="2487"/>
      <c r="G1508" s="2487"/>
      <c r="H1508" s="2487"/>
      <c r="I1508" s="2487"/>
      <c r="J1508" s="2487"/>
      <c r="K1508" s="2487"/>
      <c r="L1508" s="2487"/>
      <c r="M1508" s="2487"/>
      <c r="N1508" s="2511"/>
      <c r="O1508" s="2489"/>
      <c r="P1508" s="2113"/>
      <c r="Q1508" s="2043"/>
      <c r="R1508" s="2043"/>
      <c r="S1508" s="2043"/>
      <c r="T1508" s="2043"/>
      <c r="U1508" s="2043"/>
      <c r="V1508" s="2043"/>
      <c r="W1508" s="2043"/>
      <c r="X1508" s="2043"/>
      <c r="Y1508" s="2043"/>
      <c r="Z1508" s="2043"/>
      <c r="AA1508" s="2043"/>
      <c r="AB1508" s="2043"/>
      <c r="AC1508" s="2043"/>
      <c r="AD1508" s="2043"/>
      <c r="AE1508" s="2043"/>
      <c r="AF1508" s="2043"/>
      <c r="AG1508" s="2043"/>
      <c r="AH1508" s="2043"/>
      <c r="AI1508" s="2043"/>
      <c r="AJ1508" s="2043"/>
      <c r="AK1508" s="2043"/>
      <c r="AL1508" s="2043"/>
      <c r="AM1508" s="2043"/>
      <c r="AN1508" s="2043"/>
      <c r="AO1508" s="2043"/>
      <c r="AP1508" s="2043"/>
      <c r="AQ1508" s="2043"/>
      <c r="AR1508" s="2043"/>
      <c r="AS1508" s="2043"/>
      <c r="AT1508" s="2043"/>
      <c r="AU1508" s="2043"/>
      <c r="AV1508" s="2043"/>
      <c r="AW1508" s="2043"/>
      <c r="AX1508" s="2043"/>
      <c r="AY1508" s="2043"/>
      <c r="AZ1508" s="2043"/>
      <c r="BA1508" s="2043"/>
      <c r="BB1508" s="2043"/>
      <c r="BC1508" s="2043"/>
      <c r="BD1508" s="2043"/>
      <c r="BE1508" s="2043"/>
      <c r="BF1508" s="2043"/>
      <c r="BG1508" s="2043"/>
      <c r="BH1508" s="2043"/>
      <c r="BI1508" s="2043"/>
      <c r="BJ1508" s="2043"/>
      <c r="BK1508" s="2043"/>
      <c r="BL1508" s="2043"/>
    </row>
    <row r="1509" spans="1:64" ht="15">
      <c r="A1509" s="2556" t="s">
        <v>1701</v>
      </c>
      <c r="B1509" s="2110" t="s">
        <v>1905</v>
      </c>
      <c r="C1509" s="1855"/>
      <c r="D1509" s="2110"/>
      <c r="E1509" s="1855"/>
      <c r="F1509" s="1855"/>
      <c r="G1509" s="1855"/>
      <c r="H1509" s="1855"/>
      <c r="I1509" s="1855"/>
      <c r="J1509" s="1855"/>
      <c r="K1509" s="1855"/>
      <c r="L1509" s="2543"/>
      <c r="M1509" s="2113">
        <v>4</v>
      </c>
      <c r="N1509" s="1964"/>
      <c r="O1509" s="2042">
        <f>'Part VIII Scoring Criteria'!O358</f>
        <v>3</v>
      </c>
      <c r="P1509" s="2042">
        <f>'Part VIII Scoring Criteria'!P358</f>
        <v>0</v>
      </c>
      <c r="Q1509" s="2113" t="s">
        <v>1716</v>
      </c>
      <c r="R1509" s="2503"/>
      <c r="S1509" s="1855"/>
      <c r="T1509" s="1855"/>
      <c r="U1509" s="1855"/>
      <c r="V1509" s="1855"/>
      <c r="W1509" s="1855"/>
      <c r="X1509" s="1855"/>
      <c r="Y1509" s="1855"/>
      <c r="Z1509" s="1855"/>
      <c r="AA1509" s="1855"/>
      <c r="AB1509" s="1855"/>
      <c r="AC1509" s="1855"/>
      <c r="AD1509" s="1855"/>
      <c r="AE1509" s="1855"/>
      <c r="AF1509" s="1855"/>
      <c r="AG1509" s="1855"/>
      <c r="AH1509" s="1855"/>
      <c r="AI1509" s="1855"/>
      <c r="AJ1509" s="1855"/>
      <c r="AK1509" s="1855"/>
      <c r="AL1509" s="1855"/>
      <c r="AM1509" s="1855"/>
      <c r="AN1509" s="1855"/>
      <c r="AO1509" s="1855"/>
      <c r="AP1509" s="1855"/>
      <c r="AQ1509" s="1855"/>
      <c r="AR1509" s="1855"/>
      <c r="AS1509" s="1855"/>
      <c r="AT1509" s="1855"/>
      <c r="AU1509" s="1855"/>
      <c r="AV1509" s="1855"/>
      <c r="AW1509" s="1855"/>
      <c r="AX1509" s="1855"/>
      <c r="AY1509" s="1855"/>
      <c r="AZ1509" s="1855"/>
      <c r="BA1509" s="1855"/>
      <c r="BB1509" s="1855"/>
      <c r="BC1509" s="1855"/>
      <c r="BD1509" s="1855"/>
      <c r="BE1509" s="1855"/>
      <c r="BF1509" s="1855"/>
      <c r="BG1509" s="1855"/>
      <c r="BH1509" s="1855"/>
      <c r="BI1509" s="1855"/>
      <c r="BJ1509" s="1855"/>
      <c r="BK1509" s="1855"/>
      <c r="BL1509" s="1855"/>
    </row>
    <row r="1510" spans="1:64" ht="15">
      <c r="A1510" s="1855"/>
      <c r="B1510" s="2110" t="s">
        <v>1739</v>
      </c>
      <c r="C1510" s="1855"/>
      <c r="D1510" s="1855"/>
      <c r="E1510" s="1855"/>
      <c r="F1510" s="1855"/>
      <c r="G1510" s="1855"/>
      <c r="H1510" s="1855"/>
      <c r="I1510" s="1855"/>
      <c r="J1510" s="1855"/>
      <c r="K1510" s="1855"/>
      <c r="L1510" s="2043"/>
      <c r="M1510" s="1964"/>
      <c r="N1510" s="1994"/>
      <c r="O1510" s="2042"/>
      <c r="P1510" s="2045"/>
      <c r="Q1510" s="2043"/>
      <c r="R1510" s="2043"/>
      <c r="S1510" s="2043"/>
      <c r="T1510" s="2043"/>
      <c r="U1510" s="2043"/>
      <c r="V1510" s="2043"/>
      <c r="W1510" s="2043"/>
      <c r="X1510" s="2043"/>
      <c r="Y1510" s="2043"/>
      <c r="Z1510" s="2043"/>
      <c r="AA1510" s="2043"/>
      <c r="AB1510" s="2043"/>
      <c r="AC1510" s="2043"/>
      <c r="AD1510" s="2043"/>
      <c r="AE1510" s="2043"/>
      <c r="AF1510" s="2043"/>
      <c r="AG1510" s="2043"/>
      <c r="AH1510" s="2043"/>
      <c r="AI1510" s="2043"/>
      <c r="AJ1510" s="2043"/>
      <c r="AK1510" s="2043"/>
      <c r="AL1510" s="2043"/>
      <c r="AM1510" s="2043"/>
      <c r="AN1510" s="2043"/>
      <c r="AO1510" s="2043"/>
      <c r="AP1510" s="2043"/>
      <c r="AQ1510" s="2043"/>
      <c r="AR1510" s="2043"/>
      <c r="AS1510" s="2043"/>
      <c r="AT1510" s="2043"/>
      <c r="AU1510" s="2043"/>
      <c r="AV1510" s="2043"/>
      <c r="AW1510" s="2043"/>
      <c r="AX1510" s="2043"/>
      <c r="AY1510" s="2043"/>
      <c r="AZ1510" s="2043"/>
      <c r="BA1510" s="2043"/>
      <c r="BB1510" s="2043"/>
      <c r="BC1510" s="2043"/>
      <c r="BD1510" s="2043"/>
      <c r="BE1510" s="2043"/>
      <c r="BF1510" s="2043"/>
      <c r="BG1510" s="2043"/>
      <c r="BH1510" s="2043"/>
      <c r="BI1510" s="2043"/>
      <c r="BJ1510" s="2043"/>
      <c r="BK1510" s="2043"/>
      <c r="BL1510" s="2043"/>
    </row>
    <row r="1511" spans="1:64" ht="313.5">
      <c r="A1511" s="2052" t="str">
        <f>'Part VIII Scoring Criteria'!A360</f>
        <v xml:space="preserve">Ashley Collegetown will undergo a RAD/Section 18 conversion, placing PBRA vouchers on 78 existing Section 9 units.  Please see commitment letter from AH.  </v>
      </c>
      <c r="B1511" s="2052"/>
      <c r="C1511" s="2052"/>
      <c r="D1511" s="2052"/>
      <c r="E1511" s="2052"/>
      <c r="F1511" s="2052"/>
      <c r="G1511" s="2052"/>
      <c r="H1511" s="2052"/>
      <c r="I1511" s="2052"/>
      <c r="J1511" s="2052"/>
      <c r="K1511" s="2052"/>
      <c r="L1511" s="2052"/>
      <c r="M1511" s="2052"/>
      <c r="N1511" s="2052"/>
      <c r="O1511" s="2052"/>
      <c r="P1511" s="2052"/>
      <c r="Q1511" s="1854"/>
      <c r="R1511" s="1854"/>
      <c r="S1511" s="2043"/>
      <c r="T1511" s="2043"/>
      <c r="U1511" s="2043"/>
      <c r="V1511" s="2043"/>
      <c r="W1511" s="2043"/>
      <c r="X1511" s="2043"/>
      <c r="Y1511" s="2043"/>
      <c r="Z1511" s="2043"/>
      <c r="AA1511" s="2043"/>
      <c r="AB1511" s="2043"/>
      <c r="AC1511" s="2043"/>
      <c r="AD1511" s="2043"/>
      <c r="AE1511" s="2043"/>
      <c r="AF1511" s="2043"/>
      <c r="AG1511" s="2043"/>
      <c r="AH1511" s="2043"/>
      <c r="AI1511" s="2043"/>
      <c r="AJ1511" s="2043"/>
      <c r="AK1511" s="2043"/>
      <c r="AL1511" s="2043"/>
      <c r="AM1511" s="2043"/>
      <c r="AN1511" s="2043"/>
      <c r="AO1511" s="2043"/>
      <c r="AP1511" s="2043"/>
      <c r="AQ1511" s="2043"/>
      <c r="AR1511" s="2043"/>
      <c r="AS1511" s="2043"/>
      <c r="AT1511" s="2043"/>
      <c r="AU1511" s="2043"/>
      <c r="AV1511" s="2043"/>
      <c r="AW1511" s="2043"/>
      <c r="AX1511" s="2043"/>
      <c r="AY1511" s="2043"/>
      <c r="AZ1511" s="2043"/>
      <c r="BA1511" s="2043"/>
      <c r="BB1511" s="2043"/>
      <c r="BC1511" s="2043"/>
      <c r="BD1511" s="2043"/>
      <c r="BE1511" s="2043"/>
      <c r="BF1511" s="2043"/>
      <c r="BG1511" s="2043"/>
      <c r="BH1511" s="2043"/>
      <c r="BI1511" s="2043"/>
      <c r="BJ1511" s="2043"/>
      <c r="BK1511" s="2043"/>
      <c r="BL1511" s="2043"/>
    </row>
    <row r="1512" spans="1:64" ht="15">
      <c r="A1512" s="2484"/>
      <c r="B1512" s="2484" t="s">
        <v>1399</v>
      </c>
      <c r="C1512" s="1855"/>
      <c r="D1512" s="2484"/>
      <c r="E1512" s="2532"/>
      <c r="F1512" s="2532"/>
      <c r="G1512" s="2532"/>
      <c r="H1512" s="2532"/>
      <c r="I1512" s="2532"/>
      <c r="J1512" s="2532"/>
      <c r="K1512" s="2532"/>
      <c r="L1512" s="2532"/>
      <c r="M1512" s="2532"/>
      <c r="N1512" s="2533"/>
      <c r="O1512" s="2478"/>
      <c r="P1512" s="2113"/>
      <c r="Q1512" s="1855"/>
      <c r="R1512" s="1855"/>
      <c r="S1512" s="1855"/>
      <c r="T1512" s="1855"/>
      <c r="U1512" s="1855"/>
      <c r="V1512" s="1855"/>
      <c r="W1512" s="1855"/>
      <c r="X1512" s="1855"/>
      <c r="Y1512" s="1855"/>
      <c r="Z1512" s="1855"/>
      <c r="AA1512" s="1855"/>
      <c r="AB1512" s="1855"/>
      <c r="AC1512" s="1855"/>
      <c r="AD1512" s="1855"/>
      <c r="AE1512" s="1855"/>
      <c r="AF1512" s="1855"/>
      <c r="AG1512" s="1855"/>
      <c r="AH1512" s="1855"/>
      <c r="AI1512" s="1855"/>
      <c r="AJ1512" s="1855"/>
      <c r="AK1512" s="1855"/>
      <c r="AL1512" s="1855"/>
      <c r="AM1512" s="1855"/>
      <c r="AN1512" s="1855"/>
      <c r="AO1512" s="1855"/>
      <c r="AP1512" s="1855"/>
      <c r="AQ1512" s="1855"/>
      <c r="AR1512" s="1855"/>
      <c r="AS1512" s="1855"/>
      <c r="AT1512" s="1855"/>
      <c r="AU1512" s="1855"/>
      <c r="AV1512" s="1855"/>
      <c r="AW1512" s="1855"/>
      <c r="AX1512" s="1855"/>
      <c r="AY1512" s="1855"/>
      <c r="AZ1512" s="1855"/>
      <c r="BA1512" s="1855"/>
      <c r="BB1512" s="1855"/>
      <c r="BC1512" s="1855"/>
      <c r="BD1512" s="1855"/>
      <c r="BE1512" s="1855"/>
      <c r="BF1512" s="1855"/>
      <c r="BG1512" s="1855"/>
      <c r="BH1512" s="1855"/>
      <c r="BI1512" s="1855"/>
      <c r="BJ1512" s="1855"/>
      <c r="BK1512" s="1855"/>
      <c r="BL1512" s="1855"/>
    </row>
    <row r="1513" spans="1:64" ht="15">
      <c r="A1513" s="2052"/>
      <c r="B1513" s="2052"/>
      <c r="C1513" s="2052"/>
      <c r="D1513" s="2052"/>
      <c r="E1513" s="2052"/>
      <c r="F1513" s="2052"/>
      <c r="G1513" s="2052"/>
      <c r="H1513" s="2052"/>
      <c r="I1513" s="2052"/>
      <c r="J1513" s="2052"/>
      <c r="K1513" s="2052"/>
      <c r="L1513" s="2052"/>
      <c r="M1513" s="2052"/>
      <c r="N1513" s="2052"/>
      <c r="O1513" s="2052"/>
      <c r="P1513" s="2052"/>
      <c r="Q1513" s="1854"/>
      <c r="R1513" s="1854"/>
      <c r="S1513" s="2043"/>
      <c r="T1513" s="2043"/>
      <c r="U1513" s="2043"/>
      <c r="V1513" s="2043"/>
      <c r="W1513" s="2043"/>
      <c r="X1513" s="2043"/>
      <c r="Y1513" s="2043"/>
      <c r="Z1513" s="2043"/>
      <c r="AA1513" s="2043"/>
      <c r="AB1513" s="2043"/>
      <c r="AC1513" s="2043"/>
      <c r="AD1513" s="2043"/>
      <c r="AE1513" s="2043"/>
      <c r="AF1513" s="2043"/>
      <c r="AG1513" s="2043"/>
      <c r="AH1513" s="2043"/>
      <c r="AI1513" s="2043"/>
      <c r="AJ1513" s="2043"/>
      <c r="AK1513" s="2043"/>
      <c r="AL1513" s="2043"/>
      <c r="AM1513" s="2043"/>
      <c r="AN1513" s="2043"/>
      <c r="AO1513" s="2043"/>
      <c r="AP1513" s="2043"/>
      <c r="AQ1513" s="2043"/>
      <c r="AR1513" s="2043"/>
      <c r="AS1513" s="2043"/>
      <c r="AT1513" s="2043"/>
      <c r="AU1513" s="2043"/>
      <c r="AV1513" s="2043"/>
      <c r="AW1513" s="2043"/>
      <c r="AX1513" s="2043"/>
      <c r="AY1513" s="2043"/>
      <c r="AZ1513" s="2043"/>
      <c r="BA1513" s="2043"/>
      <c r="BB1513" s="2043"/>
      <c r="BC1513" s="2043"/>
      <c r="BD1513" s="2043"/>
      <c r="BE1513" s="2043"/>
      <c r="BF1513" s="2043"/>
      <c r="BG1513" s="2043"/>
      <c r="BH1513" s="2043"/>
      <c r="BI1513" s="2043"/>
      <c r="BJ1513" s="2043"/>
      <c r="BK1513" s="2043"/>
      <c r="BL1513" s="2043"/>
    </row>
    <row r="1514" spans="1:64" ht="15">
      <c r="A1514" s="2556"/>
      <c r="B1514" s="1855"/>
      <c r="C1514" s="2487"/>
      <c r="D1514" s="2487"/>
      <c r="E1514" s="2487"/>
      <c r="F1514" s="2487"/>
      <c r="G1514" s="2487"/>
      <c r="H1514" s="2487"/>
      <c r="I1514" s="2487"/>
      <c r="J1514" s="2487"/>
      <c r="K1514" s="2487"/>
      <c r="L1514" s="2487"/>
      <c r="M1514" s="2487"/>
      <c r="N1514" s="2511"/>
      <c r="O1514" s="2489"/>
      <c r="P1514" s="2113"/>
      <c r="Q1514" s="2043"/>
      <c r="R1514" s="2043"/>
      <c r="S1514" s="2043"/>
      <c r="T1514" s="2043"/>
      <c r="U1514" s="2043"/>
      <c r="V1514" s="2043"/>
      <c r="W1514" s="2043"/>
      <c r="X1514" s="2043"/>
      <c r="Y1514" s="2043"/>
      <c r="Z1514" s="2043"/>
      <c r="AA1514" s="2043"/>
      <c r="AB1514" s="2043"/>
      <c r="AC1514" s="2043"/>
      <c r="AD1514" s="2043"/>
      <c r="AE1514" s="2043"/>
      <c r="AF1514" s="2043"/>
      <c r="AG1514" s="2043"/>
      <c r="AH1514" s="2043"/>
      <c r="AI1514" s="2043"/>
      <c r="AJ1514" s="2043"/>
      <c r="AK1514" s="2043"/>
      <c r="AL1514" s="2043"/>
      <c r="AM1514" s="2043"/>
      <c r="AN1514" s="2043"/>
      <c r="AO1514" s="2043"/>
      <c r="AP1514" s="2043"/>
      <c r="AQ1514" s="2043"/>
      <c r="AR1514" s="2043"/>
      <c r="AS1514" s="2043"/>
      <c r="AT1514" s="2043"/>
      <c r="AU1514" s="2043"/>
      <c r="AV1514" s="2043"/>
      <c r="AW1514" s="2043"/>
      <c r="AX1514" s="2043"/>
      <c r="AY1514" s="2043"/>
      <c r="AZ1514" s="2043"/>
      <c r="BA1514" s="2043"/>
      <c r="BB1514" s="2043"/>
      <c r="BC1514" s="2043"/>
      <c r="BD1514" s="2043"/>
      <c r="BE1514" s="2043"/>
      <c r="BF1514" s="2043"/>
      <c r="BG1514" s="2043"/>
      <c r="BH1514" s="2043"/>
      <c r="BI1514" s="2043"/>
      <c r="BJ1514" s="2043"/>
      <c r="BK1514" s="2043"/>
      <c r="BL1514" s="2043"/>
    </row>
    <row r="1515" spans="1:64" ht="15">
      <c r="A1515" s="2556"/>
      <c r="B1515" s="1855"/>
      <c r="C1515" s="2487"/>
      <c r="D1515" s="2487"/>
      <c r="E1515" s="2487"/>
      <c r="F1515" s="2487"/>
      <c r="G1515" s="2487"/>
      <c r="H1515" s="2487"/>
      <c r="I1515" s="2487"/>
      <c r="J1515" s="2487"/>
      <c r="K1515" s="2487"/>
      <c r="L1515" s="2487"/>
      <c r="M1515" s="2487"/>
      <c r="N1515" s="2511"/>
      <c r="O1515" s="2489"/>
      <c r="P1515" s="2113"/>
      <c r="Q1515" s="2043"/>
      <c r="R1515" s="2043"/>
      <c r="S1515" s="2043"/>
      <c r="T1515" s="2043"/>
      <c r="U1515" s="2043"/>
      <c r="V1515" s="2043"/>
      <c r="W1515" s="2043"/>
      <c r="X1515" s="2043"/>
      <c r="Y1515" s="2043"/>
      <c r="Z1515" s="2043"/>
      <c r="AA1515" s="2043"/>
      <c r="AB1515" s="2043"/>
      <c r="AC1515" s="2043"/>
      <c r="AD1515" s="2043"/>
      <c r="AE1515" s="2043"/>
      <c r="AF1515" s="2043"/>
      <c r="AG1515" s="2043"/>
      <c r="AH1515" s="2043"/>
      <c r="AI1515" s="2043"/>
      <c r="AJ1515" s="2043"/>
      <c r="AK1515" s="2043"/>
      <c r="AL1515" s="2043"/>
      <c r="AM1515" s="2043"/>
      <c r="AN1515" s="2043"/>
      <c r="AO1515" s="2043"/>
      <c r="AP1515" s="2043"/>
      <c r="AQ1515" s="2043"/>
      <c r="AR1515" s="2043"/>
      <c r="AS1515" s="2043"/>
      <c r="AT1515" s="2043"/>
      <c r="AU1515" s="2043"/>
      <c r="AV1515" s="2043"/>
      <c r="AW1515" s="2043"/>
      <c r="AX1515" s="2043"/>
      <c r="AY1515" s="2043"/>
      <c r="AZ1515" s="2043"/>
      <c r="BA1515" s="2043"/>
      <c r="BB1515" s="2043"/>
      <c r="BC1515" s="2043"/>
      <c r="BD1515" s="2043"/>
      <c r="BE1515" s="2043"/>
      <c r="BF1515" s="2043"/>
      <c r="BG1515" s="2043"/>
      <c r="BH1515" s="2043"/>
      <c r="BI1515" s="2043"/>
      <c r="BJ1515" s="2043"/>
      <c r="BK1515" s="2043"/>
      <c r="BL1515" s="2043"/>
    </row>
    <row r="1516" spans="1:64" ht="15">
      <c r="A1516" s="2556" t="s">
        <v>1703</v>
      </c>
      <c r="B1516" s="2110" t="s">
        <v>1906</v>
      </c>
      <c r="C1516" s="1855"/>
      <c r="D1516" s="2110"/>
      <c r="E1516" s="1855"/>
      <c r="F1516" s="1855"/>
      <c r="G1516" s="2508"/>
      <c r="H1516" s="1855"/>
      <c r="I1516" s="1855"/>
      <c r="J1516" s="1855"/>
      <c r="K1516" s="1855"/>
      <c r="L1516" s="2543" t="str">
        <f>IF(OR($O1516&lt;=$M1516,$O1516=0,$O1516=""),"","*CHECK!*")</f>
        <v/>
      </c>
      <c r="M1516" s="2113">
        <v>6</v>
      </c>
      <c r="N1516" s="1964"/>
      <c r="O1516" s="2042">
        <f>'Part VIII Scoring Criteria'!O365</f>
        <v>2</v>
      </c>
      <c r="P1516" s="2042">
        <f>'Part VIII Scoring Criteria'!P365</f>
        <v>0</v>
      </c>
      <c r="Q1516" s="2113" t="s">
        <v>1716</v>
      </c>
      <c r="R1516" s="2503"/>
      <c r="S1516" s="1855"/>
      <c r="T1516" s="1855"/>
      <c r="U1516" s="1855"/>
      <c r="V1516" s="1855"/>
      <c r="W1516" s="1855"/>
      <c r="X1516" s="1855"/>
      <c r="Y1516" s="1855"/>
      <c r="Z1516" s="1855"/>
      <c r="AA1516" s="1855"/>
      <c r="AB1516" s="1855"/>
      <c r="AC1516" s="1855"/>
      <c r="AD1516" s="1855"/>
      <c r="AE1516" s="1855"/>
      <c r="AF1516" s="1855"/>
      <c r="AG1516" s="1855"/>
      <c r="AH1516" s="1855"/>
      <c r="AI1516" s="1855"/>
      <c r="AJ1516" s="1855"/>
      <c r="AK1516" s="1855"/>
      <c r="AL1516" s="1855"/>
      <c r="AM1516" s="1855"/>
      <c r="AN1516" s="1855"/>
      <c r="AO1516" s="1855"/>
      <c r="AP1516" s="1855"/>
      <c r="AQ1516" s="1855"/>
      <c r="AR1516" s="1855"/>
      <c r="AS1516" s="1855"/>
      <c r="AT1516" s="1855"/>
      <c r="AU1516" s="1855"/>
      <c r="AV1516" s="1855"/>
      <c r="AW1516" s="1855"/>
      <c r="AX1516" s="1855"/>
      <c r="AY1516" s="1855"/>
      <c r="AZ1516" s="1855"/>
      <c r="BA1516" s="1855"/>
      <c r="BB1516" s="1855"/>
      <c r="BC1516" s="1855"/>
      <c r="BD1516" s="1855"/>
      <c r="BE1516" s="1855"/>
      <c r="BF1516" s="1855"/>
      <c r="BG1516" s="1855"/>
      <c r="BH1516" s="1855"/>
      <c r="BI1516" s="1855"/>
      <c r="BJ1516" s="1855"/>
      <c r="BK1516" s="1855"/>
      <c r="BL1516" s="1855"/>
    </row>
    <row r="1517" spans="1:64" ht="15">
      <c r="A1517" s="2113" t="s">
        <v>194</v>
      </c>
      <c r="B1517" s="1854" t="s">
        <v>1907</v>
      </c>
      <c r="C1517" s="2043"/>
      <c r="D1517" s="2043"/>
      <c r="E1517" s="2051"/>
      <c r="F1517" s="1855"/>
      <c r="G1517" s="1855"/>
      <c r="H1517" s="1855"/>
      <c r="I1517" s="2043"/>
      <c r="J1517" s="2043"/>
      <c r="K1517" s="1964"/>
      <c r="L1517" s="2500"/>
      <c r="M1517" s="1964">
        <v>6</v>
      </c>
      <c r="N1517" s="2576"/>
      <c r="O1517" s="2042">
        <f>'Part VIII Scoring Criteria'!O366</f>
        <v>0</v>
      </c>
      <c r="P1517" s="2042"/>
      <c r="Q1517" s="2543" t="str">
        <f>IF(OR($O1517&lt;=$M1517,$O1517=0,$O1517=""),"","*CHECK!*")</f>
        <v/>
      </c>
      <c r="R1517" s="2503"/>
      <c r="S1517" s="2043"/>
      <c r="T1517" s="2043"/>
      <c r="U1517" s="2043"/>
      <c r="V1517" s="2043"/>
      <c r="W1517" s="2043"/>
      <c r="X1517" s="2043"/>
      <c r="Y1517" s="2043"/>
      <c r="Z1517" s="2043"/>
      <c r="AA1517" s="2043"/>
      <c r="AB1517" s="2043"/>
      <c r="AC1517" s="2043"/>
      <c r="AD1517" s="2043"/>
      <c r="AE1517" s="2043"/>
      <c r="AF1517" s="2043"/>
      <c r="AG1517" s="2043"/>
      <c r="AH1517" s="2043"/>
      <c r="AI1517" s="2043"/>
      <c r="AJ1517" s="2043"/>
      <c r="AK1517" s="2043"/>
      <c r="AL1517" s="2043"/>
      <c r="AM1517" s="2043"/>
      <c r="AN1517" s="2043"/>
      <c r="AO1517" s="2043"/>
      <c r="AP1517" s="2043"/>
      <c r="AQ1517" s="2043"/>
      <c r="AR1517" s="2043"/>
      <c r="AS1517" s="2043"/>
      <c r="AT1517" s="2043"/>
      <c r="AU1517" s="2043"/>
      <c r="AV1517" s="2043"/>
      <c r="AW1517" s="2043"/>
      <c r="AX1517" s="2043"/>
      <c r="AY1517" s="2043"/>
      <c r="AZ1517" s="2043"/>
      <c r="BA1517" s="2043"/>
      <c r="BB1517" s="2043"/>
      <c r="BC1517" s="2043"/>
      <c r="BD1517" s="2043"/>
      <c r="BE1517" s="2043"/>
      <c r="BF1517" s="2043"/>
      <c r="BG1517" s="2043"/>
      <c r="BH1517" s="2043"/>
      <c r="BI1517" s="2043"/>
      <c r="BJ1517" s="2043"/>
      <c r="BK1517" s="2043"/>
      <c r="BL1517" s="2043"/>
    </row>
    <row r="1518" spans="1:64" ht="15">
      <c r="A1518" s="2531" t="s">
        <v>206</v>
      </c>
      <c r="B1518" s="2527" t="s">
        <v>1908</v>
      </c>
      <c r="C1518" s="2052"/>
      <c r="D1518" s="2052"/>
      <c r="E1518" s="2052"/>
      <c r="F1518" s="2052"/>
      <c r="G1518" s="2049"/>
      <c r="H1518" s="2052"/>
      <c r="I1518" s="2052"/>
      <c r="J1518" s="2083"/>
      <c r="K1518" s="2083"/>
      <c r="L1518" s="2083"/>
      <c r="M1518" s="1964">
        <v>4</v>
      </c>
      <c r="N1518" s="2576"/>
      <c r="O1518" s="2042">
        <f>'Part VIII Scoring Criteria'!O367</f>
        <v>2</v>
      </c>
      <c r="P1518" s="2042"/>
      <c r="Q1518" s="2543" t="str">
        <f>IF(OR($O1518&lt;=$M1518,$O1518=0,$O1518=""),"","*CHECK!*")</f>
        <v/>
      </c>
      <c r="R1518" s="2503"/>
      <c r="S1518" s="2049"/>
      <c r="T1518" s="2049"/>
      <c r="U1518" s="2049"/>
      <c r="V1518" s="2049"/>
      <c r="W1518" s="2049"/>
      <c r="X1518" s="2049"/>
      <c r="Y1518" s="2049"/>
      <c r="Z1518" s="2049"/>
      <c r="AA1518" s="2049"/>
      <c r="AB1518" s="2049"/>
      <c r="AC1518" s="2049"/>
      <c r="AD1518" s="2049"/>
      <c r="AE1518" s="2049"/>
      <c r="AF1518" s="2049"/>
      <c r="AG1518" s="2049"/>
      <c r="AH1518" s="2049"/>
      <c r="AI1518" s="2049"/>
      <c r="AJ1518" s="2049"/>
      <c r="AK1518" s="2049"/>
      <c r="AL1518" s="2049"/>
      <c r="AM1518" s="2049"/>
      <c r="AN1518" s="2049"/>
      <c r="AO1518" s="2049"/>
      <c r="AP1518" s="2049"/>
      <c r="AQ1518" s="2049"/>
      <c r="AR1518" s="2049"/>
      <c r="AS1518" s="2049"/>
      <c r="AT1518" s="2049"/>
      <c r="AU1518" s="2049"/>
      <c r="AV1518" s="2049"/>
      <c r="AW1518" s="2049"/>
      <c r="AX1518" s="2049"/>
      <c r="AY1518" s="2049"/>
      <c r="AZ1518" s="2049"/>
      <c r="BA1518" s="2049"/>
      <c r="BB1518" s="2049"/>
      <c r="BC1518" s="2049"/>
      <c r="BD1518" s="2049"/>
      <c r="BE1518" s="2049"/>
      <c r="BF1518" s="2049"/>
      <c r="BG1518" s="2049"/>
      <c r="BH1518" s="2049"/>
      <c r="BI1518" s="2049"/>
      <c r="BJ1518" s="2049"/>
      <c r="BK1518" s="2049"/>
      <c r="BL1518" s="2049"/>
    </row>
    <row r="1519" spans="1:64" ht="15">
      <c r="A1519" s="1855"/>
      <c r="B1519" s="2110" t="s">
        <v>1739</v>
      </c>
      <c r="C1519" s="1855"/>
      <c r="D1519" s="1855"/>
      <c r="E1519" s="1855"/>
      <c r="F1519" s="1855"/>
      <c r="G1519" s="1855"/>
      <c r="H1519" s="1855"/>
      <c r="I1519" s="1855"/>
      <c r="J1519" s="1855"/>
      <c r="K1519" s="1855"/>
      <c r="L1519" s="2043"/>
      <c r="M1519" s="1964"/>
      <c r="N1519" s="1994"/>
      <c r="O1519" s="2042"/>
      <c r="P1519" s="2045"/>
      <c r="Q1519" s="2043"/>
      <c r="R1519" s="2043"/>
      <c r="S1519" s="2043"/>
      <c r="T1519" s="2043"/>
      <c r="U1519" s="2043"/>
      <c r="V1519" s="2043"/>
      <c r="W1519" s="2043"/>
      <c r="X1519" s="2043"/>
      <c r="Y1519" s="2043"/>
      <c r="Z1519" s="2043"/>
      <c r="AA1519" s="2043"/>
      <c r="AB1519" s="2043"/>
      <c r="AC1519" s="2043"/>
      <c r="AD1519" s="2043"/>
      <c r="AE1519" s="2043"/>
      <c r="AF1519" s="2043"/>
      <c r="AG1519" s="2043"/>
      <c r="AH1519" s="2043"/>
      <c r="AI1519" s="2043"/>
      <c r="AJ1519" s="2043"/>
      <c r="AK1519" s="2043"/>
      <c r="AL1519" s="2043"/>
      <c r="AM1519" s="2043"/>
      <c r="AN1519" s="2043"/>
      <c r="AO1519" s="2043"/>
      <c r="AP1519" s="2043"/>
      <c r="AQ1519" s="2043"/>
      <c r="AR1519" s="2043"/>
      <c r="AS1519" s="2043"/>
      <c r="AT1519" s="2043"/>
      <c r="AU1519" s="2043"/>
      <c r="AV1519" s="2043"/>
      <c r="AW1519" s="2043"/>
      <c r="AX1519" s="2043"/>
      <c r="AY1519" s="2043"/>
      <c r="AZ1519" s="2043"/>
      <c r="BA1519" s="2043"/>
      <c r="BB1519" s="2043"/>
      <c r="BC1519" s="2043"/>
      <c r="BD1519" s="2043"/>
      <c r="BE1519" s="2043"/>
      <c r="BF1519" s="2043"/>
      <c r="BG1519" s="2043"/>
      <c r="BH1519" s="2043"/>
      <c r="BI1519" s="2043"/>
      <c r="BJ1519" s="2043"/>
      <c r="BK1519" s="2043"/>
      <c r="BL1519" s="2043"/>
    </row>
    <row r="1520" spans="1:64" ht="185.25">
      <c r="A1520" s="2052" t="str">
        <f>'Part VIII Scoring Criteria'!A369</f>
        <v xml:space="preserve">Ashley Collegetown I reached Placed in Service in 2005.  Please see documentation Tab 49. </v>
      </c>
      <c r="B1520" s="2052"/>
      <c r="C1520" s="2052"/>
      <c r="D1520" s="2052"/>
      <c r="E1520" s="2052"/>
      <c r="F1520" s="2052"/>
      <c r="G1520" s="2052"/>
      <c r="H1520" s="2052"/>
      <c r="I1520" s="2052"/>
      <c r="J1520" s="2052"/>
      <c r="K1520" s="2052"/>
      <c r="L1520" s="2052"/>
      <c r="M1520" s="2052"/>
      <c r="N1520" s="2052"/>
      <c r="O1520" s="2052"/>
      <c r="P1520" s="2052"/>
      <c r="Q1520" s="1854"/>
      <c r="R1520" s="1854"/>
      <c r="S1520" s="2043"/>
      <c r="T1520" s="2043"/>
      <c r="U1520" s="2043"/>
      <c r="V1520" s="2043"/>
      <c r="W1520" s="2043"/>
      <c r="X1520" s="2043"/>
      <c r="Y1520" s="2043"/>
      <c r="Z1520" s="2043"/>
      <c r="AA1520" s="2043"/>
      <c r="AB1520" s="2043"/>
      <c r="AC1520" s="2043"/>
      <c r="AD1520" s="2043"/>
      <c r="AE1520" s="2043"/>
      <c r="AF1520" s="2043"/>
      <c r="AG1520" s="2043"/>
      <c r="AH1520" s="2043"/>
      <c r="AI1520" s="2043"/>
      <c r="AJ1520" s="2043"/>
      <c r="AK1520" s="2043"/>
      <c r="AL1520" s="2043"/>
      <c r="AM1520" s="2043"/>
      <c r="AN1520" s="2043"/>
      <c r="AO1520" s="2043"/>
      <c r="AP1520" s="2043"/>
      <c r="AQ1520" s="2043"/>
      <c r="AR1520" s="2043"/>
      <c r="AS1520" s="2043"/>
      <c r="AT1520" s="2043"/>
      <c r="AU1520" s="2043"/>
      <c r="AV1520" s="2043"/>
      <c r="AW1520" s="2043"/>
      <c r="AX1520" s="2043"/>
      <c r="AY1520" s="2043"/>
      <c r="AZ1520" s="2043"/>
      <c r="BA1520" s="2043"/>
      <c r="BB1520" s="2043"/>
      <c r="BC1520" s="2043"/>
      <c r="BD1520" s="2043"/>
      <c r="BE1520" s="2043"/>
      <c r="BF1520" s="2043"/>
      <c r="BG1520" s="2043"/>
      <c r="BH1520" s="2043"/>
      <c r="BI1520" s="2043"/>
      <c r="BJ1520" s="2043"/>
      <c r="BK1520" s="2043"/>
      <c r="BL1520" s="2043"/>
    </row>
    <row r="1521" spans="1:64" ht="15">
      <c r="A1521" s="2484"/>
      <c r="B1521" s="2484" t="s">
        <v>1399</v>
      </c>
      <c r="C1521" s="1855"/>
      <c r="D1521" s="2484"/>
      <c r="E1521" s="2532"/>
      <c r="F1521" s="2532"/>
      <c r="G1521" s="2532"/>
      <c r="H1521" s="2532"/>
      <c r="I1521" s="2532"/>
      <c r="J1521" s="2532"/>
      <c r="K1521" s="2532"/>
      <c r="L1521" s="2532"/>
      <c r="M1521" s="2532"/>
      <c r="N1521" s="2533"/>
      <c r="O1521" s="2478"/>
      <c r="P1521" s="2113"/>
      <c r="Q1521" s="1855"/>
      <c r="R1521" s="1855"/>
      <c r="S1521" s="1855"/>
      <c r="T1521" s="1855"/>
      <c r="U1521" s="1855"/>
      <c r="V1521" s="1855"/>
      <c r="W1521" s="1855"/>
      <c r="X1521" s="1855"/>
      <c r="Y1521" s="1855"/>
      <c r="Z1521" s="1855"/>
      <c r="AA1521" s="1855"/>
      <c r="AB1521" s="1855"/>
      <c r="AC1521" s="1855"/>
      <c r="AD1521" s="1855"/>
      <c r="AE1521" s="1855"/>
      <c r="AF1521" s="1855"/>
      <c r="AG1521" s="1855"/>
      <c r="AH1521" s="1855"/>
      <c r="AI1521" s="1855"/>
      <c r="AJ1521" s="1855"/>
      <c r="AK1521" s="1855"/>
      <c r="AL1521" s="1855"/>
      <c r="AM1521" s="1855"/>
      <c r="AN1521" s="1855"/>
      <c r="AO1521" s="1855"/>
      <c r="AP1521" s="1855"/>
      <c r="AQ1521" s="1855"/>
      <c r="AR1521" s="1855"/>
      <c r="AS1521" s="1855"/>
      <c r="AT1521" s="1855"/>
      <c r="AU1521" s="1855"/>
      <c r="AV1521" s="1855"/>
      <c r="AW1521" s="1855"/>
      <c r="AX1521" s="1855"/>
      <c r="AY1521" s="1855"/>
      <c r="AZ1521" s="1855"/>
      <c r="BA1521" s="1855"/>
      <c r="BB1521" s="1855"/>
      <c r="BC1521" s="1855"/>
      <c r="BD1521" s="1855"/>
      <c r="BE1521" s="1855"/>
      <c r="BF1521" s="1855"/>
      <c r="BG1521" s="1855"/>
      <c r="BH1521" s="1855"/>
      <c r="BI1521" s="1855"/>
      <c r="BJ1521" s="1855"/>
      <c r="BK1521" s="1855"/>
      <c r="BL1521" s="1855"/>
    </row>
    <row r="1522" spans="1:64" ht="15">
      <c r="A1522" s="2052"/>
      <c r="B1522" s="2052"/>
      <c r="C1522" s="2052"/>
      <c r="D1522" s="2052"/>
      <c r="E1522" s="2052"/>
      <c r="F1522" s="2052"/>
      <c r="G1522" s="2052"/>
      <c r="H1522" s="2052"/>
      <c r="I1522" s="2052"/>
      <c r="J1522" s="2052"/>
      <c r="K1522" s="2052"/>
      <c r="L1522" s="2052"/>
      <c r="M1522" s="2052"/>
      <c r="N1522" s="2052"/>
      <c r="O1522" s="2052"/>
      <c r="P1522" s="2052"/>
      <c r="Q1522" s="1854"/>
      <c r="R1522" s="1854"/>
      <c r="S1522" s="2043"/>
      <c r="T1522" s="2043"/>
      <c r="U1522" s="2043"/>
      <c r="V1522" s="2043"/>
      <c r="W1522" s="2043"/>
      <c r="X1522" s="2043"/>
      <c r="Y1522" s="2043"/>
      <c r="Z1522" s="2043"/>
      <c r="AA1522" s="2043"/>
      <c r="AB1522" s="2043"/>
      <c r="AC1522" s="2043"/>
      <c r="AD1522" s="2043"/>
      <c r="AE1522" s="2043"/>
      <c r="AF1522" s="2043"/>
      <c r="AG1522" s="2043"/>
      <c r="AH1522" s="2043"/>
      <c r="AI1522" s="2043"/>
      <c r="AJ1522" s="2043"/>
      <c r="AK1522" s="2043"/>
      <c r="AL1522" s="2043"/>
      <c r="AM1522" s="2043"/>
      <c r="AN1522" s="2043"/>
      <c r="AO1522" s="2043"/>
      <c r="AP1522" s="2043"/>
      <c r="AQ1522" s="2043"/>
      <c r="AR1522" s="2043"/>
      <c r="AS1522" s="2043"/>
      <c r="AT1522" s="2043"/>
      <c r="AU1522" s="2043"/>
      <c r="AV1522" s="2043"/>
      <c r="AW1522" s="2043"/>
      <c r="AX1522" s="2043"/>
      <c r="AY1522" s="2043"/>
      <c r="AZ1522" s="2043"/>
      <c r="BA1522" s="2043"/>
      <c r="BB1522" s="2043"/>
      <c r="BC1522" s="2043"/>
      <c r="BD1522" s="2043"/>
      <c r="BE1522" s="2043"/>
      <c r="BF1522" s="2043"/>
      <c r="BG1522" s="2043"/>
      <c r="BH1522" s="2043"/>
      <c r="BI1522" s="2043"/>
      <c r="BJ1522" s="2043"/>
      <c r="BK1522" s="2043"/>
      <c r="BL1522" s="2043"/>
    </row>
    <row r="1523" spans="1:64" ht="15">
      <c r="A1523" s="2556"/>
      <c r="B1523" s="1855"/>
      <c r="C1523" s="2487"/>
      <c r="D1523" s="2487"/>
      <c r="E1523" s="2487"/>
      <c r="F1523" s="2487"/>
      <c r="G1523" s="2487"/>
      <c r="H1523" s="2487"/>
      <c r="I1523" s="2487"/>
      <c r="J1523" s="2487"/>
      <c r="K1523" s="2487"/>
      <c r="L1523" s="2487"/>
      <c r="M1523" s="2487"/>
      <c r="N1523" s="2511"/>
      <c r="O1523" s="2489"/>
      <c r="P1523" s="2113"/>
      <c r="Q1523" s="2043"/>
      <c r="R1523" s="2043"/>
      <c r="S1523" s="2043"/>
      <c r="T1523" s="2043"/>
      <c r="U1523" s="2043"/>
      <c r="V1523" s="2043"/>
      <c r="W1523" s="2043"/>
      <c r="X1523" s="2043"/>
      <c r="Y1523" s="2043"/>
      <c r="Z1523" s="2043"/>
      <c r="AA1523" s="2043"/>
      <c r="AB1523" s="2043"/>
      <c r="AC1523" s="2043"/>
      <c r="AD1523" s="2043"/>
      <c r="AE1523" s="2043"/>
      <c r="AF1523" s="2043"/>
      <c r="AG1523" s="2043"/>
      <c r="AH1523" s="2043"/>
      <c r="AI1523" s="2043"/>
      <c r="AJ1523" s="2043"/>
      <c r="AK1523" s="2043"/>
      <c r="AL1523" s="2043"/>
      <c r="AM1523" s="2043"/>
      <c r="AN1523" s="2043"/>
      <c r="AO1523" s="2043"/>
      <c r="AP1523" s="2043"/>
      <c r="AQ1523" s="2043"/>
      <c r="AR1523" s="2043"/>
      <c r="AS1523" s="2043"/>
      <c r="AT1523" s="2043"/>
      <c r="AU1523" s="2043"/>
      <c r="AV1523" s="2043"/>
      <c r="AW1523" s="2043"/>
      <c r="AX1523" s="2043"/>
      <c r="AY1523" s="2043"/>
      <c r="AZ1523" s="2043"/>
      <c r="BA1523" s="2043"/>
      <c r="BB1523" s="2043"/>
      <c r="BC1523" s="2043"/>
      <c r="BD1523" s="2043"/>
      <c r="BE1523" s="2043"/>
      <c r="BF1523" s="2043"/>
      <c r="BG1523" s="2043"/>
      <c r="BH1523" s="2043"/>
      <c r="BI1523" s="2043"/>
      <c r="BJ1523" s="2043"/>
      <c r="BK1523" s="2043"/>
      <c r="BL1523" s="2043"/>
    </row>
    <row r="1524" spans="1:64" ht="15">
      <c r="A1524" s="2556"/>
      <c r="B1524" s="1855"/>
      <c r="C1524" s="2487"/>
      <c r="D1524" s="2487"/>
      <c r="E1524" s="2487"/>
      <c r="F1524" s="2487"/>
      <c r="G1524" s="2487"/>
      <c r="H1524" s="2487"/>
      <c r="I1524" s="2487"/>
      <c r="J1524" s="2487"/>
      <c r="K1524" s="2487"/>
      <c r="L1524" s="2487"/>
      <c r="M1524" s="2487"/>
      <c r="N1524" s="2511"/>
      <c r="O1524" s="2489"/>
      <c r="P1524" s="2113"/>
      <c r="Q1524" s="2043"/>
      <c r="R1524" s="2043"/>
      <c r="S1524" s="2043"/>
      <c r="T1524" s="2043"/>
      <c r="U1524" s="2043"/>
      <c r="V1524" s="2043"/>
      <c r="W1524" s="2043"/>
      <c r="X1524" s="2043"/>
      <c r="Y1524" s="2043"/>
      <c r="Z1524" s="2043"/>
      <c r="AA1524" s="2043"/>
      <c r="AB1524" s="2043"/>
      <c r="AC1524" s="2043"/>
      <c r="AD1524" s="2043"/>
      <c r="AE1524" s="2043"/>
      <c r="AF1524" s="2043"/>
      <c r="AG1524" s="2043"/>
      <c r="AH1524" s="2043"/>
      <c r="AI1524" s="2043"/>
      <c r="AJ1524" s="2043"/>
      <c r="AK1524" s="2043"/>
      <c r="AL1524" s="2043"/>
      <c r="AM1524" s="2043"/>
      <c r="AN1524" s="2043"/>
      <c r="AO1524" s="2043"/>
      <c r="AP1524" s="2043"/>
      <c r="AQ1524" s="2043"/>
      <c r="AR1524" s="2043"/>
      <c r="AS1524" s="2043"/>
      <c r="AT1524" s="2043"/>
      <c r="AU1524" s="2043"/>
      <c r="AV1524" s="2043"/>
      <c r="AW1524" s="2043"/>
      <c r="AX1524" s="2043"/>
      <c r="AY1524" s="2043"/>
      <c r="AZ1524" s="2043"/>
      <c r="BA1524" s="2043"/>
      <c r="BB1524" s="2043"/>
      <c r="BC1524" s="2043"/>
      <c r="BD1524" s="2043"/>
      <c r="BE1524" s="2043"/>
      <c r="BF1524" s="2043"/>
      <c r="BG1524" s="2043"/>
      <c r="BH1524" s="2043"/>
      <c r="BI1524" s="2043"/>
      <c r="BJ1524" s="2043"/>
      <c r="BK1524" s="2043"/>
      <c r="BL1524" s="2043"/>
    </row>
    <row r="1525" spans="1:64" ht="15">
      <c r="A1525" s="2556" t="s">
        <v>1705</v>
      </c>
      <c r="B1525" s="2110" t="s">
        <v>1909</v>
      </c>
      <c r="C1525" s="1855"/>
      <c r="D1525" s="2110"/>
      <c r="E1525" s="1855"/>
      <c r="F1525" s="1855"/>
      <c r="G1525" s="2508"/>
      <c r="H1525" s="1855"/>
      <c r="I1525" s="1855"/>
      <c r="J1525" s="1855"/>
      <c r="K1525" s="1855"/>
      <c r="L1525" s="2543" t="str">
        <f>IF(OR($O1525&lt;=$M1525,$O1525=0,$O1525=""),"","*CHECK!*")</f>
        <v/>
      </c>
      <c r="M1525" s="2113">
        <v>16</v>
      </c>
      <c r="N1525" s="1964"/>
      <c r="O1525" s="2042">
        <f>'Part VIII Scoring Criteria'!O374</f>
        <v>0</v>
      </c>
      <c r="P1525" s="2042">
        <f>'Part VIII Scoring Criteria'!P374</f>
        <v>0</v>
      </c>
      <c r="Q1525" s="2113" t="s">
        <v>1716</v>
      </c>
      <c r="R1525" s="2503"/>
      <c r="S1525" s="1855"/>
      <c r="T1525" s="1855"/>
      <c r="U1525" s="1855"/>
      <c r="V1525" s="1855"/>
      <c r="W1525" s="1855"/>
      <c r="X1525" s="1855"/>
      <c r="Y1525" s="1855"/>
      <c r="Z1525" s="1855"/>
      <c r="AA1525" s="1855"/>
      <c r="AB1525" s="1855"/>
      <c r="AC1525" s="1855"/>
      <c r="AD1525" s="1855"/>
      <c r="AE1525" s="1855"/>
      <c r="AF1525" s="1855"/>
      <c r="AG1525" s="1855"/>
      <c r="AH1525" s="1855"/>
      <c r="AI1525" s="1855"/>
      <c r="AJ1525" s="1855"/>
      <c r="AK1525" s="1855"/>
      <c r="AL1525" s="1855"/>
      <c r="AM1525" s="1855"/>
      <c r="AN1525" s="1855"/>
      <c r="AO1525" s="1855"/>
      <c r="AP1525" s="1855"/>
      <c r="AQ1525" s="1855"/>
      <c r="AR1525" s="1855"/>
      <c r="AS1525" s="1855"/>
      <c r="AT1525" s="1855"/>
      <c r="AU1525" s="1855"/>
      <c r="AV1525" s="1855"/>
      <c r="AW1525" s="1855"/>
      <c r="AX1525" s="1855"/>
      <c r="AY1525" s="1855"/>
      <c r="AZ1525" s="1855"/>
      <c r="BA1525" s="1855"/>
      <c r="BB1525" s="1855"/>
      <c r="BC1525" s="1855"/>
      <c r="BD1525" s="1855"/>
      <c r="BE1525" s="1855"/>
      <c r="BF1525" s="1855"/>
      <c r="BG1525" s="1855"/>
      <c r="BH1525" s="1855"/>
      <c r="BI1525" s="1855"/>
      <c r="BJ1525" s="1855"/>
      <c r="BK1525" s="1855"/>
      <c r="BL1525" s="1855"/>
    </row>
    <row r="1526" spans="1:64" ht="15">
      <c r="A1526" s="2113" t="s">
        <v>194</v>
      </c>
      <c r="B1526" s="1854" t="s">
        <v>1910</v>
      </c>
      <c r="C1526" s="2043"/>
      <c r="D1526" s="2043"/>
      <c r="E1526" s="2043" t="s">
        <v>7045</v>
      </c>
      <c r="F1526" s="1855"/>
      <c r="G1526" s="1855"/>
      <c r="H1526" s="1855"/>
      <c r="I1526" s="2043"/>
      <c r="J1526" s="2043"/>
      <c r="K1526" s="1964"/>
      <c r="L1526" s="2500"/>
      <c r="M1526" s="1964">
        <v>10</v>
      </c>
      <c r="N1526" s="2576"/>
      <c r="O1526" s="2042">
        <f>'Part VIII Scoring Criteria'!O375</f>
        <v>0</v>
      </c>
      <c r="P1526" s="2042"/>
      <c r="Q1526" s="2543" t="str">
        <f>IF(OR($O1526&lt;=$M1526,$O1526=0,$O1526=""),"","*CHECK!*")</f>
        <v/>
      </c>
      <c r="R1526" s="2503"/>
      <c r="S1526" s="2043"/>
      <c r="T1526" s="2043"/>
      <c r="U1526" s="2043"/>
      <c r="V1526" s="2043"/>
      <c r="W1526" s="2043"/>
      <c r="X1526" s="2043"/>
      <c r="Y1526" s="2043"/>
      <c r="Z1526" s="2043"/>
      <c r="AA1526" s="2043"/>
      <c r="AB1526" s="2043"/>
      <c r="AC1526" s="2043"/>
      <c r="AD1526" s="2043"/>
      <c r="AE1526" s="2043"/>
      <c r="AF1526" s="2043"/>
      <c r="AG1526" s="2043"/>
      <c r="AH1526" s="2043"/>
      <c r="AI1526" s="2043"/>
      <c r="AJ1526" s="2043"/>
      <c r="AK1526" s="2043"/>
      <c r="AL1526" s="2043"/>
      <c r="AM1526" s="2043"/>
      <c r="AN1526" s="2043"/>
      <c r="AO1526" s="2043"/>
      <c r="AP1526" s="2043"/>
      <c r="AQ1526" s="2043"/>
      <c r="AR1526" s="2043"/>
      <c r="AS1526" s="2043"/>
      <c r="AT1526" s="2043"/>
      <c r="AU1526" s="2043"/>
      <c r="AV1526" s="2043"/>
      <c r="AW1526" s="2043"/>
      <c r="AX1526" s="2043"/>
      <c r="AY1526" s="2043"/>
      <c r="AZ1526" s="2043"/>
      <c r="BA1526" s="2043"/>
      <c r="BB1526" s="2043"/>
      <c r="BC1526" s="2043"/>
      <c r="BD1526" s="2043"/>
      <c r="BE1526" s="2043"/>
      <c r="BF1526" s="2043"/>
      <c r="BG1526" s="2043"/>
      <c r="BH1526" s="2043"/>
      <c r="BI1526" s="2043"/>
      <c r="BJ1526" s="2043"/>
      <c r="BK1526" s="2043"/>
      <c r="BL1526" s="2043"/>
    </row>
    <row r="1527" spans="1:64" s="2043" customFormat="1" ht="15.95" customHeight="1">
      <c r="A1527" s="2113"/>
      <c r="B1527" s="2043" t="s">
        <v>1911</v>
      </c>
      <c r="D1527" s="2043" t="s">
        <v>1912</v>
      </c>
      <c r="E1527" s="1855"/>
      <c r="F1527" s="1855"/>
      <c r="G1527" s="1855" t="s">
        <v>244</v>
      </c>
      <c r="H1527" s="1855"/>
      <c r="I1527" s="1855"/>
      <c r="J1527" s="1855" t="s">
        <v>54</v>
      </c>
      <c r="L1527" s="1994" t="s">
        <v>1913</v>
      </c>
      <c r="M1527" s="3854" t="s">
        <v>1914</v>
      </c>
      <c r="N1527" s="3854"/>
      <c r="O1527" s="3854"/>
      <c r="P1527" s="3854"/>
      <c r="Q1527" s="2543"/>
    </row>
    <row r="1528" spans="1:64" s="2043" customFormat="1" ht="15.95" customHeight="1">
      <c r="A1528" s="1855">
        <v>1</v>
      </c>
      <c r="B1528" s="2577">
        <f>'Part VIII Scoring Criteria'!B377</f>
        <v>0</v>
      </c>
      <c r="C1528" s="2577"/>
      <c r="D1528" s="2577">
        <f>'Part VIII Scoring Criteria'!D377</f>
        <v>0</v>
      </c>
      <c r="E1528" s="2577"/>
      <c r="F1528" s="2577"/>
      <c r="G1528" s="2577">
        <f>'Part VIII Scoring Criteria'!G377</f>
        <v>0</v>
      </c>
      <c r="H1528" s="2577"/>
      <c r="I1528" s="2577"/>
      <c r="J1528" s="2577">
        <f>'Part VIII Scoring Criteria'!J377</f>
        <v>0</v>
      </c>
      <c r="K1528" s="2577"/>
      <c r="L1528" s="2578">
        <f>'Part VIII Scoring Criteria'!L377</f>
        <v>0</v>
      </c>
      <c r="M1528" s="2577">
        <f>'Part VIII Scoring Criteria'!M377</f>
        <v>0</v>
      </c>
      <c r="N1528" s="2577"/>
      <c r="O1528" s="2577"/>
      <c r="P1528" s="2577"/>
      <c r="Q1528" s="2543"/>
    </row>
    <row r="1529" spans="1:64" s="2043" customFormat="1" ht="15.95" customHeight="1">
      <c r="A1529" s="1855">
        <v>2</v>
      </c>
      <c r="B1529" s="2577">
        <f>'Part VIII Scoring Criteria'!B378</f>
        <v>0</v>
      </c>
      <c r="C1529" s="2577"/>
      <c r="D1529" s="2577">
        <f>'Part VIII Scoring Criteria'!D378</f>
        <v>0</v>
      </c>
      <c r="E1529" s="2577"/>
      <c r="F1529" s="2577"/>
      <c r="G1529" s="2577">
        <f>'Part VIII Scoring Criteria'!G378</f>
        <v>0</v>
      </c>
      <c r="H1529" s="2577"/>
      <c r="I1529" s="2577"/>
      <c r="J1529" s="2577">
        <f>'Part VIII Scoring Criteria'!J378</f>
        <v>0</v>
      </c>
      <c r="K1529" s="2577"/>
      <c r="L1529" s="2578">
        <f>'Part VIII Scoring Criteria'!L378</f>
        <v>0</v>
      </c>
      <c r="M1529" s="2577">
        <f>'Part VIII Scoring Criteria'!M378</f>
        <v>0</v>
      </c>
      <c r="N1529" s="2577"/>
      <c r="O1529" s="2577"/>
      <c r="P1529" s="2577"/>
      <c r="Q1529" s="2543"/>
    </row>
    <row r="1530" spans="1:64" s="2043" customFormat="1" ht="15.95" customHeight="1">
      <c r="A1530" s="1855">
        <v>3</v>
      </c>
      <c r="B1530" s="2577">
        <f>'Part VIII Scoring Criteria'!B379</f>
        <v>0</v>
      </c>
      <c r="C1530" s="2577"/>
      <c r="D1530" s="2577">
        <f>'Part VIII Scoring Criteria'!D379</f>
        <v>0</v>
      </c>
      <c r="E1530" s="2577"/>
      <c r="F1530" s="2577"/>
      <c r="G1530" s="2577">
        <f>'Part VIII Scoring Criteria'!G379</f>
        <v>0</v>
      </c>
      <c r="H1530" s="2577"/>
      <c r="I1530" s="2577"/>
      <c r="J1530" s="2577">
        <f>'Part VIII Scoring Criteria'!J379</f>
        <v>0</v>
      </c>
      <c r="K1530" s="2577"/>
      <c r="L1530" s="2578">
        <f>'Part VIII Scoring Criteria'!L379</f>
        <v>0</v>
      </c>
      <c r="M1530" s="2577">
        <f>'Part VIII Scoring Criteria'!M379</f>
        <v>0</v>
      </c>
      <c r="N1530" s="2577"/>
      <c r="O1530" s="2577"/>
      <c r="P1530" s="2577"/>
      <c r="Q1530" s="2543"/>
    </row>
    <row r="1531" spans="1:64" s="2043" customFormat="1" ht="15.95" customHeight="1">
      <c r="A1531" s="1855">
        <v>4</v>
      </c>
      <c r="B1531" s="2577">
        <f>'Part VIII Scoring Criteria'!B380</f>
        <v>0</v>
      </c>
      <c r="C1531" s="2577"/>
      <c r="D1531" s="2577">
        <f>'Part VIII Scoring Criteria'!D380</f>
        <v>0</v>
      </c>
      <c r="E1531" s="2577"/>
      <c r="F1531" s="2577"/>
      <c r="G1531" s="2577">
        <f>'Part VIII Scoring Criteria'!G380</f>
        <v>0</v>
      </c>
      <c r="H1531" s="2577"/>
      <c r="I1531" s="2577"/>
      <c r="J1531" s="2577">
        <f>'Part VIII Scoring Criteria'!J380</f>
        <v>0</v>
      </c>
      <c r="K1531" s="2577"/>
      <c r="L1531" s="2578">
        <f>'Part VIII Scoring Criteria'!L380</f>
        <v>0</v>
      </c>
      <c r="M1531" s="2577">
        <f>'Part VIII Scoring Criteria'!M380</f>
        <v>0</v>
      </c>
      <c r="N1531" s="2577"/>
      <c r="O1531" s="2577"/>
      <c r="P1531" s="2577"/>
      <c r="Q1531" s="2543"/>
    </row>
    <row r="1532" spans="1:64" s="2043" customFormat="1" ht="15.95" customHeight="1">
      <c r="A1532" s="1855">
        <v>5</v>
      </c>
      <c r="B1532" s="2577">
        <f>'Part VIII Scoring Criteria'!B381</f>
        <v>0</v>
      </c>
      <c r="C1532" s="2577"/>
      <c r="D1532" s="2577">
        <f>'Part VIII Scoring Criteria'!D381</f>
        <v>0</v>
      </c>
      <c r="E1532" s="2577"/>
      <c r="F1532" s="2577"/>
      <c r="G1532" s="2577">
        <f>'Part VIII Scoring Criteria'!G381</f>
        <v>0</v>
      </c>
      <c r="H1532" s="2577"/>
      <c r="I1532" s="2577"/>
      <c r="J1532" s="2577">
        <f>'Part VIII Scoring Criteria'!J381</f>
        <v>0</v>
      </c>
      <c r="K1532" s="2577"/>
      <c r="L1532" s="2578">
        <f>'Part VIII Scoring Criteria'!L381</f>
        <v>0</v>
      </c>
      <c r="M1532" s="2577">
        <f>'Part VIII Scoring Criteria'!M381</f>
        <v>0</v>
      </c>
      <c r="N1532" s="2577"/>
      <c r="O1532" s="2577"/>
      <c r="P1532" s="2577"/>
      <c r="Q1532" s="2543"/>
    </row>
    <row r="1533" spans="1:64" s="2043" customFormat="1" ht="15.95" customHeight="1">
      <c r="A1533" s="1855">
        <v>6</v>
      </c>
      <c r="B1533" s="2577">
        <f>'Part VIII Scoring Criteria'!B382</f>
        <v>0</v>
      </c>
      <c r="C1533" s="2577"/>
      <c r="D1533" s="2577">
        <f>'Part VIII Scoring Criteria'!D382</f>
        <v>0</v>
      </c>
      <c r="E1533" s="2577"/>
      <c r="F1533" s="2577"/>
      <c r="G1533" s="2577">
        <f>'Part VIII Scoring Criteria'!G382</f>
        <v>0</v>
      </c>
      <c r="H1533" s="2577"/>
      <c r="I1533" s="2577"/>
      <c r="J1533" s="2577">
        <f>'Part VIII Scoring Criteria'!J382</f>
        <v>0</v>
      </c>
      <c r="K1533" s="2577"/>
      <c r="L1533" s="2578">
        <f>'Part VIII Scoring Criteria'!L382</f>
        <v>0</v>
      </c>
      <c r="M1533" s="2577">
        <f>'Part VIII Scoring Criteria'!M382</f>
        <v>0</v>
      </c>
      <c r="N1533" s="2577"/>
      <c r="O1533" s="2577"/>
      <c r="P1533" s="2577"/>
      <c r="Q1533" s="2543"/>
    </row>
    <row r="1534" spans="1:64" s="2043" customFormat="1" ht="15.95" customHeight="1">
      <c r="A1534" s="1855">
        <v>7</v>
      </c>
      <c r="B1534" s="2577">
        <f>'Part VIII Scoring Criteria'!B383</f>
        <v>0</v>
      </c>
      <c r="C1534" s="2577"/>
      <c r="D1534" s="2577">
        <f>'Part VIII Scoring Criteria'!D383</f>
        <v>0</v>
      </c>
      <c r="E1534" s="2577"/>
      <c r="F1534" s="2577"/>
      <c r="G1534" s="2577">
        <f>'Part VIII Scoring Criteria'!G383</f>
        <v>0</v>
      </c>
      <c r="H1534" s="2577"/>
      <c r="I1534" s="2577"/>
      <c r="J1534" s="2577">
        <f>'Part VIII Scoring Criteria'!J383</f>
        <v>0</v>
      </c>
      <c r="K1534" s="2577"/>
      <c r="L1534" s="2578">
        <f>'Part VIII Scoring Criteria'!L383</f>
        <v>0</v>
      </c>
      <c r="M1534" s="2577">
        <f>'Part VIII Scoring Criteria'!M383</f>
        <v>0</v>
      </c>
      <c r="N1534" s="2577"/>
      <c r="O1534" s="2577"/>
      <c r="P1534" s="2577"/>
      <c r="Q1534" s="2543"/>
    </row>
    <row r="1535" spans="1:64" s="2043" customFormat="1" ht="15.95" customHeight="1">
      <c r="A1535" s="1855">
        <v>8</v>
      </c>
      <c r="B1535" s="2577">
        <f>'Part VIII Scoring Criteria'!B384</f>
        <v>0</v>
      </c>
      <c r="C1535" s="2577"/>
      <c r="D1535" s="2577">
        <f>'Part VIII Scoring Criteria'!D384</f>
        <v>0</v>
      </c>
      <c r="E1535" s="2577"/>
      <c r="F1535" s="2577"/>
      <c r="G1535" s="2577">
        <f>'Part VIII Scoring Criteria'!G384</f>
        <v>0</v>
      </c>
      <c r="H1535" s="2577"/>
      <c r="I1535" s="2577"/>
      <c r="J1535" s="2577">
        <f>'Part VIII Scoring Criteria'!J384</f>
        <v>0</v>
      </c>
      <c r="K1535" s="2577"/>
      <c r="L1535" s="2578">
        <f>'Part VIII Scoring Criteria'!L384</f>
        <v>0</v>
      </c>
      <c r="M1535" s="2577">
        <f>'Part VIII Scoring Criteria'!M384</f>
        <v>0</v>
      </c>
      <c r="N1535" s="2577"/>
      <c r="O1535" s="2577"/>
      <c r="P1535" s="2577"/>
      <c r="Q1535" s="2543"/>
    </row>
    <row r="1536" spans="1:64" s="2043" customFormat="1" ht="14.25">
      <c r="A1536" s="2043">
        <v>9</v>
      </c>
      <c r="B1536" s="2577">
        <f>'Part VIII Scoring Criteria'!B385</f>
        <v>0</v>
      </c>
      <c r="C1536" s="2577"/>
      <c r="D1536" s="2577">
        <f>'Part VIII Scoring Criteria'!D385</f>
        <v>0</v>
      </c>
      <c r="E1536" s="2577"/>
      <c r="F1536" s="2577"/>
      <c r="G1536" s="2577">
        <f>'Part VIII Scoring Criteria'!G385</f>
        <v>0</v>
      </c>
      <c r="H1536" s="2577"/>
      <c r="I1536" s="2577"/>
      <c r="J1536" s="2577">
        <f>'Part VIII Scoring Criteria'!J385</f>
        <v>0</v>
      </c>
      <c r="K1536" s="2577"/>
      <c r="L1536" s="2578">
        <f>'Part VIII Scoring Criteria'!L385</f>
        <v>0</v>
      </c>
      <c r="M1536" s="2577">
        <f>'Part VIII Scoring Criteria'!M385</f>
        <v>0</v>
      </c>
      <c r="N1536" s="2577"/>
      <c r="O1536" s="2577"/>
      <c r="P1536" s="2577"/>
    </row>
    <row r="1537" spans="1:64" s="2043" customFormat="1" ht="15.95" customHeight="1">
      <c r="A1537" s="1855">
        <v>10</v>
      </c>
      <c r="B1537" s="2577">
        <f>'Part VIII Scoring Criteria'!B386</f>
        <v>0</v>
      </c>
      <c r="C1537" s="2577"/>
      <c r="D1537" s="2577">
        <f>'Part VIII Scoring Criteria'!D386</f>
        <v>0</v>
      </c>
      <c r="E1537" s="2577"/>
      <c r="F1537" s="2577"/>
      <c r="G1537" s="2577">
        <f>'Part VIII Scoring Criteria'!G386</f>
        <v>0</v>
      </c>
      <c r="H1537" s="2577"/>
      <c r="I1537" s="2577"/>
      <c r="J1537" s="2577">
        <f>'Part VIII Scoring Criteria'!J386</f>
        <v>0</v>
      </c>
      <c r="K1537" s="2577"/>
      <c r="L1537" s="2578">
        <f>'Part VIII Scoring Criteria'!L386</f>
        <v>0</v>
      </c>
      <c r="M1537" s="2577">
        <f>'Part VIII Scoring Criteria'!M386</f>
        <v>0</v>
      </c>
      <c r="N1537" s="2577"/>
      <c r="O1537" s="2577"/>
      <c r="P1537" s="2577"/>
      <c r="Q1537" s="2543"/>
    </row>
    <row r="1538" spans="1:64" ht="15">
      <c r="A1538" s="2531" t="s">
        <v>206</v>
      </c>
      <c r="B1538" s="2527" t="s">
        <v>1915</v>
      </c>
      <c r="C1538" s="2052"/>
      <c r="D1538" s="2052"/>
      <c r="E1538" s="2052"/>
      <c r="F1538" s="2052"/>
      <c r="G1538" s="2049"/>
      <c r="H1538" s="2052"/>
      <c r="I1538" s="2052"/>
      <c r="J1538" s="2083"/>
      <c r="K1538" s="2083"/>
      <c r="L1538" s="2083"/>
      <c r="M1538" s="1964">
        <v>6</v>
      </c>
      <c r="N1538" s="2576"/>
      <c r="O1538" s="2042">
        <f>'Part VIII Scoring Criteria'!O387</f>
        <v>0</v>
      </c>
      <c r="P1538" s="2042"/>
      <c r="Q1538" s="2543" t="str">
        <f>IF(OR($O1538&lt;=$M1538,$O1538=0,$O1538=""),"","*CHECK!*")</f>
        <v/>
      </c>
      <c r="R1538" s="2503"/>
      <c r="S1538" s="2049"/>
      <c r="T1538" s="2049"/>
      <c r="U1538" s="2049"/>
      <c r="V1538" s="2049"/>
      <c r="W1538" s="2049"/>
      <c r="X1538" s="2049"/>
      <c r="Y1538" s="2049"/>
      <c r="Z1538" s="2049"/>
      <c r="AA1538" s="2049"/>
      <c r="AB1538" s="2049"/>
      <c r="AC1538" s="2049"/>
      <c r="AD1538" s="2049"/>
      <c r="AE1538" s="2049"/>
      <c r="AF1538" s="2049"/>
      <c r="AG1538" s="2049"/>
      <c r="AH1538" s="2049"/>
      <c r="AI1538" s="2049"/>
      <c r="AJ1538" s="2049"/>
      <c r="AK1538" s="2049"/>
      <c r="AL1538" s="2049"/>
      <c r="AM1538" s="2049"/>
      <c r="AN1538" s="2049"/>
      <c r="AO1538" s="2049"/>
      <c r="AP1538" s="2049"/>
      <c r="AQ1538" s="2049"/>
      <c r="AR1538" s="2049"/>
      <c r="AS1538" s="2049"/>
      <c r="AT1538" s="2049"/>
      <c r="AU1538" s="2049"/>
      <c r="AV1538" s="2049"/>
      <c r="AW1538" s="2049"/>
      <c r="AX1538" s="2049"/>
      <c r="AY1538" s="2049"/>
      <c r="AZ1538" s="2049"/>
      <c r="BA1538" s="2049"/>
      <c r="BB1538" s="2049"/>
      <c r="BC1538" s="2049"/>
      <c r="BD1538" s="2049"/>
      <c r="BE1538" s="2049"/>
      <c r="BF1538" s="2049"/>
      <c r="BG1538" s="2049"/>
      <c r="BH1538" s="2049"/>
      <c r="BI1538" s="2049"/>
      <c r="BJ1538" s="2049"/>
      <c r="BK1538" s="2049"/>
      <c r="BL1538" s="2049"/>
    </row>
    <row r="1539" spans="1:64" ht="15">
      <c r="A1539" s="1855"/>
      <c r="B1539" s="2110" t="s">
        <v>1739</v>
      </c>
      <c r="C1539" s="1855"/>
      <c r="D1539" s="1855"/>
      <c r="E1539" s="1855"/>
      <c r="F1539" s="1855"/>
      <c r="G1539" s="1855"/>
      <c r="H1539" s="1855"/>
      <c r="I1539" s="1855"/>
      <c r="J1539" s="1855"/>
      <c r="K1539" s="1855"/>
      <c r="L1539" s="2043"/>
      <c r="M1539" s="1964"/>
      <c r="N1539" s="1994"/>
      <c r="O1539" s="2042"/>
      <c r="P1539" s="2045"/>
      <c r="Q1539" s="2043"/>
      <c r="R1539" s="2043"/>
      <c r="S1539" s="2043"/>
      <c r="T1539" s="2043"/>
      <c r="U1539" s="2043"/>
      <c r="V1539" s="2043"/>
      <c r="W1539" s="2043"/>
      <c r="X1539" s="2043"/>
      <c r="Y1539" s="2043"/>
      <c r="Z1539" s="2043"/>
      <c r="AA1539" s="2043"/>
      <c r="AB1539" s="2043"/>
      <c r="AC1539" s="2043"/>
      <c r="AD1539" s="2043"/>
      <c r="AE1539" s="2043"/>
      <c r="AF1539" s="2043"/>
      <c r="AG1539" s="2043"/>
      <c r="AH1539" s="2043"/>
      <c r="AI1539" s="2043"/>
      <c r="AJ1539" s="2043"/>
      <c r="AK1539" s="2043"/>
      <c r="AL1539" s="2043"/>
      <c r="AM1539" s="2043"/>
      <c r="AN1539" s="2043"/>
      <c r="AO1539" s="2043"/>
      <c r="AP1539" s="2043"/>
      <c r="AQ1539" s="2043"/>
      <c r="AR1539" s="2043"/>
      <c r="AS1539" s="2043"/>
      <c r="AT1539" s="2043"/>
      <c r="AU1539" s="2043"/>
      <c r="AV1539" s="2043"/>
      <c r="AW1539" s="2043"/>
      <c r="AX1539" s="2043"/>
      <c r="AY1539" s="2043"/>
      <c r="AZ1539" s="2043"/>
      <c r="BA1539" s="2043"/>
      <c r="BB1539" s="2043"/>
      <c r="BC1539" s="2043"/>
      <c r="BD1539" s="2043"/>
      <c r="BE1539" s="2043"/>
      <c r="BF1539" s="2043"/>
      <c r="BG1539" s="2043"/>
      <c r="BH1539" s="2043"/>
      <c r="BI1539" s="2043"/>
      <c r="BJ1539" s="2043"/>
      <c r="BK1539" s="2043"/>
      <c r="BL1539" s="2043"/>
    </row>
    <row r="1540" spans="1:64" ht="15">
      <c r="A1540" s="2052">
        <f>'Part VIII Scoring Criteria'!A389</f>
        <v>0</v>
      </c>
      <c r="B1540" s="2052"/>
      <c r="C1540" s="2052"/>
      <c r="D1540" s="2052"/>
      <c r="E1540" s="2052"/>
      <c r="F1540" s="2052"/>
      <c r="G1540" s="2052"/>
      <c r="H1540" s="2052"/>
      <c r="I1540" s="2052"/>
      <c r="J1540" s="2052"/>
      <c r="K1540" s="2052"/>
      <c r="L1540" s="2052"/>
      <c r="M1540" s="2052"/>
      <c r="N1540" s="2052"/>
      <c r="O1540" s="2052"/>
      <c r="P1540" s="2052"/>
      <c r="Q1540" s="1854"/>
      <c r="R1540" s="1854"/>
      <c r="S1540" s="2043"/>
      <c r="T1540" s="2043"/>
      <c r="U1540" s="2043"/>
      <c r="V1540" s="2043"/>
      <c r="W1540" s="2043"/>
      <c r="X1540" s="2043"/>
      <c r="Y1540" s="2043"/>
      <c r="Z1540" s="2043"/>
      <c r="AA1540" s="2043"/>
      <c r="AB1540" s="2043"/>
      <c r="AC1540" s="2043"/>
      <c r="AD1540" s="2043"/>
      <c r="AE1540" s="2043"/>
      <c r="AF1540" s="2043"/>
      <c r="AG1540" s="2043"/>
      <c r="AH1540" s="2043"/>
      <c r="AI1540" s="2043"/>
      <c r="AJ1540" s="2043"/>
      <c r="AK1540" s="2043"/>
      <c r="AL1540" s="2043"/>
      <c r="AM1540" s="2043"/>
      <c r="AN1540" s="2043"/>
      <c r="AO1540" s="2043"/>
      <c r="AP1540" s="2043"/>
      <c r="AQ1540" s="2043"/>
      <c r="AR1540" s="2043"/>
      <c r="AS1540" s="2043"/>
      <c r="AT1540" s="2043"/>
      <c r="AU1540" s="2043"/>
      <c r="AV1540" s="2043"/>
      <c r="AW1540" s="2043"/>
      <c r="AX1540" s="2043"/>
      <c r="AY1540" s="2043"/>
      <c r="AZ1540" s="2043"/>
      <c r="BA1540" s="2043"/>
      <c r="BB1540" s="2043"/>
      <c r="BC1540" s="2043"/>
      <c r="BD1540" s="2043"/>
      <c r="BE1540" s="2043"/>
      <c r="BF1540" s="2043"/>
      <c r="BG1540" s="2043"/>
      <c r="BH1540" s="2043"/>
      <c r="BI1540" s="2043"/>
      <c r="BJ1540" s="2043"/>
      <c r="BK1540" s="2043"/>
      <c r="BL1540" s="2043"/>
    </row>
    <row r="1541" spans="1:64" ht="15">
      <c r="A1541" s="2484"/>
      <c r="B1541" s="2484" t="s">
        <v>1399</v>
      </c>
      <c r="C1541" s="1855"/>
      <c r="D1541" s="2484"/>
      <c r="E1541" s="2532"/>
      <c r="F1541" s="2532"/>
      <c r="G1541" s="2532"/>
      <c r="H1541" s="2532"/>
      <c r="I1541" s="2532"/>
      <c r="J1541" s="2532"/>
      <c r="K1541" s="2532"/>
      <c r="L1541" s="2532"/>
      <c r="M1541" s="2532"/>
      <c r="N1541" s="2533"/>
      <c r="O1541" s="2478"/>
      <c r="P1541" s="2113"/>
      <c r="Q1541" s="1855"/>
      <c r="R1541" s="1855"/>
      <c r="S1541" s="1855"/>
      <c r="T1541" s="1855"/>
      <c r="U1541" s="1855"/>
      <c r="V1541" s="1855"/>
      <c r="W1541" s="1855"/>
      <c r="X1541" s="1855"/>
      <c r="Y1541" s="1855"/>
      <c r="Z1541" s="1855"/>
      <c r="AA1541" s="1855"/>
      <c r="AB1541" s="1855"/>
      <c r="AC1541" s="1855"/>
      <c r="AD1541" s="1855"/>
      <c r="AE1541" s="1855"/>
      <c r="AF1541" s="1855"/>
      <c r="AG1541" s="1855"/>
      <c r="AH1541" s="1855"/>
      <c r="AI1541" s="1855"/>
      <c r="AJ1541" s="1855"/>
      <c r="AK1541" s="1855"/>
      <c r="AL1541" s="1855"/>
      <c r="AM1541" s="1855"/>
      <c r="AN1541" s="1855"/>
      <c r="AO1541" s="1855"/>
      <c r="AP1541" s="1855"/>
      <c r="AQ1541" s="1855"/>
      <c r="AR1541" s="1855"/>
      <c r="AS1541" s="1855"/>
      <c r="AT1541" s="1855"/>
      <c r="AU1541" s="1855"/>
      <c r="AV1541" s="1855"/>
      <c r="AW1541" s="1855"/>
      <c r="AX1541" s="1855"/>
      <c r="AY1541" s="1855"/>
      <c r="AZ1541" s="1855"/>
      <c r="BA1541" s="1855"/>
      <c r="BB1541" s="1855"/>
      <c r="BC1541" s="1855"/>
      <c r="BD1541" s="1855"/>
      <c r="BE1541" s="1855"/>
      <c r="BF1541" s="1855"/>
      <c r="BG1541" s="1855"/>
      <c r="BH1541" s="1855"/>
      <c r="BI1541" s="1855"/>
      <c r="BJ1541" s="1855"/>
      <c r="BK1541" s="1855"/>
      <c r="BL1541" s="1855"/>
    </row>
    <row r="1542" spans="1:64" ht="15">
      <c r="A1542" s="2052"/>
      <c r="B1542" s="2052"/>
      <c r="C1542" s="2052"/>
      <c r="D1542" s="2052"/>
      <c r="E1542" s="2052"/>
      <c r="F1542" s="2052"/>
      <c r="G1542" s="2052"/>
      <c r="H1542" s="2052"/>
      <c r="I1542" s="2052"/>
      <c r="J1542" s="2052"/>
      <c r="K1542" s="2052"/>
      <c r="L1542" s="2052"/>
      <c r="M1542" s="2052"/>
      <c r="N1542" s="2052"/>
      <c r="O1542" s="2052"/>
      <c r="P1542" s="2052"/>
      <c r="Q1542" s="1854"/>
      <c r="R1542" s="1854"/>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c r="AS1542" s="2043"/>
      <c r="AT1542" s="2043"/>
      <c r="AU1542" s="2043"/>
      <c r="AV1542" s="2043"/>
      <c r="AW1542" s="2043"/>
      <c r="AX1542" s="2043"/>
      <c r="AY1542" s="2043"/>
      <c r="AZ1542" s="2043"/>
      <c r="BA1542" s="2043"/>
      <c r="BB1542" s="2043"/>
      <c r="BC1542" s="2043"/>
      <c r="BD1542" s="2043"/>
      <c r="BE1542" s="2043"/>
      <c r="BF1542" s="2043"/>
      <c r="BG1542" s="2043"/>
      <c r="BH1542" s="2043"/>
      <c r="BI1542" s="2043"/>
      <c r="BJ1542" s="2043"/>
      <c r="BK1542" s="2043"/>
      <c r="BL1542" s="2043"/>
    </row>
    <row r="1543" spans="1:64" ht="15">
      <c r="A1543" s="1855"/>
      <c r="B1543" s="1855"/>
      <c r="C1543" s="2487"/>
      <c r="D1543" s="2487"/>
      <c r="E1543" s="2487"/>
      <c r="F1543" s="2487"/>
      <c r="G1543" s="2487"/>
      <c r="H1543" s="2487"/>
      <c r="I1543" s="2487"/>
      <c r="J1543" s="2487"/>
      <c r="K1543" s="2487"/>
      <c r="L1543" s="2487"/>
      <c r="M1543" s="2487"/>
      <c r="N1543" s="2511"/>
      <c r="O1543" s="2489"/>
      <c r="P1543" s="2113"/>
      <c r="Q1543" s="2043"/>
      <c r="R1543" s="2043"/>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c r="AS1543" s="2043"/>
      <c r="AT1543" s="2043"/>
      <c r="AU1543" s="2043"/>
      <c r="AV1543" s="2043"/>
      <c r="AW1543" s="2043"/>
      <c r="AX1543" s="2043"/>
      <c r="AY1543" s="2043"/>
      <c r="AZ1543" s="2043"/>
      <c r="BA1543" s="2043"/>
      <c r="BB1543" s="2043"/>
      <c r="BC1543" s="2043"/>
      <c r="BD1543" s="2043"/>
      <c r="BE1543" s="2043"/>
      <c r="BF1543" s="2043"/>
      <c r="BG1543" s="2043"/>
      <c r="BH1543" s="2043"/>
      <c r="BI1543" s="2043"/>
      <c r="BJ1543" s="2043"/>
      <c r="BK1543" s="2043"/>
      <c r="BL1543" s="2043"/>
    </row>
    <row r="1544" spans="1:64" ht="15">
      <c r="A1544" s="1855"/>
      <c r="B1544" s="1855"/>
      <c r="C1544" s="2487"/>
      <c r="D1544" s="2487"/>
      <c r="E1544" s="2487"/>
      <c r="F1544" s="2487"/>
      <c r="G1544" s="2487"/>
      <c r="H1544" s="2487"/>
      <c r="I1544" s="2487"/>
      <c r="J1544" s="2487"/>
      <c r="K1544" s="2487"/>
      <c r="L1544" s="2487"/>
      <c r="M1544" s="2487"/>
      <c r="N1544" s="2511"/>
      <c r="O1544" s="2489"/>
      <c r="P1544" s="2113"/>
      <c r="Q1544" s="2043"/>
      <c r="R1544" s="2043"/>
      <c r="S1544" s="2043"/>
      <c r="T1544" s="2043"/>
      <c r="U1544" s="2043"/>
      <c r="V1544" s="2043"/>
      <c r="W1544" s="2043"/>
      <c r="X1544" s="2043"/>
      <c r="Y1544" s="2043"/>
      <c r="Z1544" s="2043"/>
      <c r="AA1544" s="2043"/>
      <c r="AB1544" s="2043"/>
      <c r="AC1544" s="2043"/>
      <c r="AD1544" s="2043"/>
      <c r="AE1544" s="2043"/>
      <c r="AF1544" s="2043"/>
      <c r="AG1544" s="2043"/>
      <c r="AH1544" s="2043"/>
      <c r="AI1544" s="2043"/>
      <c r="AJ1544" s="2043"/>
      <c r="AK1544" s="2043"/>
      <c r="AL1544" s="2043"/>
      <c r="AM1544" s="2043"/>
      <c r="AN1544" s="2043"/>
      <c r="AO1544" s="2043"/>
      <c r="AP1544" s="2043"/>
      <c r="AQ1544" s="2043"/>
      <c r="AR1544" s="2043"/>
      <c r="AS1544" s="2043"/>
      <c r="AT1544" s="2043"/>
      <c r="AU1544" s="2043"/>
      <c r="AV1544" s="2043"/>
      <c r="AW1544" s="2043"/>
      <c r="AX1544" s="2043"/>
      <c r="AY1544" s="2043"/>
      <c r="AZ1544" s="2043"/>
      <c r="BA1544" s="2043"/>
      <c r="BB1544" s="2043"/>
      <c r="BC1544" s="2043"/>
      <c r="BD1544" s="2043"/>
      <c r="BE1544" s="2043"/>
      <c r="BF1544" s="2043"/>
      <c r="BG1544" s="2043"/>
      <c r="BH1544" s="2043"/>
      <c r="BI1544" s="2043"/>
      <c r="BJ1544" s="2043"/>
      <c r="BK1544" s="2043"/>
      <c r="BL1544" s="2043"/>
    </row>
    <row r="1545" spans="1:64" ht="15">
      <c r="A1545" s="2109" t="s">
        <v>1916</v>
      </c>
      <c r="B1545" s="2110" t="s">
        <v>1917</v>
      </c>
      <c r="C1545" s="2043"/>
      <c r="D1545" s="2046"/>
      <c r="E1545" s="2043"/>
      <c r="F1545" s="2043"/>
      <c r="G1545" s="2487"/>
      <c r="H1545" s="2487"/>
      <c r="I1545" s="2487"/>
      <c r="J1545" s="2487"/>
      <c r="K1545" s="2487"/>
      <c r="L1545" s="2487"/>
      <c r="M1545" s="2487"/>
      <c r="N1545" s="2487"/>
      <c r="O1545" s="2487"/>
      <c r="P1545" s="2487"/>
      <c r="Q1545" s="2487"/>
      <c r="R1545" s="2503" t="str">
        <f>IF(AND(O1545&gt;0,NOT($F$31="New Supply")), "Ineligible to score in this section, not New Supply!","")</f>
        <v/>
      </c>
      <c r="S1545" s="2043"/>
      <c r="T1545" s="2043"/>
      <c r="U1545" s="2043"/>
      <c r="V1545" s="2043"/>
      <c r="W1545" s="2043"/>
      <c r="X1545" s="2043"/>
      <c r="Y1545" s="2043"/>
      <c r="Z1545" s="2043"/>
      <c r="AA1545" s="2043"/>
      <c r="AB1545" s="2043"/>
      <c r="AC1545" s="2043"/>
      <c r="AD1545" s="2043"/>
      <c r="AE1545" s="2043"/>
      <c r="AF1545" s="2043"/>
      <c r="AG1545" s="2043"/>
      <c r="AH1545" s="2043"/>
      <c r="AI1545" s="2043"/>
      <c r="AJ1545" s="2043"/>
      <c r="AK1545" s="2043"/>
      <c r="AL1545" s="2043"/>
      <c r="AM1545" s="2043"/>
      <c r="AN1545" s="2043"/>
      <c r="AO1545" s="2043"/>
      <c r="AP1545" s="2043"/>
      <c r="AQ1545" s="2043"/>
      <c r="AR1545" s="2043"/>
      <c r="AS1545" s="2043"/>
      <c r="AT1545" s="2043"/>
      <c r="AU1545" s="2043"/>
      <c r="AV1545" s="2043"/>
      <c r="AW1545" s="2043"/>
      <c r="AX1545" s="2043"/>
      <c r="AY1545" s="2043"/>
      <c r="AZ1545" s="2043"/>
      <c r="BA1545" s="2043"/>
      <c r="BB1545" s="2043"/>
      <c r="BC1545" s="2043"/>
      <c r="BD1545" s="2043"/>
      <c r="BE1545" s="2043"/>
      <c r="BF1545" s="2043"/>
      <c r="BG1545" s="2043"/>
      <c r="BH1545" s="2043"/>
      <c r="BI1545" s="2043"/>
      <c r="BJ1545" s="2043"/>
      <c r="BK1545" s="2043"/>
      <c r="BL1545" s="2043"/>
    </row>
    <row r="1546" spans="1:64" ht="15">
      <c r="A1546" s="2495" t="s">
        <v>194</v>
      </c>
      <c r="B1546" s="1854" t="s">
        <v>7046</v>
      </c>
      <c r="C1546" s="2049"/>
      <c r="D1546" s="2049"/>
      <c r="E1546" s="2049"/>
      <c r="F1546" s="2049"/>
      <c r="G1546" s="2049"/>
      <c r="H1546" s="2049"/>
      <c r="I1546" s="2049"/>
      <c r="J1546" s="2049"/>
      <c r="K1546" s="2049"/>
      <c r="L1546" s="2049"/>
      <c r="M1546" s="2049"/>
      <c r="N1546" s="2049"/>
      <c r="O1546" s="2049"/>
      <c r="P1546" s="2049"/>
      <c r="Q1546" s="2543" t="str">
        <f>IF(OR($O1546=$M1546,$O1546=0,$O1546=""),"","*CHECK!*")</f>
        <v/>
      </c>
      <c r="R1546" s="2503"/>
      <c r="S1546" s="2049"/>
      <c r="T1546" s="2049"/>
      <c r="U1546" s="2049"/>
      <c r="V1546" s="2049"/>
      <c r="W1546" s="2049"/>
      <c r="X1546" s="2049"/>
      <c r="Y1546" s="2049"/>
      <c r="Z1546" s="2049"/>
      <c r="AA1546" s="2049"/>
      <c r="AB1546" s="2049"/>
      <c r="AC1546" s="2049"/>
      <c r="AD1546" s="2049"/>
      <c r="AE1546" s="2049"/>
      <c r="AF1546" s="2049"/>
      <c r="AG1546" s="2049"/>
      <c r="AH1546" s="2049"/>
      <c r="AI1546" s="2049"/>
      <c r="AJ1546" s="2049"/>
      <c r="AK1546" s="2049"/>
      <c r="AL1546" s="2049"/>
      <c r="AM1546" s="2049"/>
      <c r="AN1546" s="2049"/>
      <c r="AO1546" s="2049"/>
      <c r="AP1546" s="2049"/>
      <c r="AQ1546" s="2049"/>
      <c r="AR1546" s="2049"/>
      <c r="AS1546" s="2049"/>
      <c r="AT1546" s="2049"/>
      <c r="AU1546" s="2049"/>
      <c r="AV1546" s="2049"/>
      <c r="AW1546" s="2049"/>
      <c r="AX1546" s="2049"/>
      <c r="AY1546" s="2049"/>
      <c r="AZ1546" s="2049"/>
      <c r="BA1546" s="2049"/>
      <c r="BB1546" s="2049"/>
      <c r="BC1546" s="2049"/>
      <c r="BD1546" s="2049"/>
      <c r="BE1546" s="2049"/>
      <c r="BF1546" s="2049"/>
      <c r="BG1546" s="2049"/>
      <c r="BH1546" s="2049"/>
      <c r="BI1546" s="2049"/>
      <c r="BJ1546" s="2049"/>
      <c r="BK1546" s="2049"/>
      <c r="BL1546" s="2049"/>
    </row>
    <row r="1547" spans="1:64" ht="15" customHeight="1">
      <c r="A1547" s="2051"/>
      <c r="B1547" s="2052"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052"/>
      <c r="D1547" s="2052"/>
      <c r="E1547" s="2052"/>
      <c r="F1547" s="2052"/>
      <c r="G1547" s="2052"/>
      <c r="H1547" s="2052"/>
      <c r="I1547" s="2052"/>
      <c r="J1547" s="2052"/>
      <c r="K1547" s="2052"/>
      <c r="L1547" s="2052"/>
      <c r="M1547" s="2052"/>
      <c r="N1547" s="2052"/>
      <c r="O1547" s="2052"/>
      <c r="P1547" s="2052"/>
      <c r="Q1547" s="1854"/>
      <c r="R1547" s="1854"/>
      <c r="S1547" s="1854"/>
      <c r="T1547" s="2043"/>
      <c r="U1547" s="2043"/>
      <c r="V1547" s="2043"/>
      <c r="W1547" s="2043"/>
      <c r="X1547" s="2043"/>
      <c r="Y1547" s="2043"/>
      <c r="Z1547" s="2043"/>
      <c r="AA1547" s="2043"/>
      <c r="AB1547" s="2043"/>
      <c r="AC1547" s="2043"/>
      <c r="AD1547" s="2043"/>
      <c r="AE1547" s="2043"/>
      <c r="AF1547" s="2043"/>
      <c r="AG1547" s="2043"/>
      <c r="AH1547" s="2043"/>
      <c r="AI1547" s="2043"/>
      <c r="AJ1547" s="2043"/>
      <c r="AK1547" s="2043"/>
      <c r="AL1547" s="2043"/>
      <c r="AM1547" s="2043"/>
      <c r="AN1547" s="2043"/>
      <c r="AO1547" s="2043"/>
      <c r="AP1547" s="2043"/>
      <c r="AQ1547" s="2043"/>
      <c r="AR1547" s="2043"/>
      <c r="AS1547" s="2043"/>
      <c r="AT1547" s="2043"/>
      <c r="AU1547" s="2043"/>
      <c r="AV1547" s="2043"/>
      <c r="AW1547" s="2043"/>
      <c r="AX1547" s="2043"/>
      <c r="AY1547" s="2043"/>
      <c r="AZ1547" s="2043"/>
      <c r="BA1547" s="2043"/>
      <c r="BB1547" s="2043"/>
      <c r="BC1547" s="2043"/>
      <c r="BD1547" s="2043"/>
      <c r="BE1547" s="2043"/>
      <c r="BF1547" s="2043"/>
      <c r="BG1547" s="2043"/>
      <c r="BH1547" s="2043"/>
      <c r="BI1547" s="2043"/>
      <c r="BJ1547" s="2043"/>
      <c r="BK1547" s="2043"/>
      <c r="BL1547" s="2043"/>
    </row>
    <row r="1548" spans="1:64" ht="15">
      <c r="A1548" s="2575" t="s">
        <v>206</v>
      </c>
      <c r="B1548" s="2527" t="s">
        <v>7047</v>
      </c>
      <c r="C1548" s="2049"/>
      <c r="D1548" s="2049"/>
      <c r="E1548" s="2049"/>
      <c r="F1548" s="2049"/>
      <c r="G1548" s="2049"/>
      <c r="H1548" s="2049"/>
      <c r="I1548" s="2049"/>
      <c r="J1548" s="2049"/>
      <c r="K1548" s="2049"/>
      <c r="L1548" s="2049"/>
      <c r="M1548" s="2049"/>
      <c r="N1548" s="2049"/>
      <c r="O1548" s="2049"/>
      <c r="P1548" s="2049"/>
      <c r="Q1548" s="2543" t="str">
        <f>IF(OR($O1548=$M1548,$O1548=0,$O1548=""),"","*CHECK!*")</f>
        <v/>
      </c>
      <c r="R1548" s="2503"/>
      <c r="S1548" s="2049"/>
      <c r="T1548" s="2049"/>
      <c r="U1548" s="2049"/>
      <c r="V1548" s="2049"/>
      <c r="W1548" s="2049"/>
      <c r="X1548" s="2049"/>
      <c r="Y1548" s="2049"/>
      <c r="Z1548" s="2049"/>
      <c r="AA1548" s="2049"/>
      <c r="AB1548" s="2049"/>
      <c r="AC1548" s="2049"/>
      <c r="AD1548" s="2049"/>
      <c r="AE1548" s="2049"/>
      <c r="AF1548" s="2049"/>
      <c r="AG1548" s="2049"/>
      <c r="AH1548" s="2049"/>
      <c r="AI1548" s="2049"/>
      <c r="AJ1548" s="2049"/>
      <c r="AK1548" s="2049"/>
      <c r="AL1548" s="2049"/>
      <c r="AM1548" s="2049"/>
      <c r="AN1548" s="2049"/>
      <c r="AO1548" s="2049"/>
      <c r="AP1548" s="2049"/>
      <c r="AQ1548" s="2049"/>
      <c r="AR1548" s="2049"/>
      <c r="AS1548" s="2049"/>
      <c r="AT1548" s="2049"/>
      <c r="AU1548" s="2049"/>
      <c r="AV1548" s="2049"/>
      <c r="AW1548" s="2049"/>
      <c r="AX1548" s="2049"/>
      <c r="AY1548" s="2049"/>
      <c r="AZ1548" s="2049"/>
      <c r="BA1548" s="2049"/>
      <c r="BB1548" s="2049"/>
      <c r="BC1548" s="2049"/>
      <c r="BD1548" s="2049"/>
      <c r="BE1548" s="2049"/>
      <c r="BF1548" s="2049"/>
      <c r="BG1548" s="2049"/>
      <c r="BH1548" s="2049"/>
      <c r="BI1548" s="2049"/>
      <c r="BJ1548" s="2049"/>
      <c r="BK1548" s="2049"/>
      <c r="BL1548" s="2049"/>
    </row>
    <row r="1549" spans="1:64" ht="15" customHeight="1">
      <c r="A1549" s="2051"/>
      <c r="B1549" s="2052" t="str">
        <f>'Part VIII Scoring Criteria'!B398</f>
        <v xml:space="preserve">Ashley CollegeTown Phase I was the first phase of the HOPE VI revitalization of the former Harris Homes PHA community.  It was completed in 2005 with the hope that it would drive investment in Atlanta's neglected west side.  Shortly after the property stabilized, we entered into the Great Recession of 2008, and the west side continued to be neglected.  Now, 18 years later, the Atlanta Beltline, combined with a concerted effort by area stakeholders, has increased the investment in the area. ColllegeTown is immediately adjacent to the Atlanta University Center, and its sister community, Scholars Landing, is located on the other side.  Combined, they are stablizing forces in the area surrounding the historic AUC.  As Ashley CollegeTown I has aged, we run the risk of losing that stabilizing effect.  It is important that we maintain the quality of affordable housing at Ashley CollegeTown I.   </v>
      </c>
      <c r="C1549" s="2052"/>
      <c r="D1549" s="2052"/>
      <c r="E1549" s="2052"/>
      <c r="F1549" s="2052"/>
      <c r="G1549" s="2052"/>
      <c r="H1549" s="2052"/>
      <c r="I1549" s="2052"/>
      <c r="J1549" s="2052"/>
      <c r="K1549" s="2052"/>
      <c r="L1549" s="2052"/>
      <c r="M1549" s="2052"/>
      <c r="N1549" s="2052"/>
      <c r="O1549" s="2052"/>
      <c r="P1549" s="2052"/>
      <c r="Q1549" s="1854"/>
      <c r="R1549" s="1854"/>
      <c r="S1549" s="1854"/>
      <c r="T1549" s="2043"/>
      <c r="U1549" s="2043"/>
      <c r="V1549" s="2043"/>
      <c r="W1549" s="2043"/>
      <c r="X1549" s="2043"/>
      <c r="Y1549" s="2043"/>
      <c r="Z1549" s="2043"/>
      <c r="AA1549" s="2043"/>
      <c r="AB1549" s="2043"/>
      <c r="AC1549" s="2043"/>
      <c r="AD1549" s="2043"/>
      <c r="AE1549" s="2043"/>
      <c r="AF1549" s="2043"/>
      <c r="AG1549" s="2043"/>
      <c r="AH1549" s="2043"/>
      <c r="AI1549" s="2043"/>
      <c r="AJ1549" s="2043"/>
      <c r="AK1549" s="2043"/>
      <c r="AL1549" s="2043"/>
      <c r="AM1549" s="2043"/>
      <c r="AN1549" s="2043"/>
      <c r="AO1549" s="2043"/>
      <c r="AP1549" s="2043"/>
      <c r="AQ1549" s="2043"/>
      <c r="AR1549" s="2043"/>
      <c r="AS1549" s="2043"/>
      <c r="AT1549" s="2043"/>
      <c r="AU1549" s="2043"/>
      <c r="AV1549" s="2043"/>
      <c r="AW1549" s="2043"/>
      <c r="AX1549" s="2043"/>
      <c r="AY1549" s="2043"/>
      <c r="AZ1549" s="2043"/>
      <c r="BA1549" s="2043"/>
      <c r="BB1549" s="2043"/>
      <c r="BC1549" s="2043"/>
      <c r="BD1549" s="2043"/>
      <c r="BE1549" s="2043"/>
      <c r="BF1549" s="2043"/>
      <c r="BG1549" s="2043"/>
      <c r="BH1549" s="2043"/>
      <c r="BI1549" s="2043"/>
      <c r="BJ1549" s="2043"/>
      <c r="BK1549" s="2043"/>
      <c r="BL1549" s="2043"/>
    </row>
    <row r="1550" spans="1:64" ht="15">
      <c r="A1550" s="1855"/>
      <c r="B1550" s="2110" t="s">
        <v>1739</v>
      </c>
      <c r="C1550" s="1855"/>
      <c r="D1550" s="1855"/>
      <c r="E1550" s="1855"/>
      <c r="F1550" s="1855"/>
      <c r="G1550" s="1855"/>
      <c r="H1550" s="1855"/>
      <c r="I1550" s="1855"/>
      <c r="J1550" s="1855"/>
      <c r="K1550" s="1855"/>
      <c r="L1550" s="2043"/>
      <c r="M1550" s="1964"/>
      <c r="N1550" s="1994"/>
      <c r="O1550" s="2042"/>
      <c r="P1550" s="2045"/>
      <c r="Q1550" s="2043"/>
      <c r="R1550" s="2043"/>
      <c r="S1550" s="2043"/>
      <c r="T1550" s="2043"/>
      <c r="U1550" s="2043"/>
      <c r="V1550" s="2043"/>
      <c r="W1550" s="2043"/>
      <c r="X1550" s="2043"/>
      <c r="Y1550" s="2043"/>
      <c r="Z1550" s="2043"/>
      <c r="AA1550" s="2043"/>
      <c r="AB1550" s="2043"/>
      <c r="AC1550" s="2043"/>
      <c r="AD1550" s="2043"/>
      <c r="AE1550" s="2043"/>
      <c r="AF1550" s="2043"/>
      <c r="AG1550" s="2043"/>
      <c r="AH1550" s="2043"/>
      <c r="AI1550" s="2043"/>
      <c r="AJ1550" s="2043"/>
      <c r="AK1550" s="2043"/>
      <c r="AL1550" s="2043"/>
      <c r="AM1550" s="2043"/>
      <c r="AN1550" s="2043"/>
      <c r="AO1550" s="2043"/>
      <c r="AP1550" s="2043"/>
      <c r="AQ1550" s="2043"/>
      <c r="AR1550" s="2043"/>
      <c r="AS1550" s="2043"/>
      <c r="AT1550" s="2043"/>
      <c r="AU1550" s="2043"/>
      <c r="AV1550" s="2043"/>
      <c r="AW1550" s="2043"/>
      <c r="AX1550" s="2043"/>
      <c r="AY1550" s="2043"/>
      <c r="AZ1550" s="2043"/>
      <c r="BA1550" s="2043"/>
      <c r="BB1550" s="2043"/>
      <c r="BC1550" s="2043"/>
      <c r="BD1550" s="2043"/>
      <c r="BE1550" s="2043"/>
      <c r="BF1550" s="2043"/>
      <c r="BG1550" s="2043"/>
      <c r="BH1550" s="2043"/>
      <c r="BI1550" s="2043"/>
      <c r="BJ1550" s="2043"/>
      <c r="BK1550" s="2043"/>
      <c r="BL1550" s="2043"/>
    </row>
    <row r="1551" spans="1:64" ht="15">
      <c r="A1551" s="2052">
        <f>'Part VIII Scoring Criteria'!A400</f>
        <v>0</v>
      </c>
      <c r="B1551" s="2052"/>
      <c r="C1551" s="2052"/>
      <c r="D1551" s="2052"/>
      <c r="E1551" s="2052"/>
      <c r="F1551" s="2052"/>
      <c r="G1551" s="2052"/>
      <c r="H1551" s="2052"/>
      <c r="I1551" s="2052"/>
      <c r="J1551" s="2052"/>
      <c r="K1551" s="2052"/>
      <c r="L1551" s="2052"/>
      <c r="M1551" s="2052"/>
      <c r="N1551" s="2052"/>
      <c r="O1551" s="2052"/>
      <c r="P1551" s="2052"/>
      <c r="Q1551" s="1854"/>
      <c r="R1551" s="1854"/>
      <c r="S1551" s="2043"/>
      <c r="T1551" s="2043"/>
      <c r="U1551" s="2043"/>
      <c r="V1551" s="2043"/>
      <c r="W1551" s="2043"/>
      <c r="X1551" s="2043"/>
      <c r="Y1551" s="2043"/>
      <c r="Z1551" s="2043"/>
      <c r="AA1551" s="2043"/>
      <c r="AB1551" s="2043"/>
      <c r="AC1551" s="2043"/>
      <c r="AD1551" s="2043"/>
      <c r="AE1551" s="2043"/>
      <c r="AF1551" s="2043"/>
      <c r="AG1551" s="2043"/>
      <c r="AH1551" s="2043"/>
      <c r="AI1551" s="2043"/>
      <c r="AJ1551" s="2043"/>
      <c r="AK1551" s="2043"/>
      <c r="AL1551" s="2043"/>
      <c r="AM1551" s="2043"/>
      <c r="AN1551" s="2043"/>
      <c r="AO1551" s="2043"/>
      <c r="AP1551" s="2043"/>
      <c r="AQ1551" s="2043"/>
      <c r="AR1551" s="2043"/>
      <c r="AS1551" s="2043"/>
      <c r="AT1551" s="2043"/>
      <c r="AU1551" s="2043"/>
      <c r="AV1551" s="2043"/>
      <c r="AW1551" s="2043"/>
      <c r="AX1551" s="2043"/>
      <c r="AY1551" s="2043"/>
      <c r="AZ1551" s="2043"/>
      <c r="BA1551" s="2043"/>
      <c r="BB1551" s="2043"/>
      <c r="BC1551" s="2043"/>
      <c r="BD1551" s="2043"/>
      <c r="BE1551" s="2043"/>
      <c r="BF1551" s="2043"/>
      <c r="BG1551" s="2043"/>
      <c r="BH1551" s="2043"/>
      <c r="BI1551" s="2043"/>
      <c r="BJ1551" s="2043"/>
      <c r="BK1551" s="2043"/>
      <c r="BL1551" s="2043"/>
    </row>
    <row r="1552" spans="1:64" ht="15">
      <c r="A1552" s="2043"/>
      <c r="B1552" s="2510" t="s">
        <v>1399</v>
      </c>
      <c r="C1552" s="1855"/>
      <c r="D1552" s="2510"/>
      <c r="E1552" s="2487"/>
      <c r="F1552" s="2487"/>
      <c r="G1552" s="2487"/>
      <c r="H1552" s="2487"/>
      <c r="I1552" s="2487"/>
      <c r="J1552" s="2487"/>
      <c r="K1552" s="2487"/>
      <c r="L1552" s="2487"/>
      <c r="M1552" s="2487"/>
      <c r="N1552" s="2511"/>
      <c r="O1552" s="2489"/>
      <c r="P1552" s="2113"/>
      <c r="Q1552" s="2043"/>
      <c r="R1552" s="2043"/>
      <c r="S1552" s="2043"/>
      <c r="T1552" s="2043"/>
      <c r="U1552" s="2043"/>
      <c r="V1552" s="2043"/>
      <c r="W1552" s="2043"/>
      <c r="X1552" s="2043"/>
      <c r="Y1552" s="2043"/>
      <c r="Z1552" s="2043"/>
      <c r="AA1552" s="2043"/>
      <c r="AB1552" s="2043"/>
      <c r="AC1552" s="2043"/>
      <c r="AD1552" s="2043"/>
      <c r="AE1552" s="2043"/>
      <c r="AF1552" s="2043"/>
      <c r="AG1552" s="2043"/>
      <c r="AH1552" s="2043"/>
      <c r="AI1552" s="2043"/>
      <c r="AJ1552" s="2043"/>
      <c r="AK1552" s="2043"/>
      <c r="AL1552" s="2043"/>
      <c r="AM1552" s="2043"/>
      <c r="AN1552" s="2043"/>
      <c r="AO1552" s="2043"/>
      <c r="AP1552" s="2043"/>
      <c r="AQ1552" s="2043"/>
      <c r="AR1552" s="2043"/>
      <c r="AS1552" s="2043"/>
      <c r="AT1552" s="2043"/>
      <c r="AU1552" s="2043"/>
      <c r="AV1552" s="2043"/>
      <c r="AW1552" s="2043"/>
      <c r="AX1552" s="2043"/>
      <c r="AY1552" s="2043"/>
      <c r="AZ1552" s="2043"/>
      <c r="BA1552" s="2043"/>
      <c r="BB1552" s="2043"/>
      <c r="BC1552" s="2043"/>
      <c r="BD1552" s="2043"/>
      <c r="BE1552" s="2043"/>
      <c r="BF1552" s="2043"/>
      <c r="BG1552" s="2043"/>
      <c r="BH1552" s="2043"/>
      <c r="BI1552" s="2043"/>
      <c r="BJ1552" s="2043"/>
      <c r="BK1552" s="2043"/>
      <c r="BL1552" s="2043"/>
    </row>
    <row r="1553" spans="1:64" ht="15">
      <c r="A1553" s="2052"/>
      <c r="B1553" s="2052"/>
      <c r="C1553" s="2052"/>
      <c r="D1553" s="2052"/>
      <c r="E1553" s="2052"/>
      <c r="F1553" s="2052"/>
      <c r="G1553" s="2052"/>
      <c r="H1553" s="2052"/>
      <c r="I1553" s="2052"/>
      <c r="J1553" s="2052"/>
      <c r="K1553" s="2052"/>
      <c r="L1553" s="2052"/>
      <c r="M1553" s="2052"/>
      <c r="N1553" s="2052"/>
      <c r="O1553" s="2052"/>
      <c r="P1553" s="2052"/>
      <c r="Q1553" s="1854"/>
      <c r="R1553" s="2043"/>
      <c r="S1553" s="2043"/>
      <c r="T1553" s="2043"/>
      <c r="U1553" s="2043"/>
      <c r="V1553" s="2043"/>
      <c r="W1553" s="2043"/>
      <c r="X1553" s="2043"/>
      <c r="Y1553" s="2043"/>
      <c r="Z1553" s="2043"/>
      <c r="AA1553" s="2043"/>
      <c r="AB1553" s="2043"/>
      <c r="AC1553" s="2043"/>
      <c r="AD1553" s="2043"/>
      <c r="AE1553" s="2043"/>
      <c r="AF1553" s="2043"/>
      <c r="AG1553" s="2043"/>
      <c r="AH1553" s="2043"/>
      <c r="AI1553" s="2043"/>
      <c r="AJ1553" s="2043"/>
      <c r="AK1553" s="2043"/>
      <c r="AL1553" s="2043"/>
      <c r="AM1553" s="2043"/>
      <c r="AN1553" s="2043"/>
      <c r="AO1553" s="2043"/>
      <c r="AP1553" s="2043"/>
      <c r="AQ1553" s="2043"/>
      <c r="AR1553" s="2043"/>
      <c r="AS1553" s="2043"/>
      <c r="AT1553" s="2043"/>
      <c r="AU1553" s="2043"/>
      <c r="AV1553" s="2043"/>
      <c r="AW1553" s="2043"/>
      <c r="AX1553" s="2043"/>
      <c r="AY1553" s="2043"/>
      <c r="AZ1553" s="2043"/>
      <c r="BA1553" s="2043"/>
      <c r="BB1553" s="2043"/>
      <c r="BC1553" s="2043"/>
      <c r="BD1553" s="2043"/>
      <c r="BE1553" s="2043"/>
      <c r="BF1553" s="2043"/>
      <c r="BG1553" s="2043"/>
      <c r="BH1553" s="2043"/>
      <c r="BI1553" s="2043"/>
      <c r="BJ1553" s="2043"/>
      <c r="BK1553" s="2043"/>
      <c r="BL1553" s="2043"/>
    </row>
    <row r="1554" spans="1:64" ht="15.75" customHeight="1">
      <c r="A1554" s="2043"/>
      <c r="B1554" s="2043"/>
      <c r="C1554" s="2043"/>
      <c r="D1554" s="2043"/>
      <c r="E1554" s="2043"/>
      <c r="F1554" s="2043"/>
      <c r="G1554" s="2043"/>
      <c r="H1554" s="2043"/>
      <c r="I1554" s="2043"/>
      <c r="J1554" s="2043"/>
      <c r="K1554" s="2043"/>
      <c r="L1554" s="2043"/>
      <c r="M1554" s="2043"/>
      <c r="N1554" s="1994"/>
      <c r="O1554" s="2045"/>
      <c r="P1554" s="2045"/>
      <c r="Q1554" s="2083" t="s">
        <v>7048</v>
      </c>
      <c r="R1554" s="2083"/>
      <c r="S1554" s="2083"/>
      <c r="T1554" s="2083"/>
      <c r="U1554" s="2083"/>
      <c r="V1554" s="2083"/>
      <c r="W1554" s="2083"/>
      <c r="X1554" s="2083"/>
      <c r="Y1554" s="2083"/>
      <c r="Z1554" s="2083"/>
      <c r="AA1554" s="2083"/>
      <c r="AB1554" s="2043"/>
      <c r="AC1554" s="2043"/>
      <c r="AD1554" s="2043"/>
      <c r="AE1554" s="2043"/>
      <c r="AF1554" s="2043"/>
      <c r="AG1554" s="2043"/>
      <c r="AH1554" s="2043"/>
      <c r="AI1554" s="2043"/>
      <c r="AJ1554" s="2043"/>
      <c r="AK1554" s="2043"/>
      <c r="AL1554" s="2043"/>
      <c r="AM1554" s="2043"/>
      <c r="AN1554" s="2043"/>
      <c r="AO1554" s="2043"/>
      <c r="AP1554" s="2043"/>
      <c r="AQ1554" s="2043"/>
      <c r="AR1554" s="2043"/>
      <c r="AS1554" s="2043"/>
      <c r="AT1554" s="2043"/>
      <c r="AU1554" s="2043"/>
      <c r="AV1554" s="2043"/>
      <c r="AW1554" s="2043"/>
      <c r="AX1554" s="2043"/>
      <c r="AY1554" s="2043"/>
      <c r="AZ1554" s="2043"/>
      <c r="BA1554" s="2043"/>
      <c r="BB1554" s="2043"/>
      <c r="BC1554" s="2043"/>
      <c r="BD1554" s="2043"/>
      <c r="BE1554" s="2043"/>
      <c r="BF1554" s="2043"/>
      <c r="BG1554" s="2043"/>
      <c r="BH1554" s="2043"/>
      <c r="BI1554" s="2043"/>
      <c r="BJ1554" s="2043"/>
      <c r="BK1554" s="2043"/>
      <c r="BL1554" s="2043"/>
    </row>
    <row r="1555" spans="1:64" ht="15">
      <c r="A1555" s="1854" t="s">
        <v>1922</v>
      </c>
      <c r="B1555" s="2043"/>
      <c r="C1555" s="1855"/>
      <c r="D1555" s="2043"/>
      <c r="E1555" s="2043"/>
      <c r="F1555" s="2043"/>
      <c r="G1555" s="1855"/>
      <c r="H1555" s="1855"/>
      <c r="I1555" s="1855"/>
      <c r="J1555" s="1855"/>
      <c r="K1555" s="1855"/>
      <c r="L1555" s="1855"/>
      <c r="M1555" s="2042">
        <f>IF(AND(AQ1573="9%",F1187="New Supply"),AG1600,IF(AND(AQ1573="4%",F1187="New Supply"),AH1600,IF(AND(AQ1573="9%",F1187="Rehabilitation"),AK1600,IF(AND(AQ1573="4%",F1187="Rehabilitation"),AI1600,AL1600))))</f>
        <v>61</v>
      </c>
      <c r="N1555" s="2481"/>
      <c r="O1555" s="2482">
        <f>'Part VIII Scoring Criteria'!O404</f>
        <v>42</v>
      </c>
      <c r="P1555" s="2482">
        <f>'Part VIII Scoring Criteria'!P404</f>
        <v>22</v>
      </c>
      <c r="Q1555" s="2083"/>
      <c r="R1555" s="2083"/>
      <c r="S1555" s="2083"/>
      <c r="T1555" s="2083"/>
      <c r="U1555" s="2083"/>
      <c r="V1555" s="2083"/>
      <c r="W1555" s="2083"/>
      <c r="X1555" s="2083"/>
      <c r="Y1555" s="2083"/>
      <c r="Z1555" s="2083"/>
      <c r="AA1555" s="2083"/>
      <c r="AB1555" s="1855"/>
      <c r="AC1555" s="1855"/>
      <c r="AD1555" s="1855"/>
      <c r="AE1555" s="1855"/>
      <c r="AF1555" s="1855"/>
      <c r="AG1555" s="1855"/>
      <c r="AH1555" s="1855"/>
      <c r="AI1555" s="1855"/>
      <c r="AJ1555" s="1855"/>
      <c r="AK1555" s="1855"/>
      <c r="AL1555" s="1855"/>
      <c r="AM1555" s="1855"/>
      <c r="AN1555" s="1855"/>
      <c r="AO1555" s="1855"/>
      <c r="AP1555" s="1855"/>
      <c r="AQ1555" s="1855"/>
      <c r="AR1555" s="1855"/>
      <c r="AS1555" s="1855"/>
      <c r="AT1555" s="1855"/>
      <c r="AU1555" s="1855"/>
      <c r="AV1555" s="1855"/>
      <c r="AW1555" s="1855"/>
      <c r="AX1555" s="1855"/>
      <c r="AY1555" s="1855"/>
      <c r="AZ1555" s="1855"/>
      <c r="BA1555" s="1855"/>
      <c r="BB1555" s="1855"/>
      <c r="BC1555" s="1855"/>
      <c r="BD1555" s="1855"/>
      <c r="BE1555" s="1855"/>
      <c r="BF1555" s="1855"/>
      <c r="BG1555" s="1855"/>
      <c r="BH1555" s="1855"/>
      <c r="BI1555" s="1855"/>
      <c r="BJ1555" s="1855"/>
      <c r="BK1555" s="1855"/>
      <c r="BL1555" s="1855"/>
    </row>
    <row r="1556" spans="1:64" ht="14.25">
      <c r="A1556" s="1855"/>
      <c r="B1556" s="2043"/>
      <c r="C1556" s="2487"/>
      <c r="D1556" s="2487"/>
      <c r="E1556" s="2487"/>
      <c r="F1556" s="2487"/>
      <c r="G1556" s="2487"/>
      <c r="H1556" s="2487"/>
      <c r="I1556" s="2487"/>
      <c r="J1556" s="2487"/>
      <c r="K1556" s="2487"/>
      <c r="L1556" s="2487"/>
      <c r="M1556" s="2487"/>
      <c r="N1556" s="2487"/>
      <c r="O1556" s="2487"/>
      <c r="P1556" s="2487"/>
      <c r="Q1556" s="2083"/>
      <c r="R1556" s="2083"/>
      <c r="S1556" s="2083"/>
      <c r="T1556" s="2083"/>
      <c r="U1556" s="2083"/>
      <c r="V1556" s="2083"/>
      <c r="W1556" s="2083"/>
      <c r="X1556" s="2083"/>
      <c r="Y1556" s="2083"/>
      <c r="Z1556" s="2083"/>
      <c r="AA1556" s="2083"/>
      <c r="AB1556" s="2043"/>
      <c r="AC1556" s="2043"/>
      <c r="AD1556" s="2043"/>
      <c r="AE1556" s="2043"/>
      <c r="AF1556" s="2043"/>
      <c r="AG1556" s="2043"/>
      <c r="AH1556" s="2043"/>
      <c r="AI1556" s="2043"/>
      <c r="AJ1556" s="2043"/>
      <c r="AK1556" s="2043"/>
      <c r="AL1556" s="2043"/>
      <c r="AM1556" s="2043"/>
      <c r="AN1556" s="2043"/>
      <c r="AO1556" s="2043"/>
      <c r="AP1556" s="2043"/>
      <c r="AQ1556" s="2043"/>
      <c r="AR1556" s="2043"/>
      <c r="AS1556" s="2043"/>
      <c r="AT1556" s="2043"/>
      <c r="AU1556" s="2043"/>
      <c r="AV1556" s="2043"/>
      <c r="AW1556" s="2043"/>
      <c r="AX1556" s="2043"/>
      <c r="AY1556" s="2043"/>
      <c r="AZ1556" s="2043"/>
      <c r="BA1556" s="2043"/>
      <c r="BB1556" s="2043"/>
      <c r="BC1556" s="2043"/>
      <c r="BD1556" s="2043"/>
      <c r="BE1556" s="2043"/>
      <c r="BF1556" s="2043"/>
      <c r="BG1556" s="2043"/>
      <c r="BH1556" s="2043"/>
      <c r="BI1556" s="2043"/>
      <c r="BJ1556" s="2043"/>
      <c r="BK1556" s="2043"/>
      <c r="BL1556" s="2043"/>
    </row>
    <row r="1557" spans="1:64" ht="15">
      <c r="A1557" s="2043"/>
      <c r="B1557" s="2043"/>
      <c r="C1557" s="2043"/>
      <c r="D1557" s="2043"/>
      <c r="E1557" s="2043"/>
      <c r="F1557" s="2046"/>
      <c r="G1557" s="2046"/>
      <c r="H1557" s="2113"/>
      <c r="I1557" s="2113"/>
      <c r="J1557" s="2043"/>
      <c r="K1557" s="2043"/>
      <c r="L1557" s="2043"/>
      <c r="M1557" s="2043"/>
      <c r="N1557" s="2113"/>
      <c r="O1557" s="2113"/>
      <c r="P1557" s="2042"/>
      <c r="Q1557" s="2083"/>
      <c r="R1557" s="2083"/>
      <c r="S1557" s="2083"/>
      <c r="T1557" s="2083"/>
      <c r="U1557" s="2083"/>
      <c r="V1557" s="2083"/>
      <c r="W1557" s="2083"/>
      <c r="X1557" s="2083"/>
      <c r="Y1557" s="2083"/>
      <c r="Z1557" s="2083"/>
      <c r="AA1557" s="2083"/>
      <c r="AB1557" s="2043"/>
      <c r="AC1557" s="2043"/>
      <c r="AD1557" s="2043"/>
      <c r="AE1557" s="2043"/>
      <c r="AF1557" s="2043"/>
      <c r="AG1557" s="2043"/>
      <c r="AH1557" s="2043"/>
      <c r="AI1557" s="2043"/>
      <c r="AJ1557" s="2043"/>
      <c r="AK1557" s="2043"/>
      <c r="AL1557" s="2043"/>
      <c r="AM1557" s="2043"/>
      <c r="AN1557" s="2043"/>
      <c r="AO1557" s="2043"/>
      <c r="AP1557" s="2043"/>
      <c r="AQ1557" s="2043"/>
      <c r="AR1557" s="2043"/>
      <c r="AS1557" s="2043"/>
      <c r="AT1557" s="2043"/>
      <c r="AU1557" s="2043"/>
      <c r="AV1557" s="2043"/>
      <c r="AW1557" s="2043"/>
      <c r="AX1557" s="2043"/>
      <c r="AY1557" s="2043"/>
      <c r="AZ1557" s="2043"/>
      <c r="BA1557" s="2043"/>
      <c r="BB1557" s="2043"/>
      <c r="BC1557" s="2043"/>
      <c r="BD1557" s="2043"/>
      <c r="BE1557" s="2043"/>
      <c r="BF1557" s="2043"/>
      <c r="BG1557" s="2043"/>
      <c r="BH1557" s="2043"/>
      <c r="BI1557" s="2043"/>
      <c r="BJ1557" s="2043"/>
      <c r="BK1557" s="2043"/>
      <c r="BL1557" s="2043"/>
    </row>
    <row r="1558" spans="1:64" ht="14.25" customHeight="1">
      <c r="A1558" s="2579" t="s">
        <v>7049</v>
      </c>
      <c r="B1558" s="2579"/>
      <c r="C1558" s="2579"/>
      <c r="D1558" s="2579"/>
      <c r="E1558" s="2579"/>
      <c r="F1558" s="2579"/>
      <c r="G1558" s="2579"/>
      <c r="H1558" s="2579"/>
      <c r="I1558" s="2579"/>
      <c r="J1558" s="2579"/>
      <c r="K1558" s="2579"/>
      <c r="L1558" s="2579"/>
      <c r="M1558" s="2579"/>
      <c r="N1558" s="2579"/>
      <c r="O1558" s="2579"/>
      <c r="P1558" s="2579"/>
      <c r="Q1558" s="2083"/>
      <c r="R1558" s="2083"/>
      <c r="S1558" s="2083"/>
      <c r="T1558" s="2083"/>
      <c r="U1558" s="2083"/>
      <c r="V1558" s="2083"/>
      <c r="W1558" s="2083"/>
      <c r="X1558" s="2083"/>
      <c r="Y1558" s="2083"/>
      <c r="Z1558" s="2083"/>
      <c r="AA1558" s="2083"/>
      <c r="AB1558" s="2043"/>
      <c r="AC1558" s="2043"/>
      <c r="AD1558" s="2043"/>
      <c r="AE1558" s="2043"/>
      <c r="AF1558" s="2043"/>
      <c r="AG1558" s="2043"/>
      <c r="AH1558" s="2043"/>
      <c r="AI1558" s="2043"/>
      <c r="AJ1558" s="2043"/>
      <c r="AK1558" s="2043"/>
      <c r="AL1558" s="2043"/>
      <c r="AM1558" s="2043"/>
      <c r="AN1558" s="2043"/>
      <c r="AO1558" s="2043"/>
      <c r="AP1558" s="2043"/>
      <c r="AQ1558" s="2043"/>
      <c r="AR1558" s="2043"/>
      <c r="AS1558" s="2043"/>
      <c r="AT1558" s="2043"/>
      <c r="AU1558" s="2043"/>
      <c r="AV1558" s="2043"/>
      <c r="AW1558" s="2043"/>
      <c r="AX1558" s="2043"/>
      <c r="AY1558" s="2043"/>
      <c r="AZ1558" s="2043"/>
      <c r="BA1558" s="2043"/>
      <c r="BB1558" s="2043"/>
      <c r="BC1558" s="2043"/>
      <c r="BD1558" s="2043"/>
      <c r="BE1558" s="2043"/>
      <c r="BF1558" s="2043"/>
      <c r="BG1558" s="2043"/>
      <c r="BH1558" s="2043"/>
      <c r="BI1558" s="2043"/>
      <c r="BJ1558" s="2043"/>
      <c r="BK1558" s="2043"/>
      <c r="BL1558" s="2043"/>
    </row>
    <row r="1559" spans="1:64" ht="14.25">
      <c r="A1559" s="2052">
        <f>'Part VIII Scoring Criteria'!A408</f>
        <v>0</v>
      </c>
      <c r="B1559" s="2052"/>
      <c r="C1559" s="2052"/>
      <c r="D1559" s="2052"/>
      <c r="E1559" s="2052"/>
      <c r="F1559" s="2052"/>
      <c r="G1559" s="2052"/>
      <c r="H1559" s="2052"/>
      <c r="I1559" s="2052"/>
      <c r="J1559" s="2052"/>
      <c r="K1559" s="2052"/>
      <c r="L1559" s="2052"/>
      <c r="M1559" s="2052"/>
      <c r="N1559" s="2052"/>
      <c r="O1559" s="2052"/>
      <c r="P1559" s="2052"/>
      <c r="Q1559" s="2083"/>
      <c r="R1559" s="2083"/>
      <c r="S1559" s="2083"/>
      <c r="T1559" s="2083"/>
      <c r="U1559" s="2083"/>
      <c r="V1559" s="2083"/>
      <c r="W1559" s="2083"/>
      <c r="X1559" s="2083"/>
      <c r="Y1559" s="2083"/>
      <c r="Z1559" s="2043"/>
      <c r="AA1559" s="2043"/>
      <c r="AB1559" s="2043"/>
      <c r="AC1559" s="2043"/>
      <c r="AD1559" s="2043"/>
      <c r="AE1559" s="2043"/>
      <c r="AF1559" s="2043"/>
      <c r="AG1559" s="2043"/>
      <c r="AH1559" s="2043"/>
      <c r="AI1559" s="2043"/>
      <c r="AJ1559" s="2043"/>
      <c r="AK1559" s="2043"/>
      <c r="AL1559" s="2043"/>
      <c r="AM1559" s="2043"/>
      <c r="AN1559" s="2043"/>
      <c r="AO1559" s="2043"/>
      <c r="AP1559" s="2043"/>
      <c r="AQ1559" s="2043"/>
      <c r="AR1559" s="2043"/>
      <c r="AS1559" s="2043"/>
      <c r="AT1559" s="2043"/>
      <c r="AU1559" s="2043"/>
      <c r="AV1559" s="2043"/>
      <c r="AW1559" s="2043"/>
      <c r="AX1559" s="2043"/>
      <c r="AY1559" s="2043"/>
      <c r="AZ1559" s="2043"/>
      <c r="BA1559" s="2043"/>
      <c r="BB1559" s="2043"/>
      <c r="BC1559" s="2043"/>
      <c r="BD1559" s="2043"/>
      <c r="BE1559" s="2043"/>
      <c r="BF1559" s="2043"/>
      <c r="BG1559" s="2043"/>
      <c r="BH1559" s="2043"/>
      <c r="BI1559" s="2043"/>
      <c r="BJ1559" s="2043"/>
      <c r="BK1559" s="2043"/>
      <c r="BL1559" s="2043"/>
    </row>
    <row r="1560" spans="1:64" ht="15">
      <c r="A1560" s="2043"/>
      <c r="B1560" s="2043"/>
      <c r="C1560" s="2043" t="s">
        <v>1637</v>
      </c>
      <c r="D1560" s="2043"/>
      <c r="E1560" s="2043"/>
      <c r="F1560" s="2043"/>
      <c r="G1560" s="2043"/>
      <c r="H1560" s="2043"/>
      <c r="I1560" s="2043"/>
      <c r="J1560" s="2044" t="s">
        <v>1564</v>
      </c>
      <c r="K1560" s="2043"/>
      <c r="L1560" s="2043"/>
      <c r="M1560" s="2043"/>
      <c r="N1560" s="1994"/>
      <c r="O1560" s="2045"/>
      <c r="P1560" s="2045"/>
      <c r="Q1560" s="2083"/>
      <c r="R1560" s="2083"/>
      <c r="S1560" s="2083"/>
      <c r="T1560" s="2083"/>
      <c r="U1560" s="2083"/>
      <c r="V1560" s="2083"/>
      <c r="W1560" s="2083"/>
      <c r="X1560" s="2083"/>
      <c r="Y1560" s="2083"/>
      <c r="Z1560" s="2043"/>
      <c r="AA1560" s="2043"/>
      <c r="AB1560" s="2043"/>
      <c r="AC1560" s="2043"/>
      <c r="AD1560" s="2043"/>
      <c r="AE1560" s="2043"/>
      <c r="AF1560" s="2043"/>
      <c r="AG1560" s="2043"/>
      <c r="AH1560" s="2043"/>
      <c r="AI1560" s="2043"/>
      <c r="AJ1560" s="2043"/>
      <c r="AK1560" s="2043"/>
      <c r="AL1560" s="2043"/>
      <c r="AM1560" s="2043"/>
      <c r="AN1560" s="2043"/>
      <c r="AO1560" s="2043"/>
      <c r="AP1560" s="2043"/>
      <c r="AQ1560" s="2043"/>
      <c r="AR1560" s="2043"/>
      <c r="AS1560" s="2043"/>
      <c r="AT1560" s="2043"/>
      <c r="AU1560" s="2043"/>
      <c r="AV1560" s="2043"/>
      <c r="AW1560" s="2043"/>
      <c r="AX1560" s="2043"/>
      <c r="AY1560" s="2043"/>
      <c r="AZ1560" s="2043"/>
      <c r="BA1560" s="2043"/>
      <c r="BB1560" s="2043"/>
      <c r="BC1560" s="2043"/>
      <c r="BD1560" s="2043"/>
      <c r="BE1560" s="2043"/>
      <c r="BF1560" s="2043"/>
      <c r="BG1560" s="2043"/>
      <c r="BH1560" s="2043"/>
      <c r="BI1560" s="2043"/>
      <c r="BJ1560" s="2043"/>
      <c r="BK1560" s="2043"/>
      <c r="BL1560" s="2043"/>
    </row>
    <row r="1561" spans="1:64" ht="15">
      <c r="A1561" s="2043"/>
      <c r="B1561" s="2043"/>
      <c r="C1561" s="2043" t="s">
        <v>1924</v>
      </c>
      <c r="D1561" s="2043"/>
      <c r="E1561" s="2043"/>
      <c r="F1561" s="2043"/>
      <c r="G1561" s="2043"/>
      <c r="H1561" s="2043"/>
      <c r="I1561" s="2043"/>
      <c r="J1561" s="2044" t="s">
        <v>1587</v>
      </c>
      <c r="K1561" s="2043"/>
      <c r="L1561" s="2043"/>
      <c r="M1561" s="2043"/>
      <c r="N1561" s="1994"/>
      <c r="O1561" s="2045"/>
      <c r="P1561" s="2045"/>
      <c r="Q1561" s="2043"/>
      <c r="R1561" s="2043"/>
      <c r="S1561" s="2043"/>
      <c r="T1561" s="2043"/>
      <c r="U1561" s="2043"/>
      <c r="V1561" s="2043"/>
      <c r="W1561" s="2043"/>
      <c r="X1561" s="2043"/>
      <c r="Y1561" s="2043"/>
      <c r="Z1561" s="2043"/>
      <c r="AA1561" s="2043"/>
      <c r="AB1561" s="2043"/>
      <c r="AC1561" s="2043"/>
      <c r="AD1561" s="2043"/>
      <c r="AE1561" s="2043"/>
      <c r="AF1561" s="2043"/>
      <c r="AG1561" s="2043"/>
      <c r="AH1561" s="2043"/>
      <c r="AI1561" s="2043"/>
      <c r="AJ1561" s="2043"/>
      <c r="AK1561" s="2043"/>
      <c r="AL1561" s="2043"/>
      <c r="AM1561" s="2043"/>
      <c r="AN1561" s="2043"/>
      <c r="AO1561" s="2043"/>
      <c r="AP1561" s="2043"/>
      <c r="AQ1561" s="2043"/>
      <c r="AR1561" s="2043"/>
      <c r="AS1561" s="2043"/>
      <c r="AT1561" s="2043"/>
      <c r="AU1561" s="2043"/>
      <c r="AV1561" s="2043"/>
      <c r="AW1561" s="2043"/>
      <c r="AX1561" s="2043"/>
      <c r="AY1561" s="2043"/>
      <c r="AZ1561" s="2043"/>
      <c r="BA1561" s="2043"/>
      <c r="BB1561" s="2043"/>
      <c r="BC1561" s="2043"/>
      <c r="BD1561" s="2043"/>
      <c r="BE1561" s="2043"/>
      <c r="BF1561" s="2043"/>
      <c r="BG1561" s="2043"/>
      <c r="BH1561" s="2043"/>
      <c r="BI1561" s="2043"/>
      <c r="BJ1561" s="2043"/>
      <c r="BK1561" s="2043"/>
      <c r="BL1561" s="2043"/>
    </row>
    <row r="1562" spans="1:64" ht="15">
      <c r="A1562" s="2043"/>
      <c r="B1562" s="2043"/>
      <c r="C1562" s="2043" t="s">
        <v>1925</v>
      </c>
      <c r="D1562" s="2043"/>
      <c r="E1562" s="2043"/>
      <c r="F1562" s="2043"/>
      <c r="G1562" s="2043"/>
      <c r="H1562" s="2043"/>
      <c r="I1562" s="2043"/>
      <c r="J1562" s="2044" t="s">
        <v>1926</v>
      </c>
      <c r="K1562" s="2043"/>
      <c r="L1562" s="2043"/>
      <c r="M1562" s="2043"/>
      <c r="N1562" s="1994"/>
      <c r="O1562" s="2045"/>
      <c r="P1562" s="2045"/>
      <c r="Q1562" s="2043"/>
      <c r="R1562" s="2043"/>
      <c r="S1562" s="2043"/>
      <c r="T1562" s="2043"/>
      <c r="U1562" s="2043"/>
      <c r="V1562" s="2043"/>
      <c r="W1562" s="2043"/>
      <c r="X1562" s="2043"/>
      <c r="Y1562" s="2043"/>
      <c r="Z1562" s="2043"/>
      <c r="AA1562" s="2043"/>
      <c r="AB1562" s="2043"/>
      <c r="AC1562" s="2043"/>
      <c r="AD1562" s="2043"/>
      <c r="AE1562" s="2043"/>
      <c r="AF1562" s="2043"/>
      <c r="AG1562" s="2043"/>
      <c r="AH1562" s="2043"/>
      <c r="AI1562" s="2043"/>
      <c r="AJ1562" s="2043"/>
      <c r="AK1562" s="2043"/>
      <c r="AL1562" s="2043"/>
      <c r="AM1562" s="2043"/>
      <c r="AN1562" s="2043"/>
      <c r="AO1562" s="2043"/>
      <c r="AP1562" s="2043"/>
      <c r="AQ1562" s="2043"/>
      <c r="AR1562" s="2043"/>
      <c r="AS1562" s="2043"/>
      <c r="AT1562" s="2043"/>
      <c r="AU1562" s="2043"/>
      <c r="AV1562" s="2043"/>
      <c r="AW1562" s="2043"/>
      <c r="AX1562" s="2043"/>
      <c r="AY1562" s="2043"/>
      <c r="AZ1562" s="2043"/>
      <c r="BA1562" s="2043"/>
      <c r="BB1562" s="2043"/>
      <c r="BC1562" s="2043"/>
      <c r="BD1562" s="2043"/>
      <c r="BE1562" s="2043"/>
      <c r="BF1562" s="2043"/>
      <c r="BG1562" s="2043"/>
      <c r="BH1562" s="2043"/>
      <c r="BI1562" s="2043"/>
      <c r="BJ1562" s="2043"/>
      <c r="BK1562" s="2043"/>
      <c r="BL1562" s="2043"/>
    </row>
    <row r="1563" spans="1:64" ht="15">
      <c r="A1563" s="2043"/>
      <c r="B1563" s="2043"/>
      <c r="C1563" s="2043" t="s">
        <v>1927</v>
      </c>
      <c r="D1563" s="2043"/>
      <c r="E1563" s="2043"/>
      <c r="F1563" s="2043"/>
      <c r="G1563" s="2043"/>
      <c r="H1563" s="2043"/>
      <c r="I1563" s="2043"/>
      <c r="J1563" s="2044" t="s">
        <v>1928</v>
      </c>
      <c r="K1563" s="2043"/>
      <c r="L1563" s="2043"/>
      <c r="M1563" s="2043"/>
      <c r="N1563" s="1994"/>
      <c r="O1563" s="2045"/>
      <c r="P1563" s="2045"/>
      <c r="Q1563" s="2043"/>
      <c r="R1563" s="2043"/>
      <c r="S1563" s="2043"/>
      <c r="T1563" s="2043"/>
      <c r="U1563" s="2043"/>
      <c r="V1563" s="2043"/>
      <c r="W1563" s="2043"/>
      <c r="X1563" s="2043"/>
      <c r="Y1563" s="2043"/>
      <c r="Z1563" s="2043"/>
      <c r="AA1563" s="2043"/>
      <c r="AB1563" s="2043"/>
      <c r="AC1563" s="2043"/>
      <c r="AD1563" s="2043"/>
      <c r="AE1563" s="2043"/>
      <c r="AF1563" s="2043"/>
      <c r="AG1563" s="2043"/>
      <c r="AH1563" s="2043"/>
      <c r="AI1563" s="2043"/>
      <c r="AJ1563" s="2043"/>
      <c r="AK1563" s="2043"/>
      <c r="AL1563" s="2043"/>
      <c r="AM1563" s="2043"/>
      <c r="AN1563" s="2043"/>
      <c r="AO1563" s="2043"/>
      <c r="AP1563" s="2043"/>
      <c r="AQ1563" s="2043"/>
      <c r="AR1563" s="2043"/>
      <c r="AS1563" s="2043"/>
      <c r="AT1563" s="2043"/>
      <c r="AU1563" s="2043"/>
      <c r="AV1563" s="2043"/>
      <c r="AW1563" s="2043"/>
      <c r="AX1563" s="2043"/>
      <c r="AY1563" s="2043"/>
      <c r="AZ1563" s="2043"/>
      <c r="BA1563" s="2043"/>
      <c r="BB1563" s="2043"/>
      <c r="BC1563" s="2043"/>
      <c r="BD1563" s="2043"/>
      <c r="BE1563" s="2043"/>
      <c r="BF1563" s="2043"/>
      <c r="BG1563" s="2043"/>
      <c r="BH1563" s="2043"/>
      <c r="BI1563" s="2043"/>
      <c r="BJ1563" s="2043"/>
      <c r="BK1563" s="2043"/>
      <c r="BL1563" s="2043"/>
    </row>
    <row r="1564" spans="1:64" ht="15">
      <c r="A1564" s="2043"/>
      <c r="B1564" s="2043"/>
      <c r="C1564" s="2043"/>
      <c r="D1564" s="2043"/>
      <c r="E1564" s="2043"/>
      <c r="F1564" s="2043"/>
      <c r="G1564" s="2043"/>
      <c r="H1564" s="2043"/>
      <c r="I1564" s="2043"/>
      <c r="J1564" s="2044" t="s">
        <v>1638</v>
      </c>
      <c r="K1564" s="2043"/>
      <c r="L1564" s="2043"/>
      <c r="M1564" s="2043"/>
      <c r="N1564" s="1994"/>
      <c r="O1564" s="2045"/>
      <c r="P1564" s="2045"/>
      <c r="Q1564" s="2043"/>
      <c r="R1564" s="2043"/>
      <c r="S1564" s="2043"/>
      <c r="T1564" s="2043"/>
      <c r="U1564" s="2043"/>
      <c r="V1564" s="2043"/>
      <c r="W1564" s="2043"/>
      <c r="X1564" s="2043"/>
      <c r="Y1564" s="2043"/>
      <c r="Z1564" s="2043"/>
      <c r="AA1564" s="2043"/>
      <c r="AB1564" s="2043"/>
      <c r="AC1564" s="2043"/>
      <c r="AD1564" s="2043"/>
      <c r="AE1564" s="2043"/>
      <c r="AF1564" s="2043"/>
      <c r="AG1564" s="2043"/>
      <c r="AH1564" s="2043"/>
      <c r="AI1564" s="2043"/>
      <c r="AJ1564" s="2043"/>
      <c r="AK1564" s="2043"/>
      <c r="AL1564" s="2043"/>
      <c r="AM1564" s="2043"/>
      <c r="AN1564" s="2043"/>
      <c r="AO1564" s="2043"/>
      <c r="AP1564" s="2043"/>
      <c r="AQ1564" s="2043"/>
      <c r="AR1564" s="2043"/>
      <c r="AS1564" s="2043"/>
      <c r="AT1564" s="2043"/>
      <c r="AU1564" s="2043"/>
      <c r="AV1564" s="2043"/>
      <c r="AW1564" s="2043"/>
      <c r="AX1564" s="2043"/>
      <c r="AY1564" s="2043"/>
      <c r="AZ1564" s="2043"/>
      <c r="BA1564" s="2043"/>
      <c r="BB1564" s="2043"/>
      <c r="BC1564" s="2043"/>
      <c r="BD1564" s="2043"/>
      <c r="BE1564" s="2043"/>
      <c r="BF1564" s="2043"/>
      <c r="BG1564" s="2043"/>
      <c r="BH1564" s="2043"/>
      <c r="BI1564" s="2043"/>
      <c r="BJ1564" s="2043"/>
      <c r="BK1564" s="2043"/>
      <c r="BL1564" s="2043"/>
    </row>
    <row r="1565" spans="1:64" ht="15">
      <c r="A1565" s="2043"/>
      <c r="B1565" s="2043"/>
      <c r="C1565" s="2043" t="s">
        <v>712</v>
      </c>
      <c r="D1565" s="2043"/>
      <c r="E1565" s="2043"/>
      <c r="F1565" s="2043"/>
      <c r="G1565" s="2043"/>
      <c r="H1565" s="2043"/>
      <c r="I1565" s="2043"/>
      <c r="J1565" s="2044" t="s">
        <v>1929</v>
      </c>
      <c r="K1565" s="2043"/>
      <c r="L1565" s="2043"/>
      <c r="M1565" s="2043"/>
      <c r="N1565" s="1994"/>
      <c r="O1565" s="2045"/>
      <c r="P1565" s="2045"/>
      <c r="Q1565" s="2043"/>
      <c r="R1565" s="2043"/>
      <c r="S1565" s="2043"/>
      <c r="T1565" s="2043"/>
      <c r="U1565" s="2043"/>
      <c r="V1565" s="2043"/>
      <c r="W1565" s="2043"/>
      <c r="X1565" s="2043"/>
      <c r="Y1565" s="2043"/>
      <c r="Z1565" s="2043"/>
      <c r="AA1565" s="2043"/>
      <c r="AB1565" s="2043"/>
      <c r="AC1565" s="2043"/>
      <c r="AD1565" s="2043"/>
      <c r="AE1565" s="2043"/>
      <c r="AF1565" s="2043"/>
      <c r="AG1565" s="2043"/>
      <c r="AH1565" s="2043"/>
      <c r="AI1565" s="2043"/>
      <c r="AJ1565" s="2043"/>
      <c r="AK1565" s="2043"/>
      <c r="AL1565" s="2043"/>
      <c r="AM1565" s="2043"/>
      <c r="AN1565" s="2043"/>
      <c r="AO1565" s="2043"/>
      <c r="AP1565" s="2043"/>
      <c r="AQ1565" s="2043"/>
      <c r="AR1565" s="2043"/>
      <c r="AS1565" s="2043"/>
      <c r="AT1565" s="2043"/>
      <c r="AU1565" s="2043"/>
      <c r="AV1565" s="2043"/>
      <c r="AW1565" s="2043"/>
      <c r="AX1565" s="2043"/>
      <c r="AY1565" s="2043"/>
      <c r="AZ1565" s="2043"/>
      <c r="BA1565" s="2043"/>
      <c r="BB1565" s="2043"/>
      <c r="BC1565" s="2043"/>
      <c r="BD1565" s="2043"/>
      <c r="BE1565" s="2043"/>
      <c r="BF1565" s="2043"/>
      <c r="BG1565" s="2043"/>
      <c r="BH1565" s="2043"/>
      <c r="BI1565" s="2043"/>
      <c r="BJ1565" s="2043"/>
      <c r="BK1565" s="2043"/>
      <c r="BL1565" s="2043"/>
    </row>
    <row r="1566" spans="1:64" ht="15">
      <c r="A1566" s="2043"/>
      <c r="B1566" s="2043"/>
      <c r="C1566" s="2046" t="s">
        <v>1560</v>
      </c>
      <c r="D1566" s="2043"/>
      <c r="E1566" s="2043"/>
      <c r="F1566" s="2043"/>
      <c r="G1566" s="2043"/>
      <c r="H1566" s="2043"/>
      <c r="I1566" s="2043"/>
      <c r="J1566" s="2044" t="s">
        <v>1930</v>
      </c>
      <c r="K1566" s="2043"/>
      <c r="L1566" s="2043"/>
      <c r="M1566" s="2043"/>
      <c r="N1566" s="1994"/>
      <c r="O1566" s="2045"/>
      <c r="P1566" s="2045"/>
      <c r="Q1566" s="2043"/>
      <c r="R1566" s="2043"/>
      <c r="S1566" s="2043"/>
      <c r="T1566" s="2043"/>
      <c r="U1566" s="2043"/>
      <c r="V1566" s="2043"/>
      <c r="W1566" s="2043"/>
      <c r="X1566" s="2043"/>
      <c r="Y1566" s="2043"/>
      <c r="Z1566" s="2043"/>
      <c r="AA1566" s="2043"/>
      <c r="AB1566" s="2043"/>
      <c r="AC1566" s="2043"/>
      <c r="AD1566" s="2043"/>
      <c r="AE1566" s="2043"/>
      <c r="AF1566" s="2043"/>
      <c r="AG1566" s="2043"/>
      <c r="AH1566" s="2043"/>
      <c r="AI1566" s="2043"/>
      <c r="AJ1566" s="2043"/>
      <c r="AK1566" s="2043"/>
      <c r="AL1566" s="2043"/>
      <c r="AM1566" s="2043"/>
      <c r="AN1566" s="2043"/>
      <c r="AO1566" s="2043"/>
      <c r="AP1566" s="2043"/>
      <c r="AQ1566" s="2043"/>
      <c r="AR1566" s="2043"/>
      <c r="AS1566" s="2108"/>
      <c r="AT1566" s="2108"/>
      <c r="AU1566" s="1855"/>
      <c r="AV1566" s="1855"/>
      <c r="AW1566" s="1855"/>
      <c r="AX1566" s="1855"/>
      <c r="AY1566" s="1855"/>
      <c r="AZ1566" s="1855"/>
      <c r="BA1566" s="1855"/>
      <c r="BB1566" s="1854" t="s">
        <v>1931</v>
      </c>
      <c r="BC1566" s="1854"/>
      <c r="BD1566" s="1854"/>
      <c r="BE1566" s="1854"/>
      <c r="BF1566" s="1854"/>
      <c r="BG1566" s="1854"/>
      <c r="BH1566" s="1854"/>
      <c r="BI1566" s="1854"/>
      <c r="BJ1566" s="1855"/>
      <c r="BK1566" s="1855"/>
      <c r="BL1566" s="1855"/>
    </row>
    <row r="1567" spans="1:64" ht="15">
      <c r="A1567" s="2043"/>
      <c r="B1567" s="2043"/>
      <c r="C1567" s="2046" t="s">
        <v>1563</v>
      </c>
      <c r="D1567" s="2043"/>
      <c r="E1567" s="2043"/>
      <c r="F1567" s="2043"/>
      <c r="G1567" s="2043"/>
      <c r="H1567" s="2043"/>
      <c r="I1567" s="2043"/>
      <c r="J1567" s="2044" t="s">
        <v>1573</v>
      </c>
      <c r="K1567" s="2043"/>
      <c r="L1567" s="2043"/>
      <c r="M1567" s="2043"/>
      <c r="N1567" s="1994"/>
      <c r="O1567" s="2045"/>
      <c r="P1567" s="2045"/>
      <c r="Q1567" s="2043"/>
      <c r="R1567" s="2043"/>
      <c r="S1567" s="2043"/>
      <c r="T1567" s="2043"/>
      <c r="U1567" s="2043"/>
      <c r="V1567" s="2043"/>
      <c r="W1567" s="2043"/>
      <c r="X1567" s="2043"/>
      <c r="Y1567" s="2043"/>
      <c r="Z1567" s="2043"/>
      <c r="AA1567" s="2043"/>
      <c r="AB1567" s="2043"/>
      <c r="AC1567" s="2043"/>
      <c r="AD1567" s="2043"/>
      <c r="AE1567" s="2043"/>
      <c r="AF1567" s="2043"/>
      <c r="AG1567" s="2043"/>
      <c r="AH1567" s="2043"/>
      <c r="AI1567" s="2043"/>
      <c r="AJ1567" s="2043"/>
      <c r="AK1567" s="2043"/>
      <c r="AL1567" s="2043"/>
      <c r="AM1567" s="2043"/>
      <c r="AN1567" s="2043"/>
      <c r="AO1567" s="2043"/>
      <c r="AP1567" s="2043"/>
      <c r="AQ1567" s="2043"/>
      <c r="AR1567" s="2043"/>
      <c r="AS1567" s="2108"/>
      <c r="AT1567" s="2108"/>
      <c r="AU1567" s="1855"/>
      <c r="AV1567" s="1855"/>
      <c r="AW1567" s="1855"/>
      <c r="AX1567" s="1855"/>
      <c r="AY1567" s="1854" t="s">
        <v>1932</v>
      </c>
      <c r="AZ1567" s="1854"/>
      <c r="BA1567" s="1854"/>
      <c r="BB1567" s="1854"/>
      <c r="BC1567" s="1854"/>
      <c r="BD1567" s="1854"/>
      <c r="BE1567" s="1854"/>
      <c r="BF1567" s="1854" t="s">
        <v>1933</v>
      </c>
      <c r="BG1567" s="1854"/>
      <c r="BH1567" s="1854"/>
      <c r="BI1567" s="1854"/>
      <c r="BJ1567" s="1854"/>
      <c r="BK1567" s="1854"/>
      <c r="BL1567" s="1854"/>
    </row>
    <row r="1568" spans="1:64" ht="15">
      <c r="A1568" s="2043"/>
      <c r="B1568" s="2043"/>
      <c r="C1568" s="2046" t="s">
        <v>1566</v>
      </c>
      <c r="D1568" s="2043"/>
      <c r="E1568" s="2043"/>
      <c r="F1568" s="2043"/>
      <c r="G1568" s="2043"/>
      <c r="H1568" s="2043"/>
      <c r="I1568" s="2043"/>
      <c r="J1568" s="2044" t="s">
        <v>1558</v>
      </c>
      <c r="K1568" s="2043"/>
      <c r="L1568" s="2043"/>
      <c r="M1568" s="2043"/>
      <c r="N1568" s="1994"/>
      <c r="O1568" s="2045"/>
      <c r="P1568" s="2045"/>
      <c r="Q1568" s="2043"/>
      <c r="R1568" s="2043"/>
      <c r="S1568" s="2043"/>
      <c r="T1568" s="2043"/>
      <c r="U1568" s="2043"/>
      <c r="V1568" s="2043"/>
      <c r="W1568" s="2043"/>
      <c r="X1568" s="2043"/>
      <c r="Y1568" s="2043"/>
      <c r="Z1568" s="2043"/>
      <c r="AA1568" s="2043"/>
      <c r="AB1568" s="2043"/>
      <c r="AC1568" s="2043"/>
      <c r="AD1568" s="2043"/>
      <c r="AE1568" s="2043"/>
      <c r="AF1568" s="2043"/>
      <c r="AG1568" s="2043"/>
      <c r="AH1568" s="2043"/>
      <c r="AI1568" s="2043"/>
      <c r="AJ1568" s="2043"/>
      <c r="AK1568" s="2043"/>
      <c r="AL1568" s="2043"/>
      <c r="AM1568" s="2043"/>
      <c r="AN1568" s="2043"/>
      <c r="AO1568" s="2043"/>
      <c r="AP1568" s="2043"/>
      <c r="AQ1568" s="2043"/>
      <c r="AR1568" s="2043"/>
      <c r="AS1568" s="2043"/>
      <c r="AT1568" s="2043"/>
      <c r="AU1568" s="2043"/>
      <c r="AV1568" s="2043"/>
      <c r="AW1568" s="2043"/>
      <c r="AX1568" s="2043"/>
      <c r="AY1568" s="2043"/>
      <c r="AZ1568" s="2043"/>
      <c r="BA1568" s="2043"/>
      <c r="BB1568" s="2043"/>
      <c r="BC1568" s="2043"/>
      <c r="BD1568" s="2043"/>
      <c r="BE1568" s="2043"/>
      <c r="BF1568" s="2043"/>
      <c r="BG1568" s="2043"/>
      <c r="BH1568" s="2043"/>
      <c r="BI1568" s="2043"/>
      <c r="BJ1568" s="2043"/>
      <c r="BK1568" s="2043"/>
      <c r="BL1568" s="2043"/>
    </row>
    <row r="1569" spans="1:64" ht="15" customHeight="1">
      <c r="A1569" s="2043"/>
      <c r="B1569" s="2043"/>
      <c r="C1569" s="2046" t="s">
        <v>1569</v>
      </c>
      <c r="D1569" s="2043"/>
      <c r="E1569" s="2043"/>
      <c r="F1569" s="2043"/>
      <c r="G1569" s="2043"/>
      <c r="H1569" s="2043"/>
      <c r="I1569" s="2043"/>
      <c r="J1569" s="2044" t="s">
        <v>1570</v>
      </c>
      <c r="K1569" s="2043"/>
      <c r="L1569" s="2043"/>
      <c r="M1569" s="2043"/>
      <c r="N1569" s="1994"/>
      <c r="O1569" s="2045"/>
      <c r="P1569" s="2045"/>
      <c r="Q1569" s="2043"/>
      <c r="R1569" s="2043"/>
      <c r="S1569" s="2043"/>
      <c r="T1569" s="2043"/>
      <c r="U1569" s="2043"/>
      <c r="V1569" s="2043"/>
      <c r="W1569" s="2043"/>
      <c r="X1569" s="2043"/>
      <c r="Y1569" s="2043"/>
      <c r="Z1569" s="2043"/>
      <c r="AA1569" s="2109" t="s">
        <v>25</v>
      </c>
      <c r="AB1569" s="2110" t="s">
        <v>1934</v>
      </c>
      <c r="AC1569" s="1855"/>
      <c r="AD1569" s="2043"/>
      <c r="AE1569" s="2043"/>
      <c r="AF1569" s="2043"/>
      <c r="AG1569" s="2108" t="s">
        <v>1935</v>
      </c>
      <c r="AH1569" s="2108"/>
      <c r="AI1569" s="2108" t="s">
        <v>1713</v>
      </c>
      <c r="AJ1569" s="2108"/>
      <c r="AK1569" s="2108"/>
      <c r="AL1569" s="2108"/>
      <c r="AM1569" s="2108"/>
      <c r="AN1569" s="2051" t="s">
        <v>1936</v>
      </c>
      <c r="AO1569" s="2051"/>
      <c r="AP1569" s="2051"/>
      <c r="AQ1569" s="2051"/>
      <c r="AR1569" s="2043"/>
      <c r="AS1569" s="2111"/>
      <c r="AT1569" s="2110" t="s">
        <v>1934</v>
      </c>
      <c r="AU1569" s="2111"/>
      <c r="AV1569" s="2111"/>
      <c r="AW1569" s="2111"/>
      <c r="AX1569" s="2043"/>
      <c r="AY1569" s="2108" t="s">
        <v>1935</v>
      </c>
      <c r="AZ1569" s="2108"/>
      <c r="BA1569" s="2108" t="s">
        <v>1713</v>
      </c>
      <c r="BB1569" s="2108"/>
      <c r="BC1569" s="2108"/>
      <c r="BD1569" s="2108"/>
      <c r="BE1569" s="2108"/>
      <c r="BF1569" s="2108" t="s">
        <v>1935</v>
      </c>
      <c r="BG1569" s="2108"/>
      <c r="BH1569" s="2108" t="s">
        <v>1713</v>
      </c>
      <c r="BI1569" s="2108"/>
      <c r="BJ1569" s="2108"/>
      <c r="BK1569" s="2108"/>
      <c r="BL1569" s="2108"/>
    </row>
    <row r="1570" spans="1:64" ht="28.5">
      <c r="A1570" s="2043"/>
      <c r="B1570" s="2043"/>
      <c r="C1570" s="2046" t="s">
        <v>1572</v>
      </c>
      <c r="D1570" s="2043"/>
      <c r="E1570" s="2043"/>
      <c r="F1570" s="2043"/>
      <c r="G1570" s="2043"/>
      <c r="H1570" s="2043"/>
      <c r="I1570" s="2043"/>
      <c r="J1570" s="2044" t="s">
        <v>1937</v>
      </c>
      <c r="K1570" s="2043"/>
      <c r="L1570" s="2043"/>
      <c r="M1570" s="2043"/>
      <c r="N1570" s="1994"/>
      <c r="O1570" s="2045"/>
      <c r="P1570" s="2045"/>
      <c r="Q1570" s="2043"/>
      <c r="R1570" s="2043"/>
      <c r="S1570" s="2043"/>
      <c r="T1570" s="2043"/>
      <c r="U1570" s="2043"/>
      <c r="V1570" s="2043"/>
      <c r="W1570" s="2043"/>
      <c r="X1570" s="2043"/>
      <c r="Y1570" s="2043"/>
      <c r="Z1570" s="2043"/>
      <c r="AA1570" s="2043"/>
      <c r="AB1570" s="1855"/>
      <c r="AC1570" s="2043"/>
      <c r="AD1570" s="2043"/>
      <c r="AE1570" s="2043"/>
      <c r="AF1570" s="2043"/>
      <c r="AG1570" s="2580">
        <v>0.09</v>
      </c>
      <c r="AH1570" s="2580">
        <v>0.04</v>
      </c>
      <c r="AI1570" s="2580">
        <v>0.04</v>
      </c>
      <c r="AJ1570" s="2580" t="s">
        <v>1939</v>
      </c>
      <c r="AK1570" s="2580" t="s">
        <v>1940</v>
      </c>
      <c r="AL1570" s="2580" t="s">
        <v>1941</v>
      </c>
      <c r="AM1570" s="2580" t="s">
        <v>1942</v>
      </c>
      <c r="AN1570" s="2108">
        <f>'Part I-Project Identification'!F1164</f>
        <v>0</v>
      </c>
      <c r="AO1570" s="2108"/>
      <c r="AP1570" s="2108"/>
      <c r="AQ1570" s="2108"/>
      <c r="AR1570" s="2043"/>
      <c r="AS1570" s="2043"/>
      <c r="AT1570" s="1855"/>
      <c r="AU1570" s="2043"/>
      <c r="AV1570" s="2043"/>
      <c r="AW1570" s="2043"/>
      <c r="AX1570" s="2043"/>
      <c r="AY1570" s="2580">
        <v>0.09</v>
      </c>
      <c r="AZ1570" s="2580">
        <v>0.04</v>
      </c>
      <c r="BA1570" s="2580">
        <v>0.04</v>
      </c>
      <c r="BB1570" s="2580" t="s">
        <v>1943</v>
      </c>
      <c r="BC1570" s="2580" t="s">
        <v>1940</v>
      </c>
      <c r="BD1570" s="2580" t="s">
        <v>1941</v>
      </c>
      <c r="BE1570" s="2580" t="s">
        <v>1942</v>
      </c>
      <c r="BF1570" s="2580">
        <v>0.09</v>
      </c>
      <c r="BG1570" s="2580">
        <v>0.04</v>
      </c>
      <c r="BH1570" s="2580">
        <v>0.04</v>
      </c>
      <c r="BI1570" s="2580" t="s">
        <v>1943</v>
      </c>
      <c r="BJ1570" s="2580" t="s">
        <v>1940</v>
      </c>
      <c r="BK1570" s="2580" t="s">
        <v>1941</v>
      </c>
      <c r="BL1570" s="2580" t="s">
        <v>1942</v>
      </c>
    </row>
    <row r="1571" spans="1:64" ht="15">
      <c r="A1571" s="2043"/>
      <c r="B1571" s="2043"/>
      <c r="C1571" s="2046" t="s">
        <v>1575</v>
      </c>
      <c r="D1571" s="2043"/>
      <c r="E1571" s="2043"/>
      <c r="F1571" s="2043"/>
      <c r="G1571" s="2043"/>
      <c r="H1571" s="2043"/>
      <c r="I1571" s="2043"/>
      <c r="J1571" s="2044" t="s">
        <v>1585</v>
      </c>
      <c r="K1571" s="2043"/>
      <c r="L1571" s="2043"/>
      <c r="M1571" s="2043"/>
      <c r="N1571" s="1994"/>
      <c r="O1571" s="2045"/>
      <c r="P1571" s="2045"/>
      <c r="Q1571" s="2043"/>
      <c r="R1571" s="2043"/>
      <c r="S1571" s="2043"/>
      <c r="T1571" s="2043"/>
      <c r="U1571" s="2043"/>
      <c r="V1571" s="2043"/>
      <c r="W1571" s="2043"/>
      <c r="X1571" s="2043"/>
      <c r="Y1571" s="2043"/>
      <c r="Z1571" s="2043"/>
      <c r="AA1571" s="2112" t="s">
        <v>21</v>
      </c>
      <c r="AB1571" s="1855" t="s">
        <v>1944</v>
      </c>
      <c r="AC1571" s="2043"/>
      <c r="AD1571" s="2043"/>
      <c r="AE1571" s="2043"/>
      <c r="AF1571" s="2043"/>
      <c r="AG1571" s="2533">
        <v>0</v>
      </c>
      <c r="AH1571" s="2533">
        <v>0</v>
      </c>
      <c r="AI1571" s="2533">
        <v>0</v>
      </c>
      <c r="AJ1571" s="2533">
        <v>0</v>
      </c>
      <c r="AK1571" s="2533">
        <v>0</v>
      </c>
      <c r="AL1571" s="2533">
        <v>0</v>
      </c>
      <c r="AM1571" s="2533">
        <v>0</v>
      </c>
      <c r="AN1571" s="2043"/>
      <c r="AO1571" s="2043"/>
      <c r="AP1571" s="2043"/>
      <c r="AQ1571" s="2043"/>
      <c r="AR1571" s="2043"/>
      <c r="AS1571" s="2112" t="s">
        <v>21</v>
      </c>
      <c r="AT1571" s="1855" t="s">
        <v>1944</v>
      </c>
      <c r="AU1571" s="1855"/>
      <c r="AV1571" s="1855"/>
      <c r="AW1571" s="1855"/>
      <c r="AX1571" s="1855"/>
      <c r="AY1571" s="2581">
        <v>0</v>
      </c>
      <c r="AZ1571" s="2581">
        <v>0</v>
      </c>
      <c r="BA1571" s="2581">
        <v>0</v>
      </c>
      <c r="BB1571" s="2581">
        <v>0</v>
      </c>
      <c r="BC1571" s="2581">
        <v>0</v>
      </c>
      <c r="BD1571" s="2581">
        <v>0</v>
      </c>
      <c r="BE1571" s="2581">
        <v>0</v>
      </c>
      <c r="BF1571" s="2581">
        <f t="shared" ref="BF1571:BL1571" si="404">-$P$10</f>
        <v>0</v>
      </c>
      <c r="BG1571" s="2581">
        <f t="shared" si="404"/>
        <v>0</v>
      </c>
      <c r="BH1571" s="2581">
        <f t="shared" si="404"/>
        <v>0</v>
      </c>
      <c r="BI1571" s="2581">
        <f t="shared" si="404"/>
        <v>0</v>
      </c>
      <c r="BJ1571" s="2581">
        <f t="shared" si="404"/>
        <v>0</v>
      </c>
      <c r="BK1571" s="2581">
        <f t="shared" si="404"/>
        <v>0</v>
      </c>
      <c r="BL1571" s="2581">
        <f t="shared" si="404"/>
        <v>0</v>
      </c>
    </row>
    <row r="1572" spans="1:64" ht="15">
      <c r="A1572" s="2043"/>
      <c r="B1572" s="2043"/>
      <c r="C1572" s="2046" t="s">
        <v>1578</v>
      </c>
      <c r="D1572" s="2043"/>
      <c r="E1572" s="2043"/>
      <c r="F1572" s="2043"/>
      <c r="G1572" s="2043"/>
      <c r="H1572" s="2043"/>
      <c r="I1572" s="2043"/>
      <c r="J1572" s="2044" t="s">
        <v>1945</v>
      </c>
      <c r="K1572" s="2043"/>
      <c r="L1572" s="2043"/>
      <c r="M1572" s="2043"/>
      <c r="N1572" s="1994"/>
      <c r="O1572" s="2045"/>
      <c r="P1572" s="2045"/>
      <c r="Q1572" s="2043"/>
      <c r="R1572" s="2043"/>
      <c r="S1572" s="2043"/>
      <c r="T1572" s="2043"/>
      <c r="U1572" s="2043"/>
      <c r="V1572" s="2043"/>
      <c r="W1572" s="2043"/>
      <c r="X1572" s="2043"/>
      <c r="Y1572" s="2043"/>
      <c r="Z1572" s="2043"/>
      <c r="AA1572" s="2112" t="s">
        <v>31</v>
      </c>
      <c r="AB1572" s="1855" t="s">
        <v>1946</v>
      </c>
      <c r="AC1572" s="2043"/>
      <c r="AD1572" s="2043"/>
      <c r="AE1572" s="2043"/>
      <c r="AF1572" s="2043"/>
      <c r="AG1572" s="2533">
        <v>10</v>
      </c>
      <c r="AH1572" s="2533">
        <v>10</v>
      </c>
      <c r="AI1572" s="2533">
        <v>10</v>
      </c>
      <c r="AJ1572" s="2533">
        <v>10</v>
      </c>
      <c r="AK1572" s="2533">
        <v>10</v>
      </c>
      <c r="AL1572" s="2533">
        <v>10</v>
      </c>
      <c r="AM1572" s="2533">
        <v>10</v>
      </c>
      <c r="AN1572" s="2043"/>
      <c r="AO1572" s="2043"/>
      <c r="AP1572" s="2043"/>
      <c r="AQ1572" s="2043"/>
      <c r="AR1572" s="2043"/>
      <c r="AS1572" s="2112" t="s">
        <v>31</v>
      </c>
      <c r="AT1572" s="1855" t="s">
        <v>1946</v>
      </c>
      <c r="AU1572" s="2043"/>
      <c r="AV1572" s="2043"/>
      <c r="AW1572" s="2043"/>
      <c r="AX1572" s="2043"/>
      <c r="AY1572" s="2581">
        <f>O1191</f>
        <v>10</v>
      </c>
      <c r="AZ1572" s="2581">
        <f>O1191</f>
        <v>10</v>
      </c>
      <c r="BA1572" s="2581">
        <f>O1191</f>
        <v>10</v>
      </c>
      <c r="BB1572" s="2581">
        <f>O1191</f>
        <v>10</v>
      </c>
      <c r="BC1572" s="2581">
        <f>O1191</f>
        <v>10</v>
      </c>
      <c r="BD1572" s="2581">
        <f>O1191</f>
        <v>10</v>
      </c>
      <c r="BE1572" s="2581">
        <f>O1191</f>
        <v>10</v>
      </c>
      <c r="BF1572" s="2581">
        <f>P1191</f>
        <v>10</v>
      </c>
      <c r="BG1572" s="2581">
        <f>P1191</f>
        <v>10</v>
      </c>
      <c r="BH1572" s="2581">
        <f>P1191</f>
        <v>10</v>
      </c>
      <c r="BI1572" s="2581">
        <f>P1191</f>
        <v>10</v>
      </c>
      <c r="BJ1572" s="2581">
        <f>P1191</f>
        <v>10</v>
      </c>
      <c r="BK1572" s="2581">
        <f>P1191</f>
        <v>10</v>
      </c>
      <c r="BL1572" s="2581">
        <f>P1191</f>
        <v>10</v>
      </c>
    </row>
    <row r="1573" spans="1:64" ht="15">
      <c r="A1573" s="2043"/>
      <c r="B1573" s="2043"/>
      <c r="C1573" s="2046" t="s">
        <v>1581</v>
      </c>
      <c r="D1573" s="2043"/>
      <c r="E1573" s="2043"/>
      <c r="F1573" s="2043"/>
      <c r="G1573" s="2043"/>
      <c r="H1573" s="2043"/>
      <c r="I1573" s="2043"/>
      <c r="J1573" s="2044" t="s">
        <v>1947</v>
      </c>
      <c r="K1573" s="2043"/>
      <c r="L1573" s="2043"/>
      <c r="M1573" s="2043"/>
      <c r="N1573" s="1994"/>
      <c r="O1573" s="2045"/>
      <c r="P1573" s="2045"/>
      <c r="Q1573" s="2043"/>
      <c r="R1573" s="2043"/>
      <c r="S1573" s="2043"/>
      <c r="T1573" s="2043"/>
      <c r="U1573" s="2043"/>
      <c r="V1573" s="2043"/>
      <c r="W1573" s="2043"/>
      <c r="X1573" s="2043"/>
      <c r="Y1573" s="2043"/>
      <c r="Z1573" s="2043"/>
      <c r="AA1573" s="2112" t="s">
        <v>50</v>
      </c>
      <c r="AB1573" s="1855" t="s">
        <v>1948</v>
      </c>
      <c r="AC1573" s="2043"/>
      <c r="AD1573" s="2043"/>
      <c r="AE1573" s="2043"/>
      <c r="AF1573" s="2043"/>
      <c r="AG1573" s="2533">
        <v>3</v>
      </c>
      <c r="AH1573" s="2533">
        <v>3</v>
      </c>
      <c r="AI1573" s="2533"/>
      <c r="AJ1573" s="2533"/>
      <c r="AK1573" s="2533"/>
      <c r="AL1573" s="2533"/>
      <c r="AM1573" s="2533"/>
      <c r="AN1573" s="1854" t="s">
        <v>1949</v>
      </c>
      <c r="AO1573" s="2043"/>
      <c r="AP1573" s="2043"/>
      <c r="AQ1573" s="2113" t="str">
        <f>IF(OR($AN$405="9% Credit Competitive Round only", $AN$405="9% Credit &amp; HOME"),"9%",IF(OR($AN$405="4% Credit/TE Bond", $AN$405="4% Credit/TE Bond &amp; HOME", $AN$405="4% Credit/TE Bond &amp; HOME NOFA", $AN$405="4% Credit &amp; NHTF", $AN$405="4% Credit &amp; NHTF &amp; HOME"),"4%",""))</f>
        <v/>
      </c>
      <c r="AR1573" s="2043"/>
      <c r="AS1573" s="2112" t="s">
        <v>50</v>
      </c>
      <c r="AT1573" s="1855" t="s">
        <v>1948</v>
      </c>
      <c r="AU1573" s="2043"/>
      <c r="AV1573" s="2043"/>
      <c r="AW1573" s="2043"/>
      <c r="AX1573" s="2043"/>
      <c r="AY1573" s="2581">
        <f>O1217</f>
        <v>0</v>
      </c>
      <c r="AZ1573" s="2581">
        <f>O1217</f>
        <v>0</v>
      </c>
      <c r="BA1573" s="2581"/>
      <c r="BB1573" s="2581"/>
      <c r="BC1573" s="2533"/>
      <c r="BD1573" s="2581"/>
      <c r="BE1573" s="2581"/>
      <c r="BF1573" s="2581">
        <f>P1217</f>
        <v>0</v>
      </c>
      <c r="BG1573" s="2581">
        <f>P1217</f>
        <v>0</v>
      </c>
      <c r="BH1573" s="2581"/>
      <c r="BI1573" s="2581"/>
      <c r="BJ1573" s="2533"/>
      <c r="BK1573" s="2581"/>
      <c r="BL1573" s="2581"/>
    </row>
    <row r="1574" spans="1:64" ht="15">
      <c r="A1574" s="2043"/>
      <c r="B1574" s="2043"/>
      <c r="C1574" s="2046" t="s">
        <v>1584</v>
      </c>
      <c r="D1574" s="2043"/>
      <c r="E1574" s="2043"/>
      <c r="F1574" s="2043"/>
      <c r="G1574" s="2043"/>
      <c r="H1574" s="2043"/>
      <c r="I1574" s="2043"/>
      <c r="J1574" s="2043"/>
      <c r="K1574" s="2043"/>
      <c r="L1574" s="2043"/>
      <c r="M1574" s="2043"/>
      <c r="N1574" s="1994"/>
      <c r="O1574" s="2045"/>
      <c r="P1574" s="2045"/>
      <c r="Q1574" s="2043"/>
      <c r="R1574" s="2043"/>
      <c r="S1574" s="2043"/>
      <c r="T1574" s="2043"/>
      <c r="U1574" s="2043"/>
      <c r="V1574" s="2043"/>
      <c r="W1574" s="2043"/>
      <c r="X1574" s="2043"/>
      <c r="Y1574" s="2043"/>
      <c r="Z1574" s="2043"/>
      <c r="AA1574" s="2112" t="s">
        <v>66</v>
      </c>
      <c r="AB1574" s="1855" t="s">
        <v>1678</v>
      </c>
      <c r="AC1574" s="2043"/>
      <c r="AD1574" s="2043"/>
      <c r="AE1574" s="2043"/>
      <c r="AF1574" s="2043"/>
      <c r="AG1574" s="2533">
        <v>20</v>
      </c>
      <c r="AH1574" s="2533">
        <v>12</v>
      </c>
      <c r="AI1574" s="2533"/>
      <c r="AJ1574" s="2533"/>
      <c r="AK1574" s="2533"/>
      <c r="AL1574" s="2533"/>
      <c r="AM1574" s="2533"/>
      <c r="AN1574" s="2043"/>
      <c r="AO1574" s="2043"/>
      <c r="AP1574" s="2043"/>
      <c r="AQ1574" s="2043"/>
      <c r="AR1574" s="2043"/>
      <c r="AS1574" s="2112" t="s">
        <v>66</v>
      </c>
      <c r="AT1574" s="1855" t="s">
        <v>1678</v>
      </c>
      <c r="AU1574" s="2043"/>
      <c r="AV1574" s="2043"/>
      <c r="AW1574" s="2043"/>
      <c r="AX1574" s="2043"/>
      <c r="AY1574" s="2582">
        <f>O1228</f>
        <v>0</v>
      </c>
      <c r="AZ1574" s="2582">
        <f>O1228</f>
        <v>0</v>
      </c>
      <c r="BA1574" s="2533"/>
      <c r="BB1574" s="2533"/>
      <c r="BC1574" s="2533"/>
      <c r="BD1574" s="2533"/>
      <c r="BE1574" s="2533"/>
      <c r="BF1574" s="2582">
        <f>P1228</f>
        <v>0</v>
      </c>
      <c r="BG1574" s="2582">
        <f>P1228</f>
        <v>0</v>
      </c>
      <c r="BH1574" s="2533"/>
      <c r="BI1574" s="2533"/>
      <c r="BJ1574" s="2533"/>
      <c r="BK1574" s="2533"/>
      <c r="BL1574" s="2533"/>
    </row>
    <row r="1575" spans="1:64" ht="15">
      <c r="A1575" s="2043"/>
      <c r="B1575" s="2043"/>
      <c r="C1575" s="2046" t="s">
        <v>1586</v>
      </c>
      <c r="D1575" s="2043"/>
      <c r="E1575" s="2043"/>
      <c r="F1575" s="2043"/>
      <c r="G1575" s="2043"/>
      <c r="H1575" s="2043"/>
      <c r="I1575" s="2043"/>
      <c r="J1575" s="2047" t="s">
        <v>1950</v>
      </c>
      <c r="K1575" s="2043"/>
      <c r="L1575" s="2043"/>
      <c r="M1575" s="2043"/>
      <c r="N1575" s="1994"/>
      <c r="O1575" s="2047" t="s">
        <v>1951</v>
      </c>
      <c r="P1575" s="2045"/>
      <c r="Q1575" s="2043"/>
      <c r="R1575" s="2043"/>
      <c r="S1575" s="2043"/>
      <c r="T1575" s="2043"/>
      <c r="U1575" s="2043"/>
      <c r="V1575" s="2043"/>
      <c r="W1575" s="2043"/>
      <c r="X1575" s="2043"/>
      <c r="Y1575" s="2043"/>
      <c r="Z1575" s="2043"/>
      <c r="AA1575" s="2112" t="s">
        <v>75</v>
      </c>
      <c r="AB1575" s="1855" t="s">
        <v>1679</v>
      </c>
      <c r="AC1575" s="2043"/>
      <c r="AD1575" s="2043"/>
      <c r="AE1575" s="2043"/>
      <c r="AF1575" s="2043"/>
      <c r="AG1575" s="2533">
        <v>6</v>
      </c>
      <c r="AH1575" s="2533">
        <v>4</v>
      </c>
      <c r="AI1575" s="2533"/>
      <c r="AJ1575" s="2533"/>
      <c r="AK1575" s="2533"/>
      <c r="AL1575" s="2533"/>
      <c r="AM1575" s="2533"/>
      <c r="AN1575" s="2043"/>
      <c r="AO1575" s="2043"/>
      <c r="AP1575" s="2043"/>
      <c r="AQ1575" s="2043"/>
      <c r="AR1575" s="2043"/>
      <c r="AS1575" s="2112" t="s">
        <v>75</v>
      </c>
      <c r="AT1575" s="1855" t="s">
        <v>1679</v>
      </c>
      <c r="AU1575" s="2043"/>
      <c r="AV1575" s="2043"/>
      <c r="AW1575" s="2043"/>
      <c r="AX1575" s="2043"/>
      <c r="AY1575" s="2582">
        <f>O1237</f>
        <v>0</v>
      </c>
      <c r="AZ1575" s="2582">
        <f>O1237</f>
        <v>0</v>
      </c>
      <c r="BA1575" s="2533"/>
      <c r="BB1575" s="2533"/>
      <c r="BC1575" s="2533"/>
      <c r="BD1575" s="2533"/>
      <c r="BE1575" s="2533"/>
      <c r="BF1575" s="2582">
        <f>P1237</f>
        <v>0</v>
      </c>
      <c r="BG1575" s="2582">
        <f>P1237</f>
        <v>0</v>
      </c>
      <c r="BH1575" s="2533"/>
      <c r="BI1575" s="2533"/>
      <c r="BJ1575" s="2533"/>
      <c r="BK1575" s="2533"/>
      <c r="BL1575" s="2533"/>
    </row>
    <row r="1576" spans="1:64" ht="15">
      <c r="A1576" s="2043"/>
      <c r="B1576" s="2043"/>
      <c r="C1576" s="2046" t="s">
        <v>1588</v>
      </c>
      <c r="D1576" s="2043"/>
      <c r="E1576" s="2043"/>
      <c r="F1576" s="2043"/>
      <c r="G1576" s="2043"/>
      <c r="H1576" s="2043"/>
      <c r="I1576" s="2043"/>
      <c r="J1576" s="2044" t="s">
        <v>1952</v>
      </c>
      <c r="K1576" s="2043"/>
      <c r="L1576" s="2043"/>
      <c r="M1576" s="2043"/>
      <c r="N1576" s="1994"/>
      <c r="O1576" s="2045"/>
      <c r="P1576" s="2045"/>
      <c r="Q1576" s="2043"/>
      <c r="R1576" s="2043"/>
      <c r="S1576" s="2043"/>
      <c r="T1576" s="2043"/>
      <c r="U1576" s="2043"/>
      <c r="V1576" s="2043"/>
      <c r="W1576" s="2043"/>
      <c r="X1576" s="2043"/>
      <c r="Y1576" s="2043"/>
      <c r="Z1576" s="2043"/>
      <c r="AA1576" s="2112" t="s">
        <v>77</v>
      </c>
      <c r="AB1576" s="1855" t="s">
        <v>1680</v>
      </c>
      <c r="AC1576" s="2043"/>
      <c r="AD1576" s="2043"/>
      <c r="AE1576" s="2043"/>
      <c r="AF1576" s="2043"/>
      <c r="AG1576" s="2533">
        <v>3</v>
      </c>
      <c r="AH1576" s="2533">
        <v>2</v>
      </c>
      <c r="AI1576" s="2533"/>
      <c r="AJ1576" s="2533"/>
      <c r="AK1576" s="2533"/>
      <c r="AL1576" s="2533"/>
      <c r="AM1576" s="2533"/>
      <c r="AN1576" s="1854" t="s">
        <v>1953</v>
      </c>
      <c r="AO1576" s="1854"/>
      <c r="AP1576" s="1854"/>
      <c r="AQ1576" s="1854"/>
      <c r="AR1576" s="2043"/>
      <c r="AS1576" s="2112" t="s">
        <v>77</v>
      </c>
      <c r="AT1576" s="1855" t="s">
        <v>1680</v>
      </c>
      <c r="AU1576" s="2043"/>
      <c r="AV1576" s="2043"/>
      <c r="AW1576" s="2043"/>
      <c r="AX1576" s="2043"/>
      <c r="AY1576" s="2533">
        <f>O1257</f>
        <v>0</v>
      </c>
      <c r="AZ1576" s="2533">
        <f>O1257</f>
        <v>0</v>
      </c>
      <c r="BA1576" s="2533"/>
      <c r="BB1576" s="2533"/>
      <c r="BC1576" s="2533"/>
      <c r="BD1576" s="2533"/>
      <c r="BE1576" s="2533"/>
      <c r="BF1576" s="2533">
        <f>P1257</f>
        <v>0</v>
      </c>
      <c r="BG1576" s="2533">
        <f>P1257</f>
        <v>0</v>
      </c>
      <c r="BH1576" s="2533"/>
      <c r="BI1576" s="2533"/>
      <c r="BJ1576" s="2533"/>
      <c r="BK1576" s="2533"/>
      <c r="BL1576" s="2533"/>
    </row>
    <row r="1577" spans="1:64" ht="15">
      <c r="A1577" s="2043"/>
      <c r="B1577" s="2043"/>
      <c r="C1577" s="2046" t="s">
        <v>1590</v>
      </c>
      <c r="D1577" s="2043"/>
      <c r="E1577" s="2043"/>
      <c r="F1577" s="2043"/>
      <c r="G1577" s="2043"/>
      <c r="H1577" s="2043"/>
      <c r="I1577" s="2043"/>
      <c r="J1577" s="2043" t="s">
        <v>1954</v>
      </c>
      <c r="K1577" s="2043"/>
      <c r="L1577" s="2043"/>
      <c r="M1577" s="2043"/>
      <c r="N1577" s="1994"/>
      <c r="O1577" s="2045">
        <v>2</v>
      </c>
      <c r="P1577" s="2045"/>
      <c r="Q1577" s="2043"/>
      <c r="R1577" s="2043"/>
      <c r="S1577" s="2043"/>
      <c r="T1577" s="2043"/>
      <c r="U1577" s="2043"/>
      <c r="V1577" s="2043"/>
      <c r="W1577" s="2043"/>
      <c r="X1577" s="2043"/>
      <c r="Y1577" s="2043"/>
      <c r="Z1577" s="2043"/>
      <c r="AA1577" s="2112" t="s">
        <v>1427</v>
      </c>
      <c r="AB1577" s="1855" t="s">
        <v>1681</v>
      </c>
      <c r="AC1577" s="2043"/>
      <c r="AD1577" s="2043"/>
      <c r="AE1577" s="2043"/>
      <c r="AF1577" s="2043"/>
      <c r="AG1577" s="2533">
        <v>7</v>
      </c>
      <c r="AH1577" s="2533">
        <v>5</v>
      </c>
      <c r="AI1577" s="2533"/>
      <c r="AJ1577" s="2533"/>
      <c r="AK1577" s="2533"/>
      <c r="AL1577" s="2533"/>
      <c r="AM1577" s="2533"/>
      <c r="AN1577" s="1854"/>
      <c r="AO1577" s="1854"/>
      <c r="AP1577" s="1854"/>
      <c r="AQ1577" s="1854"/>
      <c r="AR1577" s="2043"/>
      <c r="AS1577" s="2112" t="s">
        <v>1427</v>
      </c>
      <c r="AT1577" s="1855" t="s">
        <v>1681</v>
      </c>
      <c r="AU1577" s="2043"/>
      <c r="AV1577" s="2043"/>
      <c r="AW1577" s="2043"/>
      <c r="AX1577" s="2043"/>
      <c r="AY1577" s="2581">
        <f>O1273</f>
        <v>0</v>
      </c>
      <c r="AZ1577" s="2581">
        <f>O1273</f>
        <v>0</v>
      </c>
      <c r="BA1577" s="2533"/>
      <c r="BB1577" s="2533"/>
      <c r="BC1577" s="2533"/>
      <c r="BD1577" s="2533"/>
      <c r="BE1577" s="2533"/>
      <c r="BF1577" s="2581">
        <f>P1273</f>
        <v>0</v>
      </c>
      <c r="BG1577" s="2581">
        <f>P1273</f>
        <v>0</v>
      </c>
      <c r="BH1577" s="2533"/>
      <c r="BI1577" s="2533"/>
      <c r="BJ1577" s="2533"/>
      <c r="BK1577" s="2533"/>
      <c r="BL1577" s="2533"/>
    </row>
    <row r="1578" spans="1:64" ht="15">
      <c r="A1578" s="2043"/>
      <c r="B1578" s="2043"/>
      <c r="C1578" s="2043"/>
      <c r="D1578" s="2043"/>
      <c r="E1578" s="2043"/>
      <c r="F1578" s="2043"/>
      <c r="G1578" s="2043"/>
      <c r="H1578" s="2043"/>
      <c r="I1578" s="2043"/>
      <c r="J1578" s="2043" t="s">
        <v>1955</v>
      </c>
      <c r="K1578" s="2043"/>
      <c r="L1578" s="2043"/>
      <c r="M1578" s="2043"/>
      <c r="N1578" s="1994"/>
      <c r="O1578" s="2045">
        <v>2</v>
      </c>
      <c r="P1578" s="2045"/>
      <c r="Q1578" s="2043"/>
      <c r="R1578" s="2043"/>
      <c r="S1578" s="2043"/>
      <c r="T1578" s="2043"/>
      <c r="U1578" s="2043"/>
      <c r="V1578" s="2043"/>
      <c r="W1578" s="2043"/>
      <c r="X1578" s="2043"/>
      <c r="Y1578" s="2043"/>
      <c r="Z1578" s="2043"/>
      <c r="AA1578" s="2112" t="s">
        <v>1432</v>
      </c>
      <c r="AB1578" s="1855" t="s">
        <v>1682</v>
      </c>
      <c r="AC1578" s="2043"/>
      <c r="AD1578" s="2043"/>
      <c r="AE1578" s="2043"/>
      <c r="AF1578" s="2043"/>
      <c r="AG1578" s="2533">
        <v>3</v>
      </c>
      <c r="AH1578" s="2533"/>
      <c r="AI1578" s="2533"/>
      <c r="AJ1578" s="2533"/>
      <c r="AK1578" s="2533"/>
      <c r="AL1578" s="2533"/>
      <c r="AM1578" s="2533"/>
      <c r="AN1578" s="1855" t="s">
        <v>1956</v>
      </c>
      <c r="AO1578" s="1855"/>
      <c r="AP1578" s="1855"/>
      <c r="AQ1578" s="1964"/>
      <c r="AR1578" s="2043"/>
      <c r="AS1578" s="2112" t="s">
        <v>1432</v>
      </c>
      <c r="AT1578" s="1855" t="s">
        <v>1682</v>
      </c>
      <c r="AU1578" s="2043"/>
      <c r="AV1578" s="2043"/>
      <c r="AW1578" s="2043"/>
      <c r="AX1578" s="2043"/>
      <c r="AY1578" s="2533"/>
      <c r="AZ1578" s="2533"/>
      <c r="BA1578" s="2533"/>
      <c r="BB1578" s="2533"/>
      <c r="BC1578" s="2533"/>
      <c r="BD1578" s="2533"/>
      <c r="BE1578" s="2533"/>
      <c r="BF1578" s="2581">
        <f>P1293</f>
        <v>0</v>
      </c>
      <c r="BG1578" s="2533"/>
      <c r="BH1578" s="2533"/>
      <c r="BI1578" s="2533"/>
      <c r="BJ1578" s="2533"/>
      <c r="BK1578" s="2533"/>
      <c r="BL1578" s="2533"/>
    </row>
    <row r="1579" spans="1:64" ht="15">
      <c r="A1579" s="2043"/>
      <c r="B1579" s="2043"/>
      <c r="C1579" s="2043"/>
      <c r="D1579" s="2043"/>
      <c r="E1579" s="2043"/>
      <c r="F1579" s="2043"/>
      <c r="G1579" s="2043" t="s">
        <v>1957</v>
      </c>
      <c r="H1579" s="2043"/>
      <c r="I1579" s="2043"/>
      <c r="J1579" s="2043" t="s">
        <v>1958</v>
      </c>
      <c r="K1579" s="2043"/>
      <c r="L1579" s="2043"/>
      <c r="M1579" s="2043"/>
      <c r="N1579" s="1994"/>
      <c r="O1579" s="2045">
        <v>2</v>
      </c>
      <c r="P1579" s="2045"/>
      <c r="Q1579" s="2043"/>
      <c r="R1579" s="2043"/>
      <c r="S1579" s="2043"/>
      <c r="T1579" s="2043"/>
      <c r="U1579" s="2043"/>
      <c r="V1579" s="2043"/>
      <c r="W1579" s="2043"/>
      <c r="X1579" s="2043"/>
      <c r="Y1579" s="2043"/>
      <c r="Z1579" s="2043"/>
      <c r="AA1579" s="2112" t="s">
        <v>1434</v>
      </c>
      <c r="AB1579" s="1855" t="s">
        <v>1684</v>
      </c>
      <c r="AC1579" s="2043"/>
      <c r="AD1579" s="2043"/>
      <c r="AE1579" s="2043"/>
      <c r="AF1579" s="2043"/>
      <c r="AG1579" s="2533">
        <v>10</v>
      </c>
      <c r="AH1579" s="2533">
        <v>5</v>
      </c>
      <c r="AI1579" s="2533"/>
      <c r="AJ1579" s="2533"/>
      <c r="AK1579" s="2533"/>
      <c r="AL1579" s="2533"/>
      <c r="AM1579" s="2533"/>
      <c r="AN1579" s="1855" t="s">
        <v>1959</v>
      </c>
      <c r="AO1579" s="1855"/>
      <c r="AP1579" s="1855"/>
      <c r="AQ1579" s="1964"/>
      <c r="AR1579" s="2043"/>
      <c r="AS1579" s="2112" t="s">
        <v>1434</v>
      </c>
      <c r="AT1579" s="1855" t="s">
        <v>1684</v>
      </c>
      <c r="AU1579" s="2043"/>
      <c r="AV1579" s="2043"/>
      <c r="AW1579" s="2043"/>
      <c r="AX1579" s="2043"/>
      <c r="AY1579" s="2581">
        <f>O1303</f>
        <v>0</v>
      </c>
      <c r="AZ1579" s="2581">
        <f>O1303</f>
        <v>0</v>
      </c>
      <c r="BA1579" s="2533"/>
      <c r="BB1579" s="2533"/>
      <c r="BC1579" s="2533"/>
      <c r="BD1579" s="2533"/>
      <c r="BE1579" s="2533"/>
      <c r="BF1579" s="2581">
        <f>P1303</f>
        <v>0</v>
      </c>
      <c r="BG1579" s="2581">
        <f>P1303</f>
        <v>0</v>
      </c>
      <c r="BH1579" s="2533"/>
      <c r="BI1579" s="2533"/>
      <c r="BJ1579" s="2533"/>
      <c r="BK1579" s="2533"/>
      <c r="BL1579" s="2533"/>
    </row>
    <row r="1580" spans="1:64" ht="15">
      <c r="A1580" s="2043"/>
      <c r="B1580" s="2043"/>
      <c r="C1580" s="2043"/>
      <c r="D1580" s="2043"/>
      <c r="E1580" s="2043"/>
      <c r="F1580" s="2043"/>
      <c r="G1580" s="2048" t="s">
        <v>1960</v>
      </c>
      <c r="H1580" s="2043" t="s">
        <v>1961</v>
      </c>
      <c r="I1580" s="2048" t="s">
        <v>1962</v>
      </c>
      <c r="J1580" s="2043" t="s">
        <v>1963</v>
      </c>
      <c r="K1580" s="2043"/>
      <c r="L1580" s="2048"/>
      <c r="M1580" s="2043"/>
      <c r="N1580" s="1994"/>
      <c r="O1580" s="2045">
        <v>2</v>
      </c>
      <c r="P1580" s="2045"/>
      <c r="Q1580" s="2043"/>
      <c r="R1580" s="2043"/>
      <c r="S1580" s="2043"/>
      <c r="T1580" s="2043"/>
      <c r="U1580" s="2043"/>
      <c r="V1580" s="2043"/>
      <c r="W1580" s="2043"/>
      <c r="X1580" s="2043"/>
      <c r="Y1580" s="2043"/>
      <c r="Z1580" s="2043"/>
      <c r="AA1580" s="2112" t="s">
        <v>1436</v>
      </c>
      <c r="AB1580" s="1855" t="s">
        <v>1964</v>
      </c>
      <c r="AC1580" s="2043"/>
      <c r="AD1580" s="2043"/>
      <c r="AE1580" s="2043"/>
      <c r="AF1580" s="2043"/>
      <c r="AG1580" s="2533">
        <v>1</v>
      </c>
      <c r="AH1580" s="2533"/>
      <c r="AI1580" s="2533"/>
      <c r="AJ1580" s="2533"/>
      <c r="AK1580" s="2533"/>
      <c r="AL1580" s="2533"/>
      <c r="AM1580" s="2533"/>
      <c r="AN1580" s="1855" t="s">
        <v>1965</v>
      </c>
      <c r="AO1580" s="1855"/>
      <c r="AP1580" s="1855"/>
      <c r="AQ1580" s="1964"/>
      <c r="AR1580" s="2043"/>
      <c r="AS1580" s="2112" t="s">
        <v>1436</v>
      </c>
      <c r="AT1580" s="1855" t="s">
        <v>1964</v>
      </c>
      <c r="AU1580" s="2043"/>
      <c r="AV1580" s="2043"/>
      <c r="AW1580" s="2043"/>
      <c r="AX1580" s="2043"/>
      <c r="AY1580" s="2581">
        <f>O1322</f>
        <v>0</v>
      </c>
      <c r="AZ1580" s="2533"/>
      <c r="BA1580" s="2533"/>
      <c r="BB1580" s="2533"/>
      <c r="BC1580" s="2533"/>
      <c r="BD1580" s="2533"/>
      <c r="BE1580" s="2533"/>
      <c r="BF1580" s="2581">
        <f>P1322</f>
        <v>0</v>
      </c>
      <c r="BG1580" s="2533"/>
      <c r="BH1580" s="2533"/>
      <c r="BI1580" s="2533"/>
      <c r="BJ1580" s="2533"/>
      <c r="BK1580" s="2533"/>
      <c r="BL1580" s="2533"/>
    </row>
    <row r="1581" spans="1:64" ht="15">
      <c r="A1581" s="2043"/>
      <c r="B1581" s="2043"/>
      <c r="C1581" s="2049"/>
      <c r="D1581" s="2043"/>
      <c r="E1581" s="2043"/>
      <c r="F1581" s="2043"/>
      <c r="G1581" s="2050" t="s">
        <v>1966</v>
      </c>
      <c r="H1581" s="2043"/>
      <c r="I1581" s="2050"/>
      <c r="J1581" s="2043" t="s">
        <v>1967</v>
      </c>
      <c r="K1581" s="2043"/>
      <c r="L1581" s="2050"/>
      <c r="M1581" s="2043"/>
      <c r="N1581" s="1994"/>
      <c r="O1581" s="2045">
        <v>2</v>
      </c>
      <c r="P1581" s="2045"/>
      <c r="Q1581" s="2043"/>
      <c r="R1581" s="2043"/>
      <c r="S1581" s="2043"/>
      <c r="T1581" s="2043"/>
      <c r="U1581" s="2043"/>
      <c r="V1581" s="2043"/>
      <c r="W1581" s="2043"/>
      <c r="X1581" s="2043"/>
      <c r="Y1581" s="2043"/>
      <c r="Z1581" s="2043"/>
      <c r="AA1581" s="2112" t="s">
        <v>1443</v>
      </c>
      <c r="AB1581" s="1855" t="s">
        <v>1686</v>
      </c>
      <c r="AC1581" s="2043"/>
      <c r="AD1581" s="2043"/>
      <c r="AE1581" s="2043"/>
      <c r="AF1581" s="2043"/>
      <c r="AG1581" s="2533">
        <v>10</v>
      </c>
      <c r="AH1581" s="2533">
        <v>5</v>
      </c>
      <c r="AI1581" s="2533"/>
      <c r="AJ1581" s="2533"/>
      <c r="AK1581" s="2533"/>
      <c r="AL1581" s="2533"/>
      <c r="AM1581" s="2533"/>
      <c r="AN1581" s="1855" t="s">
        <v>1968</v>
      </c>
      <c r="AO1581" s="1855"/>
      <c r="AP1581" s="1855" t="s">
        <v>1969</v>
      </c>
      <c r="AQ1581" s="1964" t="str">
        <f>'Part VIII Scoring Criteria'!AQ430</f>
        <v/>
      </c>
      <c r="AR1581" s="2043"/>
      <c r="AS1581" s="2112" t="s">
        <v>1443</v>
      </c>
      <c r="AT1581" s="1855" t="s">
        <v>1686</v>
      </c>
      <c r="AU1581" s="2043"/>
      <c r="AV1581" s="2043"/>
      <c r="AW1581" s="2043"/>
      <c r="AX1581" s="2043"/>
      <c r="AY1581" s="2581">
        <f>O1330</f>
        <v>0</v>
      </c>
      <c r="AZ1581" s="2581">
        <f>O1330</f>
        <v>0</v>
      </c>
      <c r="BA1581" s="2533"/>
      <c r="BB1581" s="2533"/>
      <c r="BC1581" s="2533"/>
      <c r="BD1581" s="2533"/>
      <c r="BE1581" s="2533"/>
      <c r="BF1581" s="2581">
        <f>P1330</f>
        <v>0</v>
      </c>
      <c r="BG1581" s="2581">
        <f>P1330</f>
        <v>0</v>
      </c>
      <c r="BH1581" s="2533"/>
      <c r="BI1581" s="2533"/>
      <c r="BJ1581" s="2533"/>
      <c r="BK1581" s="2533"/>
      <c r="BL1581" s="2533"/>
    </row>
    <row r="1582" spans="1:64" ht="15">
      <c r="A1582" s="2043"/>
      <c r="B1582" s="2043"/>
      <c r="C1582" s="2049"/>
      <c r="D1582" s="2043"/>
      <c r="E1582" s="2043"/>
      <c r="F1582" s="2043"/>
      <c r="G1582" s="2050" t="s">
        <v>1970</v>
      </c>
      <c r="H1582" s="1994" t="s">
        <v>1971</v>
      </c>
      <c r="I1582" s="2048" t="s">
        <v>1082</v>
      </c>
      <c r="J1582" s="2043" t="s">
        <v>1972</v>
      </c>
      <c r="K1582" s="2043"/>
      <c r="L1582" s="2049"/>
      <c r="M1582" s="2043"/>
      <c r="N1582" s="1994"/>
      <c r="O1582" s="2045">
        <v>1</v>
      </c>
      <c r="P1582" s="2045"/>
      <c r="Q1582" s="2043"/>
      <c r="R1582" s="2043"/>
      <c r="S1582" s="2043"/>
      <c r="T1582" s="2043"/>
      <c r="U1582" s="2043"/>
      <c r="V1582" s="2043"/>
      <c r="W1582" s="2043"/>
      <c r="X1582" s="2043"/>
      <c r="Y1582" s="2043"/>
      <c r="Z1582" s="2043"/>
      <c r="AA1582" s="2112" t="s">
        <v>1449</v>
      </c>
      <c r="AB1582" s="1855" t="s">
        <v>1973</v>
      </c>
      <c r="AC1582" s="2043"/>
      <c r="AD1582" s="2043"/>
      <c r="AE1582" s="2043"/>
      <c r="AF1582" s="2043"/>
      <c r="AG1582" s="2533">
        <v>3</v>
      </c>
      <c r="AH1582" s="2533"/>
      <c r="AI1582" s="2533"/>
      <c r="AJ1582" s="2533"/>
      <c r="AK1582" s="2533"/>
      <c r="AL1582" s="2533"/>
      <c r="AM1582" s="2533"/>
      <c r="AO1582" s="1855"/>
      <c r="AP1582" s="2046" t="s">
        <v>1974</v>
      </c>
      <c r="AQ1582" s="1964" t="str">
        <f>'Part VIII Scoring Criteria'!AQ431</f>
        <v/>
      </c>
      <c r="AR1582" s="2043"/>
      <c r="AS1582" s="2112" t="s">
        <v>1449</v>
      </c>
      <c r="AT1582" s="1855" t="s">
        <v>1973</v>
      </c>
      <c r="AU1582" s="2043"/>
      <c r="AV1582" s="2043"/>
      <c r="AW1582" s="2043"/>
      <c r="AX1582" s="2043"/>
      <c r="AY1582" s="2581">
        <f>O1340</f>
        <v>0</v>
      </c>
      <c r="AZ1582" s="2533"/>
      <c r="BA1582" s="2533"/>
      <c r="BB1582" s="2533"/>
      <c r="BC1582" s="2533"/>
      <c r="BD1582" s="2533"/>
      <c r="BE1582" s="2533"/>
      <c r="BF1582" s="2581">
        <f>P1340</f>
        <v>0</v>
      </c>
      <c r="BG1582" s="2533"/>
      <c r="BH1582" s="2533"/>
      <c r="BI1582" s="2533"/>
      <c r="BJ1582" s="2533"/>
      <c r="BK1582" s="2533"/>
      <c r="BL1582" s="2533"/>
    </row>
    <row r="1583" spans="1:64" ht="15">
      <c r="A1583" s="2043"/>
      <c r="B1583" s="2043"/>
      <c r="C1583" s="2049"/>
      <c r="D1583" s="2043"/>
      <c r="E1583" s="2043"/>
      <c r="F1583" s="2043"/>
      <c r="G1583" s="2050" t="s">
        <v>1975</v>
      </c>
      <c r="H1583" s="1994">
        <v>2020</v>
      </c>
      <c r="I1583" s="1994" t="s">
        <v>1976</v>
      </c>
      <c r="J1583" s="2043" t="s">
        <v>1977</v>
      </c>
      <c r="K1583" s="2043"/>
      <c r="L1583" s="2049"/>
      <c r="M1583" s="2043"/>
      <c r="N1583" s="1994"/>
      <c r="O1583" s="2045">
        <v>1</v>
      </c>
      <c r="P1583" s="2045"/>
      <c r="Q1583" s="2043"/>
      <c r="R1583" s="2043"/>
      <c r="S1583" s="2043"/>
      <c r="T1583" s="2043"/>
      <c r="U1583" s="2043"/>
      <c r="V1583" s="2043"/>
      <c r="W1583" s="2043"/>
      <c r="X1583" s="2043"/>
      <c r="Y1583" s="2043"/>
      <c r="Z1583" s="2043"/>
      <c r="AA1583" s="2112" t="s">
        <v>1472</v>
      </c>
      <c r="AB1583" s="1855" t="s">
        <v>1690</v>
      </c>
      <c r="AC1583" s="2043"/>
      <c r="AD1583" s="2043"/>
      <c r="AE1583" s="2043"/>
      <c r="AF1583" s="2043"/>
      <c r="AG1583" s="2533">
        <v>5</v>
      </c>
      <c r="AH1583" s="2533"/>
      <c r="AI1583" s="2533"/>
      <c r="AJ1583" s="2533"/>
      <c r="AK1583" s="2533"/>
      <c r="AL1583" s="2533"/>
      <c r="AM1583" s="2533"/>
      <c r="AN1583" s="1855"/>
      <c r="AO1583" s="1855"/>
      <c r="AP1583" s="2046" t="s">
        <v>1978</v>
      </c>
      <c r="AQ1583" s="1964" t="str">
        <f>'Part VIII Scoring Criteria'!AQ432</f>
        <v>Yes</v>
      </c>
      <c r="AR1583" s="2043"/>
      <c r="AS1583" s="2112" t="s">
        <v>1472</v>
      </c>
      <c r="AT1583" s="1855" t="s">
        <v>1690</v>
      </c>
      <c r="AU1583" s="2043"/>
      <c r="AV1583" s="2043"/>
      <c r="AW1583" s="2043"/>
      <c r="AX1583" s="2043"/>
      <c r="AY1583" s="2581">
        <f>O1351</f>
        <v>0</v>
      </c>
      <c r="AZ1583" s="2533"/>
      <c r="BA1583" s="2533"/>
      <c r="BB1583" s="2533"/>
      <c r="BC1583" s="2533"/>
      <c r="BD1583" s="2533"/>
      <c r="BE1583" s="2533"/>
      <c r="BF1583" s="2581">
        <f>P1351</f>
        <v>0</v>
      </c>
      <c r="BG1583" s="2533"/>
      <c r="BH1583" s="2533"/>
      <c r="BI1583" s="2533"/>
      <c r="BJ1583" s="2533"/>
      <c r="BK1583" s="2533"/>
      <c r="BL1583" s="2533"/>
    </row>
    <row r="1584" spans="1:64" ht="15">
      <c r="A1584" s="2043"/>
      <c r="B1584" s="2043"/>
      <c r="C1584" s="2049"/>
      <c r="D1584" s="2043"/>
      <c r="E1584" s="2043"/>
      <c r="F1584" s="2043"/>
      <c r="G1584" s="2050" t="s">
        <v>1979</v>
      </c>
      <c r="H1584" s="1994" t="s">
        <v>1683</v>
      </c>
      <c r="I1584" s="2048" t="s">
        <v>1082</v>
      </c>
      <c r="J1584" s="2043" t="s">
        <v>1980</v>
      </c>
      <c r="K1584" s="2043"/>
      <c r="L1584" s="2049"/>
      <c r="M1584" s="2043"/>
      <c r="N1584" s="1994"/>
      <c r="O1584" s="2045">
        <v>1</v>
      </c>
      <c r="P1584" s="2045"/>
      <c r="Q1584" s="2043"/>
      <c r="R1584" s="2043"/>
      <c r="S1584" s="2043"/>
      <c r="T1584" s="2043"/>
      <c r="U1584" s="2043"/>
      <c r="V1584" s="2043"/>
      <c r="W1584" s="2043"/>
      <c r="X1584" s="2043"/>
      <c r="Y1584" s="2043"/>
      <c r="Z1584" s="2043"/>
      <c r="AA1584" s="2112" t="s">
        <v>1470</v>
      </c>
      <c r="AB1584" s="1855" t="s">
        <v>1981</v>
      </c>
      <c r="AC1584" s="2043"/>
      <c r="AD1584" s="2043"/>
      <c r="AE1584" s="2043"/>
      <c r="AF1584" s="2043"/>
      <c r="AG1584" s="2533">
        <v>4</v>
      </c>
      <c r="AH1584" s="2533">
        <v>4</v>
      </c>
      <c r="AI1584" s="2533">
        <v>4</v>
      </c>
      <c r="AJ1584" s="2533">
        <v>4</v>
      </c>
      <c r="AK1584" s="2533">
        <v>4</v>
      </c>
      <c r="AL1584" s="2533">
        <v>4</v>
      </c>
      <c r="AM1584" s="2533">
        <v>4</v>
      </c>
      <c r="AN1584" s="1855"/>
      <c r="AO1584" s="1855"/>
      <c r="AP1584" s="2046" t="s">
        <v>1982</v>
      </c>
      <c r="AQ1584" s="1964" t="str">
        <f>'Part VIII Scoring Criteria'!AQ433</f>
        <v/>
      </c>
      <c r="AR1584" s="2043"/>
      <c r="AS1584" s="2112" t="s">
        <v>1470</v>
      </c>
      <c r="AT1584" s="1855" t="s">
        <v>1981</v>
      </c>
      <c r="AU1584" s="2043"/>
      <c r="AV1584" s="2043"/>
      <c r="AW1584" s="2043"/>
      <c r="AX1584" s="2043"/>
      <c r="AY1584" s="2581">
        <f>O1361</f>
        <v>4</v>
      </c>
      <c r="AZ1584" s="2581">
        <f>O1361</f>
        <v>4</v>
      </c>
      <c r="BA1584" s="2581">
        <f>O1361</f>
        <v>4</v>
      </c>
      <c r="BB1584" s="2581">
        <f>O1361</f>
        <v>4</v>
      </c>
      <c r="BC1584" s="2581">
        <f>O1361</f>
        <v>4</v>
      </c>
      <c r="BD1584" s="2581">
        <f>O1361</f>
        <v>4</v>
      </c>
      <c r="BE1584" s="2581">
        <f>O1361</f>
        <v>4</v>
      </c>
      <c r="BF1584" s="2581">
        <f>P1361</f>
        <v>0</v>
      </c>
      <c r="BG1584" s="2581">
        <f>P1361</f>
        <v>0</v>
      </c>
      <c r="BH1584" s="2581">
        <f>P1361</f>
        <v>0</v>
      </c>
      <c r="BI1584" s="2581">
        <f>P1361</f>
        <v>0</v>
      </c>
      <c r="BJ1584" s="2581">
        <f>P1361</f>
        <v>0</v>
      </c>
      <c r="BK1584" s="2581">
        <f>P1361</f>
        <v>0</v>
      </c>
      <c r="BL1584" s="2581">
        <f>P1361</f>
        <v>0</v>
      </c>
    </row>
    <row r="1585" spans="1:64" ht="15">
      <c r="A1585" s="2043"/>
      <c r="B1585" s="2043"/>
      <c r="C1585" s="2049"/>
      <c r="D1585" s="2043"/>
      <c r="E1585" s="2043"/>
      <c r="F1585" s="2043"/>
      <c r="G1585" s="2050" t="s">
        <v>1983</v>
      </c>
      <c r="H1585" s="1994">
        <v>2020</v>
      </c>
      <c r="I1585" s="1994" t="s">
        <v>1976</v>
      </c>
      <c r="J1585" s="2043" t="s">
        <v>1984</v>
      </c>
      <c r="K1585" s="2043"/>
      <c r="L1585" s="2049"/>
      <c r="M1585" s="2043"/>
      <c r="N1585" s="1994"/>
      <c r="O1585" s="2045">
        <v>1</v>
      </c>
      <c r="P1585" s="2045"/>
      <c r="Q1585" s="2043"/>
      <c r="R1585" s="2043"/>
      <c r="S1585" s="2043"/>
      <c r="T1585" s="2043"/>
      <c r="U1585" s="2043"/>
      <c r="V1585" s="2043"/>
      <c r="W1585" s="2043"/>
      <c r="X1585" s="2043"/>
      <c r="Y1585" s="2043"/>
      <c r="Z1585" s="2043"/>
      <c r="AA1585" s="2112" t="s">
        <v>1472</v>
      </c>
      <c r="AB1585" s="1855" t="s">
        <v>1692</v>
      </c>
      <c r="AC1585" s="2043"/>
      <c r="AD1585" s="2043"/>
      <c r="AE1585" s="2043"/>
      <c r="AF1585" s="2043"/>
      <c r="AG1585" s="2533">
        <v>2</v>
      </c>
      <c r="AH1585" s="2533"/>
      <c r="AI1585" s="2533"/>
      <c r="AJ1585" s="2533"/>
      <c r="AK1585" s="2533"/>
      <c r="AL1585" s="2533"/>
      <c r="AM1585" s="2533"/>
      <c r="AN1585" s="1855" t="s">
        <v>1985</v>
      </c>
      <c r="AO1585" s="1855"/>
      <c r="AP1585" s="1855"/>
      <c r="AQ1585" s="1964"/>
      <c r="AR1585" s="2043"/>
      <c r="AS1585" s="2112" t="s">
        <v>1472</v>
      </c>
      <c r="AT1585" s="1855" t="s">
        <v>1692</v>
      </c>
      <c r="AU1585" s="2043"/>
      <c r="AV1585" s="2043"/>
      <c r="AW1585" s="2043"/>
      <c r="AX1585" s="2043"/>
      <c r="AY1585" s="2581">
        <f>O1374</f>
        <v>0</v>
      </c>
      <c r="AZ1585" s="2581"/>
      <c r="BA1585" s="2581"/>
      <c r="BB1585" s="2581"/>
      <c r="BC1585" s="2581"/>
      <c r="BD1585" s="2581"/>
      <c r="BE1585" s="2581"/>
      <c r="BF1585" s="2581">
        <f>P1374</f>
        <v>0</v>
      </c>
      <c r="BG1585" s="2581">
        <f>P1374</f>
        <v>0</v>
      </c>
      <c r="BH1585" s="2581">
        <f>P1374</f>
        <v>0</v>
      </c>
      <c r="BI1585" s="2581">
        <f>P1374</f>
        <v>0</v>
      </c>
      <c r="BJ1585" s="2581">
        <f>P1374</f>
        <v>0</v>
      </c>
      <c r="BK1585" s="2581">
        <f>P1374</f>
        <v>0</v>
      </c>
      <c r="BL1585" s="2581">
        <f>P1374</f>
        <v>0</v>
      </c>
    </row>
    <row r="1586" spans="1:64" ht="15">
      <c r="A1586" s="2043"/>
      <c r="B1586" s="2043"/>
      <c r="C1586" s="2049"/>
      <c r="D1586" s="2043"/>
      <c r="E1586" s="2043"/>
      <c r="F1586" s="2043"/>
      <c r="G1586" s="2050" t="s">
        <v>1986</v>
      </c>
      <c r="H1586" s="1994">
        <v>2019</v>
      </c>
      <c r="I1586" s="1994" t="s">
        <v>1976</v>
      </c>
      <c r="J1586" s="2043" t="s">
        <v>1987</v>
      </c>
      <c r="K1586" s="2043"/>
      <c r="L1586" s="2049"/>
      <c r="M1586" s="2043"/>
      <c r="N1586" s="1994"/>
      <c r="O1586" s="2045">
        <v>1</v>
      </c>
      <c r="P1586" s="2045"/>
      <c r="Q1586" s="2043"/>
      <c r="R1586" s="2043"/>
      <c r="S1586" s="2043"/>
      <c r="T1586" s="2043"/>
      <c r="U1586" s="2043"/>
      <c r="V1586" s="2043"/>
      <c r="W1586" s="2043"/>
      <c r="X1586" s="2043"/>
      <c r="Y1586" s="2043"/>
      <c r="Z1586" s="2043"/>
      <c r="AA1586" s="2112" t="s">
        <v>1481</v>
      </c>
      <c r="AB1586" s="1855" t="s">
        <v>1988</v>
      </c>
      <c r="AC1586" s="2043"/>
      <c r="AD1586" s="2043"/>
      <c r="AE1586" s="2043"/>
      <c r="AF1586" s="2043"/>
      <c r="AG1586" s="2533">
        <v>2</v>
      </c>
      <c r="AH1586" s="2533">
        <v>2</v>
      </c>
      <c r="AI1586" s="2533">
        <v>2</v>
      </c>
      <c r="AJ1586" s="2533">
        <v>2</v>
      </c>
      <c r="AK1586" s="2533">
        <v>2</v>
      </c>
      <c r="AL1586" s="2533">
        <v>2</v>
      </c>
      <c r="AM1586" s="2533">
        <v>2</v>
      </c>
      <c r="AN1586" s="1855" t="s">
        <v>1989</v>
      </c>
      <c r="AO1586" s="1855"/>
      <c r="AP1586" s="1855"/>
      <c r="AQ1586" s="1964"/>
      <c r="AR1586" s="2043"/>
      <c r="AS1586" s="2112" t="s">
        <v>1481</v>
      </c>
      <c r="AT1586" s="1855" t="s">
        <v>1988</v>
      </c>
      <c r="AU1586" s="2043"/>
      <c r="AV1586" s="2043"/>
      <c r="AW1586" s="2043"/>
      <c r="AX1586" s="2043"/>
      <c r="AY1586" s="2581">
        <f>O1384</f>
        <v>2</v>
      </c>
      <c r="AZ1586" s="2581">
        <f>O1384</f>
        <v>2</v>
      </c>
      <c r="BA1586" s="2581">
        <f>O1384</f>
        <v>2</v>
      </c>
      <c r="BB1586" s="2581">
        <f>O1384</f>
        <v>2</v>
      </c>
      <c r="BC1586" s="2581">
        <f>O1384</f>
        <v>2</v>
      </c>
      <c r="BD1586" s="2581">
        <f>O1384</f>
        <v>2</v>
      </c>
      <c r="BE1586" s="2581">
        <f>O1384</f>
        <v>2</v>
      </c>
      <c r="BF1586" s="2581">
        <f>P1384</f>
        <v>0</v>
      </c>
      <c r="BG1586" s="2581">
        <f>P1384</f>
        <v>0</v>
      </c>
      <c r="BH1586" s="2581">
        <f>P1384</f>
        <v>0</v>
      </c>
      <c r="BI1586" s="2581">
        <f>P1384</f>
        <v>0</v>
      </c>
      <c r="BJ1586" s="2581">
        <f>P1384</f>
        <v>0</v>
      </c>
      <c r="BK1586" s="2581">
        <f>P1384</f>
        <v>0</v>
      </c>
      <c r="BL1586" s="2581">
        <f>P1384</f>
        <v>0</v>
      </c>
    </row>
    <row r="1587" spans="1:64" ht="15">
      <c r="A1587" s="2043"/>
      <c r="B1587" s="2043"/>
      <c r="C1587" s="2049"/>
      <c r="D1587" s="2043"/>
      <c r="E1587" s="2043"/>
      <c r="F1587" s="2043"/>
      <c r="G1587" s="2050" t="s">
        <v>1990</v>
      </c>
      <c r="H1587" s="1994" t="s">
        <v>1683</v>
      </c>
      <c r="I1587" s="2048" t="s">
        <v>1082</v>
      </c>
      <c r="J1587" s="2043" t="s">
        <v>1991</v>
      </c>
      <c r="K1587" s="2043"/>
      <c r="L1587" s="2049"/>
      <c r="M1587" s="2043"/>
      <c r="N1587" s="1994"/>
      <c r="O1587" s="2045">
        <v>1</v>
      </c>
      <c r="P1587" s="2045"/>
      <c r="Q1587" s="2043"/>
      <c r="R1587" s="2043"/>
      <c r="S1587" s="2043"/>
      <c r="T1587" s="2043"/>
      <c r="U1587" s="2043"/>
      <c r="V1587" s="2043"/>
      <c r="W1587" s="2043"/>
      <c r="X1587" s="2043"/>
      <c r="Y1587" s="2043"/>
      <c r="Z1587" s="2043"/>
      <c r="AA1587" s="2112" t="s">
        <v>1491</v>
      </c>
      <c r="AB1587" s="1855" t="s">
        <v>1695</v>
      </c>
      <c r="AC1587" s="2043"/>
      <c r="AD1587" s="2043"/>
      <c r="AE1587" s="2043"/>
      <c r="AF1587" s="2043"/>
      <c r="AG1587" s="2533">
        <v>2</v>
      </c>
      <c r="AH1587" s="2533"/>
      <c r="AI1587" s="2533"/>
      <c r="AJ1587" s="2533"/>
      <c r="AK1587" s="2533">
        <v>2</v>
      </c>
      <c r="AL1587" s="2533">
        <v>2</v>
      </c>
      <c r="AM1587" s="2533">
        <v>2</v>
      </c>
      <c r="AN1587" s="1855" t="s">
        <v>1992</v>
      </c>
      <c r="AO1587" s="1855"/>
      <c r="AP1587" s="1855"/>
      <c r="AQ1587" s="2113" t="str">
        <f>'Part II-Sources of Funds'!$L$14</f>
        <v>Yes</v>
      </c>
      <c r="AR1587" s="2043"/>
      <c r="AS1587" s="2112" t="s">
        <v>1491</v>
      </c>
      <c r="AT1587" s="1855" t="s">
        <v>1695</v>
      </c>
      <c r="AU1587" s="2043"/>
      <c r="AV1587" s="2043"/>
      <c r="AW1587" s="2043"/>
      <c r="AX1587" s="2043"/>
      <c r="AY1587" s="2581">
        <f>O1404</f>
        <v>0</v>
      </c>
      <c r="AZ1587" s="2533"/>
      <c r="BA1587" s="2533"/>
      <c r="BB1587" s="2533"/>
      <c r="BC1587" s="2581">
        <f>O1404</f>
        <v>0</v>
      </c>
      <c r="BD1587" s="2581">
        <f>O1404</f>
        <v>0</v>
      </c>
      <c r="BE1587" s="2581">
        <f>O1404</f>
        <v>0</v>
      </c>
      <c r="BF1587" s="2581">
        <f>P1404</f>
        <v>0</v>
      </c>
      <c r="BG1587" s="2533"/>
      <c r="BH1587" s="2533"/>
      <c r="BI1587" s="2533"/>
      <c r="BJ1587" s="2581">
        <f>P1404</f>
        <v>0</v>
      </c>
      <c r="BK1587" s="2581">
        <f>P1404</f>
        <v>0</v>
      </c>
      <c r="BL1587" s="2581">
        <f>P1404</f>
        <v>0</v>
      </c>
    </row>
    <row r="1588" spans="1:64" ht="15">
      <c r="A1588" s="2043"/>
      <c r="B1588" s="2043"/>
      <c r="C1588" s="2049"/>
      <c r="D1588" s="2043"/>
      <c r="E1588" s="2043"/>
      <c r="F1588" s="2043"/>
      <c r="G1588" s="2050" t="s">
        <v>1993</v>
      </c>
      <c r="H1588" s="1994">
        <v>2020</v>
      </c>
      <c r="I1588" s="1994" t="s">
        <v>1976</v>
      </c>
      <c r="J1588" s="2043" t="s">
        <v>1994</v>
      </c>
      <c r="K1588" s="2043"/>
      <c r="L1588" s="2049"/>
      <c r="M1588" s="2043"/>
      <c r="N1588" s="1994"/>
      <c r="O1588" s="2045">
        <v>1</v>
      </c>
      <c r="P1588" s="2045"/>
      <c r="Q1588" s="2043"/>
      <c r="R1588" s="2043"/>
      <c r="S1588" s="2043"/>
      <c r="T1588" s="2043"/>
      <c r="U1588" s="2043"/>
      <c r="V1588" s="2043"/>
      <c r="W1588" s="2043"/>
      <c r="X1588" s="2043"/>
      <c r="Y1588" s="2043"/>
      <c r="Z1588" s="2043"/>
      <c r="AA1588" s="2112" t="s">
        <v>1500</v>
      </c>
      <c r="AB1588" s="1855" t="s">
        <v>1995</v>
      </c>
      <c r="AC1588" s="2043"/>
      <c r="AD1588" s="2043"/>
      <c r="AE1588" s="2043"/>
      <c r="AF1588" s="2043"/>
      <c r="AG1588" s="2533">
        <v>2</v>
      </c>
      <c r="AH1588" s="2533"/>
      <c r="AI1588" s="2533"/>
      <c r="AJ1588" s="2533"/>
      <c r="AK1588" s="2533">
        <v>2</v>
      </c>
      <c r="AL1588" s="2533">
        <v>2</v>
      </c>
      <c r="AM1588" s="2533">
        <v>2</v>
      </c>
      <c r="AN1588" s="2043"/>
      <c r="AO1588" s="2043"/>
      <c r="AP1588" s="2043"/>
      <c r="AQ1588" s="2043"/>
      <c r="AR1588" s="2043"/>
      <c r="AS1588" s="2112" t="s">
        <v>1500</v>
      </c>
      <c r="AT1588" s="1855" t="s">
        <v>1995</v>
      </c>
      <c r="AU1588" s="2043"/>
      <c r="AV1588" s="2043"/>
      <c r="AW1588" s="2043"/>
      <c r="AX1588" s="2043"/>
      <c r="AY1588" s="2581"/>
      <c r="AZ1588" s="2533"/>
      <c r="BA1588" s="2533"/>
      <c r="BB1588" s="2533"/>
      <c r="BC1588" s="2581"/>
      <c r="BD1588" s="2581"/>
      <c r="BE1588" s="2581"/>
      <c r="BF1588" s="2581">
        <f>P1413</f>
        <v>0</v>
      </c>
      <c r="BG1588" s="2533"/>
      <c r="BH1588" s="2533"/>
      <c r="BI1588" s="2533"/>
      <c r="BJ1588" s="2581">
        <f>P1413</f>
        <v>0</v>
      </c>
      <c r="BK1588" s="2581">
        <f>P1413</f>
        <v>0</v>
      </c>
      <c r="BL1588" s="2581">
        <f>P1413</f>
        <v>0</v>
      </c>
    </row>
    <row r="1589" spans="1:64" ht="15">
      <c r="A1589" s="2043"/>
      <c r="B1589" s="2043"/>
      <c r="C1589" s="2049"/>
      <c r="D1589" s="2043"/>
      <c r="E1589" s="2043"/>
      <c r="F1589" s="2043"/>
      <c r="G1589" s="2050" t="s">
        <v>1996</v>
      </c>
      <c r="H1589" s="1994" t="s">
        <v>1971</v>
      </c>
      <c r="I1589" s="2048" t="s">
        <v>1082</v>
      </c>
      <c r="J1589" s="2043" t="s">
        <v>1997</v>
      </c>
      <c r="K1589" s="2043"/>
      <c r="L1589" s="2049"/>
      <c r="M1589" s="2043"/>
      <c r="N1589" s="1994"/>
      <c r="O1589" s="2045">
        <v>1</v>
      </c>
      <c r="P1589" s="2045"/>
      <c r="Q1589" s="2043"/>
      <c r="R1589" s="2043"/>
      <c r="S1589" s="2043"/>
      <c r="T1589" s="2043"/>
      <c r="U1589" s="2043"/>
      <c r="V1589" s="2043"/>
      <c r="W1589" s="2043"/>
      <c r="X1589" s="2043"/>
      <c r="Y1589" s="2043"/>
      <c r="Z1589" s="2043"/>
      <c r="AA1589" s="2112" t="s">
        <v>1508</v>
      </c>
      <c r="AB1589" s="1855" t="s">
        <v>1696</v>
      </c>
      <c r="AC1589" s="2043"/>
      <c r="AD1589" s="2043"/>
      <c r="AE1589" s="2043"/>
      <c r="AF1589" s="2043"/>
      <c r="AG1589" s="2533">
        <v>2</v>
      </c>
      <c r="AH1589" s="2533"/>
      <c r="AI1589" s="2533"/>
      <c r="AJ1589" s="2533"/>
      <c r="AK1589" s="2533">
        <v>2</v>
      </c>
      <c r="AL1589" s="2533">
        <v>2</v>
      </c>
      <c r="AM1589" s="2533">
        <v>2</v>
      </c>
      <c r="AN1589" s="2043"/>
      <c r="AO1589" s="2043"/>
      <c r="AP1589" s="2043"/>
      <c r="AQ1589" s="2043"/>
      <c r="AR1589" s="2043"/>
      <c r="AS1589" s="2112" t="s">
        <v>1508</v>
      </c>
      <c r="AT1589" s="1855" t="s">
        <v>1696</v>
      </c>
      <c r="AU1589" s="2043"/>
      <c r="AV1589" s="2043"/>
      <c r="AW1589" s="2043"/>
      <c r="AX1589" s="2043"/>
      <c r="AY1589" s="2581">
        <f>O1422</f>
        <v>0</v>
      </c>
      <c r="AZ1589" s="2581"/>
      <c r="BA1589" s="2581"/>
      <c r="BB1589" s="2581"/>
      <c r="BC1589" s="2581">
        <f>O1422</f>
        <v>0</v>
      </c>
      <c r="BD1589" s="2581">
        <f>O1422</f>
        <v>0</v>
      </c>
      <c r="BE1589" s="2581">
        <f>O1422</f>
        <v>0</v>
      </c>
      <c r="BF1589" s="2581">
        <f>P1422</f>
        <v>0</v>
      </c>
      <c r="BG1589" s="2581"/>
      <c r="BH1589" s="2581"/>
      <c r="BI1589" s="2581"/>
      <c r="BJ1589" s="2581">
        <f>P1422</f>
        <v>0</v>
      </c>
      <c r="BK1589" s="2581">
        <f>P1422</f>
        <v>0</v>
      </c>
      <c r="BL1589" s="2581">
        <f>P1422</f>
        <v>0</v>
      </c>
    </row>
    <row r="1590" spans="1:64" ht="15">
      <c r="A1590" s="2043"/>
      <c r="B1590" s="2043"/>
      <c r="C1590" s="2043"/>
      <c r="D1590" s="2043"/>
      <c r="E1590" s="2043"/>
      <c r="F1590" s="2043"/>
      <c r="G1590" s="2050" t="s">
        <v>1998</v>
      </c>
      <c r="H1590" s="1994" t="s">
        <v>1971</v>
      </c>
      <c r="I1590" s="2048" t="s">
        <v>1082</v>
      </c>
      <c r="J1590" s="2043" t="s">
        <v>1999</v>
      </c>
      <c r="K1590" s="2043"/>
      <c r="L1590" s="2049"/>
      <c r="M1590" s="2043"/>
      <c r="N1590" s="1994"/>
      <c r="O1590" s="2045">
        <v>1</v>
      </c>
      <c r="P1590" s="2045"/>
      <c r="Q1590" s="2043"/>
      <c r="R1590" s="2043"/>
      <c r="S1590" s="2043"/>
      <c r="T1590" s="2043"/>
      <c r="U1590" s="2043"/>
      <c r="V1590" s="2043"/>
      <c r="W1590" s="2043"/>
      <c r="X1590" s="2043"/>
      <c r="Y1590" s="2043"/>
      <c r="Z1590" s="2043"/>
      <c r="AA1590" s="2112" t="s">
        <v>1515</v>
      </c>
      <c r="AB1590" s="1855" t="s">
        <v>1697</v>
      </c>
      <c r="AC1590" s="2043"/>
      <c r="AD1590" s="2043"/>
      <c r="AE1590" s="2043"/>
      <c r="AF1590" s="2043"/>
      <c r="AG1590" s="2533">
        <v>4</v>
      </c>
      <c r="AH1590" s="2533">
        <v>2</v>
      </c>
      <c r="AI1590" s="2533">
        <v>2</v>
      </c>
      <c r="AJ1590" s="2533">
        <v>2</v>
      </c>
      <c r="AK1590" s="2533">
        <v>4</v>
      </c>
      <c r="AL1590" s="2533">
        <v>4</v>
      </c>
      <c r="AM1590" s="2533">
        <v>4</v>
      </c>
      <c r="AN1590" s="2043"/>
      <c r="AO1590" s="2043"/>
      <c r="AP1590" s="2043"/>
      <c r="AQ1590" s="2043"/>
      <c r="AR1590" s="2043"/>
      <c r="AS1590" s="2112" t="s">
        <v>1515</v>
      </c>
      <c r="AT1590" s="1855" t="s">
        <v>1697</v>
      </c>
      <c r="AU1590" s="2043"/>
      <c r="AV1590" s="2043"/>
      <c r="AW1590" s="2043"/>
      <c r="AX1590" s="2043"/>
      <c r="AY1590" s="2581">
        <f>O1431</f>
        <v>4</v>
      </c>
      <c r="AZ1590" s="2581">
        <f>O1431</f>
        <v>4</v>
      </c>
      <c r="BA1590" s="2581">
        <f>O1431</f>
        <v>4</v>
      </c>
      <c r="BB1590" s="2581">
        <f>O1431</f>
        <v>4</v>
      </c>
      <c r="BC1590" s="2581">
        <f>O1431</f>
        <v>4</v>
      </c>
      <c r="BD1590" s="2581">
        <f>O1431</f>
        <v>4</v>
      </c>
      <c r="BE1590" s="2581">
        <f>O1431</f>
        <v>4</v>
      </c>
      <c r="BF1590" s="2581">
        <f>P1431</f>
        <v>0</v>
      </c>
      <c r="BG1590" s="2581">
        <f>P1431</f>
        <v>0</v>
      </c>
      <c r="BH1590" s="2581">
        <f>P1431</f>
        <v>0</v>
      </c>
      <c r="BI1590" s="2581">
        <f>P1431</f>
        <v>0</v>
      </c>
      <c r="BJ1590" s="2581">
        <f>P1431</f>
        <v>0</v>
      </c>
      <c r="BK1590" s="2581">
        <f>P1431</f>
        <v>0</v>
      </c>
      <c r="BL1590" s="2581">
        <f>P1431</f>
        <v>0</v>
      </c>
    </row>
    <row r="1591" spans="1:64" ht="15">
      <c r="A1591" s="2043"/>
      <c r="B1591" s="2043"/>
      <c r="C1591" s="2043"/>
      <c r="D1591" s="2043"/>
      <c r="E1591" s="2043"/>
      <c r="F1591" s="2043"/>
      <c r="G1591" s="2050" t="s">
        <v>2000</v>
      </c>
      <c r="H1591" s="1994">
        <v>2019</v>
      </c>
      <c r="I1591" s="1994" t="s">
        <v>1976</v>
      </c>
      <c r="J1591" s="2043" t="s">
        <v>2001</v>
      </c>
      <c r="K1591" s="2043"/>
      <c r="L1591" s="2049"/>
      <c r="M1591" s="2043"/>
      <c r="N1591" s="1994"/>
      <c r="O1591" s="2045">
        <v>1</v>
      </c>
      <c r="P1591" s="2045"/>
      <c r="Q1591" s="2043"/>
      <c r="R1591" s="2043"/>
      <c r="S1591" s="2043"/>
      <c r="T1591" s="2043"/>
      <c r="U1591" s="2043"/>
      <c r="V1591" s="2043"/>
      <c r="W1591" s="2043"/>
      <c r="X1591" s="2043"/>
      <c r="Y1591" s="2043"/>
      <c r="Z1591" s="2043"/>
      <c r="AA1591" s="2112" t="s">
        <v>1529</v>
      </c>
      <c r="AB1591" s="1855" t="s">
        <v>1698</v>
      </c>
      <c r="AC1591" s="2043"/>
      <c r="AD1591" s="2043"/>
      <c r="AE1591" s="2043"/>
      <c r="AF1591" s="2043"/>
      <c r="AG1591" s="2533">
        <v>2</v>
      </c>
      <c r="AH1591" s="2533"/>
      <c r="AI1591" s="2533"/>
      <c r="AJ1591" s="2533"/>
      <c r="AK1591" s="2533"/>
      <c r="AL1591" s="2533"/>
      <c r="AM1591" s="2533"/>
      <c r="AN1591" s="2043"/>
      <c r="AO1591" s="2043"/>
      <c r="AP1591" s="2043"/>
      <c r="AQ1591" s="2043"/>
      <c r="AR1591" s="2043"/>
      <c r="AS1591" s="2112" t="s">
        <v>1529</v>
      </c>
      <c r="AT1591" s="1855" t="s">
        <v>1698</v>
      </c>
      <c r="AU1591" s="2043"/>
      <c r="AV1591" s="2043"/>
      <c r="AW1591" s="2043"/>
      <c r="AX1591" s="2043"/>
      <c r="AY1591" s="2581">
        <f>O1463</f>
        <v>0</v>
      </c>
      <c r="AZ1591" s="2581"/>
      <c r="BA1591" s="2581"/>
      <c r="BB1591" s="2581"/>
      <c r="BC1591" s="2581"/>
      <c r="BD1591" s="2581"/>
      <c r="BE1591" s="2581"/>
      <c r="BF1591" s="2581">
        <f>P1463</f>
        <v>0</v>
      </c>
      <c r="BG1591" s="2581"/>
      <c r="BH1591" s="2581"/>
      <c r="BI1591" s="2581"/>
      <c r="BJ1591" s="2581"/>
      <c r="BK1591" s="2581"/>
      <c r="BL1591" s="2581"/>
    </row>
    <row r="1592" spans="1:64" ht="15">
      <c r="A1592" s="2043" t="s">
        <v>2002</v>
      </c>
      <c r="B1592" s="2043"/>
      <c r="C1592" s="2043"/>
      <c r="D1592" s="2043"/>
      <c r="E1592" s="2043"/>
      <c r="F1592" s="2043"/>
      <c r="G1592" s="2050" t="s">
        <v>2003</v>
      </c>
      <c r="H1592" s="1994" t="s">
        <v>1971</v>
      </c>
      <c r="I1592" s="2048" t="s">
        <v>1082</v>
      </c>
      <c r="J1592" s="2043" t="s">
        <v>2004</v>
      </c>
      <c r="K1592" s="2043"/>
      <c r="L1592" s="2049"/>
      <c r="M1592" s="2043"/>
      <c r="N1592" s="1994"/>
      <c r="O1592" s="2045">
        <v>1</v>
      </c>
      <c r="P1592" s="2045"/>
      <c r="Q1592" s="2043"/>
      <c r="R1592" s="2043"/>
      <c r="S1592" s="2043"/>
      <c r="T1592" s="2043"/>
      <c r="U1592" s="2043"/>
      <c r="V1592" s="2043"/>
      <c r="W1592" s="2043"/>
      <c r="X1592" s="2043"/>
      <c r="Y1592" s="2043"/>
      <c r="Z1592" s="2043"/>
      <c r="AA1592" s="2112" t="s">
        <v>1536</v>
      </c>
      <c r="AB1592" s="1855" t="s">
        <v>2005</v>
      </c>
      <c r="AC1592" s="2043"/>
      <c r="AD1592" s="2043"/>
      <c r="AE1592" s="2043"/>
      <c r="AF1592" s="2043"/>
      <c r="AG1592" s="2533">
        <v>10</v>
      </c>
      <c r="AH1592" s="2533">
        <v>10</v>
      </c>
      <c r="AI1592" s="2533">
        <v>10</v>
      </c>
      <c r="AJ1592" s="2533">
        <v>10</v>
      </c>
      <c r="AK1592" s="2533">
        <v>10</v>
      </c>
      <c r="AL1592" s="2533">
        <v>10</v>
      </c>
      <c r="AM1592" s="2533">
        <v>10</v>
      </c>
      <c r="AN1592" s="2043"/>
      <c r="AO1592" s="2043"/>
      <c r="AP1592" s="2043"/>
      <c r="AQ1592" s="2043"/>
      <c r="AR1592" s="2043"/>
      <c r="AS1592" s="2112" t="s">
        <v>1536</v>
      </c>
      <c r="AT1592" s="1855" t="s">
        <v>2005</v>
      </c>
      <c r="AU1592" s="2043"/>
      <c r="AV1592" s="2043"/>
      <c r="AW1592" s="2043"/>
      <c r="AX1592" s="2043"/>
      <c r="AY1592" s="2581">
        <f>O1474</f>
        <v>10</v>
      </c>
      <c r="AZ1592" s="2581">
        <f>O1474</f>
        <v>10</v>
      </c>
      <c r="BA1592" s="2581">
        <f>O1474</f>
        <v>10</v>
      </c>
      <c r="BB1592" s="2581">
        <f>O1474</f>
        <v>10</v>
      </c>
      <c r="BC1592" s="2581">
        <f>O1474</f>
        <v>10</v>
      </c>
      <c r="BD1592" s="2581">
        <f>O1474</f>
        <v>10</v>
      </c>
      <c r="BE1592" s="2581">
        <f>O1474</f>
        <v>10</v>
      </c>
      <c r="BF1592" s="2581">
        <f>P1474</f>
        <v>10</v>
      </c>
      <c r="BG1592" s="2581">
        <f>P1474</f>
        <v>10</v>
      </c>
      <c r="BH1592" s="2581">
        <f>P1474</f>
        <v>10</v>
      </c>
      <c r="BI1592" s="2581">
        <f>P1474</f>
        <v>10</v>
      </c>
      <c r="BJ1592" s="2581">
        <f>P1474</f>
        <v>10</v>
      </c>
      <c r="BK1592" s="2581">
        <f>P1474</f>
        <v>10</v>
      </c>
      <c r="BL1592" s="2581">
        <f>P1474</f>
        <v>10</v>
      </c>
    </row>
    <row r="1593" spans="1:64" ht="15">
      <c r="A1593" s="2043" t="s">
        <v>2006</v>
      </c>
      <c r="B1593" s="2043"/>
      <c r="C1593" s="2043"/>
      <c r="D1593" s="2043"/>
      <c r="E1593" s="2043"/>
      <c r="F1593" s="2043"/>
      <c r="G1593" s="2050" t="s">
        <v>2007</v>
      </c>
      <c r="H1593" s="1994">
        <v>2019</v>
      </c>
      <c r="I1593" s="1994" t="s">
        <v>1976</v>
      </c>
      <c r="J1593" s="2043" t="s">
        <v>2008</v>
      </c>
      <c r="K1593" s="2043"/>
      <c r="L1593" s="2049"/>
      <c r="M1593" s="2043"/>
      <c r="N1593" s="1994"/>
      <c r="O1593" s="2045">
        <v>1</v>
      </c>
      <c r="P1593" s="2045"/>
      <c r="Q1593" s="2043"/>
      <c r="R1593" s="2043"/>
      <c r="S1593" s="2043"/>
      <c r="T1593" s="2043"/>
      <c r="U1593" s="2043"/>
      <c r="V1593" s="2043"/>
      <c r="W1593" s="2043"/>
      <c r="X1593" s="2043"/>
      <c r="Y1593" s="2043"/>
      <c r="Z1593" s="2043"/>
      <c r="AA1593" s="2112" t="s">
        <v>1543</v>
      </c>
      <c r="AB1593" s="1855" t="s">
        <v>2009</v>
      </c>
      <c r="AC1593" s="2043"/>
      <c r="AD1593" s="2043"/>
      <c r="AE1593" s="2043"/>
      <c r="AF1593" s="2043"/>
      <c r="AG1593" s="2533">
        <v>3</v>
      </c>
      <c r="AH1593" s="2533">
        <v>3</v>
      </c>
      <c r="AI1593" s="2533">
        <v>3</v>
      </c>
      <c r="AJ1593" s="2533">
        <v>3</v>
      </c>
      <c r="AK1593" s="2533">
        <v>3</v>
      </c>
      <c r="AL1593" s="2533">
        <v>3</v>
      </c>
      <c r="AM1593" s="2533">
        <v>3</v>
      </c>
      <c r="AN1593" s="2043"/>
      <c r="AO1593" s="2043"/>
      <c r="AP1593" s="2043"/>
      <c r="AQ1593" s="2043"/>
      <c r="AR1593" s="2043"/>
      <c r="AS1593" s="2112" t="s">
        <v>1543</v>
      </c>
      <c r="AT1593" s="1855" t="s">
        <v>2009</v>
      </c>
      <c r="AU1593" s="2043"/>
      <c r="AV1593" s="2043"/>
      <c r="AW1593" s="2043"/>
      <c r="AX1593" s="2043"/>
      <c r="AY1593" s="2581">
        <f>O1483</f>
        <v>3</v>
      </c>
      <c r="AZ1593" s="2581">
        <f>O1483</f>
        <v>3</v>
      </c>
      <c r="BA1593" s="2581">
        <f>O1483</f>
        <v>3</v>
      </c>
      <c r="BB1593" s="2581">
        <f>O1483</f>
        <v>3</v>
      </c>
      <c r="BC1593" s="2581">
        <f>O1483</f>
        <v>3</v>
      </c>
      <c r="BD1593" s="2581">
        <f>O1483</f>
        <v>3</v>
      </c>
      <c r="BE1593" s="2581">
        <f>O1483</f>
        <v>3</v>
      </c>
      <c r="BF1593" s="2581">
        <f>P1483</f>
        <v>2</v>
      </c>
      <c r="BG1593" s="2581">
        <f>P1483</f>
        <v>2</v>
      </c>
      <c r="BH1593" s="2581">
        <f>P1483</f>
        <v>2</v>
      </c>
      <c r="BI1593" s="2581">
        <f>P1483</f>
        <v>2</v>
      </c>
      <c r="BJ1593" s="2581">
        <f>P1483</f>
        <v>2</v>
      </c>
      <c r="BK1593" s="2581">
        <f>P1483</f>
        <v>2</v>
      </c>
      <c r="BL1593" s="2581">
        <f>P1483</f>
        <v>2</v>
      </c>
    </row>
    <row r="1594" spans="1:64" ht="15">
      <c r="A1594" s="2049" t="s">
        <v>2010</v>
      </c>
      <c r="B1594" s="2043"/>
      <c r="C1594" s="2043"/>
      <c r="D1594" s="2049"/>
      <c r="E1594" s="2049">
        <v>3</v>
      </c>
      <c r="F1594" s="2043"/>
      <c r="G1594" s="2050" t="s">
        <v>2011</v>
      </c>
      <c r="H1594" s="1994">
        <v>2019</v>
      </c>
      <c r="I1594" s="1994" t="s">
        <v>1976</v>
      </c>
      <c r="J1594" s="2043"/>
      <c r="K1594" s="2043"/>
      <c r="L1594" s="2049"/>
      <c r="M1594" s="2043"/>
      <c r="N1594" s="1994"/>
      <c r="O1594" s="2045"/>
      <c r="P1594" s="2045"/>
      <c r="Q1594" s="2043"/>
      <c r="R1594" s="2043"/>
      <c r="S1594" s="2043"/>
      <c r="T1594" s="2043"/>
      <c r="U1594" s="2043"/>
      <c r="V1594" s="2043"/>
      <c r="W1594" s="2043"/>
      <c r="X1594" s="2043"/>
      <c r="Y1594" s="2043"/>
      <c r="Z1594" s="2043"/>
      <c r="AA1594" s="2112" t="s">
        <v>1556</v>
      </c>
      <c r="AB1594" s="1855" t="s">
        <v>1700</v>
      </c>
      <c r="AC1594" s="2043"/>
      <c r="AD1594" s="2043"/>
      <c r="AE1594" s="2043"/>
      <c r="AF1594" s="2043"/>
      <c r="AG1594" s="2533"/>
      <c r="AH1594" s="2533"/>
      <c r="AI1594" s="2533">
        <v>6</v>
      </c>
      <c r="AJ1594" s="2533">
        <v>6</v>
      </c>
      <c r="AK1594" s="2533">
        <v>6</v>
      </c>
      <c r="AL1594" s="2533">
        <v>6</v>
      </c>
      <c r="AM1594" s="2533">
        <v>6</v>
      </c>
      <c r="AN1594" s="2043"/>
      <c r="AO1594" s="2043"/>
      <c r="AP1594" s="2043"/>
      <c r="AQ1594" s="2043"/>
      <c r="AR1594" s="2043"/>
      <c r="AS1594" s="2112" t="s">
        <v>1556</v>
      </c>
      <c r="AT1594" s="1855" t="s">
        <v>1700</v>
      </c>
      <c r="AU1594" s="2043"/>
      <c r="AV1594" s="2043"/>
      <c r="AW1594" s="2043"/>
      <c r="AX1594" s="2043"/>
      <c r="AY1594" s="2533"/>
      <c r="AZ1594" s="2533"/>
      <c r="BA1594" s="2581">
        <f>O1496</f>
        <v>4</v>
      </c>
      <c r="BB1594" s="2581">
        <f>O1496</f>
        <v>4</v>
      </c>
      <c r="BC1594" s="2581">
        <f>O1496</f>
        <v>4</v>
      </c>
      <c r="BD1594" s="2581">
        <f>O1496</f>
        <v>4</v>
      </c>
      <c r="BE1594" s="2581">
        <f>O1496</f>
        <v>4</v>
      </c>
      <c r="BF1594" s="2533"/>
      <c r="BG1594" s="2533"/>
      <c r="BH1594" s="2581">
        <f>P1496</f>
        <v>0</v>
      </c>
      <c r="BI1594" s="2581">
        <f>P1496</f>
        <v>0</v>
      </c>
      <c r="BJ1594" s="2581">
        <f>P1496</f>
        <v>0</v>
      </c>
      <c r="BK1594" s="2581">
        <f>P1496</f>
        <v>0</v>
      </c>
      <c r="BL1594" s="2581">
        <f>P1496</f>
        <v>0</v>
      </c>
    </row>
    <row r="1595" spans="1:64" ht="15">
      <c r="A1595" s="2049" t="s">
        <v>2012</v>
      </c>
      <c r="B1595" s="2043"/>
      <c r="C1595" s="2043"/>
      <c r="D1595" s="2049"/>
      <c r="E1595" s="2049">
        <v>2</v>
      </c>
      <c r="F1595" s="2043"/>
      <c r="G1595" s="2050" t="s">
        <v>143</v>
      </c>
      <c r="H1595" s="1994">
        <v>2019</v>
      </c>
      <c r="I1595" s="1994" t="s">
        <v>1976</v>
      </c>
      <c r="J1595" s="2043"/>
      <c r="K1595" s="2043"/>
      <c r="L1595" s="2049"/>
      <c r="M1595" s="2043"/>
      <c r="N1595" s="1994"/>
      <c r="O1595" s="2045"/>
      <c r="P1595" s="2045"/>
      <c r="Q1595" s="2043"/>
      <c r="R1595" s="2043"/>
      <c r="S1595" s="2043"/>
      <c r="T1595" s="2043"/>
      <c r="U1595" s="2043"/>
      <c r="V1595" s="2043"/>
      <c r="W1595" s="2043"/>
      <c r="X1595" s="2043"/>
      <c r="Y1595" s="2043"/>
      <c r="Z1595" s="2043"/>
      <c r="AA1595" s="2112" t="s">
        <v>1902</v>
      </c>
      <c r="AB1595" s="1855" t="s">
        <v>2013</v>
      </c>
      <c r="AC1595" s="2043"/>
      <c r="AD1595" s="2043"/>
      <c r="AE1595" s="2043"/>
      <c r="AF1595" s="2043"/>
      <c r="AG1595" s="2533"/>
      <c r="AH1595" s="2533"/>
      <c r="AI1595" s="2533">
        <v>6</v>
      </c>
      <c r="AJ1595" s="2533"/>
      <c r="AK1595" s="2533">
        <v>6</v>
      </c>
      <c r="AL1595" s="2533">
        <v>6</v>
      </c>
      <c r="AM1595" s="2533">
        <v>6</v>
      </c>
      <c r="AN1595" s="2043"/>
      <c r="AO1595" s="2043"/>
      <c r="AP1595" s="2043"/>
      <c r="AQ1595" s="2043"/>
      <c r="AR1595" s="2043"/>
      <c r="AS1595" s="2112" t="s">
        <v>1902</v>
      </c>
      <c r="AT1595" s="1855" t="s">
        <v>2013</v>
      </c>
      <c r="AU1595" s="2043"/>
      <c r="AV1595" s="2043"/>
      <c r="AW1595" s="2043"/>
      <c r="AX1595" s="2043"/>
      <c r="AY1595" s="2533"/>
      <c r="AZ1595" s="2533"/>
      <c r="BA1595" s="2581">
        <f>O1503</f>
        <v>0</v>
      </c>
      <c r="BB1595" s="2581"/>
      <c r="BC1595" s="2581">
        <f>O1503</f>
        <v>0</v>
      </c>
      <c r="BD1595" s="2581">
        <f>O1503</f>
        <v>0</v>
      </c>
      <c r="BE1595" s="2581">
        <f>O1503</f>
        <v>0</v>
      </c>
      <c r="BF1595" s="2533"/>
      <c r="BG1595" s="2533"/>
      <c r="BH1595" s="2581">
        <f>P1503</f>
        <v>0</v>
      </c>
      <c r="BI1595" s="2581"/>
      <c r="BJ1595" s="2581">
        <f>P1503</f>
        <v>0</v>
      </c>
      <c r="BK1595" s="2581">
        <f>P1503</f>
        <v>0</v>
      </c>
      <c r="BL1595" s="2581">
        <f>P1503</f>
        <v>0</v>
      </c>
    </row>
    <row r="1596" spans="1:64" ht="15">
      <c r="A1596" s="2049" t="s">
        <v>2014</v>
      </c>
      <c r="B1596" s="2043"/>
      <c r="C1596" s="2043"/>
      <c r="D1596" s="2049"/>
      <c r="E1596" s="2049">
        <v>10</v>
      </c>
      <c r="F1596" s="2043"/>
      <c r="G1596" s="2050" t="s">
        <v>2015</v>
      </c>
      <c r="H1596" s="1994">
        <v>2019</v>
      </c>
      <c r="I1596" s="1994" t="s">
        <v>1976</v>
      </c>
      <c r="J1596" s="2051" t="s">
        <v>1648</v>
      </c>
      <c r="K1596" s="2043"/>
      <c r="L1596" s="2049"/>
      <c r="M1596" s="2043"/>
      <c r="N1596" s="1994"/>
      <c r="O1596" s="2045"/>
      <c r="P1596" s="2045"/>
      <c r="Q1596" s="2043"/>
      <c r="R1596" s="2043"/>
      <c r="S1596" s="2043"/>
      <c r="T1596" s="2043"/>
      <c r="U1596" s="2043"/>
      <c r="V1596" s="2043"/>
      <c r="W1596" s="2043"/>
      <c r="X1596" s="2043"/>
      <c r="Y1596" s="2043"/>
      <c r="Z1596" s="2043"/>
      <c r="AA1596" s="2112" t="s">
        <v>1701</v>
      </c>
      <c r="AB1596" s="1855" t="s">
        <v>1702</v>
      </c>
      <c r="AC1596" s="2043"/>
      <c r="AD1596" s="2043"/>
      <c r="AE1596" s="2043"/>
      <c r="AF1596" s="2043"/>
      <c r="AG1596" s="2533"/>
      <c r="AH1596" s="2533"/>
      <c r="AI1596" s="2533">
        <v>4</v>
      </c>
      <c r="AJ1596" s="2533">
        <v>4</v>
      </c>
      <c r="AK1596" s="2533">
        <v>4</v>
      </c>
      <c r="AL1596" s="2533">
        <v>4</v>
      </c>
      <c r="AM1596" s="2533">
        <v>4</v>
      </c>
      <c r="AN1596" s="2043"/>
      <c r="AO1596" s="2043"/>
      <c r="AP1596" s="2043"/>
      <c r="AQ1596" s="2043"/>
      <c r="AR1596" s="2043"/>
      <c r="AS1596" s="2112" t="s">
        <v>1701</v>
      </c>
      <c r="AT1596" s="1855" t="s">
        <v>1702</v>
      </c>
      <c r="AU1596" s="2043"/>
      <c r="AV1596" s="2043"/>
      <c r="AW1596" s="2043"/>
      <c r="AX1596" s="2043"/>
      <c r="AY1596" s="2533"/>
      <c r="AZ1596" s="2533"/>
      <c r="BA1596" s="2581">
        <f>O1509</f>
        <v>3</v>
      </c>
      <c r="BB1596" s="2581">
        <f>O1509</f>
        <v>3</v>
      </c>
      <c r="BC1596" s="2581">
        <f>O1509</f>
        <v>3</v>
      </c>
      <c r="BD1596" s="2581">
        <f>O1509</f>
        <v>3</v>
      </c>
      <c r="BE1596" s="2581">
        <f>O1509</f>
        <v>3</v>
      </c>
      <c r="BF1596" s="2533"/>
      <c r="BG1596" s="2533"/>
      <c r="BH1596" s="2581">
        <f>P1509</f>
        <v>0</v>
      </c>
      <c r="BI1596" s="2581">
        <f>P1509</f>
        <v>0</v>
      </c>
      <c r="BJ1596" s="2581">
        <f>P1509</f>
        <v>0</v>
      </c>
      <c r="BK1596" s="2581">
        <f>P1509</f>
        <v>0</v>
      </c>
      <c r="BL1596" s="2581">
        <f>P1509</f>
        <v>0</v>
      </c>
    </row>
    <row r="1597" spans="1:64" ht="15">
      <c r="A1597" s="2049" t="s">
        <v>2016</v>
      </c>
      <c r="B1597" s="2043"/>
      <c r="C1597" s="2043"/>
      <c r="D1597" s="2049"/>
      <c r="E1597" s="2049"/>
      <c r="F1597" s="2043"/>
      <c r="G1597" s="2050" t="s">
        <v>2017</v>
      </c>
      <c r="H1597" s="1994">
        <v>2019</v>
      </c>
      <c r="I1597" s="1994" t="s">
        <v>1976</v>
      </c>
      <c r="J1597" s="2043" t="s">
        <v>1477</v>
      </c>
      <c r="K1597" s="2043"/>
      <c r="L1597" s="2049"/>
      <c r="M1597" s="2043"/>
      <c r="N1597" s="1994"/>
      <c r="O1597" s="2045"/>
      <c r="P1597" s="2045"/>
      <c r="Q1597" s="2043"/>
      <c r="R1597" s="2043"/>
      <c r="S1597" s="2043"/>
      <c r="T1597" s="2043"/>
      <c r="U1597" s="2043"/>
      <c r="V1597" s="2043"/>
      <c r="W1597" s="2043"/>
      <c r="X1597" s="2043"/>
      <c r="Y1597" s="2043"/>
      <c r="Z1597" s="2043"/>
      <c r="AA1597" s="2112" t="s">
        <v>1703</v>
      </c>
      <c r="AB1597" s="1855" t="s">
        <v>1704</v>
      </c>
      <c r="AC1597" s="2043"/>
      <c r="AD1597" s="2043"/>
      <c r="AE1597" s="2043"/>
      <c r="AF1597" s="2043"/>
      <c r="AG1597" s="2533"/>
      <c r="AH1597" s="2533"/>
      <c r="AI1597" s="2533">
        <v>6</v>
      </c>
      <c r="AJ1597" s="2533">
        <v>6</v>
      </c>
      <c r="AK1597" s="2533">
        <v>4</v>
      </c>
      <c r="AL1597" s="2533">
        <v>6</v>
      </c>
      <c r="AM1597" s="2533">
        <v>4</v>
      </c>
      <c r="AN1597" s="2043"/>
      <c r="AO1597" s="2043"/>
      <c r="AP1597" s="2043"/>
      <c r="AQ1597" s="2043"/>
      <c r="AR1597" s="2043"/>
      <c r="AS1597" s="2112" t="s">
        <v>1703</v>
      </c>
      <c r="AT1597" s="1855" t="s">
        <v>1704</v>
      </c>
      <c r="AU1597" s="2043"/>
      <c r="AV1597" s="2043"/>
      <c r="AW1597" s="2043"/>
      <c r="AX1597" s="2043"/>
      <c r="AY1597" s="2533"/>
      <c r="AZ1597" s="2581"/>
      <c r="BA1597" s="2581">
        <f>O1516</f>
        <v>2</v>
      </c>
      <c r="BB1597" s="2581">
        <f>O1516</f>
        <v>2</v>
      </c>
      <c r="BC1597" s="2581">
        <f>O1516</f>
        <v>2</v>
      </c>
      <c r="BD1597" s="2581">
        <f>O1516</f>
        <v>2</v>
      </c>
      <c r="BE1597" s="2581">
        <f>O1516</f>
        <v>2</v>
      </c>
      <c r="BF1597" s="2533"/>
      <c r="BG1597" s="2581"/>
      <c r="BH1597" s="2581">
        <f>P1525</f>
        <v>0</v>
      </c>
      <c r="BI1597" s="2581">
        <f>P1525</f>
        <v>0</v>
      </c>
      <c r="BJ1597" s="2581">
        <f>P1525</f>
        <v>0</v>
      </c>
      <c r="BK1597" s="2581">
        <f>P1525</f>
        <v>0</v>
      </c>
      <c r="BL1597" s="2581">
        <f>P1525</f>
        <v>0</v>
      </c>
    </row>
    <row r="1598" spans="1:64" ht="15">
      <c r="A1598" s="2043"/>
      <c r="B1598" s="2043"/>
      <c r="C1598" s="2049"/>
      <c r="D1598" s="2043"/>
      <c r="E1598" s="2043"/>
      <c r="F1598" s="2043"/>
      <c r="G1598" s="2050" t="s">
        <v>2018</v>
      </c>
      <c r="H1598" s="1994">
        <v>2020</v>
      </c>
      <c r="I1598" s="1994" t="s">
        <v>1976</v>
      </c>
      <c r="J1598" s="2043" t="s">
        <v>1649</v>
      </c>
      <c r="K1598" s="2043"/>
      <c r="L1598" s="2049"/>
      <c r="M1598" s="2043"/>
      <c r="N1598" s="1994"/>
      <c r="O1598" s="2045"/>
      <c r="P1598" s="2045"/>
      <c r="Q1598" s="2043"/>
      <c r="R1598" s="2043"/>
      <c r="S1598" s="2043"/>
      <c r="T1598" s="2043"/>
      <c r="U1598" s="2043"/>
      <c r="V1598" s="2043"/>
      <c r="W1598" s="2043"/>
      <c r="X1598" s="2043"/>
      <c r="Y1598" s="2043"/>
      <c r="Z1598" s="2043"/>
      <c r="AA1598" s="2112" t="s">
        <v>1916</v>
      </c>
      <c r="AB1598" s="1855" t="s">
        <v>2019</v>
      </c>
      <c r="AC1598" s="2043"/>
      <c r="AD1598" s="2043"/>
      <c r="AE1598" s="2043"/>
      <c r="AF1598" s="2043"/>
      <c r="AG1598" s="2533"/>
      <c r="AH1598" s="2533"/>
      <c r="AI1598" s="2533"/>
      <c r="AJ1598" s="2533">
        <v>16</v>
      </c>
      <c r="AK1598" s="2533"/>
      <c r="AL1598" s="2533"/>
      <c r="AM1598" s="2533"/>
      <c r="AN1598" s="2043"/>
      <c r="AO1598" s="2043"/>
      <c r="AP1598" s="2043"/>
      <c r="AQ1598" s="2043"/>
      <c r="AR1598" s="2043"/>
      <c r="AS1598" s="2112" t="s">
        <v>1916</v>
      </c>
      <c r="AT1598" s="1855" t="s">
        <v>2019</v>
      </c>
      <c r="AU1598" s="2043"/>
      <c r="AV1598" s="2043"/>
      <c r="AW1598" s="2043"/>
      <c r="AX1598" s="2043"/>
      <c r="AY1598" s="2533"/>
      <c r="AZ1598" s="2581"/>
      <c r="BA1598" s="2581"/>
      <c r="BB1598" s="2581">
        <f>O1525</f>
        <v>0</v>
      </c>
      <c r="BC1598" s="2581"/>
      <c r="BD1598" s="2581"/>
      <c r="BE1598" s="2581"/>
      <c r="BF1598" s="2533"/>
      <c r="BG1598" s="2581"/>
      <c r="BH1598" s="2581"/>
      <c r="BI1598" s="2581">
        <f>P1525</f>
        <v>0</v>
      </c>
      <c r="BJ1598" s="2581"/>
      <c r="BK1598" s="2581"/>
      <c r="BL1598" s="2581"/>
    </row>
    <row r="1599" spans="1:64" ht="15">
      <c r="A1599" s="2043"/>
      <c r="B1599" s="2043"/>
      <c r="C1599" s="2049"/>
      <c r="D1599" s="2043"/>
      <c r="E1599" s="2043"/>
      <c r="F1599" s="2043"/>
      <c r="G1599" s="2050" t="s">
        <v>2020</v>
      </c>
      <c r="H1599" s="1994">
        <v>2020</v>
      </c>
      <c r="I1599" s="1994" t="s">
        <v>1976</v>
      </c>
      <c r="J1599" s="2043" t="s">
        <v>1650</v>
      </c>
      <c r="K1599" s="2043"/>
      <c r="L1599" s="2049"/>
      <c r="M1599" s="2043"/>
      <c r="N1599" s="1994"/>
      <c r="O1599" s="2045"/>
      <c r="P1599" s="2045"/>
      <c r="Q1599" s="2043"/>
      <c r="R1599" s="2043"/>
      <c r="S1599" s="2043"/>
      <c r="T1599" s="2043"/>
      <c r="U1599" s="2043"/>
      <c r="V1599" s="2043"/>
      <c r="W1599" s="2043"/>
      <c r="X1599" s="2043"/>
      <c r="Y1599" s="2043"/>
      <c r="Z1599" s="2043"/>
      <c r="AA1599" s="1855"/>
      <c r="AB1599" s="2114"/>
      <c r="AC1599" s="1855"/>
      <c r="AD1599" s="1855"/>
      <c r="AE1599" s="1855"/>
      <c r="AF1599" s="1855"/>
      <c r="AG1599" s="1855"/>
      <c r="AH1599" s="1855"/>
      <c r="AI1599" s="1855"/>
      <c r="AJ1599" s="1855"/>
      <c r="AK1599" s="1855"/>
      <c r="AL1599" s="1855"/>
      <c r="AM1599" s="1855"/>
      <c r="AN1599" s="2043"/>
      <c r="AO1599" s="2043"/>
      <c r="AP1599" s="2043"/>
      <c r="AQ1599" s="2043"/>
      <c r="AR1599" s="2043"/>
      <c r="AS1599" s="1855"/>
      <c r="AT1599" s="1855"/>
      <c r="AU1599" s="1855"/>
      <c r="AV1599" s="1855"/>
      <c r="AW1599" s="1855"/>
      <c r="AX1599" s="1855"/>
      <c r="AY1599" s="1855"/>
      <c r="AZ1599" s="1855"/>
      <c r="BA1599" s="1855"/>
      <c r="BB1599" s="1855"/>
      <c r="BC1599" s="1855"/>
      <c r="BD1599" s="1855"/>
      <c r="BE1599" s="1855"/>
      <c r="BF1599" s="1855"/>
      <c r="BG1599" s="1855"/>
      <c r="BH1599" s="1855"/>
      <c r="BI1599" s="1855"/>
      <c r="BJ1599" s="1855"/>
      <c r="BK1599" s="1855"/>
      <c r="BL1599" s="1855"/>
    </row>
    <row r="1600" spans="1:64" ht="15">
      <c r="A1600" s="2043"/>
      <c r="B1600" s="2043"/>
      <c r="C1600" s="2049"/>
      <c r="D1600" s="2043"/>
      <c r="E1600" s="2043"/>
      <c r="F1600" s="2043"/>
      <c r="G1600" s="2050" t="s">
        <v>2021</v>
      </c>
      <c r="H1600" s="1994" t="s">
        <v>1971</v>
      </c>
      <c r="I1600" s="2048" t="s">
        <v>1082</v>
      </c>
      <c r="J1600" s="2043" t="s">
        <v>1651</v>
      </c>
      <c r="K1600" s="2043"/>
      <c r="L1600" s="2049"/>
      <c r="M1600" s="2043"/>
      <c r="N1600" s="1994"/>
      <c r="O1600" s="2045"/>
      <c r="P1600" s="2045"/>
      <c r="Q1600" s="2043"/>
      <c r="R1600" s="2043"/>
      <c r="S1600" s="2043"/>
      <c r="T1600" s="2043"/>
      <c r="U1600" s="2043"/>
      <c r="V1600" s="2043"/>
      <c r="W1600" s="2043"/>
      <c r="X1600" s="2043"/>
      <c r="Y1600" s="2043"/>
      <c r="Z1600" s="2043"/>
      <c r="AA1600" s="1855"/>
      <c r="AB1600" s="2114"/>
      <c r="AC1600" s="1855"/>
      <c r="AD1600" s="1854" t="s">
        <v>2022</v>
      </c>
      <c r="AE1600" s="1855"/>
      <c r="AF1600" s="1855"/>
      <c r="AG1600" s="2116">
        <f>'Part VIII Scoring Criteria'!AG449</f>
        <v>0</v>
      </c>
      <c r="AH1600" s="2116">
        <f>'Part VIII Scoring Criteria'!AH449</f>
        <v>91</v>
      </c>
      <c r="AI1600" s="2116">
        <f>'Part VIII Scoring Criteria'!AI449</f>
        <v>55</v>
      </c>
      <c r="AJ1600" s="2116">
        <f>'Part VIII Scoring Criteria'!AJ449</f>
        <v>65</v>
      </c>
      <c r="AK1600" s="2116">
        <f>'Part VIII Scoring Criteria'!AK449</f>
        <v>61</v>
      </c>
      <c r="AL1600" s="2116">
        <f>'Part VIII Scoring Criteria'!AL449</f>
        <v>61</v>
      </c>
      <c r="AM1600" s="2116">
        <f>'Part VIII Scoring Criteria'!AM449</f>
        <v>61</v>
      </c>
      <c r="AN1600" s="1964"/>
      <c r="AO1600" s="1994"/>
      <c r="AP1600" s="2042"/>
      <c r="AQ1600" s="2113"/>
      <c r="AR1600" s="2043"/>
      <c r="AS1600" s="1855"/>
      <c r="AT1600" s="1855"/>
      <c r="AU1600" s="1855"/>
      <c r="AV1600" s="1855"/>
      <c r="AW1600" s="1855"/>
      <c r="AX1600" s="1855"/>
      <c r="AY1600" s="2116">
        <f>'Part VIII Scoring Criteria'!AY449</f>
        <v>33</v>
      </c>
      <c r="AZ1600" s="2116">
        <f>'Part VIII Scoring Criteria'!AZ449</f>
        <v>33</v>
      </c>
      <c r="BA1600" s="2116">
        <f>'Part VIII Scoring Criteria'!BA449</f>
        <v>42</v>
      </c>
      <c r="BB1600" s="2116">
        <f>'Part VIII Scoring Criteria'!BB449</f>
        <v>42</v>
      </c>
      <c r="BC1600" s="2116">
        <f>'Part VIII Scoring Criteria'!BC449</f>
        <v>42</v>
      </c>
      <c r="BD1600" s="2116">
        <f>'Part VIII Scoring Criteria'!BD449</f>
        <v>42</v>
      </c>
      <c r="BE1600" s="2116">
        <f>'Part VIII Scoring Criteria'!BE449</f>
        <v>42</v>
      </c>
      <c r="BF1600" s="2116">
        <f>'Part VIII Scoring Criteria'!BF449</f>
        <v>22</v>
      </c>
      <c r="BG1600" s="2116">
        <f>'Part VIII Scoring Criteria'!BG449</f>
        <v>22</v>
      </c>
      <c r="BH1600" s="2116">
        <f>'Part VIII Scoring Criteria'!BH449</f>
        <v>22</v>
      </c>
      <c r="BI1600" s="2116">
        <f>'Part VIII Scoring Criteria'!BI449</f>
        <v>22</v>
      </c>
      <c r="BJ1600" s="2116">
        <f>'Part VIII Scoring Criteria'!BJ449</f>
        <v>22</v>
      </c>
      <c r="BK1600" s="2116">
        <f>'Part VIII Scoring Criteria'!BK449</f>
        <v>22</v>
      </c>
      <c r="BL1600" s="2116">
        <f>'Part VIII Scoring Criteria'!BL449</f>
        <v>22</v>
      </c>
    </row>
    <row r="1601" spans="1:64" ht="15">
      <c r="A1601" s="2043"/>
      <c r="B1601" s="2043"/>
      <c r="C1601" s="2049"/>
      <c r="D1601" s="2043"/>
      <c r="E1601" s="2043"/>
      <c r="F1601" s="2043"/>
      <c r="G1601" s="2050" t="s">
        <v>2023</v>
      </c>
      <c r="H1601" s="1994">
        <v>2019</v>
      </c>
      <c r="I1601" s="1994" t="s">
        <v>1976</v>
      </c>
      <c r="J1601" s="2043" t="s">
        <v>1653</v>
      </c>
      <c r="K1601" s="2043"/>
      <c r="L1601" s="2049"/>
      <c r="M1601" s="2043"/>
      <c r="N1601" s="1994"/>
      <c r="O1601" s="2045"/>
      <c r="P1601" s="2045"/>
      <c r="Q1601" s="2043"/>
      <c r="R1601" s="2043"/>
      <c r="S1601" s="2043"/>
      <c r="T1601" s="2043"/>
      <c r="U1601" s="2043"/>
      <c r="V1601" s="2043"/>
      <c r="W1601" s="2043"/>
      <c r="X1601" s="2043"/>
      <c r="Y1601" s="2043"/>
      <c r="Z1601" s="2043"/>
      <c r="AA1601" s="2043"/>
      <c r="AB1601" s="2043"/>
      <c r="AC1601" s="2043"/>
      <c r="AD1601" s="2043"/>
      <c r="AE1601" s="2043"/>
      <c r="AF1601" s="2043"/>
      <c r="AG1601" s="2043"/>
      <c r="AH1601" s="2043"/>
      <c r="AI1601" s="2043"/>
      <c r="AJ1601" s="2043"/>
      <c r="AK1601" s="2043"/>
      <c r="AL1601" s="2043"/>
      <c r="AM1601" s="2043"/>
      <c r="AN1601" s="1964"/>
      <c r="AO1601" s="1994"/>
      <c r="AP1601" s="2042"/>
      <c r="AQ1601" s="2113"/>
      <c r="AR1601" s="2043"/>
      <c r="AS1601" s="2043"/>
      <c r="AT1601" s="2043"/>
      <c r="AU1601" s="2043"/>
      <c r="AV1601" s="2043"/>
      <c r="AW1601" s="2043"/>
      <c r="AX1601" s="2043"/>
      <c r="AY1601" s="2043"/>
      <c r="AZ1601" s="2043"/>
      <c r="BA1601" s="2043"/>
      <c r="BB1601" s="2043"/>
      <c r="BC1601" s="2043"/>
      <c r="BD1601" s="2043"/>
      <c r="BE1601" s="2043"/>
      <c r="BF1601" s="2043"/>
      <c r="BG1601" s="2043"/>
      <c r="BH1601" s="2043"/>
      <c r="BI1601" s="2043"/>
      <c r="BJ1601" s="2043"/>
      <c r="BK1601" s="2043"/>
      <c r="BL1601" s="2043"/>
    </row>
    <row r="1602" spans="1:64" ht="15">
      <c r="A1602" s="2043"/>
      <c r="B1602" s="2043"/>
      <c r="C1602" s="2043"/>
      <c r="D1602" s="2043"/>
      <c r="E1602" s="2043"/>
      <c r="F1602" s="2043"/>
      <c r="G1602" s="2050" t="s">
        <v>2024</v>
      </c>
      <c r="H1602" s="1994">
        <v>2019</v>
      </c>
      <c r="I1602" s="1994" t="s">
        <v>1976</v>
      </c>
      <c r="J1602" s="2043" t="s">
        <v>1654</v>
      </c>
      <c r="K1602" s="2043"/>
      <c r="L1602" s="2049"/>
      <c r="M1602" s="2043"/>
      <c r="N1602" s="1994"/>
      <c r="O1602" s="2045"/>
      <c r="P1602" s="2045"/>
      <c r="Q1602" s="2043"/>
      <c r="R1602" s="2043"/>
      <c r="S1602" s="2043"/>
      <c r="T1602" s="2043"/>
      <c r="U1602" s="2043"/>
      <c r="V1602" s="2043"/>
      <c r="W1602" s="2043"/>
      <c r="X1602" s="2043"/>
      <c r="Y1602" s="2043"/>
      <c r="Z1602" s="2043"/>
      <c r="AA1602" s="2043"/>
      <c r="AB1602" s="2043"/>
      <c r="AC1602" s="2043"/>
      <c r="AD1602" s="2043"/>
      <c r="AE1602" s="2043"/>
      <c r="AF1602" s="2043"/>
      <c r="AG1602" s="2043"/>
      <c r="AH1602" s="2043"/>
      <c r="AI1602" s="2043"/>
      <c r="AJ1602" s="2043"/>
      <c r="AK1602" s="2043"/>
      <c r="AL1602" s="2043"/>
      <c r="AM1602" s="2043"/>
      <c r="AN1602" s="2043"/>
      <c r="AO1602" s="2043"/>
      <c r="AP1602" s="2043"/>
      <c r="AQ1602" s="2043"/>
      <c r="AR1602" s="2043"/>
      <c r="AS1602" s="2043"/>
      <c r="AT1602" s="2043"/>
      <c r="AU1602" s="2043"/>
      <c r="AV1602" s="2043"/>
      <c r="AW1602" s="2043"/>
      <c r="AX1602" s="2043"/>
      <c r="AY1602" s="2043"/>
      <c r="AZ1602" s="2043"/>
      <c r="BA1602" s="2043"/>
      <c r="BB1602" s="2043"/>
      <c r="BC1602" s="2043"/>
      <c r="BD1602" s="2043"/>
      <c r="BE1602" s="2043"/>
      <c r="BF1602" s="2043"/>
      <c r="BG1602" s="2043"/>
      <c r="BH1602" s="2043"/>
      <c r="BI1602" s="2043"/>
      <c r="BJ1602" s="2043"/>
      <c r="BK1602" s="2043"/>
      <c r="BL1602" s="2043"/>
    </row>
    <row r="1603" spans="1:64" ht="15">
      <c r="A1603" s="2043"/>
      <c r="B1603" s="2043"/>
      <c r="C1603" s="2043"/>
      <c r="D1603" s="2043"/>
      <c r="E1603" s="2043"/>
      <c r="F1603" s="2043"/>
      <c r="G1603" s="2050" t="s">
        <v>2025</v>
      </c>
      <c r="H1603" s="1994">
        <v>2019</v>
      </c>
      <c r="I1603" s="1994" t="s">
        <v>1976</v>
      </c>
      <c r="J1603" s="2043" t="s">
        <v>1655</v>
      </c>
      <c r="K1603" s="2043"/>
      <c r="L1603" s="2043"/>
      <c r="M1603" s="2043"/>
      <c r="N1603" s="1994"/>
      <c r="O1603" s="2045"/>
      <c r="P1603" s="2045"/>
      <c r="Q1603" s="2043"/>
      <c r="R1603" s="2043"/>
      <c r="S1603" s="2043"/>
      <c r="T1603" s="2043"/>
      <c r="U1603" s="2043"/>
      <c r="V1603" s="2043"/>
      <c r="W1603" s="2043"/>
      <c r="X1603" s="2043"/>
      <c r="Y1603" s="2043"/>
      <c r="Z1603" s="2043"/>
      <c r="AA1603" s="2043"/>
      <c r="AB1603" s="2043"/>
      <c r="AC1603" s="2043"/>
      <c r="AD1603" s="2043"/>
      <c r="AE1603" s="2043"/>
      <c r="AF1603" s="2043"/>
      <c r="AG1603" s="2043"/>
      <c r="AH1603" s="2043"/>
      <c r="AI1603" s="2043"/>
      <c r="AJ1603" s="2043"/>
      <c r="AK1603" s="2043"/>
      <c r="AL1603" s="2043"/>
      <c r="AM1603" s="2043"/>
      <c r="AN1603" s="2043"/>
      <c r="AO1603" s="2043"/>
      <c r="AP1603" s="2043"/>
      <c r="AQ1603" s="2043"/>
      <c r="AR1603" s="2043"/>
      <c r="AS1603" s="2043"/>
      <c r="AT1603" s="2043"/>
      <c r="AU1603" s="2043"/>
      <c r="AV1603" s="2043"/>
      <c r="AW1603" s="2043"/>
      <c r="AX1603" s="2043"/>
      <c r="AY1603" s="2043"/>
      <c r="AZ1603" s="2043"/>
      <c r="BA1603" s="2043"/>
      <c r="BB1603" s="2043"/>
      <c r="BC1603" s="2043"/>
      <c r="BD1603" s="2043"/>
      <c r="BE1603" s="2043"/>
      <c r="BF1603" s="2043"/>
      <c r="BG1603" s="2043"/>
      <c r="BH1603" s="2043"/>
      <c r="BI1603" s="2043"/>
      <c r="BJ1603" s="2043"/>
      <c r="BK1603" s="2043"/>
      <c r="BL1603" s="2043"/>
    </row>
    <row r="1604" spans="1:64" ht="15">
      <c r="A1604" s="2043"/>
      <c r="B1604" s="2043"/>
      <c r="C1604" s="2043"/>
      <c r="D1604" s="2043"/>
      <c r="E1604" s="2043"/>
      <c r="F1604" s="2043"/>
      <c r="G1604" s="2050" t="s">
        <v>2026</v>
      </c>
      <c r="H1604" s="1994" t="s">
        <v>1971</v>
      </c>
      <c r="I1604" s="2048" t="s">
        <v>1082</v>
      </c>
      <c r="J1604" s="2043" t="s">
        <v>1656</v>
      </c>
      <c r="K1604" s="2043"/>
      <c r="L1604" s="2049"/>
      <c r="M1604" s="2043"/>
      <c r="N1604" s="1994"/>
      <c r="O1604" s="2045"/>
      <c r="P1604" s="2045"/>
      <c r="Q1604" s="2043"/>
      <c r="R1604" s="2043"/>
      <c r="S1604" s="2043"/>
      <c r="T1604" s="2043"/>
      <c r="U1604" s="2043"/>
      <c r="V1604" s="2043"/>
      <c r="W1604" s="2043"/>
      <c r="X1604" s="2043"/>
      <c r="Y1604" s="2043"/>
      <c r="Z1604" s="2043"/>
      <c r="AA1604" s="2043"/>
      <c r="AB1604" s="2043"/>
      <c r="AC1604" s="2043"/>
      <c r="AD1604" s="2043"/>
      <c r="AE1604" s="2043"/>
      <c r="AF1604" s="2043"/>
      <c r="AG1604" s="2043"/>
      <c r="AH1604" s="2043"/>
      <c r="AI1604" s="2043"/>
      <c r="AJ1604" s="2043"/>
      <c r="AK1604" s="2043"/>
      <c r="AL1604" s="2043"/>
      <c r="AM1604" s="2043"/>
      <c r="AN1604" s="2043"/>
      <c r="AO1604" s="2043"/>
      <c r="AP1604" s="2043"/>
      <c r="AQ1604" s="2043"/>
      <c r="AR1604" s="2043"/>
      <c r="AS1604" s="2043"/>
      <c r="AT1604" s="2043"/>
      <c r="AU1604" s="2043"/>
      <c r="AV1604" s="2043"/>
      <c r="AW1604" s="2043"/>
      <c r="AX1604" s="2043"/>
      <c r="AY1604" s="2043"/>
      <c r="AZ1604" s="2043"/>
      <c r="BA1604" s="2043"/>
      <c r="BB1604" s="2043"/>
      <c r="BC1604" s="2043"/>
      <c r="BD1604" s="2043"/>
      <c r="BE1604" s="2043"/>
      <c r="BF1604" s="2043"/>
      <c r="BG1604" s="2043"/>
      <c r="BH1604" s="2043"/>
      <c r="BI1604" s="2043"/>
      <c r="BJ1604" s="2043"/>
      <c r="BK1604" s="2043"/>
      <c r="BL1604" s="2043"/>
    </row>
    <row r="1605" spans="1:64" ht="14.25">
      <c r="A1605" s="2043"/>
      <c r="B1605" s="2043"/>
      <c r="C1605" s="2043"/>
      <c r="D1605" s="2043"/>
      <c r="E1605" s="2043"/>
      <c r="F1605" s="2043"/>
      <c r="G1605" s="2050" t="s">
        <v>2027</v>
      </c>
      <c r="H1605" s="1994">
        <v>2020</v>
      </c>
      <c r="I1605" s="1994" t="s">
        <v>1976</v>
      </c>
      <c r="J1605" s="2043" t="s">
        <v>1657</v>
      </c>
      <c r="K1605" s="2043"/>
      <c r="L1605" s="2049"/>
      <c r="M1605" s="2043"/>
      <c r="N1605" s="2043"/>
      <c r="O1605" s="2043"/>
      <c r="P1605" s="2043"/>
      <c r="Q1605" s="2043"/>
      <c r="R1605" s="2043"/>
      <c r="S1605" s="2043"/>
      <c r="T1605" s="2043"/>
      <c r="U1605" s="2043"/>
      <c r="V1605" s="2043"/>
      <c r="W1605" s="2043"/>
      <c r="X1605" s="2043"/>
      <c r="Y1605" s="2043"/>
      <c r="Z1605" s="2043"/>
      <c r="AA1605" s="2043"/>
      <c r="AB1605" s="2043"/>
      <c r="AC1605" s="2043"/>
      <c r="AD1605" s="2043"/>
      <c r="AE1605" s="2043"/>
      <c r="AF1605" s="2043"/>
      <c r="AG1605" s="2043"/>
      <c r="AH1605" s="2043"/>
      <c r="AI1605" s="2043"/>
      <c r="AJ1605" s="2043"/>
      <c r="AK1605" s="2043"/>
      <c r="AL1605" s="2043"/>
      <c r="AM1605" s="2043"/>
      <c r="AN1605" s="2043"/>
      <c r="AO1605" s="2043"/>
      <c r="AP1605" s="2043"/>
      <c r="AQ1605" s="2043"/>
      <c r="AR1605" s="2043"/>
      <c r="AS1605" s="2043"/>
      <c r="AT1605" s="2043"/>
      <c r="AU1605" s="2043"/>
      <c r="AV1605" s="2043"/>
      <c r="AW1605" s="2043"/>
      <c r="AX1605" s="2043"/>
      <c r="AY1605" s="2043"/>
      <c r="AZ1605" s="2043"/>
      <c r="BA1605" s="2043"/>
      <c r="BB1605" s="2043"/>
      <c r="BC1605" s="2043"/>
      <c r="BD1605" s="2043"/>
      <c r="BE1605" s="2043"/>
      <c r="BF1605" s="2043"/>
      <c r="BG1605" s="2043"/>
      <c r="BH1605" s="2043"/>
      <c r="BI1605" s="2043"/>
      <c r="BJ1605" s="2043"/>
      <c r="BK1605" s="2043"/>
      <c r="BL1605" s="2043"/>
    </row>
    <row r="1606" spans="1:64" ht="14.25">
      <c r="A1606" s="2043"/>
      <c r="B1606" s="2043"/>
      <c r="C1606" s="2043"/>
      <c r="D1606" s="2043"/>
      <c r="E1606" s="2043"/>
      <c r="F1606" s="2043"/>
      <c r="G1606" s="2050" t="s">
        <v>2028</v>
      </c>
      <c r="H1606" s="1994">
        <v>2020</v>
      </c>
      <c r="I1606" s="1994" t="s">
        <v>1976</v>
      </c>
      <c r="J1606" s="2043" t="s">
        <v>2029</v>
      </c>
      <c r="K1606" s="2043"/>
      <c r="L1606" s="2043"/>
      <c r="M1606" s="2043"/>
      <c r="N1606" s="2043"/>
      <c r="O1606" s="2043"/>
      <c r="P1606" s="2043"/>
      <c r="Q1606" s="2043"/>
      <c r="R1606" s="2043"/>
      <c r="S1606" s="2043"/>
      <c r="T1606" s="2043"/>
      <c r="U1606" s="2043"/>
      <c r="V1606" s="2043"/>
      <c r="W1606" s="2043"/>
      <c r="X1606" s="2043"/>
      <c r="Y1606" s="2043"/>
      <c r="Z1606" s="2043"/>
      <c r="AA1606" s="2043"/>
      <c r="AB1606" s="2043"/>
      <c r="AC1606" s="2043"/>
      <c r="AD1606" s="2043"/>
      <c r="AE1606" s="2043"/>
      <c r="AF1606" s="2043"/>
      <c r="AG1606" s="2043"/>
      <c r="AH1606" s="2043"/>
      <c r="AI1606" s="2043"/>
      <c r="AJ1606" s="2043"/>
      <c r="AK1606" s="2043"/>
      <c r="AL1606" s="2043"/>
      <c r="AM1606" s="2043"/>
      <c r="AN1606" s="2043"/>
      <c r="AO1606" s="2043"/>
      <c r="AP1606" s="2043"/>
      <c r="AQ1606" s="2043"/>
      <c r="AR1606" s="2043"/>
      <c r="AS1606" s="2043"/>
      <c r="AT1606" s="2043"/>
      <c r="AU1606" s="2043"/>
      <c r="AV1606" s="2043"/>
      <c r="AW1606" s="2043"/>
      <c r="AX1606" s="2043"/>
      <c r="AY1606" s="2043"/>
      <c r="AZ1606" s="2043"/>
      <c r="BA1606" s="2043"/>
      <c r="BB1606" s="2043"/>
      <c r="BC1606" s="2043"/>
      <c r="BD1606" s="2043"/>
      <c r="BE1606" s="2043"/>
      <c r="BF1606" s="2043"/>
      <c r="BG1606" s="2043"/>
      <c r="BH1606" s="2043"/>
      <c r="BI1606" s="2043"/>
      <c r="BJ1606" s="2043"/>
      <c r="BK1606" s="2043"/>
      <c r="BL1606" s="2043"/>
    </row>
    <row r="1607" spans="1:64" ht="14.25">
      <c r="A1607" s="2043"/>
      <c r="B1607" s="2043"/>
      <c r="C1607" s="2043"/>
      <c r="D1607" s="2052"/>
      <c r="E1607" s="2043"/>
      <c r="F1607" s="2043"/>
      <c r="G1607" s="2050" t="s">
        <v>2030</v>
      </c>
      <c r="H1607" s="1994" t="s">
        <v>1971</v>
      </c>
      <c r="I1607" s="2048" t="s">
        <v>1082</v>
      </c>
      <c r="J1607" s="2043" t="s">
        <v>1658</v>
      </c>
      <c r="K1607" s="2043"/>
      <c r="L1607" s="2049"/>
      <c r="M1607" s="2043"/>
      <c r="N1607" s="2043"/>
      <c r="O1607" s="2043"/>
      <c r="P1607" s="2043"/>
      <c r="Q1607" s="2043"/>
      <c r="R1607" s="2043"/>
      <c r="S1607" s="2043"/>
      <c r="T1607" s="2043"/>
      <c r="U1607" s="2043"/>
      <c r="V1607" s="2043"/>
      <c r="W1607" s="2043"/>
      <c r="X1607" s="2043"/>
      <c r="Y1607" s="2043"/>
      <c r="Z1607" s="2043"/>
      <c r="AA1607" s="2043"/>
      <c r="AB1607" s="2043"/>
      <c r="AC1607" s="2043"/>
      <c r="AD1607" s="2043"/>
      <c r="AE1607" s="2043"/>
      <c r="AF1607" s="2043"/>
      <c r="AG1607" s="2043"/>
      <c r="AH1607" s="2043"/>
      <c r="AI1607" s="2043"/>
      <c r="AJ1607" s="2043"/>
      <c r="AK1607" s="2043"/>
      <c r="AL1607" s="2043"/>
      <c r="AM1607" s="2043"/>
      <c r="AN1607" s="2043"/>
      <c r="AO1607" s="2043"/>
      <c r="AP1607" s="2043"/>
      <c r="AQ1607" s="2043"/>
      <c r="AR1607" s="2043"/>
      <c r="AS1607" s="2043"/>
      <c r="AT1607" s="2043"/>
      <c r="AU1607" s="2043"/>
      <c r="AV1607" s="2043"/>
      <c r="AW1607" s="2043"/>
      <c r="AX1607" s="2043"/>
      <c r="AY1607" s="2043"/>
      <c r="AZ1607" s="2043"/>
      <c r="BA1607" s="2043"/>
      <c r="BB1607" s="2043"/>
      <c r="BC1607" s="2043"/>
      <c r="BD1607" s="2043"/>
      <c r="BE1607" s="2043"/>
      <c r="BF1607" s="2043"/>
      <c r="BG1607" s="2043"/>
      <c r="BH1607" s="2043"/>
      <c r="BI1607" s="2043"/>
      <c r="BJ1607" s="2043"/>
      <c r="BK1607" s="2043"/>
      <c r="BL1607" s="2043"/>
    </row>
    <row r="1608" spans="1:64" ht="14.25">
      <c r="A1608" s="2043"/>
      <c r="B1608" s="2043"/>
      <c r="C1608" s="2043"/>
      <c r="D1608" s="2052"/>
      <c r="E1608" s="2043"/>
      <c r="F1608" s="2043"/>
      <c r="G1608" s="2050" t="s">
        <v>2031</v>
      </c>
      <c r="H1608" s="1994" t="s">
        <v>1971</v>
      </c>
      <c r="I1608" s="2048" t="s">
        <v>1082</v>
      </c>
      <c r="J1608" s="2043" t="s">
        <v>1659</v>
      </c>
      <c r="K1608" s="2043"/>
      <c r="L1608" s="2049"/>
      <c r="M1608" s="2043"/>
      <c r="N1608" s="2043"/>
      <c r="O1608" s="2043"/>
      <c r="P1608" s="2043"/>
      <c r="Q1608" s="2043"/>
      <c r="R1608" s="2043"/>
      <c r="S1608" s="2043"/>
      <c r="T1608" s="2043"/>
      <c r="U1608" s="2043"/>
      <c r="V1608" s="2043"/>
      <c r="W1608" s="2043"/>
      <c r="X1608" s="2043"/>
      <c r="Y1608" s="2043"/>
      <c r="Z1608" s="2043"/>
      <c r="AA1608" s="2043"/>
      <c r="AB1608" s="2043"/>
      <c r="AC1608" s="2043"/>
      <c r="AD1608" s="2043"/>
      <c r="AE1608" s="2043"/>
      <c r="AF1608" s="2043"/>
      <c r="AG1608" s="2043"/>
      <c r="AH1608" s="2043"/>
      <c r="AI1608" s="2043"/>
      <c r="AJ1608" s="2043"/>
      <c r="AK1608" s="2043"/>
      <c r="AL1608" s="2043"/>
      <c r="AM1608" s="2043"/>
      <c r="AN1608" s="2043"/>
      <c r="AO1608" s="2043"/>
      <c r="AP1608" s="2043"/>
      <c r="AQ1608" s="2043"/>
      <c r="AR1608" s="2043"/>
      <c r="AS1608" s="2043"/>
      <c r="AT1608" s="2043"/>
      <c r="AU1608" s="2043"/>
      <c r="AV1608" s="2043"/>
      <c r="AW1608" s="2043"/>
      <c r="AX1608" s="2043"/>
      <c r="AY1608" s="2043"/>
      <c r="AZ1608" s="2043"/>
      <c r="BA1608" s="2043"/>
      <c r="BB1608" s="2043"/>
      <c r="BC1608" s="2043"/>
      <c r="BD1608" s="2043"/>
      <c r="BE1608" s="2043"/>
      <c r="BF1608" s="2043"/>
      <c r="BG1608" s="2043"/>
      <c r="BH1608" s="2043"/>
      <c r="BI1608" s="2043"/>
      <c r="BJ1608" s="2043"/>
      <c r="BK1608" s="2043"/>
      <c r="BL1608" s="2043"/>
    </row>
    <row r="1609" spans="1:64" ht="14.25">
      <c r="A1609" s="2043"/>
      <c r="B1609" s="2043"/>
      <c r="C1609" s="2043"/>
      <c r="D1609" s="2043"/>
      <c r="E1609" s="2043"/>
      <c r="F1609" s="2043"/>
      <c r="G1609" s="2050" t="s">
        <v>2032</v>
      </c>
      <c r="H1609" s="1994">
        <v>2020</v>
      </c>
      <c r="I1609" s="1994" t="s">
        <v>1976</v>
      </c>
      <c r="J1609" s="2043" t="s">
        <v>1660</v>
      </c>
      <c r="K1609" s="2043"/>
      <c r="L1609" s="2049"/>
      <c r="M1609" s="2043"/>
      <c r="N1609" s="2043"/>
      <c r="O1609" s="2043"/>
      <c r="P1609" s="2043"/>
      <c r="Q1609" s="2043"/>
      <c r="R1609" s="2043"/>
      <c r="S1609" s="2043"/>
      <c r="T1609" s="2043"/>
      <c r="U1609" s="2043"/>
      <c r="V1609" s="2043"/>
      <c r="W1609" s="2043"/>
      <c r="X1609" s="2043"/>
      <c r="Y1609" s="2043"/>
      <c r="Z1609" s="2043"/>
      <c r="AA1609" s="2043"/>
      <c r="AB1609" s="2043"/>
      <c r="AC1609" s="2043"/>
      <c r="AD1609" s="2043"/>
      <c r="AE1609" s="2043"/>
      <c r="AF1609" s="2043"/>
      <c r="AG1609" s="2043"/>
      <c r="AH1609" s="2043"/>
      <c r="AI1609" s="2043"/>
      <c r="AJ1609" s="2043"/>
      <c r="AK1609" s="2043"/>
      <c r="AL1609" s="2043"/>
      <c r="AM1609" s="2043"/>
      <c r="AN1609" s="2043"/>
      <c r="AO1609" s="2043"/>
      <c r="AP1609" s="2043"/>
      <c r="AQ1609" s="2043"/>
      <c r="AR1609" s="2043"/>
      <c r="AS1609" s="2043"/>
      <c r="AT1609" s="2043"/>
      <c r="AU1609" s="2043"/>
      <c r="AV1609" s="2043"/>
      <c r="AW1609" s="2043"/>
      <c r="AX1609" s="2043"/>
      <c r="AY1609" s="2043"/>
      <c r="AZ1609" s="2043"/>
      <c r="BA1609" s="2043"/>
      <c r="BB1609" s="2043"/>
      <c r="BC1609" s="2043"/>
      <c r="BD1609" s="2043"/>
      <c r="BE1609" s="2043"/>
      <c r="BF1609" s="2043"/>
      <c r="BG1609" s="2043"/>
      <c r="BH1609" s="2043"/>
      <c r="BI1609" s="2043"/>
      <c r="BJ1609" s="2043"/>
      <c r="BK1609" s="2043"/>
      <c r="BL1609" s="2043"/>
    </row>
    <row r="1610" spans="1:64" ht="14.25">
      <c r="A1610" s="2043"/>
      <c r="B1610" s="2043"/>
      <c r="C1610" s="2043"/>
      <c r="D1610" s="2043"/>
      <c r="E1610" s="2043"/>
      <c r="F1610" s="2043"/>
      <c r="G1610" s="2050" t="s">
        <v>2033</v>
      </c>
      <c r="H1610" s="1994">
        <v>2019</v>
      </c>
      <c r="I1610" s="1994" t="s">
        <v>1976</v>
      </c>
      <c r="J1610" s="2043" t="s">
        <v>1661</v>
      </c>
      <c r="K1610" s="2043"/>
      <c r="L1610" s="2043"/>
      <c r="M1610" s="2043"/>
      <c r="N1610" s="2043"/>
      <c r="O1610" s="2043"/>
      <c r="P1610" s="2043"/>
      <c r="Q1610" s="2043"/>
      <c r="R1610" s="2043"/>
      <c r="S1610" s="2043"/>
      <c r="T1610" s="2043"/>
      <c r="U1610" s="2043"/>
      <c r="V1610" s="2043"/>
      <c r="W1610" s="2043"/>
      <c r="X1610" s="2043"/>
      <c r="Y1610" s="2043"/>
      <c r="Z1610" s="2043"/>
      <c r="AA1610" s="2043"/>
      <c r="AB1610" s="2043"/>
      <c r="AC1610" s="2043"/>
      <c r="AD1610" s="2043"/>
      <c r="AE1610" s="2043"/>
      <c r="AF1610" s="2043"/>
      <c r="AG1610" s="2043"/>
      <c r="AH1610" s="2043"/>
      <c r="AI1610" s="2043"/>
      <c r="AJ1610" s="2043"/>
      <c r="AK1610" s="2043"/>
      <c r="AL1610" s="2043"/>
      <c r="AM1610" s="2043"/>
      <c r="AN1610" s="2043"/>
      <c r="AO1610" s="2043"/>
      <c r="AP1610" s="2043"/>
      <c r="AQ1610" s="2043"/>
      <c r="AR1610" s="2043"/>
      <c r="AS1610" s="2043"/>
      <c r="AT1610" s="2043"/>
      <c r="AU1610" s="2043"/>
      <c r="AV1610" s="2043"/>
      <c r="AW1610" s="2043"/>
      <c r="AX1610" s="2043"/>
      <c r="AY1610" s="2043"/>
      <c r="AZ1610" s="2043"/>
      <c r="BA1610" s="2043"/>
      <c r="BB1610" s="2043"/>
      <c r="BC1610" s="2043"/>
      <c r="BD1610" s="2043"/>
      <c r="BE1610" s="2043"/>
      <c r="BF1610" s="2043"/>
      <c r="BG1610" s="2043"/>
      <c r="BH1610" s="2043"/>
      <c r="BI1610" s="2043"/>
      <c r="BJ1610" s="2043"/>
      <c r="BK1610" s="2043"/>
      <c r="BL1610" s="2043"/>
    </row>
    <row r="1611" spans="1:64" ht="14.25">
      <c r="A1611" s="2043"/>
      <c r="B1611" s="2043"/>
      <c r="C1611" s="2043"/>
      <c r="D1611" s="2043"/>
      <c r="E1611" s="2043"/>
      <c r="F1611" s="2043"/>
      <c r="G1611" s="2050" t="s">
        <v>2034</v>
      </c>
      <c r="H1611" s="1994">
        <v>2019</v>
      </c>
      <c r="I1611" s="1994" t="s">
        <v>1976</v>
      </c>
      <c r="J1611" s="2043" t="s">
        <v>1662</v>
      </c>
      <c r="K1611" s="2043"/>
      <c r="L1611" s="2049"/>
      <c r="M1611" s="2043"/>
      <c r="N1611" s="2043"/>
      <c r="O1611" s="2043"/>
      <c r="P1611" s="2043"/>
      <c r="Q1611" s="2043"/>
      <c r="R1611" s="2043"/>
      <c r="S1611" s="2043"/>
      <c r="T1611" s="2043"/>
      <c r="U1611" s="2043"/>
      <c r="V1611" s="2043"/>
      <c r="W1611" s="2043"/>
      <c r="X1611" s="2043"/>
      <c r="Y1611" s="2043"/>
      <c r="Z1611" s="2043"/>
      <c r="AA1611" s="2043"/>
      <c r="AB1611" s="2043"/>
      <c r="AC1611" s="2043"/>
      <c r="AD1611" s="2043"/>
      <c r="AE1611" s="2043"/>
      <c r="AF1611" s="2043"/>
      <c r="AG1611" s="2043"/>
      <c r="AH1611" s="2043"/>
      <c r="AI1611" s="2043"/>
      <c r="AJ1611" s="2043"/>
      <c r="AK1611" s="2043"/>
      <c r="AL1611" s="2043"/>
      <c r="AM1611" s="2043"/>
      <c r="AN1611" s="2043"/>
      <c r="AO1611" s="2043"/>
      <c r="AP1611" s="2043"/>
      <c r="AQ1611" s="2043"/>
      <c r="AR1611" s="2043"/>
      <c r="AS1611" s="2043"/>
      <c r="AT1611" s="2043"/>
      <c r="AU1611" s="2043"/>
      <c r="AV1611" s="2043"/>
      <c r="AW1611" s="2043"/>
      <c r="AX1611" s="2043"/>
      <c r="AY1611" s="2043"/>
      <c r="AZ1611" s="2043"/>
      <c r="BA1611" s="2043"/>
      <c r="BB1611" s="2043"/>
      <c r="BC1611" s="2043"/>
      <c r="BD1611" s="2043"/>
      <c r="BE1611" s="2043"/>
      <c r="BF1611" s="2043"/>
      <c r="BG1611" s="2043"/>
      <c r="BH1611" s="2043"/>
      <c r="BI1611" s="2043"/>
      <c r="BJ1611" s="2043"/>
      <c r="BK1611" s="2043"/>
      <c r="BL1611" s="2043"/>
    </row>
    <row r="1612" spans="1:64" ht="14.25">
      <c r="A1612" s="2043"/>
      <c r="B1612" s="2043"/>
      <c r="C1612" s="2043"/>
      <c r="D1612" s="2043"/>
      <c r="E1612" s="2043"/>
      <c r="F1612" s="2043"/>
      <c r="G1612" s="2050" t="s">
        <v>2035</v>
      </c>
      <c r="H1612" s="1994">
        <v>2020</v>
      </c>
      <c r="I1612" s="1994" t="s">
        <v>1976</v>
      </c>
      <c r="J1612" s="2043" t="s">
        <v>2036</v>
      </c>
      <c r="K1612" s="2043"/>
      <c r="L1612" s="2049"/>
      <c r="M1612" s="2043"/>
      <c r="N1612" s="2043"/>
      <c r="O1612" s="2043"/>
      <c r="P1612" s="2043"/>
      <c r="Q1612" s="2043"/>
      <c r="R1612" s="2043"/>
      <c r="S1612" s="2043"/>
      <c r="T1612" s="2043"/>
      <c r="U1612" s="2043"/>
      <c r="V1612" s="2043"/>
      <c r="W1612" s="2043"/>
      <c r="X1612" s="2043"/>
      <c r="Y1612" s="2043"/>
      <c r="Z1612" s="2043"/>
      <c r="AA1612" s="2043"/>
      <c r="AB1612" s="2043"/>
      <c r="AC1612" s="2043"/>
      <c r="AD1612" s="2043"/>
      <c r="AE1612" s="2043"/>
      <c r="AF1612" s="2043"/>
      <c r="AG1612" s="2043"/>
      <c r="AH1612" s="2043"/>
      <c r="AI1612" s="2043"/>
      <c r="AJ1612" s="2043"/>
      <c r="AK1612" s="2043"/>
      <c r="AL1612" s="2043"/>
      <c r="AM1612" s="2043"/>
      <c r="AN1612" s="2043"/>
      <c r="AO1612" s="2043"/>
      <c r="AP1612" s="2043"/>
      <c r="AQ1612" s="2043"/>
      <c r="AR1612" s="2043"/>
      <c r="AS1612" s="2043"/>
      <c r="AT1612" s="2043"/>
      <c r="AU1612" s="2043"/>
      <c r="AV1612" s="2043"/>
      <c r="AW1612" s="2043"/>
      <c r="AX1612" s="2043"/>
      <c r="AY1612" s="2043"/>
      <c r="AZ1612" s="2043"/>
      <c r="BA1612" s="2043"/>
      <c r="BB1612" s="2043"/>
      <c r="BC1612" s="2043"/>
      <c r="BD1612" s="2043"/>
      <c r="BE1612" s="2043"/>
      <c r="BF1612" s="2043"/>
      <c r="BG1612" s="2043"/>
      <c r="BH1612" s="2043"/>
      <c r="BI1612" s="2043"/>
      <c r="BJ1612" s="2043"/>
      <c r="BK1612" s="2043"/>
      <c r="BL1612" s="2043"/>
    </row>
    <row r="1613" spans="1:64" ht="14.25">
      <c r="A1613" s="2043"/>
      <c r="B1613" s="2043"/>
      <c r="C1613" s="2052"/>
      <c r="D1613" s="2043"/>
      <c r="E1613" s="2043"/>
      <c r="F1613" s="2043"/>
      <c r="G1613" s="2050" t="s">
        <v>2037</v>
      </c>
      <c r="H1613" s="1994">
        <v>2020</v>
      </c>
      <c r="I1613" s="1994" t="s">
        <v>1976</v>
      </c>
      <c r="J1613" s="2043" t="s">
        <v>2038</v>
      </c>
      <c r="K1613" s="2043"/>
      <c r="L1613" s="2049"/>
      <c r="M1613" s="2043"/>
      <c r="N1613" s="2043"/>
      <c r="O1613" s="2043"/>
      <c r="P1613" s="2043"/>
      <c r="Q1613" s="2043"/>
      <c r="R1613" s="2043"/>
      <c r="S1613" s="2043"/>
      <c r="T1613" s="2043"/>
      <c r="U1613" s="2043"/>
      <c r="V1613" s="2043"/>
      <c r="W1613" s="2043"/>
      <c r="X1613" s="2043"/>
      <c r="Y1613" s="2043"/>
      <c r="Z1613" s="2043"/>
      <c r="AA1613" s="2043"/>
      <c r="AB1613" s="2043"/>
      <c r="AC1613" s="2043"/>
      <c r="AD1613" s="2043"/>
      <c r="AE1613" s="2043"/>
      <c r="AF1613" s="2043"/>
      <c r="AG1613" s="2043"/>
      <c r="AH1613" s="2043"/>
      <c r="AI1613" s="2043"/>
      <c r="AJ1613" s="2043"/>
      <c r="AK1613" s="2043"/>
      <c r="AL1613" s="2043"/>
      <c r="AM1613" s="2043"/>
      <c r="AN1613" s="2043"/>
      <c r="AO1613" s="2043"/>
      <c r="AP1613" s="2043"/>
      <c r="AQ1613" s="2043"/>
      <c r="AR1613" s="2043"/>
      <c r="AS1613" s="2043"/>
      <c r="AT1613" s="2043"/>
      <c r="AU1613" s="2043"/>
      <c r="AV1613" s="2043"/>
      <c r="AW1613" s="2043"/>
      <c r="AX1613" s="2043"/>
      <c r="AY1613" s="2043"/>
      <c r="AZ1613" s="2043"/>
      <c r="BA1613" s="2043"/>
      <c r="BB1613" s="2043"/>
      <c r="BC1613" s="2043"/>
      <c r="BD1613" s="2043"/>
      <c r="BE1613" s="2043"/>
      <c r="BF1613" s="2043"/>
      <c r="BG1613" s="2043"/>
      <c r="BH1613" s="2043"/>
      <c r="BI1613" s="2043"/>
      <c r="BJ1613" s="2043"/>
      <c r="BK1613" s="2043"/>
      <c r="BL1613" s="2043"/>
    </row>
    <row r="1614" spans="1:64" ht="14.25">
      <c r="A1614" s="2043"/>
      <c r="B1614" s="2043"/>
      <c r="C1614" s="2052"/>
      <c r="D1614" s="2043"/>
      <c r="E1614" s="2043"/>
      <c r="F1614" s="2043"/>
      <c r="G1614" s="2050" t="s">
        <v>2039</v>
      </c>
      <c r="H1614" s="1994" t="s">
        <v>1971</v>
      </c>
      <c r="I1614" s="2048" t="s">
        <v>1082</v>
      </c>
      <c r="J1614" s="2043"/>
      <c r="K1614" s="2043"/>
      <c r="L1614" s="2049"/>
      <c r="M1614" s="2043"/>
      <c r="N1614" s="2043"/>
      <c r="O1614" s="2043"/>
      <c r="P1614" s="2043"/>
      <c r="Q1614" s="2043"/>
      <c r="R1614" s="2043"/>
      <c r="S1614" s="2043"/>
      <c r="T1614" s="2043"/>
      <c r="U1614" s="2043"/>
      <c r="V1614" s="2043"/>
      <c r="W1614" s="2043"/>
      <c r="X1614" s="2043"/>
      <c r="Y1614" s="2043"/>
      <c r="Z1614" s="2043"/>
      <c r="AA1614" s="2043"/>
      <c r="AB1614" s="2043"/>
      <c r="AC1614" s="2043"/>
      <c r="AD1614" s="2043"/>
      <c r="AE1614" s="2043"/>
      <c r="AF1614" s="2043"/>
      <c r="AG1614" s="2043"/>
      <c r="AH1614" s="2043"/>
      <c r="AI1614" s="2043"/>
      <c r="AJ1614" s="2043"/>
      <c r="AK1614" s="2043"/>
      <c r="AL1614" s="2043"/>
      <c r="AM1614" s="2043"/>
      <c r="AN1614" s="2043"/>
      <c r="AO1614" s="2043"/>
      <c r="AP1614" s="2043"/>
      <c r="AQ1614" s="2043"/>
      <c r="AR1614" s="2043"/>
      <c r="AS1614" s="2043"/>
      <c r="AT1614" s="2043"/>
      <c r="AU1614" s="2043"/>
      <c r="AV1614" s="2043"/>
      <c r="AW1614" s="2043"/>
      <c r="AX1614" s="2043"/>
      <c r="AY1614" s="2043"/>
      <c r="AZ1614" s="2043"/>
      <c r="BA1614" s="2043"/>
      <c r="BB1614" s="2043"/>
      <c r="BC1614" s="2043"/>
      <c r="BD1614" s="2043"/>
      <c r="BE1614" s="2043"/>
      <c r="BF1614" s="2043"/>
      <c r="BG1614" s="2043"/>
      <c r="BH1614" s="2043"/>
      <c r="BI1614" s="2043"/>
      <c r="BJ1614" s="2043"/>
      <c r="BK1614" s="2043"/>
      <c r="BL1614" s="2043"/>
    </row>
    <row r="1615" spans="1:64" ht="14.25">
      <c r="A1615" s="2043"/>
      <c r="B1615" s="2043"/>
      <c r="C1615" s="2052"/>
      <c r="D1615" s="2043"/>
      <c r="E1615" s="2043"/>
      <c r="F1615" s="2043"/>
      <c r="G1615" s="2050" t="s">
        <v>2040</v>
      </c>
      <c r="H1615" s="1994" t="s">
        <v>1971</v>
      </c>
      <c r="I1615" s="2048" t="s">
        <v>1082</v>
      </c>
      <c r="J1615" s="2043"/>
      <c r="K1615" s="2043"/>
      <c r="L1615" s="2049"/>
      <c r="M1615" s="2043"/>
      <c r="N1615" s="2043"/>
      <c r="O1615" s="2043"/>
      <c r="P1615" s="2043"/>
      <c r="Q1615" s="2043"/>
      <c r="R1615" s="2043"/>
      <c r="S1615" s="2043"/>
      <c r="T1615" s="2043"/>
      <c r="U1615" s="2043"/>
      <c r="V1615" s="2043"/>
      <c r="W1615" s="2043"/>
      <c r="X1615" s="2043"/>
      <c r="Y1615" s="2043"/>
      <c r="Z1615" s="2043"/>
      <c r="AA1615" s="2043"/>
      <c r="AB1615" s="2043"/>
      <c r="AC1615" s="2043"/>
      <c r="AD1615" s="2043"/>
      <c r="AE1615" s="2043"/>
      <c r="AF1615" s="2043"/>
      <c r="AG1615" s="2043"/>
      <c r="AH1615" s="2043"/>
      <c r="AI1615" s="2043"/>
      <c r="AJ1615" s="2043"/>
      <c r="AK1615" s="2043"/>
      <c r="AL1615" s="2043"/>
      <c r="AM1615" s="2043"/>
      <c r="AN1615" s="2043"/>
      <c r="AO1615" s="2043"/>
      <c r="AP1615" s="2043"/>
      <c r="AQ1615" s="2043"/>
      <c r="AR1615" s="2043"/>
      <c r="AS1615" s="2043"/>
      <c r="AT1615" s="2043"/>
      <c r="AU1615" s="2043"/>
      <c r="AV1615" s="2043"/>
      <c r="AW1615" s="2043"/>
      <c r="AX1615" s="2043"/>
      <c r="AY1615" s="2043"/>
      <c r="AZ1615" s="2043"/>
      <c r="BA1615" s="2043"/>
      <c r="BB1615" s="2043"/>
      <c r="BC1615" s="2043"/>
      <c r="BD1615" s="2043"/>
      <c r="BE1615" s="2043"/>
      <c r="BF1615" s="2043"/>
      <c r="BG1615" s="2043"/>
      <c r="BH1615" s="2043"/>
      <c r="BI1615" s="2043"/>
      <c r="BJ1615" s="2043"/>
      <c r="BK1615" s="2043"/>
      <c r="BL1615" s="2043"/>
    </row>
    <row r="1616" spans="1:64" ht="14.25">
      <c r="A1616" s="2043"/>
      <c r="B1616" s="2043"/>
      <c r="C1616" s="2052"/>
      <c r="D1616" s="2043"/>
      <c r="E1616" s="2043"/>
      <c r="F1616" s="2043"/>
      <c r="G1616" s="2050" t="s">
        <v>2041</v>
      </c>
      <c r="H1616" s="1994" t="s">
        <v>1971</v>
      </c>
      <c r="I1616" s="2048" t="s">
        <v>1082</v>
      </c>
      <c r="J1616" s="2043"/>
      <c r="K1616" s="2043"/>
      <c r="L1616" s="2049"/>
      <c r="M1616" s="2043"/>
      <c r="N1616" s="2043"/>
      <c r="O1616" s="2043"/>
      <c r="P1616" s="2043"/>
      <c r="Q1616" s="2043"/>
      <c r="R1616" s="2043"/>
      <c r="S1616" s="2043"/>
      <c r="T1616" s="2043"/>
      <c r="U1616" s="2043"/>
      <c r="V1616" s="2043"/>
      <c r="W1616" s="2043"/>
      <c r="X1616" s="2043"/>
      <c r="Y1616" s="2043"/>
      <c r="Z1616" s="2043"/>
      <c r="AA1616" s="2043"/>
      <c r="AB1616" s="2043"/>
      <c r="AC1616" s="2043"/>
      <c r="AD1616" s="2043"/>
      <c r="AE1616" s="2043"/>
      <c r="AF1616" s="2043"/>
      <c r="AG1616" s="2043"/>
      <c r="AH1616" s="2043"/>
      <c r="AI1616" s="2043"/>
      <c r="AJ1616" s="2043"/>
      <c r="AK1616" s="2043"/>
      <c r="AL1616" s="2043"/>
      <c r="AM1616" s="2043"/>
      <c r="AN1616" s="2043"/>
      <c r="AO1616" s="2043"/>
      <c r="AP1616" s="2043"/>
      <c r="AQ1616" s="2043"/>
      <c r="AR1616" s="2043"/>
      <c r="AS1616" s="2043"/>
      <c r="AT1616" s="2043"/>
      <c r="AU1616" s="2043"/>
      <c r="AV1616" s="2043"/>
      <c r="AW1616" s="2043"/>
      <c r="AX1616" s="2043"/>
      <c r="AY1616" s="2043"/>
      <c r="AZ1616" s="2043"/>
      <c r="BA1616" s="2043"/>
      <c r="BB1616" s="2043"/>
      <c r="BC1616" s="2043"/>
      <c r="BD1616" s="2043"/>
      <c r="BE1616" s="2043"/>
      <c r="BF1616" s="2043"/>
      <c r="BG1616" s="2043"/>
      <c r="BH1616" s="2043"/>
      <c r="BI1616" s="2043"/>
      <c r="BJ1616" s="2043"/>
      <c r="BK1616" s="2043"/>
      <c r="BL1616" s="2043"/>
    </row>
    <row r="1617" spans="1:64" ht="14.25">
      <c r="A1617" s="2043"/>
      <c r="B1617" s="2043"/>
      <c r="C1617" s="2052"/>
      <c r="D1617" s="2043"/>
      <c r="E1617" s="2043"/>
      <c r="F1617" s="2043"/>
      <c r="G1617" s="2050" t="s">
        <v>2042</v>
      </c>
      <c r="H1617" s="1994" t="s">
        <v>1971</v>
      </c>
      <c r="I1617" s="2048" t="s">
        <v>1082</v>
      </c>
      <c r="J1617" s="2043"/>
      <c r="K1617" s="2043"/>
      <c r="L1617" s="2049"/>
      <c r="M1617" s="2043"/>
      <c r="N1617" s="2043"/>
      <c r="O1617" s="2043"/>
      <c r="P1617" s="2043"/>
      <c r="Q1617" s="2043"/>
      <c r="R1617" s="2043"/>
      <c r="S1617" s="2043"/>
      <c r="T1617" s="2043"/>
      <c r="U1617" s="2043"/>
      <c r="V1617" s="2043"/>
      <c r="W1617" s="2043"/>
      <c r="X1617" s="2043"/>
      <c r="Y1617" s="2043"/>
      <c r="Z1617" s="2043"/>
      <c r="AA1617" s="2043"/>
      <c r="AB1617" s="2043"/>
      <c r="AC1617" s="2043"/>
      <c r="AD1617" s="2043"/>
      <c r="AE1617" s="2043"/>
      <c r="AF1617" s="2043"/>
      <c r="AG1617" s="2043"/>
      <c r="AH1617" s="2043"/>
      <c r="AI1617" s="2043"/>
      <c r="AJ1617" s="2043"/>
      <c r="AK1617" s="2043"/>
      <c r="AL1617" s="2043"/>
      <c r="AM1617" s="2043"/>
      <c r="AN1617" s="2043"/>
      <c r="AO1617" s="2043"/>
      <c r="AP1617" s="2043"/>
      <c r="AQ1617" s="2043"/>
      <c r="AR1617" s="2043"/>
      <c r="AS1617" s="2043"/>
      <c r="AT1617" s="2043"/>
      <c r="AU1617" s="2043"/>
      <c r="AV1617" s="2043"/>
      <c r="AW1617" s="2043"/>
      <c r="AX1617" s="2043"/>
      <c r="AY1617" s="2043"/>
      <c r="AZ1617" s="2043"/>
      <c r="BA1617" s="2043"/>
      <c r="BB1617" s="2043"/>
      <c r="BC1617" s="2043"/>
      <c r="BD1617" s="2043"/>
      <c r="BE1617" s="2043"/>
      <c r="BF1617" s="2043"/>
      <c r="BG1617" s="2043"/>
      <c r="BH1617" s="2043"/>
      <c r="BI1617" s="2043"/>
      <c r="BJ1617" s="2043"/>
      <c r="BK1617" s="2043"/>
      <c r="BL1617" s="2043"/>
    </row>
    <row r="1618" spans="1:64" ht="14.25">
      <c r="A1618" s="2043"/>
      <c r="B1618" s="2043"/>
      <c r="C1618" s="2052"/>
      <c r="D1618" s="2043"/>
      <c r="E1618" s="2043"/>
      <c r="F1618" s="2043"/>
      <c r="G1618" s="2050" t="s">
        <v>2043</v>
      </c>
      <c r="H1618" s="1994">
        <v>2020</v>
      </c>
      <c r="I1618" s="1994" t="s">
        <v>1976</v>
      </c>
      <c r="J1618" s="2043"/>
      <c r="K1618" s="2043"/>
      <c r="L1618" s="2049"/>
      <c r="M1618" s="2043"/>
      <c r="N1618" s="2043"/>
      <c r="O1618" s="2043"/>
      <c r="P1618" s="2043"/>
      <c r="Q1618" s="2043"/>
      <c r="R1618" s="2043"/>
      <c r="S1618" s="2043"/>
      <c r="T1618" s="2043"/>
      <c r="U1618" s="2043"/>
      <c r="V1618" s="2043"/>
      <c r="W1618" s="2043"/>
      <c r="X1618" s="2043"/>
      <c r="Y1618" s="2043"/>
      <c r="Z1618" s="2043"/>
      <c r="AA1618" s="2043"/>
      <c r="AB1618" s="2043"/>
      <c r="AC1618" s="2043"/>
      <c r="AD1618" s="2043"/>
      <c r="AE1618" s="2043"/>
      <c r="AF1618" s="2043"/>
      <c r="AG1618" s="2043"/>
      <c r="AH1618" s="2043"/>
      <c r="AI1618" s="2043"/>
      <c r="AJ1618" s="2043"/>
      <c r="AK1618" s="2043"/>
      <c r="AL1618" s="2043"/>
      <c r="AM1618" s="2043"/>
      <c r="AN1618" s="2043"/>
      <c r="AO1618" s="2043"/>
      <c r="AP1618" s="2043"/>
      <c r="AQ1618" s="2043"/>
      <c r="AR1618" s="2043"/>
      <c r="AS1618" s="2043"/>
      <c r="AT1618" s="2043"/>
      <c r="AU1618" s="2043"/>
      <c r="AV1618" s="2043"/>
      <c r="AW1618" s="2043"/>
      <c r="AX1618" s="2043"/>
      <c r="AY1618" s="2043"/>
      <c r="AZ1618" s="2043"/>
      <c r="BA1618" s="2043"/>
      <c r="BB1618" s="2043"/>
      <c r="BC1618" s="2043"/>
      <c r="BD1618" s="2043"/>
      <c r="BE1618" s="2043"/>
      <c r="BF1618" s="2043"/>
      <c r="BG1618" s="2043"/>
      <c r="BH1618" s="2043"/>
      <c r="BI1618" s="2043"/>
      <c r="BJ1618" s="2043"/>
      <c r="BK1618" s="2043"/>
      <c r="BL1618" s="2043"/>
    </row>
    <row r="1619" spans="1:64" ht="14.25">
      <c r="A1619" s="2043"/>
      <c r="B1619" s="2043"/>
      <c r="C1619" s="2052"/>
      <c r="D1619" s="2043"/>
      <c r="E1619" s="2043"/>
      <c r="F1619" s="2043"/>
      <c r="G1619" s="2050" t="s">
        <v>2044</v>
      </c>
      <c r="H1619" s="1994">
        <v>2020</v>
      </c>
      <c r="I1619" s="1994" t="s">
        <v>1976</v>
      </c>
      <c r="J1619" s="2043"/>
      <c r="K1619" s="2043"/>
      <c r="L1619" s="2043"/>
      <c r="M1619" s="2043"/>
      <c r="N1619" s="2043"/>
      <c r="O1619" s="2043"/>
      <c r="P1619" s="2043"/>
      <c r="Q1619" s="2043"/>
      <c r="R1619" s="2043"/>
      <c r="S1619" s="2043"/>
      <c r="T1619" s="2043"/>
      <c r="U1619" s="2043"/>
      <c r="V1619" s="2043"/>
      <c r="W1619" s="2043"/>
      <c r="X1619" s="2043"/>
      <c r="Y1619" s="2043"/>
      <c r="Z1619" s="2043"/>
      <c r="AA1619" s="2043"/>
      <c r="AB1619" s="2043"/>
      <c r="AC1619" s="2043"/>
      <c r="AD1619" s="2043"/>
      <c r="AE1619" s="2043"/>
      <c r="AF1619" s="2043"/>
      <c r="AG1619" s="2043"/>
      <c r="AH1619" s="2043"/>
      <c r="AI1619" s="2043"/>
      <c r="AJ1619" s="2043"/>
      <c r="AK1619" s="2043"/>
      <c r="AL1619" s="2043"/>
      <c r="AM1619" s="2043"/>
      <c r="AN1619" s="2043"/>
      <c r="AO1619" s="2043"/>
      <c r="AP1619" s="2043"/>
      <c r="AQ1619" s="2043"/>
      <c r="AR1619" s="2043"/>
      <c r="AS1619" s="2043"/>
      <c r="AT1619" s="2043"/>
      <c r="AU1619" s="2043"/>
      <c r="AV1619" s="2043"/>
      <c r="AW1619" s="2043"/>
      <c r="AX1619" s="2043"/>
      <c r="AY1619" s="2043"/>
      <c r="AZ1619" s="2043"/>
      <c r="BA1619" s="2043"/>
      <c r="BB1619" s="2043"/>
      <c r="BC1619" s="2043"/>
      <c r="BD1619" s="2043"/>
      <c r="BE1619" s="2043"/>
      <c r="BF1619" s="2043"/>
      <c r="BG1619" s="2043"/>
      <c r="BH1619" s="2043"/>
      <c r="BI1619" s="2043"/>
      <c r="BJ1619" s="2043"/>
      <c r="BK1619" s="2043"/>
      <c r="BL1619" s="2043"/>
    </row>
    <row r="1620" spans="1:64" ht="14.25">
      <c r="A1620" s="2043"/>
      <c r="B1620" s="2043"/>
      <c r="C1620" s="2043"/>
      <c r="D1620" s="2043"/>
      <c r="E1620" s="2043"/>
      <c r="F1620" s="2043"/>
      <c r="G1620" s="2050" t="s">
        <v>2045</v>
      </c>
      <c r="H1620" s="1994">
        <v>2019</v>
      </c>
      <c r="I1620" s="1994" t="s">
        <v>1976</v>
      </c>
      <c r="J1620" s="2043"/>
      <c r="K1620" s="2043"/>
      <c r="L1620" s="2043"/>
      <c r="M1620" s="2043"/>
      <c r="N1620" s="2043"/>
      <c r="O1620" s="2043"/>
      <c r="P1620" s="2043"/>
      <c r="Q1620" s="2043"/>
      <c r="R1620" s="2043"/>
      <c r="S1620" s="2043"/>
      <c r="T1620" s="2043"/>
      <c r="U1620" s="2043"/>
      <c r="V1620" s="2043"/>
      <c r="W1620" s="2043"/>
      <c r="X1620" s="2043"/>
      <c r="Y1620" s="2043"/>
      <c r="Z1620" s="2043"/>
      <c r="AA1620" s="2043"/>
      <c r="AB1620" s="2043"/>
      <c r="AC1620" s="2043"/>
      <c r="AD1620" s="2043"/>
      <c r="AE1620" s="2043"/>
      <c r="AF1620" s="2043"/>
      <c r="AG1620" s="2043"/>
      <c r="AH1620" s="2043"/>
      <c r="AI1620" s="2043"/>
      <c r="AJ1620" s="2043"/>
      <c r="AK1620" s="2043"/>
      <c r="AL1620" s="2043"/>
      <c r="AM1620" s="2043"/>
      <c r="AN1620" s="2043"/>
      <c r="AO1620" s="2043"/>
      <c r="AP1620" s="2043"/>
      <c r="AQ1620" s="2043"/>
      <c r="AR1620" s="2043"/>
      <c r="AS1620" s="2043"/>
      <c r="AT1620" s="2043"/>
      <c r="AU1620" s="2043"/>
      <c r="AV1620" s="2043"/>
      <c r="AW1620" s="2043"/>
      <c r="AX1620" s="2043"/>
      <c r="AY1620" s="2043"/>
      <c r="AZ1620" s="2043"/>
      <c r="BA1620" s="2043"/>
      <c r="BB1620" s="2043"/>
      <c r="BC1620" s="2043"/>
      <c r="BD1620" s="2043"/>
      <c r="BE1620" s="2043"/>
      <c r="BF1620" s="2043"/>
      <c r="BG1620" s="2043"/>
      <c r="BH1620" s="2043"/>
      <c r="BI1620" s="2043"/>
      <c r="BJ1620" s="2043"/>
      <c r="BK1620" s="2043"/>
      <c r="BL1620" s="2043"/>
    </row>
    <row r="1621" spans="1:64" ht="15">
      <c r="A1621" s="2043"/>
      <c r="B1621" s="2043"/>
      <c r="C1621" s="2043"/>
      <c r="D1621" s="2043"/>
      <c r="E1621" s="2043"/>
      <c r="F1621" s="2043"/>
      <c r="G1621" s="2050" t="s">
        <v>2046</v>
      </c>
      <c r="H1621" s="2043"/>
      <c r="I1621" s="2043"/>
      <c r="J1621" s="2043"/>
      <c r="K1621" s="2043"/>
      <c r="L1621" s="2043"/>
      <c r="M1621" s="2043"/>
      <c r="N1621" s="1994"/>
      <c r="O1621" s="2045"/>
      <c r="P1621" s="2045"/>
      <c r="Q1621" s="2043"/>
      <c r="R1621" s="2043"/>
      <c r="S1621" s="2043"/>
      <c r="T1621" s="2043"/>
      <c r="U1621" s="2043"/>
      <c r="V1621" s="2043"/>
      <c r="W1621" s="2043"/>
      <c r="X1621" s="2043"/>
      <c r="Y1621" s="2043"/>
      <c r="Z1621" s="2043"/>
      <c r="AA1621" s="2043"/>
      <c r="AB1621" s="2043"/>
      <c r="AC1621" s="2043"/>
      <c r="AD1621" s="2043"/>
      <c r="AE1621" s="2043"/>
      <c r="AF1621" s="2043"/>
      <c r="AG1621" s="2043"/>
      <c r="AH1621" s="2043"/>
      <c r="AI1621" s="2043"/>
      <c r="AJ1621" s="2043"/>
      <c r="AK1621" s="2043"/>
      <c r="AL1621" s="2043"/>
      <c r="AM1621" s="2043"/>
      <c r="AN1621" s="2043"/>
      <c r="AO1621" s="2043"/>
      <c r="AP1621" s="2043"/>
      <c r="AQ1621" s="2043"/>
      <c r="AR1621" s="2043"/>
      <c r="AS1621" s="2043"/>
      <c r="AT1621" s="2043"/>
      <c r="AU1621" s="2043"/>
      <c r="AV1621" s="2043"/>
      <c r="AW1621" s="2043"/>
      <c r="AX1621" s="2043"/>
      <c r="AY1621" s="2043"/>
      <c r="AZ1621" s="2043"/>
      <c r="BA1621" s="2043"/>
      <c r="BB1621" s="2043"/>
      <c r="BC1621" s="2043"/>
      <c r="BD1621" s="2043"/>
      <c r="BE1621" s="2043"/>
      <c r="BF1621" s="2043"/>
      <c r="BG1621" s="2043"/>
      <c r="BH1621" s="2043"/>
      <c r="BI1621" s="2043"/>
      <c r="BJ1621" s="2043"/>
      <c r="BK1621" s="2043"/>
      <c r="BL1621" s="2043"/>
    </row>
    <row r="1622" spans="1:64" ht="15">
      <c r="A1622" s="2043"/>
      <c r="B1622" s="2043"/>
      <c r="C1622" s="2043"/>
      <c r="D1622" s="2043"/>
      <c r="E1622" s="2043"/>
      <c r="F1622" s="2043"/>
      <c r="G1622" s="2050" t="s">
        <v>2047</v>
      </c>
      <c r="H1622" s="1994">
        <v>2019</v>
      </c>
      <c r="I1622" s="1994" t="s">
        <v>1976</v>
      </c>
      <c r="J1622" s="2043"/>
      <c r="K1622" s="2043"/>
      <c r="L1622" s="2043"/>
      <c r="M1622" s="2043"/>
      <c r="N1622" s="1994"/>
      <c r="O1622" s="2045"/>
      <c r="P1622" s="2045"/>
      <c r="Q1622" s="2043"/>
      <c r="R1622" s="2043"/>
      <c r="S1622" s="2043"/>
      <c r="T1622" s="2043"/>
      <c r="U1622" s="2043"/>
      <c r="V1622" s="2043"/>
      <c r="W1622" s="2043"/>
      <c r="X1622" s="2043"/>
      <c r="Y1622" s="2043"/>
      <c r="Z1622" s="2043"/>
      <c r="AA1622" s="2043"/>
      <c r="AB1622" s="2043"/>
      <c r="AC1622" s="2043"/>
      <c r="AD1622" s="2043"/>
      <c r="AE1622" s="2043"/>
      <c r="AF1622" s="2043"/>
      <c r="AG1622" s="2043"/>
      <c r="AH1622" s="2043"/>
      <c r="AI1622" s="2043"/>
      <c r="AJ1622" s="2043"/>
      <c r="AK1622" s="2043"/>
      <c r="AL1622" s="2043"/>
      <c r="AM1622" s="2043"/>
      <c r="AN1622" s="2043"/>
      <c r="AO1622" s="2043"/>
      <c r="AP1622" s="2043"/>
      <c r="AQ1622" s="2043"/>
      <c r="AR1622" s="2043"/>
      <c r="AS1622" s="2043"/>
      <c r="AT1622" s="2043"/>
      <c r="AU1622" s="2043"/>
      <c r="AV1622" s="2043"/>
      <c r="AW1622" s="2043"/>
      <c r="AX1622" s="2043"/>
      <c r="AY1622" s="2043"/>
      <c r="AZ1622" s="2043"/>
      <c r="BA1622" s="2043"/>
      <c r="BB1622" s="2043"/>
      <c r="BC1622" s="2043"/>
      <c r="BD1622" s="2043"/>
      <c r="BE1622" s="2043"/>
      <c r="BF1622" s="2043"/>
      <c r="BG1622" s="2043"/>
      <c r="BH1622" s="2043"/>
      <c r="BI1622" s="2043"/>
      <c r="BJ1622" s="2043"/>
      <c r="BK1622" s="2043"/>
      <c r="BL1622" s="2043"/>
    </row>
    <row r="1623" spans="1:64" ht="15">
      <c r="A1623" s="2043"/>
      <c r="B1623" s="2043"/>
      <c r="C1623" s="2043"/>
      <c r="D1623" s="2043"/>
      <c r="E1623" s="2043"/>
      <c r="F1623" s="2043"/>
      <c r="G1623" s="2050" t="s">
        <v>2048</v>
      </c>
      <c r="H1623" s="1994">
        <v>2020</v>
      </c>
      <c r="I1623" s="1994" t="s">
        <v>1976</v>
      </c>
      <c r="J1623" s="2043"/>
      <c r="K1623" s="2043"/>
      <c r="L1623" s="2043"/>
      <c r="M1623" s="2043"/>
      <c r="N1623" s="1994"/>
      <c r="O1623" s="2045"/>
      <c r="P1623" s="2045"/>
      <c r="Q1623" s="2043"/>
      <c r="R1623" s="2043"/>
      <c r="S1623" s="2043"/>
      <c r="T1623" s="2043"/>
      <c r="U1623" s="2043"/>
      <c r="V1623" s="2043"/>
      <c r="W1623" s="2043"/>
      <c r="X1623" s="2043"/>
      <c r="Y1623" s="2043"/>
      <c r="Z1623" s="2043"/>
      <c r="AA1623" s="2043"/>
      <c r="AB1623" s="2043"/>
      <c r="AC1623" s="2043"/>
      <c r="AD1623" s="2043"/>
      <c r="AE1623" s="2043"/>
      <c r="AF1623" s="2043"/>
      <c r="AG1623" s="2043"/>
      <c r="AH1623" s="2043"/>
      <c r="AI1623" s="2043"/>
      <c r="AJ1623" s="2043"/>
      <c r="AK1623" s="2043"/>
      <c r="AL1623" s="2043"/>
      <c r="AM1623" s="2043"/>
      <c r="AN1623" s="2043"/>
      <c r="AO1623" s="2043"/>
      <c r="AP1623" s="2043"/>
      <c r="AQ1623" s="2043"/>
      <c r="AR1623" s="2043"/>
      <c r="AS1623" s="2043"/>
      <c r="AT1623" s="2043"/>
      <c r="AU1623" s="2043"/>
      <c r="AV1623" s="2043"/>
      <c r="AW1623" s="2043"/>
      <c r="AX1623" s="2043"/>
      <c r="AY1623" s="2043"/>
      <c r="AZ1623" s="2043"/>
      <c r="BA1623" s="2043"/>
      <c r="BB1623" s="2043"/>
      <c r="BC1623" s="2043"/>
      <c r="BD1623" s="2043"/>
      <c r="BE1623" s="2043"/>
      <c r="BF1623" s="2043"/>
      <c r="BG1623" s="2043"/>
      <c r="BH1623" s="2043"/>
      <c r="BI1623" s="2043"/>
      <c r="BJ1623" s="2043"/>
      <c r="BK1623" s="2043"/>
      <c r="BL1623" s="2043"/>
    </row>
    <row r="1624" spans="1:64" ht="15">
      <c r="A1624" s="2043"/>
      <c r="B1624" s="2043"/>
      <c r="C1624" s="2043"/>
      <c r="D1624" s="2043"/>
      <c r="E1624" s="2043"/>
      <c r="F1624" s="2043"/>
      <c r="G1624" s="2050" t="s">
        <v>2049</v>
      </c>
      <c r="H1624" s="1994">
        <v>2020</v>
      </c>
      <c r="I1624" s="1994" t="s">
        <v>1976</v>
      </c>
      <c r="J1624" s="2043"/>
      <c r="K1624" s="2043"/>
      <c r="L1624" s="2043"/>
      <c r="M1624" s="2043"/>
      <c r="N1624" s="1994"/>
      <c r="O1624" s="2045"/>
      <c r="P1624" s="2045"/>
      <c r="Q1624" s="2043"/>
      <c r="R1624" s="2043"/>
      <c r="S1624" s="2043"/>
      <c r="T1624" s="2043"/>
      <c r="U1624" s="2043"/>
      <c r="V1624" s="2043"/>
      <c r="W1624" s="2043"/>
      <c r="X1624" s="2043"/>
      <c r="Y1624" s="2043"/>
      <c r="Z1624" s="2043"/>
      <c r="AA1624" s="2043"/>
      <c r="AB1624" s="2043"/>
      <c r="AC1624" s="2043"/>
      <c r="AD1624" s="2043"/>
      <c r="AE1624" s="2043"/>
      <c r="AF1624" s="2043"/>
      <c r="AG1624" s="2043"/>
      <c r="AH1624" s="2043"/>
      <c r="AI1624" s="2043"/>
      <c r="AJ1624" s="2043"/>
      <c r="AK1624" s="2043"/>
      <c r="AL1624" s="2043"/>
      <c r="AM1624" s="2043"/>
      <c r="AN1624" s="2043"/>
      <c r="AO1624" s="2043"/>
      <c r="AP1624" s="2043"/>
      <c r="AQ1624" s="2043"/>
      <c r="AR1624" s="2043"/>
      <c r="AS1624" s="2043"/>
      <c r="AT1624" s="2043"/>
      <c r="AU1624" s="2043"/>
      <c r="AV1624" s="2043"/>
      <c r="AW1624" s="2043"/>
      <c r="AX1624" s="2043"/>
      <c r="AY1624" s="2043"/>
      <c r="AZ1624" s="2043"/>
      <c r="BA1624" s="2043"/>
      <c r="BB1624" s="2043"/>
      <c r="BC1624" s="2043"/>
      <c r="BD1624" s="2043"/>
      <c r="BE1624" s="2043"/>
      <c r="BF1624" s="2043"/>
      <c r="BG1624" s="2043"/>
      <c r="BH1624" s="2043"/>
      <c r="BI1624" s="2043"/>
      <c r="BJ1624" s="2043"/>
      <c r="BK1624" s="2043"/>
      <c r="BL1624" s="2043"/>
    </row>
    <row r="1625" spans="1:64" ht="15">
      <c r="A1625" s="2043"/>
      <c r="B1625" s="2043"/>
      <c r="C1625" s="2043"/>
      <c r="D1625" s="2043"/>
      <c r="E1625" s="2043"/>
      <c r="F1625" s="2043"/>
      <c r="G1625" s="2050" t="s">
        <v>2050</v>
      </c>
      <c r="H1625" s="1994">
        <v>2020</v>
      </c>
      <c r="I1625" s="1994" t="s">
        <v>1976</v>
      </c>
      <c r="J1625" s="2043"/>
      <c r="K1625" s="2043"/>
      <c r="L1625" s="2043"/>
      <c r="M1625" s="2043"/>
      <c r="N1625" s="1994"/>
      <c r="O1625" s="2045"/>
      <c r="P1625" s="2045"/>
      <c r="Q1625" s="2043"/>
      <c r="R1625" s="2043"/>
      <c r="S1625" s="2043"/>
      <c r="T1625" s="2043"/>
      <c r="U1625" s="2043"/>
      <c r="V1625" s="2043"/>
      <c r="W1625" s="2043"/>
      <c r="X1625" s="2043"/>
      <c r="Y1625" s="2043"/>
      <c r="Z1625" s="2043"/>
      <c r="AA1625" s="2043"/>
      <c r="AB1625" s="2043"/>
      <c r="AC1625" s="2043"/>
      <c r="AD1625" s="2043"/>
      <c r="AE1625" s="2043"/>
      <c r="AF1625" s="2043"/>
      <c r="AG1625" s="2043"/>
      <c r="AH1625" s="2043"/>
      <c r="AI1625" s="2043"/>
      <c r="AJ1625" s="2043"/>
      <c r="AK1625" s="2043"/>
      <c r="AL1625" s="2043"/>
      <c r="AM1625" s="2043"/>
      <c r="AN1625" s="2043"/>
      <c r="AO1625" s="2043"/>
      <c r="AP1625" s="2043"/>
      <c r="AQ1625" s="2043"/>
      <c r="AR1625" s="2043"/>
      <c r="AS1625" s="2043"/>
      <c r="AT1625" s="2043"/>
      <c r="AU1625" s="2043"/>
      <c r="AV1625" s="2043"/>
      <c r="AW1625" s="2043"/>
      <c r="AX1625" s="2043"/>
      <c r="AY1625" s="2043"/>
      <c r="AZ1625" s="2043"/>
      <c r="BA1625" s="2043"/>
      <c r="BB1625" s="2043"/>
      <c r="BC1625" s="2043"/>
      <c r="BD1625" s="2043"/>
      <c r="BE1625" s="2043"/>
      <c r="BF1625" s="2043"/>
      <c r="BG1625" s="2043"/>
      <c r="BH1625" s="2043"/>
      <c r="BI1625" s="2043"/>
      <c r="BJ1625" s="2043"/>
      <c r="BK1625" s="2043"/>
      <c r="BL1625" s="2043"/>
    </row>
    <row r="1626" spans="1:64" ht="15">
      <c r="A1626" s="2043"/>
      <c r="B1626" s="2043"/>
      <c r="C1626" s="2043"/>
      <c r="D1626" s="2043"/>
      <c r="E1626" s="2043"/>
      <c r="F1626" s="2043"/>
      <c r="G1626" s="2050" t="s">
        <v>2051</v>
      </c>
      <c r="H1626" s="1994">
        <v>2019</v>
      </c>
      <c r="I1626" s="1994" t="s">
        <v>1976</v>
      </c>
      <c r="J1626" s="2043"/>
      <c r="K1626" s="2043"/>
      <c r="L1626" s="2043"/>
      <c r="M1626" s="2043"/>
      <c r="N1626" s="1994"/>
      <c r="O1626" s="2045"/>
      <c r="P1626" s="2045"/>
      <c r="Q1626" s="2043"/>
      <c r="R1626" s="2043"/>
      <c r="S1626" s="2043"/>
      <c r="T1626" s="2043"/>
      <c r="U1626" s="2043"/>
      <c r="V1626" s="2043"/>
      <c r="W1626" s="2043"/>
      <c r="X1626" s="2043"/>
      <c r="Y1626" s="2043"/>
      <c r="Z1626" s="2043"/>
      <c r="AA1626" s="2043"/>
      <c r="AB1626" s="2043"/>
      <c r="AC1626" s="2043"/>
      <c r="AD1626" s="2043"/>
      <c r="AE1626" s="2043"/>
      <c r="AF1626" s="2043"/>
      <c r="AG1626" s="2043"/>
      <c r="AH1626" s="2043"/>
      <c r="AI1626" s="2043"/>
      <c r="AJ1626" s="2043"/>
      <c r="AK1626" s="2043"/>
      <c r="AL1626" s="2043"/>
      <c r="AM1626" s="2043"/>
      <c r="AN1626" s="2043"/>
      <c r="AO1626" s="2043"/>
      <c r="AP1626" s="2043"/>
      <c r="AQ1626" s="2043"/>
      <c r="AR1626" s="2043"/>
      <c r="AS1626" s="2043"/>
      <c r="AT1626" s="2043"/>
      <c r="AU1626" s="2043"/>
      <c r="AV1626" s="2043"/>
      <c r="AW1626" s="2043"/>
      <c r="AX1626" s="2043"/>
      <c r="AY1626" s="2043"/>
      <c r="AZ1626" s="2043"/>
      <c r="BA1626" s="2043"/>
      <c r="BB1626" s="2043"/>
      <c r="BC1626" s="2043"/>
      <c r="BD1626" s="2043"/>
      <c r="BE1626" s="2043"/>
      <c r="BF1626" s="2043"/>
      <c r="BG1626" s="2043"/>
      <c r="BH1626" s="2043"/>
      <c r="BI1626" s="2043"/>
      <c r="BJ1626" s="2043"/>
      <c r="BK1626" s="2043"/>
      <c r="BL1626" s="2043"/>
    </row>
    <row r="1627" spans="1:64" ht="15">
      <c r="A1627" s="2043"/>
      <c r="B1627" s="2043"/>
      <c r="C1627" s="2043"/>
      <c r="D1627" s="2043"/>
      <c r="E1627" s="2043"/>
      <c r="F1627" s="2043"/>
      <c r="G1627" s="2050" t="s">
        <v>2052</v>
      </c>
      <c r="H1627" s="1994">
        <v>2020</v>
      </c>
      <c r="I1627" s="1994" t="s">
        <v>1976</v>
      </c>
      <c r="J1627" s="2043"/>
      <c r="K1627" s="2043"/>
      <c r="L1627" s="2043"/>
      <c r="M1627" s="2043"/>
      <c r="N1627" s="1994"/>
      <c r="O1627" s="2045"/>
      <c r="P1627" s="2045"/>
      <c r="Q1627" s="2043"/>
      <c r="R1627" s="2043"/>
      <c r="S1627" s="2043"/>
      <c r="T1627" s="2043"/>
      <c r="U1627" s="2043"/>
      <c r="V1627" s="2043"/>
      <c r="W1627" s="2043"/>
      <c r="X1627" s="2043"/>
      <c r="Y1627" s="2043"/>
      <c r="Z1627" s="2043"/>
      <c r="AA1627" s="2043"/>
      <c r="AB1627" s="2043"/>
      <c r="AC1627" s="2043"/>
      <c r="AD1627" s="2043"/>
      <c r="AE1627" s="2043"/>
      <c r="AF1627" s="2043"/>
      <c r="AG1627" s="2043"/>
      <c r="AH1627" s="2043"/>
      <c r="AI1627" s="2043"/>
      <c r="AJ1627" s="2043"/>
      <c r="AK1627" s="2043"/>
      <c r="AL1627" s="2043"/>
      <c r="AM1627" s="2043"/>
      <c r="AN1627" s="2043"/>
      <c r="AO1627" s="2043"/>
      <c r="AP1627" s="2043"/>
      <c r="AQ1627" s="2043"/>
      <c r="AR1627" s="2043"/>
      <c r="AS1627" s="2043"/>
      <c r="AT1627" s="2043"/>
      <c r="AU1627" s="2043"/>
      <c r="AV1627" s="2043"/>
      <c r="AW1627" s="2043"/>
      <c r="AX1627" s="2043"/>
      <c r="AY1627" s="2043"/>
      <c r="AZ1627" s="2043"/>
      <c r="BA1627" s="2043"/>
      <c r="BB1627" s="2043"/>
      <c r="BC1627" s="2043"/>
      <c r="BD1627" s="2043"/>
      <c r="BE1627" s="2043"/>
      <c r="BF1627" s="2043"/>
      <c r="BG1627" s="2043"/>
      <c r="BH1627" s="2043"/>
      <c r="BI1627" s="2043"/>
      <c r="BJ1627" s="2043"/>
      <c r="BK1627" s="2043"/>
      <c r="BL1627" s="2043"/>
    </row>
    <row r="1628" spans="1:64" ht="15">
      <c r="A1628" s="2043"/>
      <c r="B1628" s="2043"/>
      <c r="C1628" s="2043"/>
      <c r="D1628" s="2043"/>
      <c r="E1628" s="2043"/>
      <c r="F1628" s="2043"/>
      <c r="G1628" s="2050" t="s">
        <v>2053</v>
      </c>
      <c r="H1628" s="1994">
        <v>2020</v>
      </c>
      <c r="I1628" s="1994" t="s">
        <v>1976</v>
      </c>
      <c r="J1628" s="2043"/>
      <c r="K1628" s="2043"/>
      <c r="L1628" s="2043"/>
      <c r="M1628" s="2043"/>
      <c r="N1628" s="1994"/>
      <c r="O1628" s="2045"/>
      <c r="P1628" s="2045"/>
      <c r="Q1628" s="2043"/>
      <c r="R1628" s="2043"/>
      <c r="S1628" s="2043"/>
      <c r="T1628" s="2043"/>
      <c r="U1628" s="2043"/>
      <c r="V1628" s="2043"/>
      <c r="W1628" s="2043"/>
      <c r="X1628" s="2043"/>
      <c r="Y1628" s="2043"/>
      <c r="Z1628" s="2043"/>
      <c r="AA1628" s="2043"/>
      <c r="AB1628" s="2043"/>
      <c r="AC1628" s="2043"/>
      <c r="AD1628" s="2043"/>
      <c r="AE1628" s="2043"/>
      <c r="AF1628" s="2043"/>
      <c r="AG1628" s="2043"/>
      <c r="AH1628" s="2043"/>
      <c r="AI1628" s="2043"/>
      <c r="AJ1628" s="2043"/>
      <c r="AK1628" s="2043"/>
      <c r="AL1628" s="2043"/>
      <c r="AM1628" s="2043"/>
      <c r="AN1628" s="2043"/>
      <c r="AO1628" s="2043"/>
      <c r="AP1628" s="2043"/>
      <c r="AQ1628" s="2043"/>
      <c r="AR1628" s="2043"/>
      <c r="AS1628" s="2043"/>
      <c r="AT1628" s="2043"/>
      <c r="AU1628" s="2043"/>
      <c r="AV1628" s="2043"/>
      <c r="AW1628" s="2043"/>
      <c r="AX1628" s="2043"/>
      <c r="AY1628" s="2043"/>
      <c r="AZ1628" s="2043"/>
      <c r="BA1628" s="2043"/>
      <c r="BB1628" s="2043"/>
      <c r="BC1628" s="2043"/>
      <c r="BD1628" s="2043"/>
      <c r="BE1628" s="2043"/>
      <c r="BF1628" s="2043"/>
      <c r="BG1628" s="2043"/>
      <c r="BH1628" s="2043"/>
      <c r="BI1628" s="2043"/>
      <c r="BJ1628" s="2043"/>
      <c r="BK1628" s="2043"/>
      <c r="BL1628" s="2043"/>
    </row>
    <row r="1629" spans="1:64" ht="15">
      <c r="A1629" s="2043"/>
      <c r="B1629" s="2043"/>
      <c r="C1629" s="2043"/>
      <c r="D1629" s="2043"/>
      <c r="E1629" s="2043"/>
      <c r="F1629" s="2043"/>
      <c r="G1629" s="2050" t="s">
        <v>2054</v>
      </c>
      <c r="H1629" s="1994" t="s">
        <v>1971</v>
      </c>
      <c r="I1629" s="2048" t="s">
        <v>1082</v>
      </c>
      <c r="J1629" s="2043"/>
      <c r="K1629" s="2043"/>
      <c r="L1629" s="2043"/>
      <c r="M1629" s="2043"/>
      <c r="N1629" s="1994"/>
      <c r="O1629" s="2045"/>
      <c r="P1629" s="2045"/>
      <c r="Q1629" s="2043"/>
      <c r="R1629" s="2043"/>
      <c r="S1629" s="2043"/>
      <c r="T1629" s="2043"/>
      <c r="U1629" s="2043"/>
      <c r="V1629" s="2043"/>
      <c r="W1629" s="2043"/>
      <c r="X1629" s="2043"/>
      <c r="Y1629" s="2043"/>
      <c r="Z1629" s="2043"/>
      <c r="AA1629" s="2043"/>
      <c r="AB1629" s="2043"/>
      <c r="AC1629" s="2043"/>
      <c r="AD1629" s="2043"/>
      <c r="AE1629" s="2043"/>
      <c r="AF1629" s="2043"/>
      <c r="AG1629" s="2043"/>
      <c r="AH1629" s="2043"/>
      <c r="AI1629" s="2043"/>
      <c r="AJ1629" s="2043"/>
      <c r="AK1629" s="2043"/>
      <c r="AL1629" s="2043"/>
      <c r="AM1629" s="2043"/>
      <c r="AN1629" s="2043"/>
      <c r="AO1629" s="2043"/>
      <c r="AP1629" s="2043"/>
      <c r="AQ1629" s="2043"/>
      <c r="AR1629" s="2043"/>
      <c r="AS1629" s="2043"/>
      <c r="AT1629" s="2043"/>
      <c r="AU1629" s="2043"/>
      <c r="AV1629" s="2043"/>
      <c r="AW1629" s="2043"/>
      <c r="AX1629" s="2043"/>
      <c r="AY1629" s="2043"/>
      <c r="AZ1629" s="2043"/>
      <c r="BA1629" s="2043"/>
      <c r="BB1629" s="2043"/>
      <c r="BC1629" s="2043"/>
      <c r="BD1629" s="2043"/>
      <c r="BE1629" s="2043"/>
      <c r="BF1629" s="2043"/>
      <c r="BG1629" s="2043"/>
      <c r="BH1629" s="2043"/>
      <c r="BI1629" s="2043"/>
      <c r="BJ1629" s="2043"/>
      <c r="BK1629" s="2043"/>
      <c r="BL1629" s="2043"/>
    </row>
    <row r="1630" spans="1:64" ht="14.25">
      <c r="A1630" s="2043"/>
      <c r="B1630" s="2043"/>
      <c r="C1630" s="2043"/>
      <c r="D1630" s="2043"/>
      <c r="E1630" s="2043"/>
      <c r="F1630" s="2043"/>
      <c r="G1630" s="2050"/>
      <c r="H1630" s="2043"/>
      <c r="I1630" s="2043"/>
      <c r="J1630" s="2043"/>
      <c r="K1630" s="2043"/>
      <c r="L1630" s="2043"/>
      <c r="M1630" s="2043"/>
      <c r="N1630" s="2043"/>
      <c r="O1630" s="2043"/>
      <c r="P1630" s="2043"/>
      <c r="Q1630" s="2043"/>
      <c r="R1630" s="2043"/>
      <c r="S1630" s="2043"/>
      <c r="T1630" s="2043"/>
      <c r="U1630" s="2043"/>
      <c r="V1630" s="2043"/>
      <c r="W1630" s="2043"/>
      <c r="X1630" s="2043"/>
      <c r="Y1630" s="2043"/>
      <c r="Z1630" s="2043"/>
      <c r="AA1630" s="2043"/>
      <c r="AB1630" s="2043"/>
      <c r="AC1630" s="2043"/>
      <c r="AD1630" s="2043"/>
      <c r="AE1630" s="2043"/>
      <c r="AF1630" s="2043"/>
      <c r="AG1630" s="2043"/>
      <c r="AH1630" s="2043"/>
      <c r="AI1630" s="2043"/>
      <c r="AJ1630" s="2043"/>
      <c r="AK1630" s="2043"/>
      <c r="AL1630" s="2043"/>
      <c r="AM1630" s="2043"/>
      <c r="AN1630" s="2043"/>
      <c r="AO1630" s="2043"/>
      <c r="AP1630" s="2043"/>
      <c r="AQ1630" s="2043"/>
      <c r="AR1630" s="2043"/>
      <c r="AS1630" s="2043"/>
      <c r="AT1630" s="2043"/>
      <c r="AU1630" s="2043"/>
      <c r="AV1630" s="2043"/>
      <c r="AW1630" s="2043"/>
      <c r="AX1630" s="2043"/>
      <c r="AY1630" s="2043"/>
      <c r="AZ1630" s="2043"/>
      <c r="BA1630" s="2043"/>
      <c r="BB1630" s="2043"/>
      <c r="BC1630" s="2043"/>
      <c r="BD1630" s="2043"/>
      <c r="BE1630" s="2043"/>
      <c r="BF1630" s="2043"/>
      <c r="BG1630" s="2043"/>
      <c r="BH1630" s="2043"/>
      <c r="BI1630" s="2043"/>
      <c r="BJ1630" s="2043"/>
      <c r="BK1630" s="2043"/>
      <c r="BL1630" s="2043"/>
    </row>
    <row r="1631" spans="1:64" ht="15">
      <c r="A1631" s="2043"/>
      <c r="B1631" s="2043"/>
      <c r="C1631" s="2043"/>
      <c r="D1631" s="2043"/>
      <c r="E1631" s="2043"/>
      <c r="F1631" s="2043"/>
      <c r="G1631" s="2043"/>
      <c r="H1631" s="2043"/>
      <c r="I1631" s="2043"/>
      <c r="J1631" s="2043"/>
      <c r="K1631" s="2043"/>
      <c r="L1631" s="2043"/>
      <c r="M1631" s="2043"/>
      <c r="N1631" s="1994"/>
      <c r="O1631" s="2045"/>
      <c r="P1631" s="2045"/>
      <c r="Q1631" s="2043"/>
      <c r="R1631" s="2043"/>
      <c r="S1631" s="2043"/>
      <c r="T1631" s="2043"/>
      <c r="U1631" s="2043"/>
      <c r="V1631" s="2043"/>
      <c r="W1631" s="2043"/>
      <c r="X1631" s="2043"/>
      <c r="Y1631" s="2043"/>
      <c r="Z1631" s="2043"/>
      <c r="AA1631" s="2043"/>
      <c r="AB1631" s="2043"/>
      <c r="AC1631" s="2043"/>
      <c r="AD1631" s="2043"/>
      <c r="AE1631" s="2043"/>
      <c r="AF1631" s="2043"/>
      <c r="AG1631" s="2043"/>
      <c r="AH1631" s="2043"/>
      <c r="AI1631" s="2043"/>
      <c r="AJ1631" s="2043"/>
      <c r="AK1631" s="2043"/>
      <c r="AL1631" s="2043"/>
      <c r="AM1631" s="2043"/>
      <c r="AN1631" s="2043"/>
      <c r="AO1631" s="2043"/>
      <c r="AP1631" s="2043"/>
      <c r="AQ1631" s="2043"/>
      <c r="AR1631" s="2043"/>
      <c r="AS1631" s="2043"/>
      <c r="AT1631" s="2043"/>
      <c r="AU1631" s="2043"/>
      <c r="AV1631" s="2043"/>
      <c r="AW1631" s="2043"/>
      <c r="AX1631" s="2043"/>
      <c r="AY1631" s="2043"/>
      <c r="AZ1631" s="2043"/>
      <c r="BA1631" s="2043"/>
      <c r="BB1631" s="2043"/>
      <c r="BC1631" s="2043"/>
      <c r="BD1631" s="2043"/>
      <c r="BE1631" s="2043"/>
      <c r="BF1631" s="2043"/>
      <c r="BG1631" s="2043"/>
      <c r="BH1631" s="2043"/>
      <c r="BI1631" s="2043"/>
      <c r="BJ1631" s="2043"/>
      <c r="BK1631" s="2043"/>
      <c r="BL1631" s="2043"/>
    </row>
    <row r="1632" spans="1:64" ht="15">
      <c r="A1632" s="2043"/>
      <c r="B1632" s="2043"/>
      <c r="C1632" s="2043"/>
      <c r="D1632" s="2043"/>
      <c r="E1632" s="2043"/>
      <c r="F1632" s="2043"/>
      <c r="G1632" s="2043"/>
      <c r="H1632" s="2043"/>
      <c r="I1632" s="2043"/>
      <c r="J1632" s="2043"/>
      <c r="K1632" s="2043"/>
      <c r="L1632" s="2043"/>
      <c r="M1632" s="2043"/>
      <c r="N1632" s="1994"/>
      <c r="O1632" s="2045"/>
      <c r="P1632" s="2045"/>
      <c r="Q1632" s="2043"/>
      <c r="R1632" s="2043"/>
      <c r="S1632" s="2043"/>
      <c r="T1632" s="2043"/>
      <c r="U1632" s="2043"/>
      <c r="V1632" s="2043"/>
      <c r="W1632" s="2043"/>
      <c r="X1632" s="2043"/>
      <c r="Y1632" s="2043"/>
      <c r="Z1632" s="2043"/>
      <c r="AA1632" s="2043"/>
      <c r="AB1632" s="2043"/>
      <c r="AC1632" s="2043"/>
      <c r="AD1632" s="2043"/>
      <c r="AE1632" s="2043"/>
      <c r="AF1632" s="2043"/>
      <c r="AG1632" s="2043"/>
      <c r="AH1632" s="2043"/>
      <c r="AI1632" s="2043"/>
      <c r="AJ1632" s="2043"/>
      <c r="AK1632" s="2043"/>
      <c r="AL1632" s="2043"/>
      <c r="AM1632" s="2043"/>
      <c r="AN1632" s="2043"/>
      <c r="AO1632" s="2043"/>
      <c r="AP1632" s="2043"/>
      <c r="AQ1632" s="2043"/>
      <c r="AR1632" s="2043"/>
      <c r="AS1632" s="2043"/>
      <c r="AT1632" s="2043"/>
      <c r="AU1632" s="2043"/>
      <c r="AV1632" s="2043"/>
      <c r="AW1632" s="2043"/>
      <c r="AX1632" s="2043"/>
      <c r="AY1632" s="2043"/>
      <c r="AZ1632" s="2043"/>
      <c r="BA1632" s="2043"/>
      <c r="BB1632" s="2043"/>
      <c r="BC1632" s="2043"/>
      <c r="BD1632" s="2043"/>
      <c r="BE1632" s="2043"/>
      <c r="BF1632" s="2043"/>
      <c r="BG1632" s="2043"/>
      <c r="BH1632" s="2043"/>
      <c r="BI1632" s="2043"/>
      <c r="BJ1632" s="2043"/>
      <c r="BK1632" s="2043"/>
      <c r="BL1632" s="2043"/>
    </row>
    <row r="1633" spans="1:64" ht="15">
      <c r="A1633" s="2043"/>
      <c r="B1633" s="2043"/>
      <c r="C1633" s="2043"/>
      <c r="D1633" s="2043"/>
      <c r="E1633" s="2043"/>
      <c r="F1633" s="2043"/>
      <c r="G1633" s="2043"/>
      <c r="H1633" s="2043"/>
      <c r="I1633" s="2043"/>
      <c r="J1633" s="2043"/>
      <c r="K1633" s="2043"/>
      <c r="L1633" s="2043"/>
      <c r="M1633" s="2043"/>
      <c r="N1633" s="1994"/>
      <c r="O1633" s="2045"/>
      <c r="P1633" s="2045"/>
      <c r="Q1633" s="2043"/>
      <c r="R1633" s="2043"/>
      <c r="S1633" s="2043"/>
      <c r="T1633" s="2043"/>
      <c r="U1633" s="2043"/>
      <c r="V1633" s="2043"/>
      <c r="W1633" s="2043"/>
      <c r="X1633" s="2043"/>
      <c r="Y1633" s="2043"/>
      <c r="Z1633" s="2043"/>
      <c r="AA1633" s="2043"/>
      <c r="AB1633" s="2043"/>
      <c r="AC1633" s="2043"/>
      <c r="AD1633" s="2043"/>
      <c r="AE1633" s="2043"/>
      <c r="AF1633" s="2043"/>
      <c r="AG1633" s="2043"/>
      <c r="AH1633" s="2043"/>
      <c r="AI1633" s="2043"/>
      <c r="AJ1633" s="2043"/>
      <c r="AK1633" s="2043"/>
      <c r="AL1633" s="2043"/>
      <c r="AM1633" s="2043"/>
      <c r="AN1633" s="2043"/>
      <c r="AO1633" s="2043"/>
      <c r="AP1633" s="2043"/>
      <c r="AQ1633" s="2043"/>
      <c r="AR1633" s="2043"/>
      <c r="AS1633" s="2043"/>
      <c r="AT1633" s="2043"/>
      <c r="AU1633" s="2043"/>
      <c r="AV1633" s="2043"/>
      <c r="AW1633" s="2043"/>
      <c r="AX1633" s="2043"/>
      <c r="AY1633" s="2043"/>
      <c r="AZ1633" s="2043"/>
      <c r="BA1633" s="2043"/>
      <c r="BB1633" s="2043"/>
      <c r="BC1633" s="2043"/>
      <c r="BD1633" s="2043"/>
      <c r="BE1633" s="2043"/>
      <c r="BF1633" s="2043"/>
      <c r="BG1633" s="2043"/>
      <c r="BH1633" s="2043"/>
      <c r="BI1633" s="2043"/>
      <c r="BJ1633" s="2043"/>
      <c r="BK1633" s="2043"/>
      <c r="BL1633" s="2043"/>
    </row>
    <row r="1634" spans="1:64" ht="15">
      <c r="A1634" s="2043"/>
      <c r="B1634" s="2043"/>
      <c r="C1634" s="2043"/>
      <c r="D1634" s="2043"/>
      <c r="E1634" s="2043"/>
      <c r="F1634" s="2043"/>
      <c r="G1634" s="2043"/>
      <c r="H1634" s="2043"/>
      <c r="I1634" s="2043"/>
      <c r="J1634" s="2043"/>
      <c r="K1634" s="2043"/>
      <c r="L1634" s="2043"/>
      <c r="M1634" s="2043"/>
      <c r="N1634" s="1994"/>
      <c r="O1634" s="2045"/>
      <c r="P1634" s="2045"/>
      <c r="Q1634" s="2043"/>
      <c r="R1634" s="2043"/>
      <c r="S1634" s="2043"/>
      <c r="T1634" s="2043"/>
      <c r="U1634" s="2043"/>
      <c r="V1634" s="2043"/>
      <c r="W1634" s="2043"/>
      <c r="X1634" s="2043"/>
      <c r="Y1634" s="2043"/>
      <c r="Z1634" s="2043"/>
      <c r="AA1634" s="2043"/>
      <c r="AB1634" s="2043"/>
      <c r="AC1634" s="2043"/>
      <c r="AD1634" s="2043"/>
      <c r="AE1634" s="2043"/>
      <c r="AF1634" s="2043"/>
      <c r="AG1634" s="2043"/>
      <c r="AH1634" s="2043"/>
      <c r="AI1634" s="2043"/>
      <c r="AJ1634" s="2043"/>
      <c r="AK1634" s="2043"/>
      <c r="AL1634" s="2043"/>
      <c r="AM1634" s="2043"/>
      <c r="AN1634" s="2043"/>
      <c r="AO1634" s="2043"/>
      <c r="AP1634" s="2043"/>
      <c r="AQ1634" s="2043"/>
      <c r="AR1634" s="2043"/>
      <c r="AS1634" s="2043"/>
      <c r="AT1634" s="2043"/>
      <c r="AU1634" s="2043"/>
      <c r="AV1634" s="2043"/>
      <c r="AW1634" s="2043"/>
      <c r="AX1634" s="2043"/>
      <c r="AY1634" s="2043"/>
      <c r="AZ1634" s="2043"/>
      <c r="BA1634" s="2043"/>
      <c r="BB1634" s="2043"/>
      <c r="BC1634" s="2043"/>
      <c r="BD1634" s="2043"/>
      <c r="BE1634" s="2043"/>
      <c r="BF1634" s="2043"/>
      <c r="BG1634" s="2043"/>
      <c r="BH1634" s="2043"/>
      <c r="BI1634" s="2043"/>
      <c r="BJ1634" s="2043"/>
      <c r="BK1634" s="2043"/>
      <c r="BL1634" s="2043"/>
    </row>
    <row r="1635" spans="1:64" ht="15">
      <c r="A1635" s="2043"/>
      <c r="B1635" s="2043"/>
      <c r="C1635" s="2043"/>
      <c r="D1635" s="2043"/>
      <c r="E1635" s="2043"/>
      <c r="F1635" s="2043"/>
      <c r="G1635" s="2043"/>
      <c r="H1635" s="2043"/>
      <c r="I1635" s="2043"/>
      <c r="J1635" s="2043"/>
      <c r="K1635" s="2043"/>
      <c r="L1635" s="2043"/>
      <c r="M1635" s="2043"/>
      <c r="N1635" s="1994"/>
      <c r="O1635" s="2045"/>
      <c r="P1635" s="2045"/>
      <c r="Q1635" s="2043"/>
      <c r="R1635" s="2043"/>
      <c r="S1635" s="2043"/>
      <c r="T1635" s="2043"/>
      <c r="U1635" s="2043"/>
      <c r="V1635" s="2043"/>
      <c r="W1635" s="2043"/>
      <c r="X1635" s="2043"/>
      <c r="Y1635" s="2043"/>
      <c r="Z1635" s="2043"/>
      <c r="AA1635" s="2043"/>
      <c r="AB1635" s="2043"/>
      <c r="AC1635" s="2043"/>
      <c r="AD1635" s="2043"/>
      <c r="AE1635" s="2043"/>
      <c r="AF1635" s="2043"/>
      <c r="AG1635" s="2043"/>
      <c r="AH1635" s="2043"/>
      <c r="AI1635" s="2043"/>
      <c r="AJ1635" s="2043"/>
      <c r="AK1635" s="2043"/>
      <c r="AL1635" s="2043"/>
      <c r="AM1635" s="2043"/>
      <c r="AN1635" s="2043"/>
      <c r="AO1635" s="2043"/>
      <c r="AP1635" s="2043"/>
      <c r="AQ1635" s="2043"/>
      <c r="AR1635" s="2043"/>
      <c r="AS1635" s="2043"/>
      <c r="AT1635" s="2043"/>
      <c r="AU1635" s="2043"/>
      <c r="AV1635" s="2043"/>
      <c r="AW1635" s="2043"/>
      <c r="AX1635" s="2043"/>
      <c r="AY1635" s="2043"/>
      <c r="AZ1635" s="2043"/>
      <c r="BA1635" s="2043"/>
      <c r="BB1635" s="2043"/>
      <c r="BC1635" s="2043"/>
      <c r="BD1635" s="2043"/>
      <c r="BE1635" s="2043"/>
      <c r="BF1635" s="2043"/>
      <c r="BG1635" s="2043"/>
      <c r="BH1635" s="2043"/>
      <c r="BI1635" s="2043"/>
      <c r="BJ1635" s="2043"/>
      <c r="BK1635" s="2043"/>
      <c r="BL1635" s="2043"/>
    </row>
    <row r="1636" spans="1:64" ht="15">
      <c r="A1636" s="2043"/>
      <c r="B1636" s="2043"/>
      <c r="C1636" s="2043"/>
      <c r="D1636" s="2043"/>
      <c r="E1636" s="2043"/>
      <c r="F1636" s="2043"/>
      <c r="G1636" s="2043"/>
      <c r="H1636" s="2043"/>
      <c r="I1636" s="2043"/>
      <c r="J1636" s="2043"/>
      <c r="K1636" s="2043"/>
      <c r="L1636" s="2043"/>
      <c r="M1636" s="2043"/>
      <c r="N1636" s="1994"/>
      <c r="O1636" s="2045"/>
      <c r="P1636" s="2045"/>
      <c r="Q1636" s="2043"/>
      <c r="R1636" s="2043"/>
      <c r="S1636" s="2043"/>
      <c r="T1636" s="2043"/>
      <c r="U1636" s="2043"/>
      <c r="V1636" s="2043"/>
      <c r="W1636" s="2043"/>
      <c r="X1636" s="2043"/>
      <c r="Y1636" s="2043"/>
      <c r="Z1636" s="2043"/>
      <c r="AA1636" s="2043"/>
      <c r="AB1636" s="2043"/>
      <c r="AC1636" s="2043"/>
      <c r="AD1636" s="2043"/>
      <c r="AE1636" s="2043"/>
      <c r="AF1636" s="2043"/>
      <c r="AG1636" s="2043"/>
      <c r="AH1636" s="2043"/>
      <c r="AI1636" s="2043"/>
      <c r="AJ1636" s="2043"/>
      <c r="AK1636" s="2043"/>
      <c r="AL1636" s="2043"/>
      <c r="AM1636" s="2043"/>
      <c r="AN1636" s="2043"/>
      <c r="AO1636" s="2043"/>
      <c r="AP1636" s="2043"/>
      <c r="AQ1636" s="2043"/>
      <c r="AR1636" s="2043"/>
      <c r="AS1636" s="2043"/>
      <c r="AT1636" s="2043"/>
      <c r="AU1636" s="2043"/>
      <c r="AV1636" s="2043"/>
      <c r="AW1636" s="2043"/>
      <c r="AX1636" s="2043"/>
      <c r="AY1636" s="2043"/>
      <c r="AZ1636" s="2043"/>
      <c r="BA1636" s="2043"/>
      <c r="BB1636" s="2043"/>
      <c r="BC1636" s="2043"/>
      <c r="BD1636" s="2043"/>
      <c r="BE1636" s="2043"/>
      <c r="BF1636" s="2043"/>
      <c r="BG1636" s="2043"/>
      <c r="BH1636" s="2043"/>
      <c r="BI1636" s="2043"/>
      <c r="BJ1636" s="2043"/>
      <c r="BK1636" s="2043"/>
      <c r="BL1636" s="2043"/>
    </row>
    <row r="1637" spans="1:64" ht="15">
      <c r="A1637" s="2043"/>
      <c r="B1637" s="2043"/>
      <c r="C1637" s="2043"/>
      <c r="D1637" s="2043"/>
      <c r="E1637" s="2043"/>
      <c r="F1637" s="2043"/>
      <c r="G1637" s="2043"/>
      <c r="H1637" s="2043"/>
      <c r="I1637" s="2043"/>
      <c r="J1637" s="2043"/>
      <c r="K1637" s="2043"/>
      <c r="L1637" s="2043"/>
      <c r="M1637" s="2043"/>
      <c r="N1637" s="1994"/>
      <c r="O1637" s="2045"/>
      <c r="P1637" s="2045"/>
      <c r="Q1637" s="2043"/>
      <c r="R1637" s="2043"/>
      <c r="S1637" s="2043"/>
      <c r="T1637" s="2043"/>
      <c r="U1637" s="2043"/>
      <c r="V1637" s="2043"/>
      <c r="W1637" s="2043"/>
      <c r="X1637" s="2043"/>
      <c r="Y1637" s="2043"/>
      <c r="Z1637" s="2043"/>
      <c r="AA1637" s="2043"/>
      <c r="AB1637" s="2043"/>
      <c r="AC1637" s="2043"/>
      <c r="AD1637" s="2043"/>
      <c r="AE1637" s="2043"/>
      <c r="AF1637" s="2043"/>
      <c r="AG1637" s="2043"/>
      <c r="AH1637" s="2043"/>
      <c r="AI1637" s="2043"/>
      <c r="AJ1637" s="2043"/>
      <c r="AK1637" s="2043"/>
      <c r="AL1637" s="2043"/>
      <c r="AM1637" s="2043"/>
      <c r="AN1637" s="2043"/>
      <c r="AO1637" s="2043"/>
      <c r="AP1637" s="2043"/>
      <c r="AQ1637" s="2043"/>
      <c r="AR1637" s="2043"/>
      <c r="AS1637" s="2043"/>
      <c r="AT1637" s="2043"/>
      <c r="AU1637" s="2043"/>
      <c r="AV1637" s="2043"/>
      <c r="AW1637" s="2043"/>
      <c r="AX1637" s="2043"/>
      <c r="AY1637" s="2043"/>
      <c r="AZ1637" s="2043"/>
      <c r="BA1637" s="2043"/>
      <c r="BB1637" s="2043"/>
      <c r="BC1637" s="2043"/>
      <c r="BD1637" s="2043"/>
      <c r="BE1637" s="2043"/>
      <c r="BF1637" s="2043"/>
      <c r="BG1637" s="2043"/>
      <c r="BH1637" s="2043"/>
      <c r="BI1637" s="2043"/>
      <c r="BJ1637" s="2043"/>
      <c r="BK1637" s="2043"/>
      <c r="BL1637" s="2043"/>
    </row>
    <row r="1638" spans="1:64" ht="15">
      <c r="A1638" s="2043"/>
      <c r="B1638" s="2043"/>
      <c r="C1638" s="2043"/>
      <c r="D1638" s="2043"/>
      <c r="E1638" s="2043"/>
      <c r="F1638" s="2043"/>
      <c r="G1638" s="2043"/>
      <c r="H1638" s="2043"/>
      <c r="I1638" s="2043"/>
      <c r="J1638" s="2043"/>
      <c r="K1638" s="2043"/>
      <c r="L1638" s="2043"/>
      <c r="M1638" s="2043"/>
      <c r="N1638" s="1994"/>
      <c r="O1638" s="2045"/>
      <c r="P1638" s="2045"/>
      <c r="Q1638" s="2043"/>
      <c r="R1638" s="2043"/>
      <c r="S1638" s="2043"/>
      <c r="T1638" s="2043"/>
      <c r="U1638" s="2043"/>
      <c r="V1638" s="2043"/>
      <c r="W1638" s="2043"/>
      <c r="X1638" s="2043"/>
      <c r="Y1638" s="2043"/>
      <c r="Z1638" s="2043"/>
      <c r="AA1638" s="2043"/>
      <c r="AB1638" s="2043"/>
      <c r="AC1638" s="2043"/>
      <c r="AD1638" s="2043"/>
      <c r="AE1638" s="2043"/>
      <c r="AF1638" s="2043"/>
      <c r="AG1638" s="2043"/>
      <c r="AH1638" s="2043"/>
      <c r="AI1638" s="2043"/>
      <c r="AJ1638" s="2043"/>
      <c r="AK1638" s="2043"/>
      <c r="AL1638" s="2043"/>
      <c r="AM1638" s="2043"/>
      <c r="AN1638" s="2043"/>
      <c r="AO1638" s="2043"/>
      <c r="AP1638" s="2043"/>
      <c r="AQ1638" s="2043"/>
      <c r="AR1638" s="2043"/>
      <c r="AS1638" s="2043"/>
      <c r="AT1638" s="2043"/>
      <c r="AU1638" s="2043"/>
      <c r="AV1638" s="2043"/>
      <c r="AW1638" s="2043"/>
      <c r="AX1638" s="2043"/>
      <c r="AY1638" s="2043"/>
      <c r="AZ1638" s="2043"/>
      <c r="BA1638" s="2043"/>
      <c r="BB1638" s="2043"/>
      <c r="BC1638" s="2043"/>
      <c r="BD1638" s="2043"/>
      <c r="BE1638" s="2043"/>
      <c r="BF1638" s="2043"/>
      <c r="BG1638" s="2043"/>
      <c r="BH1638" s="2043"/>
      <c r="BI1638" s="2043"/>
      <c r="BJ1638" s="2043"/>
      <c r="BK1638" s="2043"/>
      <c r="BL1638" s="2043"/>
    </row>
    <row r="1639" spans="1:64" ht="15">
      <c r="A1639" s="2043"/>
      <c r="B1639" s="2043"/>
      <c r="C1639" s="2043"/>
      <c r="D1639" s="2043"/>
      <c r="E1639" s="2043"/>
      <c r="F1639" s="2043"/>
      <c r="G1639" s="2043"/>
      <c r="H1639" s="2043"/>
      <c r="I1639" s="2043"/>
      <c r="J1639" s="2043"/>
      <c r="K1639" s="2043"/>
      <c r="L1639" s="2043"/>
      <c r="M1639" s="2043"/>
      <c r="N1639" s="1994"/>
      <c r="O1639" s="2045"/>
      <c r="P1639" s="2045"/>
      <c r="Q1639" s="2043"/>
      <c r="R1639" s="2043"/>
      <c r="S1639" s="2043"/>
      <c r="T1639" s="2043"/>
      <c r="U1639" s="2043"/>
      <c r="V1639" s="2043"/>
      <c r="W1639" s="2043"/>
      <c r="X1639" s="2043"/>
      <c r="Y1639" s="2043"/>
      <c r="Z1639" s="2043"/>
      <c r="AA1639" s="2043"/>
      <c r="AB1639" s="2043"/>
      <c r="AC1639" s="2043"/>
      <c r="AD1639" s="2043"/>
      <c r="AE1639" s="2043"/>
      <c r="AF1639" s="2043"/>
      <c r="AG1639" s="2043"/>
      <c r="AH1639" s="2043"/>
      <c r="AI1639" s="2043"/>
      <c r="AJ1639" s="2043"/>
      <c r="AK1639" s="2043"/>
      <c r="AL1639" s="2043"/>
      <c r="AM1639" s="2043"/>
      <c r="AN1639" s="2043"/>
      <c r="AO1639" s="2043"/>
      <c r="AP1639" s="2043"/>
      <c r="AQ1639" s="2043"/>
      <c r="AR1639" s="2043"/>
      <c r="AS1639" s="2043"/>
      <c r="AT1639" s="2043"/>
      <c r="AU1639" s="2043"/>
      <c r="AV1639" s="2043"/>
      <c r="AW1639" s="2043"/>
      <c r="AX1639" s="2043"/>
      <c r="AY1639" s="2043"/>
      <c r="AZ1639" s="2043"/>
      <c r="BA1639" s="2043"/>
      <c r="BB1639" s="2043"/>
      <c r="BC1639" s="2043"/>
      <c r="BD1639" s="2043"/>
      <c r="BE1639" s="2043"/>
      <c r="BF1639" s="2043"/>
      <c r="BG1639" s="2043"/>
      <c r="BH1639" s="2043"/>
      <c r="BI1639" s="2043"/>
      <c r="BJ1639" s="2043"/>
      <c r="BK1639" s="2043"/>
      <c r="BL1639" s="2043"/>
    </row>
    <row r="1640" spans="1:64" ht="15">
      <c r="A1640" s="2043"/>
      <c r="B1640" s="2043"/>
      <c r="C1640" s="2043"/>
      <c r="D1640" s="2043"/>
      <c r="E1640" s="2043"/>
      <c r="F1640" s="2043"/>
      <c r="G1640" s="2043"/>
      <c r="H1640" s="2043"/>
      <c r="I1640" s="2043"/>
      <c r="J1640" s="2043"/>
      <c r="K1640" s="2043"/>
      <c r="L1640" s="2043"/>
      <c r="M1640" s="2043"/>
      <c r="N1640" s="1994"/>
      <c r="O1640" s="2045"/>
      <c r="P1640" s="2045"/>
      <c r="Q1640" s="2043"/>
      <c r="R1640" s="2043"/>
      <c r="S1640" s="2043"/>
      <c r="T1640" s="2043"/>
      <c r="U1640" s="2043"/>
      <c r="V1640" s="2043"/>
      <c r="W1640" s="2043"/>
      <c r="X1640" s="2043"/>
      <c r="Y1640" s="2043"/>
      <c r="Z1640" s="2043"/>
      <c r="AA1640" s="2043"/>
      <c r="AB1640" s="2043"/>
      <c r="AC1640" s="2043"/>
      <c r="AD1640" s="2043"/>
      <c r="AE1640" s="2043"/>
      <c r="AF1640" s="2043"/>
      <c r="AG1640" s="2043"/>
      <c r="AH1640" s="2043"/>
      <c r="AI1640" s="2043"/>
      <c r="AJ1640" s="2043"/>
      <c r="AK1640" s="2043"/>
      <c r="AL1640" s="2043"/>
      <c r="AM1640" s="2043"/>
      <c r="AN1640" s="2043"/>
      <c r="AO1640" s="2043"/>
      <c r="AP1640" s="2043"/>
      <c r="AQ1640" s="2043"/>
      <c r="AR1640" s="2043"/>
      <c r="AS1640" s="2043"/>
      <c r="AT1640" s="2043"/>
      <c r="AU1640" s="2043"/>
      <c r="AV1640" s="2043"/>
      <c r="AW1640" s="2043"/>
      <c r="AX1640" s="2043"/>
      <c r="AY1640" s="2043"/>
      <c r="AZ1640" s="2043"/>
      <c r="BA1640" s="2043"/>
      <c r="BB1640" s="2043"/>
      <c r="BC1640" s="2043"/>
      <c r="BD1640" s="2043"/>
      <c r="BE1640" s="2043"/>
      <c r="BF1640" s="2043"/>
      <c r="BG1640" s="2043"/>
      <c r="BH1640" s="2043"/>
      <c r="BI1640" s="2043"/>
      <c r="BJ1640" s="2043"/>
      <c r="BK1640" s="2043"/>
      <c r="BL1640" s="2043"/>
    </row>
    <row r="1641" spans="1:64" ht="15">
      <c r="A1641" s="2043"/>
      <c r="B1641" s="2043"/>
      <c r="C1641" s="2043"/>
      <c r="D1641" s="2043"/>
      <c r="E1641" s="2043"/>
      <c r="F1641" s="2043"/>
      <c r="G1641" s="2043"/>
      <c r="H1641" s="2043"/>
      <c r="I1641" s="2043"/>
      <c r="J1641" s="2043"/>
      <c r="K1641" s="2043"/>
      <c r="L1641" s="2043"/>
      <c r="M1641" s="2043"/>
      <c r="N1641" s="1994"/>
      <c r="O1641" s="2045"/>
      <c r="P1641" s="2045"/>
      <c r="Q1641" s="2043"/>
      <c r="R1641" s="2043"/>
      <c r="S1641" s="2043"/>
      <c r="T1641" s="2043"/>
      <c r="U1641" s="2043"/>
      <c r="V1641" s="2043"/>
      <c r="W1641" s="2043"/>
      <c r="X1641" s="2043"/>
      <c r="Y1641" s="2043"/>
      <c r="Z1641" s="2043"/>
      <c r="AA1641" s="2043"/>
      <c r="AB1641" s="2043"/>
      <c r="AC1641" s="2043"/>
      <c r="AD1641" s="2043"/>
      <c r="AE1641" s="2043"/>
      <c r="AF1641" s="2043"/>
      <c r="AG1641" s="2043"/>
      <c r="AH1641" s="2043"/>
      <c r="AI1641" s="2043"/>
      <c r="AJ1641" s="2043"/>
      <c r="AK1641" s="2043"/>
      <c r="AL1641" s="2043"/>
      <c r="AM1641" s="2043"/>
      <c r="AN1641" s="2043"/>
      <c r="AO1641" s="2043"/>
      <c r="AP1641" s="2043"/>
      <c r="AQ1641" s="2043"/>
      <c r="AR1641" s="2043"/>
      <c r="AS1641" s="2043"/>
      <c r="AT1641" s="2043"/>
      <c r="AU1641" s="2043"/>
      <c r="AV1641" s="2043"/>
      <c r="AW1641" s="2043"/>
      <c r="AX1641" s="2043"/>
      <c r="AY1641" s="2043"/>
      <c r="AZ1641" s="2043"/>
      <c r="BA1641" s="2043"/>
      <c r="BB1641" s="2043"/>
      <c r="BC1641" s="2043"/>
      <c r="BD1641" s="2043"/>
      <c r="BE1641" s="2043"/>
      <c r="BF1641" s="2043"/>
      <c r="BG1641" s="2043"/>
      <c r="BH1641" s="2043"/>
      <c r="BI1641" s="2043"/>
      <c r="BJ1641" s="2043"/>
      <c r="BK1641" s="2043"/>
      <c r="BL1641" s="2043"/>
    </row>
    <row r="1642" spans="1:64" ht="15">
      <c r="A1642" s="2043"/>
      <c r="B1642" s="2043"/>
      <c r="C1642" s="2043"/>
      <c r="D1642" s="2043"/>
      <c r="E1642" s="2043"/>
      <c r="F1642" s="2043"/>
      <c r="G1642" s="2043"/>
      <c r="H1642" s="2043"/>
      <c r="I1642" s="2043"/>
      <c r="J1642" s="2043"/>
      <c r="K1642" s="2043"/>
      <c r="L1642" s="2043"/>
      <c r="M1642" s="2043"/>
      <c r="N1642" s="1994"/>
      <c r="O1642" s="2045"/>
      <c r="P1642" s="2045"/>
      <c r="Q1642" s="2043"/>
      <c r="R1642" s="2043"/>
      <c r="S1642" s="2043"/>
      <c r="T1642" s="2043"/>
      <c r="U1642" s="2043"/>
      <c r="V1642" s="2043"/>
      <c r="W1642" s="2043"/>
      <c r="X1642" s="2043"/>
      <c r="Y1642" s="2043"/>
      <c r="Z1642" s="2043"/>
      <c r="AA1642" s="2043"/>
      <c r="AB1642" s="2043"/>
      <c r="AC1642" s="2043"/>
      <c r="AD1642" s="2043"/>
      <c r="AE1642" s="2043"/>
      <c r="AF1642" s="2043"/>
      <c r="AG1642" s="2043"/>
      <c r="AH1642" s="2043"/>
      <c r="AI1642" s="2043"/>
      <c r="AJ1642" s="2043"/>
      <c r="AK1642" s="2043"/>
      <c r="AL1642" s="2043"/>
      <c r="AM1642" s="2043"/>
      <c r="AN1642" s="2043"/>
      <c r="AO1642" s="2043"/>
      <c r="AP1642" s="2043"/>
      <c r="AQ1642" s="2043"/>
      <c r="AR1642" s="2043"/>
      <c r="AS1642" s="2043"/>
      <c r="AT1642" s="2043"/>
      <c r="AU1642" s="2043"/>
      <c r="AV1642" s="2043"/>
      <c r="AW1642" s="2043"/>
      <c r="AX1642" s="2043"/>
      <c r="AY1642" s="2043"/>
      <c r="AZ1642" s="2043"/>
      <c r="BA1642" s="2043"/>
      <c r="BB1642" s="2043"/>
      <c r="BC1642" s="2043"/>
      <c r="BD1642" s="2043"/>
      <c r="BE1642" s="2043"/>
      <c r="BF1642" s="2043"/>
      <c r="BG1642" s="2043"/>
      <c r="BH1642" s="2043"/>
      <c r="BI1642" s="2043"/>
      <c r="BJ1642" s="2043"/>
      <c r="BK1642" s="2043"/>
      <c r="BL1642" s="2043"/>
    </row>
    <row r="1643" spans="1:64" ht="15">
      <c r="A1643" s="2043"/>
      <c r="B1643" s="2043"/>
      <c r="C1643" s="2043"/>
      <c r="D1643" s="2043"/>
      <c r="E1643" s="2043"/>
      <c r="F1643" s="2043"/>
      <c r="G1643" s="2043"/>
      <c r="H1643" s="2043"/>
      <c r="I1643" s="2043"/>
      <c r="J1643" s="2043"/>
      <c r="K1643" s="2043"/>
      <c r="L1643" s="2043"/>
      <c r="M1643" s="2043"/>
      <c r="N1643" s="1994"/>
      <c r="O1643" s="2045"/>
      <c r="P1643" s="2045"/>
      <c r="Q1643" s="2043"/>
      <c r="R1643" s="2043"/>
      <c r="S1643" s="2043"/>
      <c r="T1643" s="2043"/>
      <c r="U1643" s="2043"/>
      <c r="V1643" s="2043"/>
      <c r="W1643" s="2043"/>
      <c r="X1643" s="2043"/>
      <c r="Y1643" s="2043"/>
      <c r="Z1643" s="2043"/>
      <c r="AA1643" s="2043"/>
      <c r="AB1643" s="2043"/>
      <c r="AC1643" s="2043"/>
      <c r="AD1643" s="2043"/>
      <c r="AE1643" s="2043"/>
      <c r="AF1643" s="2043"/>
      <c r="AG1643" s="2043"/>
      <c r="AH1643" s="2043"/>
      <c r="AI1643" s="2043"/>
      <c r="AJ1643" s="2043"/>
      <c r="AK1643" s="2043"/>
      <c r="AL1643" s="2043"/>
      <c r="AM1643" s="2043"/>
      <c r="AN1643" s="2043"/>
      <c r="AO1643" s="2043"/>
      <c r="AP1643" s="2043"/>
      <c r="AQ1643" s="2043"/>
      <c r="AR1643" s="2043"/>
      <c r="AS1643" s="2043"/>
      <c r="AT1643" s="2043"/>
      <c r="AU1643" s="2043"/>
      <c r="AV1643" s="2043"/>
      <c r="AW1643" s="2043"/>
      <c r="AX1643" s="2043"/>
      <c r="AY1643" s="2043"/>
      <c r="AZ1643" s="2043"/>
      <c r="BA1643" s="2043"/>
      <c r="BB1643" s="2043"/>
      <c r="BC1643" s="2043"/>
      <c r="BD1643" s="2043"/>
      <c r="BE1643" s="2043"/>
      <c r="BF1643" s="2043"/>
      <c r="BG1643" s="2043"/>
      <c r="BH1643" s="2043"/>
      <c r="BI1643" s="2043"/>
      <c r="BJ1643" s="2043"/>
      <c r="BK1643" s="2043"/>
      <c r="BL1643" s="2043"/>
    </row>
    <row r="1644" spans="1:64" ht="15">
      <c r="A1644" s="2043"/>
      <c r="B1644" s="2043"/>
      <c r="C1644" s="2043"/>
      <c r="D1644" s="2043"/>
      <c r="E1644" s="2043"/>
      <c r="F1644" s="2043"/>
      <c r="G1644" s="2043"/>
      <c r="H1644" s="2043"/>
      <c r="I1644" s="2043"/>
      <c r="J1644" s="2043"/>
      <c r="K1644" s="2043"/>
      <c r="L1644" s="2043"/>
      <c r="M1644" s="2043"/>
      <c r="N1644" s="1994"/>
      <c r="O1644" s="2045"/>
      <c r="P1644" s="2045"/>
      <c r="Q1644" s="2043"/>
      <c r="R1644" s="2043"/>
      <c r="S1644" s="2043"/>
      <c r="T1644" s="2043"/>
      <c r="U1644" s="2043"/>
      <c r="V1644" s="2043"/>
      <c r="W1644" s="2043"/>
      <c r="X1644" s="2043"/>
      <c r="Y1644" s="2043"/>
      <c r="Z1644" s="2043"/>
      <c r="AA1644" s="2043"/>
      <c r="AB1644" s="2043"/>
      <c r="AC1644" s="2043"/>
      <c r="AD1644" s="2043"/>
      <c r="AE1644" s="2043"/>
      <c r="AF1644" s="2043"/>
      <c r="AG1644" s="2043"/>
      <c r="AH1644" s="2043"/>
      <c r="AI1644" s="2043"/>
      <c r="AJ1644" s="2043"/>
      <c r="AK1644" s="2043"/>
      <c r="AL1644" s="2043"/>
      <c r="AM1644" s="2043"/>
      <c r="AN1644" s="2043"/>
      <c r="AO1644" s="2043"/>
      <c r="AP1644" s="2043"/>
      <c r="AQ1644" s="2043"/>
      <c r="AR1644" s="2043"/>
      <c r="AS1644" s="2043"/>
      <c r="AT1644" s="2043"/>
      <c r="AU1644" s="2043"/>
      <c r="AV1644" s="2043"/>
      <c r="AW1644" s="2043"/>
      <c r="AX1644" s="2043"/>
      <c r="AY1644" s="2043"/>
      <c r="AZ1644" s="2043"/>
      <c r="BA1644" s="2043"/>
      <c r="BB1644" s="2043"/>
      <c r="BC1644" s="2043"/>
      <c r="BD1644" s="2043"/>
      <c r="BE1644" s="2043"/>
      <c r="BF1644" s="2043"/>
      <c r="BG1644" s="2043"/>
      <c r="BH1644" s="2043"/>
      <c r="BI1644" s="2043"/>
      <c r="BJ1644" s="2043"/>
      <c r="BK1644" s="2043"/>
      <c r="BL1644" s="2043"/>
    </row>
    <row r="1645" spans="1:64" ht="15">
      <c r="A1645" s="2043"/>
      <c r="B1645" s="2043"/>
      <c r="C1645" s="2043"/>
      <c r="D1645" s="2043"/>
      <c r="E1645" s="2043"/>
      <c r="F1645" s="2043"/>
      <c r="G1645" s="2043"/>
      <c r="H1645" s="2043"/>
      <c r="I1645" s="2043"/>
      <c r="J1645" s="2043"/>
      <c r="K1645" s="2043"/>
      <c r="L1645" s="2043"/>
      <c r="M1645" s="2043"/>
      <c r="N1645" s="1994"/>
      <c r="O1645" s="2045"/>
      <c r="P1645" s="2045"/>
      <c r="Q1645" s="2043"/>
      <c r="R1645" s="2043"/>
      <c r="S1645" s="2043"/>
      <c r="T1645" s="2043"/>
      <c r="U1645" s="2043"/>
      <c r="V1645" s="2043"/>
      <c r="W1645" s="2043"/>
      <c r="X1645" s="2043"/>
      <c r="Y1645" s="2043"/>
      <c r="Z1645" s="2043"/>
      <c r="AA1645" s="2043"/>
      <c r="AB1645" s="2043"/>
      <c r="AC1645" s="2043"/>
      <c r="AD1645" s="2043"/>
      <c r="AE1645" s="2043"/>
      <c r="AF1645" s="2043"/>
      <c r="AG1645" s="2043"/>
      <c r="AH1645" s="2043"/>
      <c r="AI1645" s="2043"/>
      <c r="AJ1645" s="2043"/>
      <c r="AK1645" s="2043"/>
      <c r="AL1645" s="2043"/>
      <c r="AM1645" s="2043"/>
      <c r="AN1645" s="2043"/>
      <c r="AO1645" s="2043"/>
      <c r="AP1645" s="2043"/>
      <c r="AQ1645" s="2043"/>
      <c r="AR1645" s="2043"/>
      <c r="AS1645" s="2043"/>
      <c r="AT1645" s="2043"/>
      <c r="AU1645" s="2043"/>
      <c r="AV1645" s="2043"/>
      <c r="AW1645" s="2043"/>
      <c r="AX1645" s="2043"/>
      <c r="AY1645" s="2043"/>
      <c r="AZ1645" s="2043"/>
      <c r="BA1645" s="2043"/>
      <c r="BB1645" s="2043"/>
      <c r="BC1645" s="2043"/>
      <c r="BD1645" s="2043"/>
      <c r="BE1645" s="2043"/>
      <c r="BF1645" s="2043"/>
      <c r="BG1645" s="2043"/>
      <c r="BH1645" s="2043"/>
      <c r="BI1645" s="2043"/>
      <c r="BJ1645" s="2043"/>
      <c r="BK1645" s="2043"/>
      <c r="BL1645" s="2043"/>
    </row>
    <row r="1646" spans="1:64" ht="15">
      <c r="A1646" s="2043"/>
      <c r="B1646" s="2043"/>
      <c r="C1646" s="2043"/>
      <c r="D1646" s="2043"/>
      <c r="E1646" s="2043"/>
      <c r="F1646" s="2043"/>
      <c r="G1646" s="2043"/>
      <c r="H1646" s="2043"/>
      <c r="I1646" s="2043"/>
      <c r="J1646" s="2043"/>
      <c r="K1646" s="2043"/>
      <c r="L1646" s="2043"/>
      <c r="M1646" s="2043"/>
      <c r="N1646" s="1994"/>
      <c r="O1646" s="2045"/>
      <c r="P1646" s="2045"/>
      <c r="Q1646" s="2043"/>
      <c r="R1646" s="2043"/>
      <c r="S1646" s="2043"/>
      <c r="T1646" s="2043"/>
      <c r="U1646" s="2043"/>
      <c r="V1646" s="2043"/>
      <c r="W1646" s="2043"/>
      <c r="X1646" s="2043"/>
      <c r="Y1646" s="2043"/>
      <c r="Z1646" s="2043"/>
      <c r="AA1646" s="2043"/>
      <c r="AB1646" s="2043"/>
      <c r="AC1646" s="2043"/>
      <c r="AD1646" s="2043"/>
      <c r="AE1646" s="2043"/>
      <c r="AF1646" s="2043"/>
      <c r="AG1646" s="2043"/>
      <c r="AH1646" s="2043"/>
      <c r="AI1646" s="2043"/>
      <c r="AJ1646" s="2043"/>
      <c r="AK1646" s="2043"/>
      <c r="AL1646" s="2043"/>
      <c r="AM1646" s="2043"/>
      <c r="AN1646" s="2043"/>
      <c r="AO1646" s="2043"/>
      <c r="AP1646" s="2043"/>
      <c r="AQ1646" s="2043"/>
      <c r="AR1646" s="2043"/>
      <c r="AS1646" s="2043"/>
      <c r="AT1646" s="2043"/>
      <c r="AU1646" s="2043"/>
      <c r="AV1646" s="2043"/>
      <c r="AW1646" s="2043"/>
      <c r="AX1646" s="2043"/>
      <c r="AY1646" s="2043"/>
      <c r="AZ1646" s="2043"/>
      <c r="BA1646" s="2043"/>
      <c r="BB1646" s="2043"/>
      <c r="BC1646" s="2043"/>
      <c r="BD1646" s="2043"/>
      <c r="BE1646" s="2043"/>
      <c r="BF1646" s="2043"/>
      <c r="BG1646" s="2043"/>
      <c r="BH1646" s="2043"/>
      <c r="BI1646" s="2043"/>
      <c r="BJ1646" s="2043"/>
      <c r="BK1646" s="2043"/>
      <c r="BL1646" s="2043"/>
    </row>
    <row r="1647" spans="1:64" ht="15">
      <c r="A1647" s="2043"/>
      <c r="B1647" s="2043"/>
      <c r="C1647" s="2043"/>
      <c r="D1647" s="2043"/>
      <c r="E1647" s="2043"/>
      <c r="F1647" s="2043"/>
      <c r="G1647" s="2043"/>
      <c r="H1647" s="2043"/>
      <c r="I1647" s="2043"/>
      <c r="J1647" s="2043"/>
      <c r="K1647" s="2043"/>
      <c r="L1647" s="2043"/>
      <c r="M1647" s="2043"/>
      <c r="N1647" s="1994"/>
      <c r="O1647" s="2045"/>
      <c r="P1647" s="2045"/>
      <c r="Q1647" s="2043"/>
      <c r="R1647" s="2043"/>
      <c r="S1647" s="2043"/>
      <c r="T1647" s="2043"/>
      <c r="U1647" s="2043"/>
      <c r="V1647" s="2043"/>
      <c r="W1647" s="2043"/>
      <c r="X1647" s="2043"/>
      <c r="Y1647" s="2043"/>
      <c r="Z1647" s="2043"/>
      <c r="AA1647" s="2043"/>
      <c r="AB1647" s="2043"/>
      <c r="AC1647" s="2043"/>
      <c r="AD1647" s="2043"/>
      <c r="AE1647" s="2043"/>
      <c r="AF1647" s="2043"/>
      <c r="AG1647" s="2043"/>
      <c r="AH1647" s="2043"/>
      <c r="AI1647" s="2043"/>
      <c r="AJ1647" s="2043"/>
      <c r="AK1647" s="2043"/>
      <c r="AL1647" s="2043"/>
      <c r="AM1647" s="2043"/>
      <c r="AN1647" s="2043"/>
      <c r="AO1647" s="2043"/>
      <c r="AP1647" s="2043"/>
      <c r="AQ1647" s="2043"/>
      <c r="AR1647" s="2043"/>
      <c r="AS1647" s="2043"/>
      <c r="AT1647" s="2043"/>
      <c r="AU1647" s="2043"/>
      <c r="AV1647" s="2043"/>
      <c r="AW1647" s="2043"/>
      <c r="AX1647" s="2043"/>
      <c r="AY1647" s="2043"/>
      <c r="AZ1647" s="2043"/>
      <c r="BA1647" s="2043"/>
      <c r="BB1647" s="2043"/>
      <c r="BC1647" s="2043"/>
      <c r="BD1647" s="2043"/>
      <c r="BE1647" s="2043"/>
      <c r="BF1647" s="2043"/>
      <c r="BG1647" s="2043"/>
      <c r="BH1647" s="2043"/>
      <c r="BI1647" s="2043"/>
      <c r="BJ1647" s="2043"/>
      <c r="BK1647" s="2043"/>
      <c r="BL1647" s="2043"/>
    </row>
    <row r="1648" spans="1:64" ht="15">
      <c r="A1648" s="2043"/>
      <c r="B1648" s="2043"/>
      <c r="C1648" s="2043"/>
      <c r="D1648" s="2043"/>
      <c r="E1648" s="2043"/>
      <c r="F1648" s="2043"/>
      <c r="G1648" s="2043"/>
      <c r="H1648" s="2043"/>
      <c r="I1648" s="2043"/>
      <c r="J1648" s="2043"/>
      <c r="K1648" s="2043"/>
      <c r="L1648" s="2043"/>
      <c r="M1648" s="2043"/>
      <c r="N1648" s="1994"/>
      <c r="O1648" s="2045"/>
      <c r="P1648" s="2045"/>
      <c r="Q1648" s="2043"/>
      <c r="R1648" s="2043"/>
      <c r="S1648" s="2043"/>
      <c r="T1648" s="2043"/>
      <c r="U1648" s="2043"/>
      <c r="V1648" s="2043"/>
      <c r="W1648" s="2043"/>
      <c r="X1648" s="2043"/>
      <c r="Y1648" s="2043"/>
      <c r="Z1648" s="2043"/>
      <c r="AA1648" s="2043"/>
      <c r="AB1648" s="2043"/>
      <c r="AC1648" s="2043"/>
      <c r="AD1648" s="2043"/>
      <c r="AE1648" s="2043"/>
      <c r="AF1648" s="2043"/>
      <c r="AG1648" s="2043"/>
      <c r="AH1648" s="2043"/>
      <c r="AI1648" s="2043"/>
      <c r="AJ1648" s="2043"/>
      <c r="AK1648" s="2043"/>
      <c r="AL1648" s="2043"/>
      <c r="AM1648" s="2043"/>
      <c r="AN1648" s="2043"/>
      <c r="AO1648" s="2043"/>
      <c r="AP1648" s="2043"/>
      <c r="AQ1648" s="2043"/>
      <c r="AR1648" s="2043"/>
      <c r="AS1648" s="2043"/>
      <c r="AT1648" s="2043"/>
      <c r="AU1648" s="2043"/>
      <c r="AV1648" s="2043"/>
      <c r="AW1648" s="2043"/>
      <c r="AX1648" s="2043"/>
      <c r="AY1648" s="2043"/>
      <c r="AZ1648" s="2043"/>
      <c r="BA1648" s="2043"/>
      <c r="BB1648" s="2043"/>
      <c r="BC1648" s="2043"/>
      <c r="BD1648" s="2043"/>
      <c r="BE1648" s="2043"/>
      <c r="BF1648" s="2043"/>
      <c r="BG1648" s="2043"/>
      <c r="BH1648" s="2043"/>
      <c r="BI1648" s="2043"/>
      <c r="BJ1648" s="2043"/>
      <c r="BK1648" s="2043"/>
      <c r="BL1648" s="2043"/>
    </row>
    <row r="1649" spans="1:64" ht="15">
      <c r="A1649" s="2043"/>
      <c r="B1649" s="2043"/>
      <c r="C1649" s="2043"/>
      <c r="D1649" s="2043"/>
      <c r="E1649" s="2043"/>
      <c r="F1649" s="2043"/>
      <c r="G1649" s="2043"/>
      <c r="H1649" s="2043"/>
      <c r="I1649" s="2043"/>
      <c r="J1649" s="2043"/>
      <c r="K1649" s="2043"/>
      <c r="L1649" s="2043"/>
      <c r="M1649" s="2043"/>
      <c r="N1649" s="1994"/>
      <c r="O1649" s="2045"/>
      <c r="P1649" s="2045"/>
      <c r="Q1649" s="2043"/>
      <c r="R1649" s="2043"/>
      <c r="S1649" s="2043"/>
      <c r="T1649" s="2043"/>
      <c r="U1649" s="2043"/>
      <c r="V1649" s="2043"/>
      <c r="W1649" s="2043"/>
      <c r="X1649" s="2043"/>
      <c r="Y1649" s="2043"/>
      <c r="Z1649" s="2043"/>
      <c r="AA1649" s="2043"/>
      <c r="AB1649" s="2043"/>
      <c r="AC1649" s="2043"/>
      <c r="AD1649" s="2043"/>
      <c r="AE1649" s="2043"/>
      <c r="AF1649" s="2043"/>
      <c r="AG1649" s="2043"/>
      <c r="AH1649" s="2043"/>
      <c r="AI1649" s="2043"/>
      <c r="AJ1649" s="2043"/>
      <c r="AK1649" s="2043"/>
      <c r="AL1649" s="2043"/>
      <c r="AM1649" s="2043"/>
      <c r="AN1649" s="2043"/>
      <c r="AO1649" s="2043"/>
      <c r="AP1649" s="2043"/>
      <c r="AQ1649" s="2043"/>
      <c r="AR1649" s="2043"/>
      <c r="AS1649" s="2043"/>
      <c r="AT1649" s="2043"/>
      <c r="AU1649" s="2043"/>
      <c r="AV1649" s="2043"/>
      <c r="AW1649" s="2043"/>
      <c r="AX1649" s="2043"/>
      <c r="AY1649" s="2043"/>
      <c r="AZ1649" s="2043"/>
      <c r="BA1649" s="2043"/>
      <c r="BB1649" s="2043"/>
      <c r="BC1649" s="2043"/>
      <c r="BD1649" s="2043"/>
      <c r="BE1649" s="2043"/>
      <c r="BF1649" s="2043"/>
      <c r="BG1649" s="2043"/>
      <c r="BH1649" s="2043"/>
      <c r="BI1649" s="2043"/>
      <c r="BJ1649" s="2043"/>
      <c r="BK1649" s="2043"/>
      <c r="BL1649" s="2043"/>
    </row>
    <row r="1650" spans="1:64" ht="15">
      <c r="A1650" s="2043"/>
      <c r="B1650" s="2043"/>
      <c r="C1650" s="2043"/>
      <c r="D1650" s="2043"/>
      <c r="E1650" s="2043"/>
      <c r="F1650" s="2043"/>
      <c r="G1650" s="2043"/>
      <c r="H1650" s="2043"/>
      <c r="I1650" s="2043"/>
      <c r="J1650" s="2043"/>
      <c r="K1650" s="2043"/>
      <c r="L1650" s="2043"/>
      <c r="M1650" s="2043"/>
      <c r="N1650" s="1994"/>
      <c r="O1650" s="2045"/>
      <c r="P1650" s="2045"/>
      <c r="Q1650" s="2043"/>
      <c r="R1650" s="2043"/>
      <c r="S1650" s="2043"/>
      <c r="T1650" s="2043"/>
      <c r="U1650" s="2043"/>
      <c r="V1650" s="2043"/>
      <c r="W1650" s="2043"/>
      <c r="X1650" s="2043"/>
      <c r="Y1650" s="2043"/>
      <c r="Z1650" s="2043"/>
      <c r="AA1650" s="2043"/>
      <c r="AB1650" s="2043"/>
      <c r="AC1650" s="2043"/>
      <c r="AD1650" s="2043"/>
      <c r="AE1650" s="2043"/>
      <c r="AF1650" s="2043"/>
      <c r="AG1650" s="2043"/>
      <c r="AH1650" s="2043"/>
      <c r="AI1650" s="2043"/>
      <c r="AJ1650" s="2043"/>
      <c r="AK1650" s="2043"/>
      <c r="AL1650" s="2043"/>
      <c r="AM1650" s="2043"/>
      <c r="AN1650" s="2043"/>
      <c r="AO1650" s="2043"/>
      <c r="AP1650" s="2043"/>
      <c r="AQ1650" s="2043"/>
      <c r="AR1650" s="2043"/>
      <c r="AS1650" s="2043"/>
      <c r="AT1650" s="2043"/>
      <c r="AU1650" s="2043"/>
      <c r="AV1650" s="2043"/>
      <c r="AW1650" s="2043"/>
      <c r="AX1650" s="2043"/>
      <c r="AY1650" s="2043"/>
      <c r="AZ1650" s="2043"/>
      <c r="BA1650" s="2043"/>
      <c r="BB1650" s="2043"/>
      <c r="BC1650" s="2043"/>
      <c r="BD1650" s="2043"/>
      <c r="BE1650" s="2043"/>
      <c r="BF1650" s="2043"/>
      <c r="BG1650" s="2043"/>
      <c r="BH1650" s="2043"/>
      <c r="BI1650" s="2043"/>
      <c r="BJ1650" s="2043"/>
      <c r="BK1650" s="2043"/>
      <c r="BL1650" s="2043"/>
    </row>
    <row r="1651" spans="1:64" ht="15">
      <c r="A1651" s="2043"/>
      <c r="B1651" s="2043"/>
      <c r="C1651" s="2043"/>
      <c r="D1651" s="2043"/>
      <c r="E1651" s="2043"/>
      <c r="F1651" s="2043"/>
      <c r="G1651" s="2043"/>
      <c r="H1651" s="2043"/>
      <c r="I1651" s="2043"/>
      <c r="J1651" s="2043"/>
      <c r="K1651" s="2043"/>
      <c r="L1651" s="2043"/>
      <c r="M1651" s="2043"/>
      <c r="N1651" s="1994"/>
      <c r="O1651" s="2045"/>
      <c r="P1651" s="2045"/>
      <c r="Q1651" s="2043"/>
      <c r="R1651" s="2043"/>
      <c r="S1651" s="2043"/>
      <c r="T1651" s="2043"/>
      <c r="U1651" s="2043"/>
      <c r="V1651" s="2043"/>
      <c r="W1651" s="2043"/>
      <c r="X1651" s="2043"/>
      <c r="Y1651" s="2043"/>
      <c r="Z1651" s="2043"/>
      <c r="AA1651" s="2043"/>
      <c r="AB1651" s="2043"/>
      <c r="AC1651" s="2043"/>
      <c r="AD1651" s="2043"/>
      <c r="AE1651" s="2043"/>
      <c r="AF1651" s="2043"/>
      <c r="AG1651" s="2043"/>
      <c r="AH1651" s="2043"/>
      <c r="AI1651" s="2043"/>
      <c r="AJ1651" s="2043"/>
      <c r="AK1651" s="2043"/>
      <c r="AL1651" s="2043"/>
      <c r="AM1651" s="2043"/>
      <c r="AN1651" s="2043"/>
      <c r="AO1651" s="2043"/>
      <c r="AP1651" s="2043"/>
      <c r="AQ1651" s="2043"/>
      <c r="AR1651" s="2043"/>
      <c r="AS1651" s="2043"/>
      <c r="AT1651" s="2043"/>
      <c r="AU1651" s="2043"/>
      <c r="AV1651" s="2043"/>
      <c r="AW1651" s="2043"/>
      <c r="AX1651" s="2043"/>
      <c r="AY1651" s="2043"/>
      <c r="AZ1651" s="2043"/>
      <c r="BA1651" s="2043"/>
      <c r="BB1651" s="2043"/>
      <c r="BC1651" s="2043"/>
      <c r="BD1651" s="2043"/>
      <c r="BE1651" s="2043"/>
      <c r="BF1651" s="2043"/>
      <c r="BG1651" s="2043"/>
      <c r="BH1651" s="2043"/>
      <c r="BI1651" s="2043"/>
      <c r="BJ1651" s="2043"/>
      <c r="BK1651" s="2043"/>
      <c r="BL1651" s="2043"/>
    </row>
    <row r="1652" spans="1:64" ht="15">
      <c r="A1652" s="2043"/>
      <c r="B1652" s="2043"/>
      <c r="C1652" s="2043"/>
      <c r="D1652" s="2043"/>
      <c r="E1652" s="2043"/>
      <c r="F1652" s="2043"/>
      <c r="G1652" s="2043"/>
      <c r="H1652" s="2043"/>
      <c r="I1652" s="2043"/>
      <c r="J1652" s="2043"/>
      <c r="K1652" s="2043"/>
      <c r="L1652" s="2043"/>
      <c r="M1652" s="2043"/>
      <c r="N1652" s="1994"/>
      <c r="O1652" s="2045"/>
      <c r="P1652" s="2045"/>
      <c r="Q1652" s="2043"/>
      <c r="R1652" s="2043"/>
      <c r="S1652" s="2043"/>
      <c r="T1652" s="2043"/>
      <c r="U1652" s="2043"/>
      <c r="V1652" s="2043"/>
      <c r="W1652" s="2043"/>
      <c r="X1652" s="2043"/>
      <c r="Y1652" s="2043"/>
      <c r="Z1652" s="2043"/>
      <c r="AA1652" s="2043"/>
      <c r="AB1652" s="2043"/>
      <c r="AC1652" s="2043"/>
      <c r="AD1652" s="2043"/>
      <c r="AE1652" s="2043"/>
      <c r="AF1652" s="2043"/>
      <c r="AG1652" s="2043"/>
      <c r="AH1652" s="2043"/>
      <c r="AI1652" s="2043"/>
      <c r="AJ1652" s="2043"/>
      <c r="AK1652" s="2043"/>
      <c r="AL1652" s="2043"/>
      <c r="AM1652" s="2043"/>
      <c r="AN1652" s="2043"/>
      <c r="AO1652" s="2043"/>
      <c r="AP1652" s="2043"/>
      <c r="AQ1652" s="2043"/>
      <c r="AR1652" s="2043"/>
      <c r="AS1652" s="2043"/>
      <c r="AT1652" s="2043"/>
      <c r="AU1652" s="2043"/>
      <c r="AV1652" s="2043"/>
      <c r="AW1652" s="2043"/>
      <c r="AX1652" s="2043"/>
      <c r="AY1652" s="2043"/>
      <c r="AZ1652" s="2043"/>
      <c r="BA1652" s="2043"/>
      <c r="BB1652" s="2043"/>
      <c r="BC1652" s="2043"/>
      <c r="BD1652" s="2043"/>
      <c r="BE1652" s="2043"/>
      <c r="BF1652" s="2043"/>
      <c r="BG1652" s="2043"/>
      <c r="BH1652" s="2043"/>
      <c r="BI1652" s="2043"/>
      <c r="BJ1652" s="2043"/>
      <c r="BK1652" s="2043"/>
      <c r="BL1652" s="2043"/>
    </row>
    <row r="1653" spans="1:64" ht="15">
      <c r="A1653" s="2043"/>
      <c r="B1653" s="2043"/>
      <c r="C1653" s="2043"/>
      <c r="D1653" s="2043"/>
      <c r="E1653" s="2043"/>
      <c r="F1653" s="2043"/>
      <c r="G1653" s="2043"/>
      <c r="H1653" s="2043"/>
      <c r="I1653" s="2043"/>
      <c r="J1653" s="2043"/>
      <c r="K1653" s="2043"/>
      <c r="L1653" s="2043"/>
      <c r="M1653" s="2043"/>
      <c r="N1653" s="1994"/>
      <c r="O1653" s="2045"/>
      <c r="P1653" s="2045"/>
      <c r="Q1653" s="2043"/>
      <c r="R1653" s="2043"/>
      <c r="S1653" s="2043"/>
      <c r="T1653" s="2043"/>
      <c r="U1653" s="2043"/>
      <c r="V1653" s="2043"/>
      <c r="W1653" s="2043"/>
      <c r="X1653" s="2043"/>
      <c r="Y1653" s="2043"/>
      <c r="Z1653" s="2043"/>
      <c r="AA1653" s="2043"/>
      <c r="AB1653" s="2043"/>
      <c r="AC1653" s="2043"/>
      <c r="AD1653" s="2043"/>
      <c r="AE1653" s="2043"/>
      <c r="AF1653" s="2043"/>
      <c r="AG1653" s="2043"/>
      <c r="AH1653" s="2043"/>
      <c r="AI1653" s="2043"/>
      <c r="AJ1653" s="2043"/>
      <c r="AK1653" s="2043"/>
      <c r="AL1653" s="2043"/>
      <c r="AM1653" s="2043"/>
      <c r="AN1653" s="2043"/>
      <c r="AO1653" s="2043"/>
      <c r="AP1653" s="2043"/>
      <c r="AQ1653" s="2043"/>
      <c r="AR1653" s="2043"/>
      <c r="AS1653" s="2043"/>
      <c r="AT1653" s="2043"/>
      <c r="AU1653" s="2043"/>
      <c r="AV1653" s="2043"/>
      <c r="AW1653" s="2043"/>
      <c r="AX1653" s="2043"/>
      <c r="AY1653" s="2043"/>
      <c r="AZ1653" s="2043"/>
      <c r="BA1653" s="2043"/>
      <c r="BB1653" s="2043"/>
      <c r="BC1653" s="2043"/>
      <c r="BD1653" s="2043"/>
      <c r="BE1653" s="2043"/>
      <c r="BF1653" s="2043"/>
      <c r="BG1653" s="2043"/>
      <c r="BH1653" s="2043"/>
      <c r="BI1653" s="2043"/>
      <c r="BJ1653" s="2043"/>
      <c r="BK1653" s="2043"/>
      <c r="BL1653" s="2043"/>
    </row>
    <row r="1654" spans="1:64" ht="15">
      <c r="A1654" s="2043"/>
      <c r="B1654" s="2043"/>
      <c r="C1654" s="2043"/>
      <c r="D1654" s="2043"/>
      <c r="E1654" s="2043"/>
      <c r="F1654" s="2043"/>
      <c r="G1654" s="2043"/>
      <c r="H1654" s="2043"/>
      <c r="I1654" s="2043"/>
      <c r="J1654" s="2043"/>
      <c r="K1654" s="2043"/>
      <c r="L1654" s="2043"/>
      <c r="M1654" s="2043"/>
      <c r="N1654" s="1994"/>
      <c r="O1654" s="2045"/>
      <c r="P1654" s="2045"/>
      <c r="Q1654" s="2043"/>
      <c r="R1654" s="2043"/>
      <c r="S1654" s="2043"/>
      <c r="T1654" s="2043"/>
      <c r="U1654" s="2043"/>
      <c r="V1654" s="2043"/>
      <c r="W1654" s="2043"/>
      <c r="X1654" s="2043"/>
      <c r="Y1654" s="2043"/>
      <c r="Z1654" s="2043"/>
      <c r="AA1654" s="2043"/>
      <c r="AB1654" s="2043"/>
      <c r="AC1654" s="2043"/>
      <c r="AD1654" s="2043"/>
      <c r="AE1654" s="2043"/>
      <c r="AF1654" s="2043"/>
      <c r="AG1654" s="2043"/>
      <c r="AH1654" s="2043"/>
      <c r="AI1654" s="2043"/>
      <c r="AJ1654" s="2043"/>
      <c r="AK1654" s="2043"/>
      <c r="AL1654" s="2043"/>
      <c r="AM1654" s="2043"/>
      <c r="AN1654" s="2043"/>
      <c r="AO1654" s="2043"/>
      <c r="AP1654" s="2043"/>
      <c r="AQ1654" s="2043"/>
      <c r="AR1654" s="2043"/>
      <c r="AS1654" s="2043"/>
      <c r="AT1654" s="2043"/>
      <c r="AU1654" s="2043"/>
      <c r="AV1654" s="2043"/>
      <c r="AW1654" s="2043"/>
      <c r="AX1654" s="2043"/>
      <c r="AY1654" s="2043"/>
      <c r="AZ1654" s="2043"/>
      <c r="BA1654" s="2043"/>
      <c r="BB1654" s="2043"/>
      <c r="BC1654" s="2043"/>
      <c r="BD1654" s="2043"/>
      <c r="BE1654" s="2043"/>
      <c r="BF1654" s="2043"/>
      <c r="BG1654" s="2043"/>
      <c r="BH1654" s="2043"/>
      <c r="BI1654" s="2043"/>
      <c r="BJ1654" s="2043"/>
      <c r="BK1654" s="2043"/>
      <c r="BL1654" s="2043"/>
    </row>
    <row r="1655" spans="1:64" ht="15">
      <c r="A1655" s="2043"/>
      <c r="B1655" s="2043"/>
      <c r="C1655" s="2043"/>
      <c r="D1655" s="2043"/>
      <c r="E1655" s="2043"/>
      <c r="F1655" s="2043"/>
      <c r="G1655" s="2043"/>
      <c r="H1655" s="2043"/>
      <c r="I1655" s="2043"/>
      <c r="J1655" s="2043"/>
      <c r="K1655" s="2043"/>
      <c r="L1655" s="2043"/>
      <c r="M1655" s="2043"/>
      <c r="N1655" s="1994"/>
      <c r="O1655" s="2045"/>
      <c r="P1655" s="2045"/>
      <c r="Q1655" s="2043"/>
      <c r="R1655" s="2043"/>
      <c r="S1655" s="2043"/>
      <c r="T1655" s="2043"/>
      <c r="U1655" s="2043"/>
      <c r="V1655" s="2043"/>
      <c r="W1655" s="2043"/>
      <c r="X1655" s="2043"/>
      <c r="Y1655" s="2043"/>
      <c r="Z1655" s="2043"/>
      <c r="AA1655" s="2043"/>
      <c r="AB1655" s="2043"/>
      <c r="AC1655" s="2043"/>
      <c r="AD1655" s="2043"/>
      <c r="AE1655" s="2043"/>
      <c r="AF1655" s="2043"/>
      <c r="AG1655" s="2043"/>
      <c r="AH1655" s="2043"/>
      <c r="AI1655" s="2043"/>
      <c r="AJ1655" s="2043"/>
      <c r="AK1655" s="2043"/>
      <c r="AL1655" s="2043"/>
      <c r="AM1655" s="2043"/>
      <c r="AN1655" s="2043"/>
      <c r="AO1655" s="2043"/>
      <c r="AP1655" s="2043"/>
      <c r="AQ1655" s="2043"/>
      <c r="AR1655" s="2043"/>
      <c r="AS1655" s="2043"/>
      <c r="AT1655" s="2043"/>
      <c r="AU1655" s="2043"/>
      <c r="AV1655" s="2043"/>
      <c r="AW1655" s="2043"/>
      <c r="AX1655" s="2043"/>
      <c r="AY1655" s="2043"/>
      <c r="AZ1655" s="2043"/>
      <c r="BA1655" s="2043"/>
      <c r="BB1655" s="2043"/>
      <c r="BC1655" s="2043"/>
      <c r="BD1655" s="2043"/>
      <c r="BE1655" s="2043"/>
      <c r="BF1655" s="2043"/>
      <c r="BG1655" s="2043"/>
      <c r="BH1655" s="2043"/>
      <c r="BI1655" s="2043"/>
      <c r="BJ1655" s="2043"/>
      <c r="BK1655" s="2043"/>
      <c r="BL1655" s="2043"/>
    </row>
    <row r="1656" spans="1:64" ht="15">
      <c r="A1656" s="2043"/>
      <c r="B1656" s="2043"/>
      <c r="C1656" s="2043"/>
      <c r="D1656" s="2043"/>
      <c r="E1656" s="2043"/>
      <c r="F1656" s="2043"/>
      <c r="G1656" s="2043"/>
      <c r="H1656" s="2043"/>
      <c r="I1656" s="2043"/>
      <c r="J1656" s="2043"/>
      <c r="K1656" s="2043"/>
      <c r="L1656" s="2043"/>
      <c r="M1656" s="2043"/>
      <c r="N1656" s="1994"/>
      <c r="O1656" s="2045"/>
      <c r="P1656" s="2045"/>
      <c r="Q1656" s="2043"/>
      <c r="R1656" s="2043"/>
      <c r="S1656" s="2043"/>
      <c r="T1656" s="2043"/>
      <c r="U1656" s="2043"/>
      <c r="V1656" s="2043"/>
      <c r="W1656" s="2043"/>
      <c r="X1656" s="2043"/>
      <c r="Y1656" s="2043"/>
      <c r="Z1656" s="2043"/>
      <c r="AA1656" s="2043"/>
      <c r="AB1656" s="2043"/>
      <c r="AC1656" s="2043"/>
      <c r="AD1656" s="2043"/>
      <c r="AE1656" s="2043"/>
      <c r="AF1656" s="2043"/>
      <c r="AG1656" s="2043"/>
      <c r="AH1656" s="2043"/>
      <c r="AI1656" s="2043"/>
      <c r="AJ1656" s="2043"/>
      <c r="AK1656" s="2043"/>
      <c r="AL1656" s="2043"/>
      <c r="AM1656" s="2043"/>
      <c r="AN1656" s="2043"/>
      <c r="AO1656" s="2043"/>
      <c r="AP1656" s="2043"/>
      <c r="AQ1656" s="2043"/>
      <c r="AR1656" s="2043"/>
      <c r="AS1656" s="2043"/>
      <c r="AT1656" s="2043"/>
      <c r="AU1656" s="2043"/>
      <c r="AV1656" s="2043"/>
      <c r="AW1656" s="2043"/>
      <c r="AX1656" s="2043"/>
      <c r="AY1656" s="2043"/>
      <c r="AZ1656" s="2043"/>
      <c r="BA1656" s="2043"/>
      <c r="BB1656" s="2043"/>
      <c r="BC1656" s="2043"/>
      <c r="BD1656" s="2043"/>
      <c r="BE1656" s="2043"/>
      <c r="BF1656" s="2043"/>
      <c r="BG1656" s="2043"/>
      <c r="BH1656" s="2043"/>
      <c r="BI1656" s="2043"/>
      <c r="BJ1656" s="2043"/>
      <c r="BK1656" s="2043"/>
      <c r="BL1656" s="2043"/>
    </row>
    <row r="1657" spans="1:64" ht="15">
      <c r="A1657" s="2043"/>
      <c r="B1657" s="2043"/>
      <c r="C1657" s="2043"/>
      <c r="D1657" s="2043"/>
      <c r="E1657" s="2043"/>
      <c r="F1657" s="2043"/>
      <c r="G1657" s="2043"/>
      <c r="H1657" s="2043"/>
      <c r="I1657" s="2043"/>
      <c r="J1657" s="2043"/>
      <c r="K1657" s="2043"/>
      <c r="L1657" s="2043"/>
      <c r="M1657" s="2043"/>
      <c r="N1657" s="1994"/>
      <c r="O1657" s="2045"/>
      <c r="P1657" s="2045"/>
      <c r="Q1657" s="2043"/>
      <c r="R1657" s="2043"/>
      <c r="S1657" s="2043"/>
      <c r="T1657" s="2043"/>
      <c r="U1657" s="2043"/>
      <c r="V1657" s="2043"/>
      <c r="W1657" s="2043"/>
      <c r="X1657" s="2043"/>
      <c r="Y1657" s="2043"/>
      <c r="Z1657" s="2043"/>
      <c r="AA1657" s="2043"/>
      <c r="AB1657" s="2043"/>
      <c r="AC1657" s="2043"/>
      <c r="AD1657" s="2043"/>
      <c r="AE1657" s="2043"/>
      <c r="AF1657" s="2043"/>
      <c r="AG1657" s="2043"/>
      <c r="AH1657" s="2043"/>
      <c r="AI1657" s="2043"/>
      <c r="AJ1657" s="2043"/>
      <c r="AK1657" s="2043"/>
      <c r="AL1657" s="2043"/>
      <c r="AM1657" s="2043"/>
      <c r="AN1657" s="2043"/>
      <c r="AO1657" s="2043"/>
      <c r="AP1657" s="2043"/>
      <c r="AQ1657" s="2043"/>
      <c r="AR1657" s="2043"/>
      <c r="AS1657" s="2043"/>
      <c r="AT1657" s="2043"/>
      <c r="AU1657" s="2043"/>
      <c r="AV1657" s="2043"/>
      <c r="AW1657" s="2043"/>
      <c r="AX1657" s="2043"/>
      <c r="AY1657" s="2043"/>
      <c r="AZ1657" s="2043"/>
      <c r="BA1657" s="2043"/>
      <c r="BB1657" s="2043"/>
      <c r="BC1657" s="2043"/>
      <c r="BD1657" s="2043"/>
      <c r="BE1657" s="2043"/>
      <c r="BF1657" s="2043"/>
      <c r="BG1657" s="2043"/>
      <c r="BH1657" s="2043"/>
      <c r="BI1657" s="2043"/>
      <c r="BJ1657" s="2043"/>
      <c r="BK1657" s="2043"/>
      <c r="BL1657" s="2043"/>
    </row>
    <row r="1658" spans="1:64" ht="15">
      <c r="A1658" s="2043"/>
      <c r="B1658" s="2043"/>
      <c r="C1658" s="2043"/>
      <c r="D1658" s="2043"/>
      <c r="E1658" s="2043"/>
      <c r="F1658" s="2043"/>
      <c r="G1658" s="2043"/>
      <c r="H1658" s="2043"/>
      <c r="I1658" s="2043"/>
      <c r="J1658" s="2043"/>
      <c r="K1658" s="2043"/>
      <c r="L1658" s="2043"/>
      <c r="M1658" s="2043"/>
      <c r="N1658" s="1994"/>
      <c r="O1658" s="2045"/>
      <c r="P1658" s="2045"/>
      <c r="Q1658" s="2043"/>
      <c r="R1658" s="2043"/>
      <c r="S1658" s="2043"/>
      <c r="T1658" s="2043"/>
      <c r="U1658" s="2043"/>
      <c r="V1658" s="2043"/>
      <c r="W1658" s="2043"/>
      <c r="X1658" s="2043"/>
      <c r="Y1658" s="2043"/>
      <c r="Z1658" s="2043"/>
      <c r="AA1658" s="2043"/>
      <c r="AB1658" s="2043"/>
      <c r="AC1658" s="2043"/>
      <c r="AD1658" s="2043"/>
      <c r="AE1658" s="2043"/>
      <c r="AF1658" s="2043"/>
      <c r="AG1658" s="2043"/>
      <c r="AH1658" s="2043"/>
      <c r="AI1658" s="2043"/>
      <c r="AJ1658" s="2043"/>
      <c r="AK1658" s="2043"/>
      <c r="AL1658" s="2043"/>
      <c r="AM1658" s="2043"/>
      <c r="AN1658" s="2043"/>
      <c r="AO1658" s="2043"/>
      <c r="AP1658" s="2043"/>
      <c r="AQ1658" s="2043"/>
      <c r="AR1658" s="2043"/>
      <c r="AS1658" s="2043"/>
      <c r="AT1658" s="2043"/>
      <c r="AU1658" s="2043"/>
      <c r="AV1658" s="2043"/>
      <c r="AW1658" s="2043"/>
      <c r="AX1658" s="2043"/>
      <c r="AY1658" s="2043"/>
      <c r="AZ1658" s="2043"/>
      <c r="BA1658" s="2043"/>
      <c r="BB1658" s="2043"/>
      <c r="BC1658" s="2043"/>
      <c r="BD1658" s="2043"/>
      <c r="BE1658" s="2043"/>
      <c r="BF1658" s="2043"/>
      <c r="BG1658" s="2043"/>
      <c r="BH1658" s="2043"/>
      <c r="BI1658" s="2043"/>
      <c r="BJ1658" s="2043"/>
      <c r="BK1658" s="2043"/>
      <c r="BL1658" s="2043"/>
    </row>
    <row r="1659" spans="1:64" ht="15">
      <c r="A1659" s="2043"/>
      <c r="B1659" s="2043"/>
      <c r="C1659" s="2043"/>
      <c r="D1659" s="2043"/>
      <c r="E1659" s="2043"/>
      <c r="F1659" s="2043"/>
      <c r="G1659" s="2043"/>
      <c r="H1659" s="2043"/>
      <c r="I1659" s="2043"/>
      <c r="J1659" s="2043"/>
      <c r="K1659" s="2043"/>
      <c r="L1659" s="2043"/>
      <c r="M1659" s="2043"/>
      <c r="N1659" s="1994"/>
      <c r="O1659" s="2045"/>
      <c r="P1659" s="2045"/>
      <c r="Q1659" s="2043"/>
      <c r="R1659" s="2043"/>
      <c r="S1659" s="2043"/>
      <c r="T1659" s="2043"/>
      <c r="U1659" s="2043"/>
      <c r="V1659" s="2043"/>
      <c r="W1659" s="2043"/>
      <c r="X1659" s="2043"/>
      <c r="Y1659" s="2043"/>
      <c r="Z1659" s="2043"/>
      <c r="AA1659" s="2043"/>
      <c r="AB1659" s="2043"/>
      <c r="AC1659" s="2043"/>
      <c r="AD1659" s="2043"/>
      <c r="AE1659" s="2043"/>
      <c r="AF1659" s="2043"/>
      <c r="AG1659" s="2043"/>
      <c r="AH1659" s="2043"/>
      <c r="AI1659" s="2043"/>
      <c r="AJ1659" s="2043"/>
      <c r="AK1659" s="2043"/>
      <c r="AL1659" s="2043"/>
      <c r="AM1659" s="2043"/>
      <c r="AN1659" s="2043"/>
      <c r="AO1659" s="2043"/>
      <c r="AP1659" s="2043"/>
      <c r="AQ1659" s="2043"/>
      <c r="AR1659" s="2043"/>
      <c r="AS1659" s="2043"/>
      <c r="AT1659" s="2043"/>
      <c r="AU1659" s="2043"/>
      <c r="AV1659" s="2043"/>
      <c r="AW1659" s="2043"/>
      <c r="AX1659" s="2043"/>
      <c r="AY1659" s="2043"/>
      <c r="AZ1659" s="2043"/>
      <c r="BA1659" s="2043"/>
      <c r="BB1659" s="2043"/>
      <c r="BC1659" s="2043"/>
      <c r="BD1659" s="2043"/>
      <c r="BE1659" s="2043"/>
      <c r="BF1659" s="2043"/>
      <c r="BG1659" s="2043"/>
      <c r="BH1659" s="2043"/>
      <c r="BI1659" s="2043"/>
      <c r="BJ1659" s="2043"/>
      <c r="BK1659" s="2043"/>
      <c r="BL1659" s="2043"/>
    </row>
    <row r="1660" spans="1:64" ht="15">
      <c r="A1660" s="2043"/>
      <c r="B1660" s="2043"/>
      <c r="C1660" s="2043"/>
      <c r="D1660" s="2043"/>
      <c r="E1660" s="2043"/>
      <c r="F1660" s="2043"/>
      <c r="G1660" s="2043"/>
      <c r="H1660" s="2043"/>
      <c r="I1660" s="2043"/>
      <c r="J1660" s="2043"/>
      <c r="K1660" s="2043"/>
      <c r="L1660" s="2043"/>
      <c r="M1660" s="2043"/>
      <c r="N1660" s="1994"/>
      <c r="O1660" s="2045"/>
      <c r="P1660" s="2045"/>
      <c r="Q1660" s="2043"/>
      <c r="R1660" s="2043"/>
      <c r="S1660" s="2043"/>
      <c r="T1660" s="2043"/>
      <c r="U1660" s="2043"/>
      <c r="V1660" s="2043"/>
      <c r="W1660" s="2043"/>
      <c r="X1660" s="2043"/>
      <c r="Y1660" s="2043"/>
      <c r="Z1660" s="2043"/>
      <c r="AA1660" s="2043"/>
      <c r="AB1660" s="2043"/>
      <c r="AC1660" s="2043"/>
      <c r="AD1660" s="2043"/>
      <c r="AE1660" s="2043"/>
      <c r="AF1660" s="2043"/>
      <c r="AG1660" s="2043"/>
      <c r="AH1660" s="2043"/>
      <c r="AI1660" s="2043"/>
      <c r="AJ1660" s="2043"/>
      <c r="AK1660" s="2043"/>
      <c r="AL1660" s="2043"/>
      <c r="AM1660" s="2043"/>
      <c r="AN1660" s="2043"/>
      <c r="AO1660" s="2043"/>
      <c r="AP1660" s="2043"/>
      <c r="AQ1660" s="2043"/>
      <c r="AR1660" s="2043"/>
      <c r="AS1660" s="2043"/>
      <c r="AT1660" s="2043"/>
      <c r="AU1660" s="2043"/>
      <c r="AV1660" s="2043"/>
      <c r="AW1660" s="2043"/>
      <c r="AX1660" s="2043"/>
      <c r="AY1660" s="2043"/>
      <c r="AZ1660" s="2043"/>
      <c r="BA1660" s="2043"/>
      <c r="BB1660" s="2043"/>
      <c r="BC1660" s="2043"/>
      <c r="BD1660" s="2043"/>
      <c r="BE1660" s="2043"/>
      <c r="BF1660" s="2043"/>
      <c r="BG1660" s="2043"/>
      <c r="BH1660" s="2043"/>
      <c r="BI1660" s="2043"/>
      <c r="BJ1660" s="2043"/>
      <c r="BK1660" s="2043"/>
      <c r="BL1660" s="2043"/>
    </row>
    <row r="1661" spans="1:64" ht="15">
      <c r="A1661" s="2043"/>
      <c r="B1661" s="2043"/>
      <c r="C1661" s="2043"/>
      <c r="D1661" s="2043"/>
      <c r="E1661" s="2043"/>
      <c r="F1661" s="2043"/>
      <c r="G1661" s="2043"/>
      <c r="H1661" s="2043"/>
      <c r="I1661" s="2043"/>
      <c r="J1661" s="2043"/>
      <c r="K1661" s="2043"/>
      <c r="L1661" s="2043"/>
      <c r="M1661" s="2043"/>
      <c r="N1661" s="1994"/>
      <c r="O1661" s="2045"/>
      <c r="P1661" s="2045"/>
      <c r="Q1661" s="2043"/>
      <c r="R1661" s="2043"/>
      <c r="S1661" s="2043"/>
      <c r="T1661" s="2043"/>
      <c r="U1661" s="2043"/>
      <c r="V1661" s="2043"/>
      <c r="W1661" s="2043"/>
      <c r="X1661" s="2043"/>
      <c r="Y1661" s="2043"/>
      <c r="Z1661" s="2043"/>
      <c r="AA1661" s="2043"/>
      <c r="AB1661" s="2043"/>
      <c r="AC1661" s="2043"/>
      <c r="AD1661" s="2043"/>
      <c r="AE1661" s="2043"/>
      <c r="AF1661" s="2043"/>
      <c r="AG1661" s="2043"/>
      <c r="AH1661" s="2043"/>
      <c r="AI1661" s="2043"/>
      <c r="AJ1661" s="2043"/>
      <c r="AK1661" s="2043"/>
      <c r="AL1661" s="2043"/>
      <c r="AM1661" s="2043"/>
      <c r="AN1661" s="2043"/>
      <c r="AO1661" s="2043"/>
      <c r="AP1661" s="2043"/>
      <c r="AQ1661" s="2043"/>
      <c r="AR1661" s="2043"/>
      <c r="AS1661" s="2043"/>
      <c r="AT1661" s="2043"/>
      <c r="AU1661" s="2043"/>
      <c r="AV1661" s="2043"/>
      <c r="AW1661" s="2043"/>
      <c r="AX1661" s="2043"/>
      <c r="AY1661" s="2043"/>
      <c r="AZ1661" s="2043"/>
      <c r="BA1661" s="2043"/>
      <c r="BB1661" s="2043"/>
      <c r="BC1661" s="2043"/>
      <c r="BD1661" s="2043"/>
      <c r="BE1661" s="2043"/>
      <c r="BF1661" s="2043"/>
      <c r="BG1661" s="2043"/>
      <c r="BH1661" s="2043"/>
      <c r="BI1661" s="2043"/>
      <c r="BJ1661" s="2043"/>
      <c r="BK1661" s="2043"/>
      <c r="BL1661" s="2043"/>
    </row>
    <row r="1662" spans="1:64" ht="15">
      <c r="A1662" s="2043"/>
      <c r="B1662" s="2043"/>
      <c r="C1662" s="2043"/>
      <c r="D1662" s="2043"/>
      <c r="E1662" s="2043"/>
      <c r="F1662" s="2043"/>
      <c r="G1662" s="2043"/>
      <c r="H1662" s="2043"/>
      <c r="I1662" s="2043"/>
      <c r="J1662" s="2043"/>
      <c r="K1662" s="2043"/>
      <c r="L1662" s="2043"/>
      <c r="M1662" s="2043"/>
      <c r="N1662" s="1994"/>
      <c r="O1662" s="2045"/>
      <c r="P1662" s="2045"/>
      <c r="Q1662" s="2043"/>
      <c r="R1662" s="2043"/>
      <c r="S1662" s="2043"/>
      <c r="T1662" s="2043"/>
      <c r="U1662" s="2043"/>
      <c r="V1662" s="2043"/>
      <c r="W1662" s="2043"/>
      <c r="X1662" s="2043"/>
      <c r="Y1662" s="2043"/>
      <c r="Z1662" s="2043"/>
      <c r="AA1662" s="2043"/>
      <c r="AB1662" s="2043"/>
      <c r="AC1662" s="2043"/>
      <c r="AD1662" s="2043"/>
      <c r="AE1662" s="2043"/>
      <c r="AF1662" s="2043"/>
      <c r="AG1662" s="2043"/>
      <c r="AH1662" s="2043"/>
      <c r="AI1662" s="2043"/>
      <c r="AJ1662" s="2043"/>
      <c r="AK1662" s="2043"/>
      <c r="AL1662" s="2043"/>
      <c r="AM1662" s="2043"/>
      <c r="AN1662" s="2043"/>
      <c r="AO1662" s="2043"/>
      <c r="AP1662" s="2043"/>
      <c r="AQ1662" s="2043"/>
      <c r="AR1662" s="2043"/>
      <c r="AS1662" s="2043"/>
      <c r="AT1662" s="2043"/>
      <c r="AU1662" s="2043"/>
      <c r="AV1662" s="2043"/>
      <c r="AW1662" s="2043"/>
      <c r="AX1662" s="2043"/>
      <c r="AY1662" s="2043"/>
      <c r="AZ1662" s="2043"/>
      <c r="BA1662" s="2043"/>
      <c r="BB1662" s="2043"/>
      <c r="BC1662" s="2043"/>
      <c r="BD1662" s="2043"/>
      <c r="BE1662" s="2043"/>
      <c r="BF1662" s="2043"/>
      <c r="BG1662" s="2043"/>
      <c r="BH1662" s="2043"/>
      <c r="BI1662" s="2043"/>
      <c r="BJ1662" s="2043"/>
      <c r="BK1662" s="2043"/>
      <c r="BL1662" s="2043"/>
    </row>
    <row r="1663" spans="1:64" ht="15">
      <c r="A1663" s="2043"/>
      <c r="B1663" s="2043"/>
      <c r="C1663" s="2043"/>
      <c r="D1663" s="2043"/>
      <c r="E1663" s="2043"/>
      <c r="F1663" s="2043"/>
      <c r="G1663" s="2043"/>
      <c r="H1663" s="2043"/>
      <c r="I1663" s="2043"/>
      <c r="J1663" s="2043"/>
      <c r="K1663" s="2043"/>
      <c r="L1663" s="2043"/>
      <c r="M1663" s="2043"/>
      <c r="N1663" s="1994"/>
      <c r="O1663" s="2045"/>
      <c r="P1663" s="2045"/>
      <c r="Q1663" s="2043"/>
      <c r="R1663" s="2043"/>
      <c r="S1663" s="2043"/>
      <c r="T1663" s="2043"/>
      <c r="U1663" s="2043"/>
      <c r="V1663" s="2043"/>
      <c r="W1663" s="2043"/>
      <c r="X1663" s="2043"/>
      <c r="Y1663" s="2043"/>
      <c r="Z1663" s="2043"/>
      <c r="AA1663" s="2043"/>
      <c r="AB1663" s="2043"/>
      <c r="AC1663" s="2043"/>
      <c r="AD1663" s="2043"/>
      <c r="AE1663" s="2043"/>
      <c r="AF1663" s="2043"/>
      <c r="AG1663" s="2043"/>
      <c r="AH1663" s="2043"/>
      <c r="AI1663" s="2043"/>
      <c r="AJ1663" s="2043"/>
      <c r="AK1663" s="2043"/>
      <c r="AL1663" s="2043"/>
      <c r="AM1663" s="2043"/>
      <c r="AN1663" s="2043"/>
      <c r="AO1663" s="2043"/>
      <c r="AP1663" s="2043"/>
      <c r="AQ1663" s="2043"/>
      <c r="AR1663" s="2043"/>
      <c r="AS1663" s="2043"/>
      <c r="AT1663" s="2043"/>
      <c r="AU1663" s="2043"/>
      <c r="AV1663" s="2043"/>
      <c r="AW1663" s="2043"/>
      <c r="AX1663" s="2043"/>
      <c r="AY1663" s="2043"/>
      <c r="AZ1663" s="2043"/>
      <c r="BA1663" s="2043"/>
      <c r="BB1663" s="2043"/>
      <c r="BC1663" s="2043"/>
      <c r="BD1663" s="2043"/>
      <c r="BE1663" s="2043"/>
      <c r="BF1663" s="2043"/>
      <c r="BG1663" s="2043"/>
      <c r="BH1663" s="2043"/>
      <c r="BI1663" s="2043"/>
      <c r="BJ1663" s="2043"/>
      <c r="BK1663" s="2043"/>
      <c r="BL1663" s="2043"/>
    </row>
    <row r="1664" spans="1:64" ht="15">
      <c r="A1664" s="2043"/>
      <c r="B1664" s="2043"/>
      <c r="C1664" s="2043"/>
      <c r="D1664" s="2043"/>
      <c r="E1664" s="2043"/>
      <c r="F1664" s="2043"/>
      <c r="G1664" s="2043"/>
      <c r="H1664" s="2043"/>
      <c r="I1664" s="2043"/>
      <c r="J1664" s="2043"/>
      <c r="K1664" s="2043"/>
      <c r="L1664" s="2043"/>
      <c r="M1664" s="2043"/>
      <c r="N1664" s="1994"/>
      <c r="O1664" s="2045"/>
      <c r="P1664" s="2045"/>
      <c r="Q1664" s="2043"/>
      <c r="R1664" s="2043"/>
      <c r="S1664" s="2043"/>
      <c r="T1664" s="2043"/>
      <c r="U1664" s="2043"/>
      <c r="V1664" s="2043"/>
      <c r="W1664" s="2043"/>
      <c r="X1664" s="2043"/>
      <c r="Y1664" s="2043"/>
      <c r="Z1664" s="2043"/>
      <c r="AA1664" s="2043"/>
      <c r="AB1664" s="2043"/>
      <c r="AC1664" s="2043"/>
      <c r="AD1664" s="2043"/>
      <c r="AE1664" s="2043"/>
      <c r="AF1664" s="2043"/>
      <c r="AG1664" s="2043"/>
      <c r="AH1664" s="2043"/>
      <c r="AI1664" s="2043"/>
      <c r="AJ1664" s="2043"/>
      <c r="AK1664" s="2043"/>
      <c r="AL1664" s="2043"/>
      <c r="AM1664" s="2043"/>
      <c r="AN1664" s="2043"/>
      <c r="AO1664" s="2043"/>
      <c r="AP1664" s="2043"/>
      <c r="AQ1664" s="2043"/>
      <c r="AR1664" s="2043"/>
      <c r="AS1664" s="2043"/>
      <c r="AT1664" s="2043"/>
      <c r="AU1664" s="2043"/>
      <c r="AV1664" s="2043"/>
      <c r="AW1664" s="2043"/>
      <c r="AX1664" s="2043"/>
      <c r="AY1664" s="2043"/>
      <c r="AZ1664" s="2043"/>
      <c r="BA1664" s="2043"/>
      <c r="BB1664" s="2043"/>
      <c r="BC1664" s="2043"/>
      <c r="BD1664" s="2043"/>
      <c r="BE1664" s="2043"/>
      <c r="BF1664" s="2043"/>
      <c r="BG1664" s="2043"/>
      <c r="BH1664" s="2043"/>
      <c r="BI1664" s="2043"/>
      <c r="BJ1664" s="2043"/>
      <c r="BK1664" s="2043"/>
      <c r="BL1664" s="2043"/>
    </row>
    <row r="1665" spans="1:64" ht="15">
      <c r="A1665" s="2043"/>
      <c r="B1665" s="2043"/>
      <c r="C1665" s="2043"/>
      <c r="D1665" s="2043"/>
      <c r="E1665" s="2043"/>
      <c r="F1665" s="2043"/>
      <c r="G1665" s="2043"/>
      <c r="H1665" s="2043"/>
      <c r="I1665" s="2043"/>
      <c r="J1665" s="2043"/>
      <c r="K1665" s="2043"/>
      <c r="L1665" s="2043"/>
      <c r="M1665" s="2043"/>
      <c r="N1665" s="1994"/>
      <c r="O1665" s="2045"/>
      <c r="P1665" s="2045"/>
      <c r="Q1665" s="2043"/>
      <c r="R1665" s="2043"/>
      <c r="S1665" s="2043"/>
      <c r="T1665" s="2043"/>
      <c r="U1665" s="2043"/>
      <c r="V1665" s="2043"/>
      <c r="W1665" s="2043"/>
      <c r="X1665" s="2043"/>
      <c r="Y1665" s="2043"/>
      <c r="Z1665" s="2043"/>
      <c r="AA1665" s="2043"/>
      <c r="AB1665" s="2043"/>
      <c r="AC1665" s="2043"/>
      <c r="AD1665" s="2043"/>
      <c r="AE1665" s="2043"/>
      <c r="AF1665" s="2043"/>
      <c r="AG1665" s="2043"/>
      <c r="AH1665" s="2043"/>
      <c r="AI1665" s="2043"/>
      <c r="AJ1665" s="2043"/>
      <c r="AK1665" s="2043"/>
      <c r="AL1665" s="2043"/>
      <c r="AM1665" s="2043"/>
      <c r="AN1665" s="2043"/>
      <c r="AO1665" s="2043"/>
      <c r="AP1665" s="2043"/>
      <c r="AQ1665" s="2043"/>
      <c r="AR1665" s="2043"/>
      <c r="AS1665" s="2043"/>
      <c r="AT1665" s="2043"/>
      <c r="AU1665" s="2043"/>
      <c r="AV1665" s="2043"/>
      <c r="AW1665" s="2043"/>
      <c r="AX1665" s="2043"/>
      <c r="AY1665" s="2043"/>
      <c r="AZ1665" s="2043"/>
      <c r="BA1665" s="2043"/>
      <c r="BB1665" s="2043"/>
      <c r="BC1665" s="2043"/>
      <c r="BD1665" s="2043"/>
      <c r="BE1665" s="2043"/>
      <c r="BF1665" s="2043"/>
      <c r="BG1665" s="2043"/>
      <c r="BH1665" s="2043"/>
      <c r="BI1665" s="2043"/>
      <c r="BJ1665" s="2043"/>
      <c r="BK1665" s="2043"/>
      <c r="BL1665" s="2043"/>
    </row>
    <row r="1666" spans="1:64" ht="15">
      <c r="A1666" s="2043"/>
      <c r="B1666" s="2043"/>
      <c r="C1666" s="2043"/>
      <c r="D1666" s="2043"/>
      <c r="E1666" s="2043"/>
      <c r="F1666" s="2043"/>
      <c r="G1666" s="2043"/>
      <c r="H1666" s="2043"/>
      <c r="I1666" s="2043"/>
      <c r="J1666" s="2043"/>
      <c r="K1666" s="2043"/>
      <c r="L1666" s="2043"/>
      <c r="M1666" s="2043"/>
      <c r="N1666" s="1994"/>
      <c r="O1666" s="2045"/>
      <c r="P1666" s="2045"/>
      <c r="Q1666" s="2043"/>
      <c r="R1666" s="2043"/>
      <c r="S1666" s="2043"/>
      <c r="T1666" s="2043"/>
      <c r="U1666" s="2043"/>
      <c r="V1666" s="2043"/>
      <c r="W1666" s="2043"/>
      <c r="X1666" s="2043"/>
      <c r="Y1666" s="2043"/>
      <c r="Z1666" s="2043"/>
      <c r="AA1666" s="2043"/>
      <c r="AB1666" s="2043"/>
      <c r="AC1666" s="2043"/>
      <c r="AD1666" s="2043"/>
      <c r="AE1666" s="2043"/>
      <c r="AF1666" s="2043"/>
      <c r="AG1666" s="2043"/>
      <c r="AH1666" s="2043"/>
      <c r="AI1666" s="2043"/>
      <c r="AJ1666" s="2043"/>
      <c r="AK1666" s="2043"/>
      <c r="AL1666" s="2043"/>
      <c r="AM1666" s="2043"/>
      <c r="AN1666" s="2043"/>
      <c r="AO1666" s="2043"/>
      <c r="AP1666" s="2043"/>
      <c r="AQ1666" s="2043"/>
      <c r="AR1666" s="2043"/>
      <c r="AS1666" s="2043"/>
      <c r="AT1666" s="2043"/>
      <c r="AU1666" s="2043"/>
      <c r="AV1666" s="2043"/>
      <c r="AW1666" s="2043"/>
      <c r="AX1666" s="2043"/>
      <c r="AY1666" s="2043"/>
      <c r="AZ1666" s="2043"/>
      <c r="BA1666" s="2043"/>
      <c r="BB1666" s="2043"/>
      <c r="BC1666" s="2043"/>
      <c r="BD1666" s="2043"/>
      <c r="BE1666" s="2043"/>
      <c r="BF1666" s="2043"/>
      <c r="BG1666" s="2043"/>
      <c r="BH1666" s="2043"/>
      <c r="BI1666" s="2043"/>
      <c r="BJ1666" s="2043"/>
      <c r="BK1666" s="2043"/>
      <c r="BL1666" s="2043"/>
    </row>
    <row r="1667" spans="1:64" ht="15">
      <c r="A1667" s="2043"/>
      <c r="B1667" s="2043"/>
      <c r="C1667" s="2043"/>
      <c r="D1667" s="2043"/>
      <c r="E1667" s="2043"/>
      <c r="F1667" s="2043"/>
      <c r="G1667" s="2043"/>
      <c r="H1667" s="2043"/>
      <c r="I1667" s="2043"/>
      <c r="J1667" s="2043"/>
      <c r="K1667" s="2043"/>
      <c r="L1667" s="2043"/>
      <c r="M1667" s="2043"/>
      <c r="N1667" s="1994"/>
      <c r="O1667" s="2045"/>
      <c r="P1667" s="2045"/>
      <c r="Q1667" s="2043"/>
      <c r="R1667" s="2043"/>
      <c r="S1667" s="2043"/>
      <c r="T1667" s="2043"/>
      <c r="U1667" s="2043"/>
      <c r="V1667" s="2043"/>
      <c r="W1667" s="2043"/>
      <c r="X1667" s="2043"/>
      <c r="Y1667" s="2043"/>
      <c r="Z1667" s="2043"/>
      <c r="AA1667" s="2043"/>
      <c r="AB1667" s="2043"/>
      <c r="AC1667" s="2043"/>
      <c r="AD1667" s="2043"/>
      <c r="AE1667" s="2043"/>
      <c r="AF1667" s="2043"/>
      <c r="AG1667" s="2043"/>
      <c r="AH1667" s="2043"/>
      <c r="AI1667" s="2043"/>
      <c r="AJ1667" s="2043"/>
      <c r="AK1667" s="2043"/>
      <c r="AL1667" s="2043"/>
      <c r="AM1667" s="2043"/>
      <c r="AN1667" s="2043"/>
      <c r="AO1667" s="2043"/>
      <c r="AP1667" s="2043"/>
      <c r="AQ1667" s="2043"/>
      <c r="AR1667" s="2043"/>
      <c r="AS1667" s="2043"/>
      <c r="AT1667" s="2043"/>
      <c r="AU1667" s="2043"/>
      <c r="AV1667" s="2043"/>
      <c r="AW1667" s="2043"/>
      <c r="AX1667" s="2043"/>
      <c r="AY1667" s="2043"/>
      <c r="AZ1667" s="2043"/>
      <c r="BA1667" s="2043"/>
      <c r="BB1667" s="2043"/>
      <c r="BC1667" s="2043"/>
      <c r="BD1667" s="2043"/>
      <c r="BE1667" s="2043"/>
      <c r="BF1667" s="2043"/>
      <c r="BG1667" s="2043"/>
      <c r="BH1667" s="2043"/>
      <c r="BI1667" s="2043"/>
      <c r="BJ1667" s="2043"/>
      <c r="BK1667" s="2043"/>
      <c r="BL1667" s="2043"/>
    </row>
    <row r="1668" spans="1:64" ht="15">
      <c r="A1668" s="2043"/>
      <c r="B1668" s="2043"/>
      <c r="C1668" s="2043"/>
      <c r="D1668" s="2043"/>
      <c r="E1668" s="2043"/>
      <c r="F1668" s="2043"/>
      <c r="G1668" s="2043"/>
      <c r="H1668" s="2043"/>
      <c r="I1668" s="2043"/>
      <c r="J1668" s="2043"/>
      <c r="K1668" s="2043"/>
      <c r="L1668" s="2043"/>
      <c r="M1668" s="2043"/>
      <c r="N1668" s="1994"/>
      <c r="O1668" s="2045"/>
      <c r="P1668" s="2045"/>
      <c r="Q1668" s="2043"/>
      <c r="R1668" s="2043"/>
      <c r="S1668" s="2043"/>
      <c r="T1668" s="2043"/>
      <c r="U1668" s="2043"/>
      <c r="V1668" s="2043"/>
      <c r="W1668" s="2043"/>
      <c r="X1668" s="2043"/>
      <c r="Y1668" s="2043"/>
      <c r="Z1668" s="2043"/>
      <c r="AA1668" s="2043"/>
      <c r="AB1668" s="2043"/>
      <c r="AC1668" s="2043"/>
      <c r="AD1668" s="2043"/>
      <c r="AE1668" s="2043"/>
      <c r="AF1668" s="2043"/>
      <c r="AG1668" s="2043"/>
      <c r="AH1668" s="2043"/>
      <c r="AI1668" s="2043"/>
      <c r="AJ1668" s="2043"/>
      <c r="AK1668" s="2043"/>
      <c r="AL1668" s="2043"/>
      <c r="AM1668" s="2043"/>
      <c r="AN1668" s="2043"/>
      <c r="AO1668" s="2043"/>
      <c r="AP1668" s="2043"/>
      <c r="AQ1668" s="2043"/>
      <c r="AR1668" s="2043"/>
      <c r="AS1668" s="2043"/>
      <c r="AT1668" s="2043"/>
      <c r="AU1668" s="2043"/>
      <c r="AV1668" s="2043"/>
      <c r="AW1668" s="2043"/>
      <c r="AX1668" s="2043"/>
      <c r="AY1668" s="2043"/>
      <c r="AZ1668" s="2043"/>
      <c r="BA1668" s="2043"/>
      <c r="BB1668" s="2043"/>
      <c r="BC1668" s="2043"/>
      <c r="BD1668" s="2043"/>
      <c r="BE1668" s="2043"/>
      <c r="BF1668" s="2043"/>
      <c r="BG1668" s="2043"/>
      <c r="BH1668" s="2043"/>
      <c r="BI1668" s="2043"/>
      <c r="BJ1668" s="2043"/>
      <c r="BK1668" s="2043"/>
      <c r="BL1668" s="2043"/>
    </row>
    <row r="1669" spans="1:64" ht="15">
      <c r="A1669" s="2043"/>
      <c r="B1669" s="2043"/>
      <c r="C1669" s="2043"/>
      <c r="D1669" s="2043"/>
      <c r="E1669" s="2043"/>
      <c r="F1669" s="2043"/>
      <c r="G1669" s="2043"/>
      <c r="H1669" s="2043"/>
      <c r="I1669" s="2043"/>
      <c r="J1669" s="2043"/>
      <c r="K1669" s="2043"/>
      <c r="L1669" s="2043"/>
      <c r="M1669" s="2043"/>
      <c r="N1669" s="1994"/>
      <c r="O1669" s="2045"/>
      <c r="P1669" s="2045"/>
      <c r="Q1669" s="2043"/>
      <c r="R1669" s="2043"/>
      <c r="S1669" s="2043"/>
      <c r="T1669" s="2043"/>
      <c r="U1669" s="2043"/>
      <c r="V1669" s="2043"/>
      <c r="W1669" s="2043"/>
      <c r="X1669" s="2043"/>
      <c r="Y1669" s="2043"/>
      <c r="Z1669" s="2043"/>
      <c r="AA1669" s="2043"/>
      <c r="AB1669" s="2043"/>
      <c r="AC1669" s="2043"/>
      <c r="AD1669" s="2043"/>
      <c r="AE1669" s="2043"/>
      <c r="AF1669" s="2043"/>
      <c r="AG1669" s="2043"/>
      <c r="AH1669" s="2043"/>
      <c r="AI1669" s="2043"/>
      <c r="AJ1669" s="2043"/>
      <c r="AK1669" s="2043"/>
      <c r="AL1669" s="2043"/>
      <c r="AM1669" s="2043"/>
      <c r="AN1669" s="2043"/>
      <c r="AO1669" s="2043"/>
      <c r="AP1669" s="2043"/>
      <c r="AQ1669" s="2043"/>
      <c r="AR1669" s="2043"/>
      <c r="AS1669" s="2043"/>
      <c r="AT1669" s="2043"/>
      <c r="AU1669" s="2043"/>
      <c r="AV1669" s="2043"/>
      <c r="AW1669" s="2043"/>
      <c r="AX1669" s="2043"/>
      <c r="AY1669" s="2043"/>
      <c r="AZ1669" s="2043"/>
      <c r="BA1669" s="2043"/>
      <c r="BB1669" s="2043"/>
      <c r="BC1669" s="2043"/>
      <c r="BD1669" s="2043"/>
      <c r="BE1669" s="2043"/>
      <c r="BF1669" s="2043"/>
      <c r="BG1669" s="2043"/>
      <c r="BH1669" s="2043"/>
      <c r="BI1669" s="2043"/>
      <c r="BJ1669" s="2043"/>
      <c r="BK1669" s="2043"/>
      <c r="BL1669" s="2043"/>
    </row>
    <row r="1670" spans="1:64" ht="15">
      <c r="A1670" s="2043"/>
      <c r="B1670" s="2043"/>
      <c r="C1670" s="2043"/>
      <c r="D1670" s="2043"/>
      <c r="E1670" s="2043"/>
      <c r="F1670" s="2043"/>
      <c r="G1670" s="2043"/>
      <c r="H1670" s="2043"/>
      <c r="I1670" s="2043"/>
      <c r="J1670" s="2043"/>
      <c r="K1670" s="2043"/>
      <c r="L1670" s="2043"/>
      <c r="M1670" s="2043"/>
      <c r="N1670" s="1994"/>
      <c r="O1670" s="2045"/>
      <c r="P1670" s="2045"/>
      <c r="Q1670" s="2043"/>
      <c r="R1670" s="2043"/>
      <c r="S1670" s="2043"/>
      <c r="T1670" s="2043"/>
      <c r="U1670" s="2043"/>
      <c r="V1670" s="2043"/>
      <c r="W1670" s="2043"/>
      <c r="X1670" s="2043"/>
      <c r="Y1670" s="2043"/>
      <c r="Z1670" s="2043"/>
      <c r="AA1670" s="2043"/>
      <c r="AB1670" s="2043"/>
      <c r="AC1670" s="2043"/>
      <c r="AD1670" s="2043"/>
      <c r="AE1670" s="2043"/>
      <c r="AF1670" s="2043"/>
      <c r="AG1670" s="2043"/>
      <c r="AH1670" s="2043"/>
      <c r="AI1670" s="2043"/>
      <c r="AJ1670" s="2043"/>
      <c r="AK1670" s="2043"/>
      <c r="AL1670" s="2043"/>
      <c r="AM1670" s="2043"/>
      <c r="AN1670" s="2043"/>
      <c r="AO1670" s="2043"/>
      <c r="AP1670" s="2043"/>
      <c r="AQ1670" s="2043"/>
      <c r="AR1670" s="2043"/>
      <c r="AS1670" s="2043"/>
      <c r="AT1670" s="2043"/>
      <c r="AU1670" s="2043"/>
      <c r="AV1670" s="2043"/>
      <c r="AW1670" s="2043"/>
      <c r="AX1670" s="2043"/>
      <c r="AY1670" s="2043"/>
      <c r="AZ1670" s="2043"/>
      <c r="BA1670" s="2043"/>
      <c r="BB1670" s="2043"/>
      <c r="BC1670" s="2043"/>
      <c r="BD1670" s="2043"/>
      <c r="BE1670" s="2043"/>
      <c r="BF1670" s="2043"/>
      <c r="BG1670" s="2043"/>
      <c r="BH1670" s="2043"/>
      <c r="BI1670" s="2043"/>
      <c r="BJ1670" s="2043"/>
      <c r="BK1670" s="2043"/>
      <c r="BL1670" s="2043"/>
    </row>
    <row r="1671" spans="1:64" ht="15">
      <c r="A1671" s="2043"/>
      <c r="B1671" s="2043"/>
      <c r="C1671" s="2043"/>
      <c r="D1671" s="2043"/>
      <c r="E1671" s="2043"/>
      <c r="F1671" s="2043"/>
      <c r="G1671" s="2043"/>
      <c r="H1671" s="2043"/>
      <c r="I1671" s="2043"/>
      <c r="J1671" s="2043"/>
      <c r="K1671" s="2043"/>
      <c r="L1671" s="2043"/>
      <c r="M1671" s="2043"/>
      <c r="N1671" s="1994"/>
      <c r="O1671" s="2045"/>
      <c r="P1671" s="2045"/>
      <c r="Q1671" s="2043"/>
      <c r="R1671" s="2043"/>
      <c r="S1671" s="2043"/>
      <c r="T1671" s="2043"/>
      <c r="U1671" s="2043"/>
      <c r="V1671" s="2043"/>
      <c r="W1671" s="2043"/>
      <c r="X1671" s="2043"/>
      <c r="Y1671" s="2043"/>
      <c r="Z1671" s="2043"/>
      <c r="AA1671" s="2043"/>
      <c r="AB1671" s="2043"/>
      <c r="AC1671" s="2043"/>
      <c r="AD1671" s="2043"/>
      <c r="AE1671" s="2043"/>
      <c r="AF1671" s="2043"/>
      <c r="AG1671" s="2043"/>
      <c r="AH1671" s="2043"/>
      <c r="AI1671" s="2043"/>
      <c r="AJ1671" s="2043"/>
      <c r="AK1671" s="2043"/>
      <c r="AL1671" s="2043"/>
      <c r="AM1671" s="2043"/>
      <c r="AN1671" s="2043"/>
      <c r="AO1671" s="2043"/>
      <c r="AP1671" s="2043"/>
      <c r="AQ1671" s="2043"/>
      <c r="AR1671" s="2043"/>
      <c r="AS1671" s="2043"/>
      <c r="AT1671" s="2043"/>
      <c r="AU1671" s="2043"/>
      <c r="AV1671" s="2043"/>
      <c r="AW1671" s="2043"/>
      <c r="AX1671" s="2043"/>
      <c r="AY1671" s="2043"/>
      <c r="AZ1671" s="2043"/>
      <c r="BA1671" s="2043"/>
      <c r="BB1671" s="2043"/>
      <c r="BC1671" s="2043"/>
      <c r="BD1671" s="2043"/>
      <c r="BE1671" s="2043"/>
      <c r="BF1671" s="2043"/>
      <c r="BG1671" s="2043"/>
      <c r="BH1671" s="2043"/>
      <c r="BI1671" s="2043"/>
      <c r="BJ1671" s="2043"/>
      <c r="BK1671" s="2043"/>
      <c r="BL1671" s="2043"/>
    </row>
    <row r="1672" spans="1:64" ht="15">
      <c r="A1672" s="2043"/>
      <c r="B1672" s="2043"/>
      <c r="C1672" s="2043"/>
      <c r="D1672" s="2043"/>
      <c r="E1672" s="2043"/>
      <c r="F1672" s="2043"/>
      <c r="G1672" s="2043"/>
      <c r="H1672" s="2043"/>
      <c r="I1672" s="2043"/>
      <c r="J1672" s="2043"/>
      <c r="K1672" s="2043"/>
      <c r="L1672" s="2043"/>
      <c r="M1672" s="2043"/>
      <c r="N1672" s="1994"/>
      <c r="O1672" s="2045"/>
      <c r="P1672" s="2045"/>
      <c r="Q1672" s="2043"/>
      <c r="R1672" s="2043"/>
      <c r="S1672" s="2043"/>
      <c r="T1672" s="2043"/>
      <c r="U1672" s="2043"/>
      <c r="V1672" s="2043"/>
      <c r="W1672" s="2043"/>
      <c r="X1672" s="2043"/>
      <c r="Y1672" s="2043"/>
      <c r="Z1672" s="2043"/>
      <c r="AA1672" s="2043"/>
      <c r="AB1672" s="2043"/>
      <c r="AC1672" s="2043"/>
      <c r="AD1672" s="2043"/>
      <c r="AE1672" s="2043"/>
      <c r="AF1672" s="2043"/>
      <c r="AG1672" s="2043"/>
      <c r="AH1672" s="2043"/>
      <c r="AI1672" s="2043"/>
      <c r="AJ1672" s="2043"/>
      <c r="AK1672" s="2043"/>
      <c r="AL1672" s="2043"/>
      <c r="AM1672" s="2043"/>
      <c r="AN1672" s="2043"/>
      <c r="AO1672" s="2043"/>
      <c r="AP1672" s="2043"/>
      <c r="AQ1672" s="2043"/>
      <c r="AR1672" s="2043"/>
      <c r="AS1672" s="2043"/>
      <c r="AT1672" s="2043"/>
      <c r="AU1672" s="2043"/>
      <c r="AV1672" s="2043"/>
      <c r="AW1672" s="2043"/>
      <c r="AX1672" s="2043"/>
      <c r="AY1672" s="2043"/>
      <c r="AZ1672" s="2043"/>
      <c r="BA1672" s="2043"/>
      <c r="BB1672" s="2043"/>
      <c r="BC1672" s="2043"/>
      <c r="BD1672" s="2043"/>
      <c r="BE1672" s="2043"/>
      <c r="BF1672" s="2043"/>
      <c r="BG1672" s="2043"/>
      <c r="BH1672" s="2043"/>
      <c r="BI1672" s="2043"/>
      <c r="BJ1672" s="2043"/>
      <c r="BK1672" s="2043"/>
      <c r="BL1672" s="2043"/>
    </row>
    <row r="1673" spans="1:64" ht="15">
      <c r="A1673" s="2043"/>
      <c r="B1673" s="2043"/>
      <c r="C1673" s="2043"/>
      <c r="D1673" s="2043"/>
      <c r="E1673" s="2043"/>
      <c r="F1673" s="2043"/>
      <c r="G1673" s="2043"/>
      <c r="H1673" s="2043"/>
      <c r="I1673" s="2043"/>
      <c r="J1673" s="2043"/>
      <c r="K1673" s="2043"/>
      <c r="L1673" s="2043"/>
      <c r="M1673" s="2043"/>
      <c r="N1673" s="1994"/>
      <c r="O1673" s="2045"/>
      <c r="P1673" s="2045"/>
      <c r="Q1673" s="2043"/>
      <c r="R1673" s="2043"/>
      <c r="S1673" s="2043"/>
      <c r="T1673" s="2043"/>
      <c r="U1673" s="2043"/>
      <c r="V1673" s="2043"/>
      <c r="W1673" s="2043"/>
      <c r="X1673" s="2043"/>
      <c r="Y1673" s="2043"/>
      <c r="Z1673" s="2043"/>
      <c r="AA1673" s="2043"/>
      <c r="AB1673" s="2043"/>
      <c r="AC1673" s="2043"/>
      <c r="AD1673" s="2043"/>
      <c r="AE1673" s="2043"/>
      <c r="AF1673" s="2043"/>
      <c r="AG1673" s="2043"/>
      <c r="AH1673" s="2043"/>
      <c r="AI1673" s="2043"/>
      <c r="AJ1673" s="2043"/>
      <c r="AK1673" s="2043"/>
      <c r="AL1673" s="2043"/>
      <c r="AM1673" s="2043"/>
      <c r="AN1673" s="2043"/>
      <c r="AO1673" s="2043"/>
      <c r="AP1673" s="2043"/>
      <c r="AQ1673" s="2043"/>
      <c r="AR1673" s="2043"/>
      <c r="AS1673" s="2043"/>
      <c r="AT1673" s="2043"/>
      <c r="AU1673" s="2043"/>
      <c r="AV1673" s="2043"/>
      <c r="AW1673" s="2043"/>
      <c r="AX1673" s="2043"/>
      <c r="AY1673" s="2043"/>
      <c r="AZ1673" s="2043"/>
      <c r="BA1673" s="2043"/>
      <c r="BB1673" s="2043"/>
      <c r="BC1673" s="2043"/>
      <c r="BD1673" s="2043"/>
      <c r="BE1673" s="2043"/>
      <c r="BF1673" s="2043"/>
      <c r="BG1673" s="2043"/>
      <c r="BH1673" s="2043"/>
      <c r="BI1673" s="2043"/>
      <c r="BJ1673" s="2043"/>
      <c r="BK1673" s="2043"/>
      <c r="BL1673" s="2043"/>
    </row>
    <row r="1674" spans="1:64" ht="15">
      <c r="A1674" s="2043"/>
      <c r="B1674" s="2043"/>
      <c r="C1674" s="2043"/>
      <c r="D1674" s="2043"/>
      <c r="E1674" s="2043"/>
      <c r="F1674" s="2043"/>
      <c r="G1674" s="2043"/>
      <c r="H1674" s="2043"/>
      <c r="I1674" s="2043"/>
      <c r="J1674" s="2043"/>
      <c r="K1674" s="2043"/>
      <c r="L1674" s="2043"/>
      <c r="M1674" s="2043"/>
      <c r="N1674" s="1994"/>
      <c r="O1674" s="2045"/>
      <c r="P1674" s="2045"/>
      <c r="Q1674" s="2043"/>
      <c r="R1674" s="2043"/>
      <c r="S1674" s="2043"/>
      <c r="T1674" s="2043"/>
      <c r="U1674" s="2043"/>
      <c r="V1674" s="2043"/>
      <c r="W1674" s="2043"/>
      <c r="X1674" s="2043"/>
      <c r="Y1674" s="2043"/>
      <c r="Z1674" s="2043"/>
      <c r="AA1674" s="2043"/>
      <c r="AB1674" s="2043"/>
      <c r="AC1674" s="2043"/>
      <c r="AD1674" s="2043"/>
      <c r="AE1674" s="2043"/>
      <c r="AF1674" s="2043"/>
      <c r="AG1674" s="2043"/>
      <c r="AH1674" s="2043"/>
      <c r="AI1674" s="2043"/>
      <c r="AJ1674" s="2043"/>
      <c r="AK1674" s="2043"/>
      <c r="AL1674" s="2043"/>
      <c r="AM1674" s="2043"/>
      <c r="AN1674" s="2043"/>
      <c r="AO1674" s="2043"/>
      <c r="AP1674" s="2043"/>
      <c r="AQ1674" s="2043"/>
      <c r="AR1674" s="2043"/>
      <c r="AS1674" s="2043"/>
      <c r="AT1674" s="2043"/>
      <c r="AU1674" s="2043"/>
      <c r="AV1674" s="2043"/>
      <c r="AW1674" s="2043"/>
      <c r="AX1674" s="2043"/>
      <c r="AY1674" s="2043"/>
      <c r="AZ1674" s="2043"/>
      <c r="BA1674" s="2043"/>
      <c r="BB1674" s="2043"/>
      <c r="BC1674" s="2043"/>
      <c r="BD1674" s="2043"/>
      <c r="BE1674" s="2043"/>
      <c r="BF1674" s="2043"/>
      <c r="BG1674" s="2043"/>
      <c r="BH1674" s="2043"/>
      <c r="BI1674" s="2043"/>
      <c r="BJ1674" s="2043"/>
      <c r="BK1674" s="2043"/>
      <c r="BL1674" s="2043"/>
    </row>
    <row r="1675" spans="1:64" ht="15">
      <c r="A1675" s="2043"/>
      <c r="B1675" s="2043"/>
      <c r="C1675" s="2043"/>
      <c r="D1675" s="2043"/>
      <c r="E1675" s="2043"/>
      <c r="F1675" s="2043"/>
      <c r="G1675" s="2043"/>
      <c r="H1675" s="2043"/>
      <c r="I1675" s="2043"/>
      <c r="J1675" s="2043"/>
      <c r="K1675" s="2043"/>
      <c r="L1675" s="2043"/>
      <c r="M1675" s="2043"/>
      <c r="N1675" s="1994"/>
      <c r="O1675" s="2045"/>
      <c r="P1675" s="2045"/>
      <c r="Q1675" s="2043"/>
      <c r="R1675" s="2043"/>
      <c r="S1675" s="2043"/>
      <c r="T1675" s="2043"/>
      <c r="U1675" s="2043"/>
      <c r="V1675" s="2043"/>
      <c r="W1675" s="2043"/>
      <c r="X1675" s="2043"/>
      <c r="Y1675" s="2043"/>
      <c r="Z1675" s="2043"/>
      <c r="AA1675" s="2043"/>
      <c r="AB1675" s="2043"/>
      <c r="AC1675" s="2043"/>
      <c r="AD1675" s="2043"/>
      <c r="AE1675" s="2043"/>
      <c r="AF1675" s="2043"/>
      <c r="AG1675" s="2043"/>
      <c r="AH1675" s="2043"/>
      <c r="AI1675" s="2043"/>
      <c r="AJ1675" s="2043"/>
      <c r="AK1675" s="2043"/>
      <c r="AL1675" s="2043"/>
      <c r="AM1675" s="2043"/>
      <c r="AN1675" s="2043"/>
      <c r="AO1675" s="2043"/>
      <c r="AP1675" s="2043"/>
      <c r="AQ1675" s="2043"/>
      <c r="AR1675" s="2043"/>
      <c r="AS1675" s="2043"/>
      <c r="AT1675" s="2043"/>
      <c r="AU1675" s="2043"/>
      <c r="AV1675" s="2043"/>
      <c r="AW1675" s="2043"/>
      <c r="AX1675" s="2043"/>
      <c r="AY1675" s="2043"/>
      <c r="AZ1675" s="2043"/>
      <c r="BA1675" s="2043"/>
      <c r="BB1675" s="2043"/>
      <c r="BC1675" s="2043"/>
      <c r="BD1675" s="2043"/>
      <c r="BE1675" s="2043"/>
      <c r="BF1675" s="2043"/>
      <c r="BG1675" s="2043"/>
      <c r="BH1675" s="2043"/>
      <c r="BI1675" s="2043"/>
      <c r="BJ1675" s="2043"/>
      <c r="BK1675" s="2043"/>
      <c r="BL1675" s="2043"/>
    </row>
    <row r="1676" spans="1:64" ht="15">
      <c r="A1676" s="2043"/>
      <c r="B1676" s="2043"/>
      <c r="C1676" s="2043"/>
      <c r="D1676" s="2043"/>
      <c r="E1676" s="2043"/>
      <c r="F1676" s="2043"/>
      <c r="G1676" s="2043"/>
      <c r="H1676" s="2043"/>
      <c r="I1676" s="2043"/>
      <c r="J1676" s="2043"/>
      <c r="K1676" s="2043"/>
      <c r="L1676" s="2043"/>
      <c r="M1676" s="2043"/>
      <c r="N1676" s="1994"/>
      <c r="O1676" s="2045"/>
      <c r="P1676" s="2045"/>
      <c r="Q1676" s="2043"/>
      <c r="R1676" s="2043"/>
      <c r="S1676" s="2043"/>
      <c r="T1676" s="2043"/>
      <c r="U1676" s="2043"/>
      <c r="V1676" s="2043"/>
      <c r="W1676" s="2043"/>
      <c r="X1676" s="2043"/>
      <c r="Y1676" s="2043"/>
      <c r="Z1676" s="2043"/>
      <c r="AA1676" s="2043"/>
      <c r="AB1676" s="2043"/>
      <c r="AC1676" s="2043"/>
      <c r="AD1676" s="2043"/>
      <c r="AE1676" s="2043"/>
      <c r="AF1676" s="2043"/>
      <c r="AG1676" s="2043"/>
      <c r="AH1676" s="2043"/>
      <c r="AI1676" s="2043"/>
      <c r="AJ1676" s="2043"/>
      <c r="AK1676" s="2043"/>
      <c r="AL1676" s="2043"/>
      <c r="AM1676" s="2043"/>
      <c r="AN1676" s="2043"/>
      <c r="AO1676" s="2043"/>
      <c r="AP1676" s="2043"/>
      <c r="AQ1676" s="2043"/>
      <c r="AR1676" s="2043"/>
      <c r="AS1676" s="2043"/>
      <c r="AT1676" s="2043"/>
      <c r="AU1676" s="2043"/>
      <c r="AV1676" s="2043"/>
      <c r="AW1676" s="2043"/>
      <c r="AX1676" s="2043"/>
      <c r="AY1676" s="2043"/>
      <c r="AZ1676" s="2043"/>
      <c r="BA1676" s="2043"/>
      <c r="BB1676" s="2043"/>
      <c r="BC1676" s="2043"/>
      <c r="BD1676" s="2043"/>
      <c r="BE1676" s="2043"/>
      <c r="BF1676" s="2043"/>
      <c r="BG1676" s="2043"/>
      <c r="BH1676" s="2043"/>
      <c r="BI1676" s="2043"/>
      <c r="BJ1676" s="2043"/>
      <c r="BK1676" s="2043"/>
      <c r="BL1676" s="2043"/>
    </row>
    <row r="1677" spans="1:64" ht="15">
      <c r="A1677" s="2043"/>
      <c r="B1677" s="2043"/>
      <c r="C1677" s="2043"/>
      <c r="D1677" s="2043"/>
      <c r="E1677" s="2043"/>
      <c r="F1677" s="2043"/>
      <c r="G1677" s="2043"/>
      <c r="H1677" s="2043"/>
      <c r="I1677" s="2043"/>
      <c r="J1677" s="2043"/>
      <c r="K1677" s="2043"/>
      <c r="L1677" s="2043"/>
      <c r="M1677" s="2043"/>
      <c r="N1677" s="1994"/>
      <c r="O1677" s="2045"/>
      <c r="P1677" s="2045"/>
      <c r="Q1677" s="2043"/>
      <c r="R1677" s="2043"/>
      <c r="S1677" s="2043"/>
      <c r="T1677" s="2043"/>
      <c r="U1677" s="2043"/>
      <c r="V1677" s="2043"/>
      <c r="W1677" s="2043"/>
      <c r="X1677" s="2043"/>
      <c r="Y1677" s="2043"/>
      <c r="Z1677" s="2043"/>
      <c r="AA1677" s="2043"/>
      <c r="AB1677" s="2043"/>
      <c r="AC1677" s="2043"/>
      <c r="AD1677" s="2043"/>
      <c r="AE1677" s="2043"/>
      <c r="AF1677" s="2043"/>
      <c r="AG1677" s="2043"/>
      <c r="AH1677" s="2043"/>
      <c r="AI1677" s="2043"/>
      <c r="AJ1677" s="2043"/>
      <c r="AK1677" s="2043"/>
      <c r="AL1677" s="2043"/>
      <c r="AM1677" s="2043"/>
      <c r="AN1677" s="2043"/>
      <c r="AO1677" s="2043"/>
      <c r="AP1677" s="2043"/>
      <c r="AQ1677" s="2043"/>
      <c r="AR1677" s="2043"/>
      <c r="AS1677" s="2043"/>
      <c r="AT1677" s="2043"/>
      <c r="AU1677" s="2043"/>
      <c r="AV1677" s="2043"/>
      <c r="AW1677" s="2043"/>
      <c r="AX1677" s="2043"/>
      <c r="AY1677" s="2043"/>
      <c r="AZ1677" s="2043"/>
      <c r="BA1677" s="2043"/>
      <c r="BB1677" s="2043"/>
      <c r="BC1677" s="2043"/>
      <c r="BD1677" s="2043"/>
      <c r="BE1677" s="2043"/>
      <c r="BF1677" s="2043"/>
      <c r="BG1677" s="2043"/>
      <c r="BH1677" s="2043"/>
      <c r="BI1677" s="2043"/>
      <c r="BJ1677" s="2043"/>
      <c r="BK1677" s="2043"/>
      <c r="BL1677" s="2043"/>
    </row>
    <row r="1678" spans="1:64" ht="15">
      <c r="A1678" s="2043"/>
      <c r="B1678" s="2043"/>
      <c r="C1678" s="2043"/>
      <c r="D1678" s="2043"/>
      <c r="E1678" s="2043"/>
      <c r="F1678" s="2043"/>
      <c r="G1678" s="2043"/>
      <c r="H1678" s="2043"/>
      <c r="I1678" s="2043"/>
      <c r="J1678" s="2043"/>
      <c r="K1678" s="2043"/>
      <c r="L1678" s="2043"/>
      <c r="M1678" s="2043"/>
      <c r="N1678" s="1994"/>
      <c r="O1678" s="2045"/>
      <c r="P1678" s="2045"/>
      <c r="Q1678" s="2043"/>
      <c r="R1678" s="2043"/>
      <c r="S1678" s="2043"/>
      <c r="T1678" s="2043"/>
      <c r="U1678" s="2043"/>
      <c r="V1678" s="2043"/>
      <c r="W1678" s="2043"/>
      <c r="X1678" s="2043"/>
      <c r="Y1678" s="2043"/>
      <c r="Z1678" s="2043"/>
      <c r="AA1678" s="2043"/>
      <c r="AB1678" s="2043"/>
      <c r="AC1678" s="2043"/>
      <c r="AD1678" s="2043"/>
      <c r="AE1678" s="2043"/>
      <c r="AF1678" s="2043"/>
      <c r="AG1678" s="2043"/>
      <c r="AH1678" s="2043"/>
      <c r="AI1678" s="2043"/>
      <c r="AJ1678" s="2043"/>
      <c r="AK1678" s="2043"/>
      <c r="AL1678" s="2043"/>
      <c r="AM1678" s="2043"/>
      <c r="AN1678" s="2043"/>
      <c r="AO1678" s="2043"/>
      <c r="AP1678" s="2043"/>
      <c r="AQ1678" s="2043"/>
      <c r="AR1678" s="2043"/>
      <c r="AS1678" s="2043"/>
      <c r="AT1678" s="2043"/>
      <c r="AU1678" s="2043"/>
      <c r="AV1678" s="2043"/>
      <c r="AW1678" s="2043"/>
      <c r="AX1678" s="2043"/>
      <c r="AY1678" s="2043"/>
      <c r="AZ1678" s="2043"/>
      <c r="BA1678" s="2043"/>
      <c r="BB1678" s="2043"/>
      <c r="BC1678" s="2043"/>
      <c r="BD1678" s="2043"/>
      <c r="BE1678" s="2043"/>
      <c r="BF1678" s="2043"/>
      <c r="BG1678" s="2043"/>
      <c r="BH1678" s="2043"/>
      <c r="BI1678" s="2043"/>
      <c r="BJ1678" s="2043"/>
      <c r="BK1678" s="2043"/>
      <c r="BL1678" s="2043"/>
    </row>
    <row r="1679" spans="1:64" ht="15">
      <c r="A1679" s="2043"/>
      <c r="B1679" s="2043"/>
      <c r="C1679" s="2043"/>
      <c r="D1679" s="2043"/>
      <c r="E1679" s="2043"/>
      <c r="F1679" s="2043"/>
      <c r="G1679" s="2043"/>
      <c r="H1679" s="2043"/>
      <c r="I1679" s="2043"/>
      <c r="J1679" s="2043"/>
      <c r="K1679" s="2043"/>
      <c r="L1679" s="2043"/>
      <c r="M1679" s="2043"/>
      <c r="N1679" s="1994"/>
      <c r="O1679" s="2045"/>
      <c r="P1679" s="2045"/>
      <c r="Q1679" s="2043"/>
      <c r="R1679" s="2043"/>
      <c r="S1679" s="2043"/>
      <c r="T1679" s="2043"/>
      <c r="U1679" s="2043"/>
      <c r="V1679" s="2043"/>
      <c r="W1679" s="2043"/>
      <c r="X1679" s="2043"/>
      <c r="Y1679" s="2043"/>
      <c r="Z1679" s="2043"/>
      <c r="AA1679" s="2043"/>
      <c r="AB1679" s="2043"/>
      <c r="AC1679" s="2043"/>
      <c r="AD1679" s="2043"/>
      <c r="AE1679" s="2043"/>
      <c r="AF1679" s="2043"/>
      <c r="AG1679" s="2043"/>
      <c r="AH1679" s="2043"/>
      <c r="AI1679" s="2043"/>
      <c r="AJ1679" s="2043"/>
      <c r="AK1679" s="2043"/>
      <c r="AL1679" s="2043"/>
      <c r="AM1679" s="2043"/>
      <c r="AN1679" s="2043"/>
      <c r="AO1679" s="2043"/>
      <c r="AP1679" s="2043"/>
      <c r="AQ1679" s="2043"/>
      <c r="AR1679" s="2043"/>
      <c r="AS1679" s="2043"/>
      <c r="AT1679" s="2043"/>
      <c r="AU1679" s="2043"/>
      <c r="AV1679" s="2043"/>
      <c r="AW1679" s="2043"/>
      <c r="AX1679" s="2043"/>
      <c r="AY1679" s="2043"/>
      <c r="AZ1679" s="2043"/>
      <c r="BA1679" s="2043"/>
      <c r="BB1679" s="2043"/>
      <c r="BC1679" s="2043"/>
      <c r="BD1679" s="2043"/>
      <c r="BE1679" s="2043"/>
      <c r="BF1679" s="2043"/>
      <c r="BG1679" s="2043"/>
      <c r="BH1679" s="2043"/>
      <c r="BI1679" s="2043"/>
      <c r="BJ1679" s="2043"/>
      <c r="BK1679" s="2043"/>
      <c r="BL1679" s="2043"/>
    </row>
    <row r="1680" spans="1:64" ht="15">
      <c r="A1680" s="2043"/>
      <c r="B1680" s="2043"/>
      <c r="C1680" s="2043"/>
      <c r="D1680" s="2043"/>
      <c r="E1680" s="2043"/>
      <c r="F1680" s="2043"/>
      <c r="G1680" s="2043"/>
      <c r="H1680" s="2043"/>
      <c r="I1680" s="2043"/>
      <c r="J1680" s="2043"/>
      <c r="K1680" s="2043"/>
      <c r="L1680" s="2043"/>
      <c r="M1680" s="2043"/>
      <c r="N1680" s="1994"/>
      <c r="O1680" s="2045"/>
      <c r="P1680" s="2045"/>
      <c r="Q1680" s="2043"/>
      <c r="R1680" s="2043"/>
      <c r="S1680" s="2043"/>
      <c r="T1680" s="2043"/>
      <c r="U1680" s="2043"/>
      <c r="V1680" s="2043"/>
      <c r="W1680" s="2043"/>
      <c r="X1680" s="2043"/>
      <c r="Y1680" s="2043"/>
      <c r="Z1680" s="2043"/>
      <c r="AA1680" s="2043"/>
      <c r="AB1680" s="2043"/>
      <c r="AC1680" s="2043"/>
      <c r="AD1680" s="2043"/>
      <c r="AE1680" s="2043"/>
      <c r="AF1680" s="2043"/>
      <c r="AG1680" s="2043"/>
      <c r="AH1680" s="2043"/>
      <c r="AI1680" s="2043"/>
      <c r="AJ1680" s="2043"/>
      <c r="AK1680" s="2043"/>
      <c r="AL1680" s="2043"/>
      <c r="AM1680" s="2043"/>
      <c r="AN1680" s="2043"/>
      <c r="AO1680" s="2043"/>
      <c r="AP1680" s="2043"/>
      <c r="AQ1680" s="2043"/>
      <c r="AR1680" s="2043"/>
      <c r="AS1680" s="2043"/>
      <c r="AT1680" s="2043"/>
      <c r="AU1680" s="2043"/>
      <c r="AV1680" s="2043"/>
      <c r="AW1680" s="2043"/>
      <c r="AX1680" s="2043"/>
      <c r="AY1680" s="2043"/>
      <c r="AZ1680" s="2043"/>
      <c r="BA1680" s="2043"/>
      <c r="BB1680" s="2043"/>
      <c r="BC1680" s="2043"/>
      <c r="BD1680" s="2043"/>
      <c r="BE1680" s="2043"/>
      <c r="BF1680" s="2043"/>
      <c r="BG1680" s="2043"/>
      <c r="BH1680" s="2043"/>
      <c r="BI1680" s="2043"/>
      <c r="BJ1680" s="2043"/>
      <c r="BK1680" s="2043"/>
      <c r="BL1680" s="2043"/>
    </row>
    <row r="1681" spans="1:64" ht="15">
      <c r="A1681" s="2043"/>
      <c r="B1681" s="2043"/>
      <c r="C1681" s="2043"/>
      <c r="D1681" s="2043"/>
      <c r="E1681" s="2043"/>
      <c r="F1681" s="2043"/>
      <c r="G1681" s="2043"/>
      <c r="H1681" s="2043"/>
      <c r="I1681" s="2043"/>
      <c r="J1681" s="2043"/>
      <c r="K1681" s="2043"/>
      <c r="L1681" s="2043"/>
      <c r="M1681" s="2043"/>
      <c r="N1681" s="1994"/>
      <c r="O1681" s="2045"/>
      <c r="P1681" s="2045"/>
      <c r="Q1681" s="2043"/>
      <c r="R1681" s="2043"/>
      <c r="S1681" s="2043"/>
      <c r="T1681" s="2043"/>
      <c r="U1681" s="2043"/>
      <c r="V1681" s="2043"/>
      <c r="W1681" s="2043"/>
      <c r="X1681" s="2043"/>
      <c r="Y1681" s="2043"/>
      <c r="Z1681" s="2043"/>
      <c r="AA1681" s="2043"/>
      <c r="AB1681" s="2043"/>
      <c r="AC1681" s="2043"/>
      <c r="AD1681" s="2043"/>
      <c r="AE1681" s="2043"/>
      <c r="AF1681" s="2043"/>
      <c r="AG1681" s="2043"/>
      <c r="AH1681" s="2043"/>
      <c r="AI1681" s="2043"/>
      <c r="AJ1681" s="2043"/>
      <c r="AK1681" s="2043"/>
      <c r="AL1681" s="2043"/>
      <c r="AM1681" s="2043"/>
      <c r="AN1681" s="2043"/>
      <c r="AO1681" s="2043"/>
      <c r="AP1681" s="2043"/>
      <c r="AQ1681" s="2043"/>
      <c r="AR1681" s="2043"/>
      <c r="AS1681" s="2043"/>
      <c r="AT1681" s="2043"/>
      <c r="AU1681" s="2043"/>
      <c r="AV1681" s="2043"/>
      <c r="AW1681" s="2043"/>
      <c r="AX1681" s="2043"/>
      <c r="AY1681" s="2043"/>
      <c r="AZ1681" s="2043"/>
      <c r="BA1681" s="2043"/>
      <c r="BB1681" s="2043"/>
      <c r="BC1681" s="2043"/>
      <c r="BD1681" s="2043"/>
      <c r="BE1681" s="2043"/>
      <c r="BF1681" s="2043"/>
      <c r="BG1681" s="2043"/>
      <c r="BH1681" s="2043"/>
      <c r="BI1681" s="2043"/>
      <c r="BJ1681" s="2043"/>
      <c r="BK1681" s="2043"/>
      <c r="BL1681" s="2043"/>
    </row>
    <row r="1682" spans="1:64" ht="15">
      <c r="A1682" s="2043"/>
      <c r="B1682" s="2043"/>
      <c r="C1682" s="2043"/>
      <c r="D1682" s="2043"/>
      <c r="E1682" s="2043"/>
      <c r="F1682" s="2043"/>
      <c r="G1682" s="2043"/>
      <c r="H1682" s="2043"/>
      <c r="I1682" s="2043"/>
      <c r="J1682" s="2043"/>
      <c r="K1682" s="2043"/>
      <c r="L1682" s="2043"/>
      <c r="M1682" s="2043"/>
      <c r="N1682" s="1994"/>
      <c r="O1682" s="2045"/>
      <c r="P1682" s="2045"/>
      <c r="Q1682" s="2043"/>
      <c r="R1682" s="2043"/>
      <c r="S1682" s="2043"/>
      <c r="T1682" s="2043"/>
      <c r="U1682" s="2043"/>
      <c r="V1682" s="2043"/>
      <c r="W1682" s="2043"/>
      <c r="X1682" s="2043"/>
      <c r="Y1682" s="2043"/>
      <c r="Z1682" s="2043"/>
      <c r="AA1682" s="2043"/>
      <c r="AB1682" s="2043"/>
      <c r="AC1682" s="2043"/>
      <c r="AD1682" s="2043"/>
      <c r="AE1682" s="2043"/>
      <c r="AF1682" s="2043"/>
      <c r="AG1682" s="2043"/>
      <c r="AH1682" s="2043"/>
      <c r="AI1682" s="2043"/>
      <c r="AJ1682" s="2043"/>
      <c r="AK1682" s="2043"/>
      <c r="AL1682" s="2043"/>
      <c r="AM1682" s="2043"/>
      <c r="AN1682" s="2043"/>
      <c r="AO1682" s="2043"/>
      <c r="AP1682" s="2043"/>
      <c r="AQ1682" s="2043"/>
      <c r="AR1682" s="2043"/>
      <c r="AS1682" s="2043"/>
      <c r="AT1682" s="2043"/>
      <c r="AU1682" s="2043"/>
      <c r="AV1682" s="2043"/>
      <c r="AW1682" s="2043"/>
      <c r="AX1682" s="2043"/>
      <c r="AY1682" s="2043"/>
      <c r="AZ1682" s="2043"/>
      <c r="BA1682" s="2043"/>
      <c r="BB1682" s="2043"/>
      <c r="BC1682" s="2043"/>
      <c r="BD1682" s="2043"/>
      <c r="BE1682" s="2043"/>
      <c r="BF1682" s="2043"/>
      <c r="BG1682" s="2043"/>
      <c r="BH1682" s="2043"/>
      <c r="BI1682" s="2043"/>
      <c r="BJ1682" s="2043"/>
      <c r="BK1682" s="2043"/>
      <c r="BL1682" s="2043"/>
    </row>
    <row r="1683" spans="1:64" ht="15">
      <c r="A1683" s="2043"/>
      <c r="B1683" s="2043"/>
      <c r="C1683" s="2043"/>
      <c r="D1683" s="2043"/>
      <c r="E1683" s="2043"/>
      <c r="F1683" s="2043"/>
      <c r="G1683" s="2043"/>
      <c r="H1683" s="2043"/>
      <c r="I1683" s="2043"/>
      <c r="J1683" s="2043"/>
      <c r="K1683" s="2043"/>
      <c r="L1683" s="2043"/>
      <c r="M1683" s="2043"/>
      <c r="N1683" s="1994"/>
      <c r="O1683" s="2045"/>
      <c r="P1683" s="2045"/>
      <c r="Q1683" s="2043"/>
      <c r="R1683" s="2043"/>
      <c r="S1683" s="2043"/>
      <c r="T1683" s="2043"/>
      <c r="U1683" s="2043"/>
      <c r="V1683" s="2043"/>
      <c r="W1683" s="2043"/>
      <c r="X1683" s="2043"/>
      <c r="Y1683" s="2043"/>
      <c r="Z1683" s="2043"/>
      <c r="AA1683" s="2043"/>
      <c r="AB1683" s="2043"/>
      <c r="AC1683" s="2043"/>
      <c r="AD1683" s="2043"/>
      <c r="AE1683" s="2043"/>
      <c r="AF1683" s="2043"/>
      <c r="AG1683" s="2043"/>
      <c r="AH1683" s="2043"/>
      <c r="AI1683" s="2043"/>
      <c r="AJ1683" s="2043"/>
      <c r="AK1683" s="2043"/>
      <c r="AL1683" s="2043"/>
      <c r="AM1683" s="2043"/>
      <c r="AN1683" s="2043"/>
      <c r="AO1683" s="2043"/>
      <c r="AP1683" s="2043"/>
      <c r="AQ1683" s="2043"/>
      <c r="AR1683" s="2043"/>
      <c r="AS1683" s="2043"/>
      <c r="AT1683" s="2043"/>
      <c r="AU1683" s="2043"/>
      <c r="AV1683" s="2043"/>
      <c r="AW1683" s="2043"/>
      <c r="AX1683" s="2043"/>
      <c r="AY1683" s="2043"/>
      <c r="AZ1683" s="2043"/>
      <c r="BA1683" s="2043"/>
      <c r="BB1683" s="2043"/>
      <c r="BC1683" s="2043"/>
      <c r="BD1683" s="2043"/>
      <c r="BE1683" s="2043"/>
      <c r="BF1683" s="2043"/>
      <c r="BG1683" s="2043"/>
      <c r="BH1683" s="2043"/>
      <c r="BI1683" s="2043"/>
      <c r="BJ1683" s="2043"/>
      <c r="BK1683" s="2043"/>
      <c r="BL1683" s="2043"/>
    </row>
    <row r="1684" spans="1:64" ht="15">
      <c r="A1684" s="2043"/>
      <c r="B1684" s="2043"/>
      <c r="C1684" s="2043"/>
      <c r="D1684" s="2043"/>
      <c r="E1684" s="2043"/>
      <c r="F1684" s="2043"/>
      <c r="G1684" s="2043"/>
      <c r="H1684" s="2043"/>
      <c r="I1684" s="2043"/>
      <c r="J1684" s="2043"/>
      <c r="K1684" s="2043"/>
      <c r="L1684" s="2043"/>
      <c r="M1684" s="2043"/>
      <c r="N1684" s="1994"/>
      <c r="O1684" s="2045"/>
      <c r="P1684" s="2045"/>
      <c r="Q1684" s="2043"/>
      <c r="R1684" s="2043"/>
      <c r="S1684" s="2043"/>
      <c r="T1684" s="2043"/>
      <c r="U1684" s="2043"/>
      <c r="V1684" s="2043"/>
      <c r="W1684" s="2043"/>
      <c r="X1684" s="2043"/>
      <c r="Y1684" s="2043"/>
      <c r="Z1684" s="2043"/>
      <c r="AA1684" s="2043"/>
      <c r="AB1684" s="2043"/>
      <c r="AC1684" s="2043"/>
      <c r="AD1684" s="2043"/>
      <c r="AE1684" s="2043"/>
      <c r="AF1684" s="2043"/>
      <c r="AG1684" s="2043"/>
      <c r="AH1684" s="2043"/>
      <c r="AI1684" s="2043"/>
      <c r="AJ1684" s="2043"/>
      <c r="AK1684" s="2043"/>
      <c r="AL1684" s="2043"/>
      <c r="AM1684" s="2043"/>
      <c r="AN1684" s="2043"/>
      <c r="AO1684" s="2043"/>
      <c r="AP1684" s="2043"/>
      <c r="AQ1684" s="2043"/>
      <c r="AR1684" s="2043"/>
      <c r="AS1684" s="2043"/>
      <c r="AT1684" s="2043"/>
      <c r="AU1684" s="2043"/>
      <c r="AV1684" s="2043"/>
      <c r="AW1684" s="2043"/>
      <c r="AX1684" s="2043"/>
      <c r="AY1684" s="2043"/>
      <c r="AZ1684" s="2043"/>
      <c r="BA1684" s="2043"/>
      <c r="BB1684" s="2043"/>
      <c r="BC1684" s="2043"/>
      <c r="BD1684" s="2043"/>
      <c r="BE1684" s="2043"/>
      <c r="BF1684" s="2043"/>
      <c r="BG1684" s="2043"/>
      <c r="BH1684" s="2043"/>
      <c r="BI1684" s="2043"/>
      <c r="BJ1684" s="2043"/>
      <c r="BK1684" s="2043"/>
      <c r="BL1684" s="2043"/>
    </row>
    <row r="1685" spans="1:64" ht="15">
      <c r="A1685" s="2043"/>
      <c r="B1685" s="2043"/>
      <c r="C1685" s="2043"/>
      <c r="D1685" s="2043"/>
      <c r="E1685" s="2043"/>
      <c r="F1685" s="2043"/>
      <c r="G1685" s="2043"/>
      <c r="H1685" s="2043"/>
      <c r="I1685" s="2043"/>
      <c r="J1685" s="2043"/>
      <c r="K1685" s="2043"/>
      <c r="L1685" s="2043"/>
      <c r="M1685" s="2043"/>
      <c r="N1685" s="1994"/>
      <c r="O1685" s="2045"/>
      <c r="P1685" s="2045"/>
      <c r="Q1685" s="2043"/>
      <c r="R1685" s="2043"/>
      <c r="S1685" s="2043"/>
      <c r="T1685" s="2043"/>
      <c r="U1685" s="2043"/>
      <c r="V1685" s="2043"/>
      <c r="W1685" s="2043"/>
      <c r="X1685" s="2043"/>
      <c r="Y1685" s="2043"/>
      <c r="Z1685" s="2043"/>
      <c r="AA1685" s="2043"/>
      <c r="AB1685" s="2043"/>
      <c r="AC1685" s="2043"/>
      <c r="AD1685" s="2043"/>
      <c r="AE1685" s="2043"/>
      <c r="AF1685" s="2043"/>
      <c r="AG1685" s="2043"/>
      <c r="AH1685" s="2043"/>
      <c r="AI1685" s="2043"/>
      <c r="AJ1685" s="2043"/>
      <c r="AK1685" s="2043"/>
      <c r="AL1685" s="2043"/>
      <c r="AM1685" s="2043"/>
      <c r="AN1685" s="2043"/>
      <c r="AO1685" s="2043"/>
      <c r="AP1685" s="2043"/>
      <c r="AQ1685" s="2043"/>
      <c r="AR1685" s="2043"/>
      <c r="AS1685" s="2043"/>
      <c r="AT1685" s="2043"/>
      <c r="AU1685" s="2043"/>
      <c r="AV1685" s="2043"/>
      <c r="AW1685" s="2043"/>
      <c r="AX1685" s="2043"/>
      <c r="AY1685" s="2043"/>
      <c r="AZ1685" s="2043"/>
      <c r="BA1685" s="2043"/>
      <c r="BB1685" s="2043"/>
      <c r="BC1685" s="2043"/>
      <c r="BD1685" s="2043"/>
      <c r="BE1685" s="2043"/>
      <c r="BF1685" s="2043"/>
      <c r="BG1685" s="2043"/>
      <c r="BH1685" s="2043"/>
      <c r="BI1685" s="2043"/>
      <c r="BJ1685" s="2043"/>
      <c r="BK1685" s="2043"/>
      <c r="BL1685" s="2043"/>
    </row>
    <row r="1686" spans="1:64" ht="15">
      <c r="A1686" s="2043"/>
      <c r="B1686" s="2043"/>
      <c r="C1686" s="2043"/>
      <c r="D1686" s="2043"/>
      <c r="E1686" s="2043"/>
      <c r="F1686" s="2043"/>
      <c r="G1686" s="2043"/>
      <c r="H1686" s="2043"/>
      <c r="I1686" s="2043"/>
      <c r="J1686" s="2043"/>
      <c r="K1686" s="2043"/>
      <c r="L1686" s="2043"/>
      <c r="M1686" s="2043"/>
      <c r="N1686" s="1994"/>
      <c r="O1686" s="2045"/>
      <c r="P1686" s="2045"/>
      <c r="Q1686" s="2043"/>
      <c r="R1686" s="2043"/>
      <c r="S1686" s="2043"/>
      <c r="T1686" s="2043"/>
      <c r="U1686" s="2043"/>
      <c r="V1686" s="2043"/>
      <c r="W1686" s="2043"/>
      <c r="X1686" s="2043"/>
      <c r="Y1686" s="2043"/>
      <c r="Z1686" s="2043"/>
      <c r="AA1686" s="2043"/>
      <c r="AB1686" s="2043"/>
      <c r="AC1686" s="2043"/>
      <c r="AD1686" s="2043"/>
      <c r="AE1686" s="2043"/>
      <c r="AF1686" s="2043"/>
      <c r="AG1686" s="2043"/>
      <c r="AH1686" s="2043"/>
      <c r="AI1686" s="2043"/>
      <c r="AJ1686" s="2043"/>
      <c r="AK1686" s="2043"/>
      <c r="AL1686" s="2043"/>
      <c r="AM1686" s="2043"/>
      <c r="AN1686" s="2043"/>
      <c r="AO1686" s="2043"/>
      <c r="AP1686" s="2043"/>
      <c r="AQ1686" s="2043"/>
      <c r="AR1686" s="2043"/>
      <c r="AS1686" s="2043"/>
      <c r="AT1686" s="2043"/>
      <c r="AU1686" s="2043"/>
      <c r="AV1686" s="2043"/>
      <c r="AW1686" s="2043"/>
      <c r="AX1686" s="2043"/>
      <c r="AY1686" s="2043"/>
      <c r="AZ1686" s="2043"/>
      <c r="BA1686" s="2043"/>
      <c r="BB1686" s="2043"/>
      <c r="BC1686" s="2043"/>
      <c r="BD1686" s="2043"/>
      <c r="BE1686" s="2043"/>
      <c r="BF1686" s="2043"/>
      <c r="BG1686" s="2043"/>
      <c r="BH1686" s="2043"/>
      <c r="BI1686" s="2043"/>
      <c r="BJ1686" s="2043"/>
      <c r="BK1686" s="2043"/>
      <c r="BL1686" s="2043"/>
    </row>
    <row r="1687" spans="1:64" ht="15">
      <c r="A1687" s="2043"/>
      <c r="B1687" s="2043"/>
      <c r="C1687" s="2043"/>
      <c r="D1687" s="2043"/>
      <c r="E1687" s="2043"/>
      <c r="F1687" s="2043"/>
      <c r="G1687" s="2043"/>
      <c r="H1687" s="2043"/>
      <c r="I1687" s="2043"/>
      <c r="J1687" s="2043"/>
      <c r="K1687" s="2043"/>
      <c r="L1687" s="2043"/>
      <c r="M1687" s="2043"/>
      <c r="N1687" s="1994"/>
      <c r="O1687" s="2045"/>
      <c r="P1687" s="2045"/>
      <c r="Q1687" s="2043"/>
      <c r="R1687" s="2043"/>
      <c r="S1687" s="2043"/>
      <c r="T1687" s="2043"/>
      <c r="U1687" s="2043"/>
      <c r="V1687" s="2043"/>
      <c r="W1687" s="2043"/>
      <c r="X1687" s="2043"/>
      <c r="Y1687" s="2043"/>
      <c r="Z1687" s="2043"/>
      <c r="AA1687" s="2043"/>
      <c r="AB1687" s="2043"/>
      <c r="AC1687" s="2043"/>
      <c r="AD1687" s="2043"/>
      <c r="AE1687" s="2043"/>
      <c r="AF1687" s="2043"/>
      <c r="AG1687" s="2043"/>
      <c r="AH1687" s="2043"/>
      <c r="AI1687" s="2043"/>
      <c r="AJ1687" s="2043"/>
      <c r="AK1687" s="2043"/>
      <c r="AL1687" s="2043"/>
      <c r="AM1687" s="2043"/>
      <c r="AN1687" s="2043"/>
      <c r="AO1687" s="2043"/>
      <c r="AP1687" s="2043"/>
      <c r="AQ1687" s="2043"/>
      <c r="AR1687" s="2043"/>
      <c r="AS1687" s="2043"/>
      <c r="AT1687" s="2043"/>
      <c r="AU1687" s="2043"/>
      <c r="AV1687" s="2043"/>
      <c r="AW1687" s="2043"/>
      <c r="AX1687" s="2043"/>
      <c r="AY1687" s="2043"/>
      <c r="AZ1687" s="2043"/>
      <c r="BA1687" s="2043"/>
      <c r="BB1687" s="2043"/>
      <c r="BC1687" s="2043"/>
      <c r="BD1687" s="2043"/>
      <c r="BE1687" s="2043"/>
      <c r="BF1687" s="2043"/>
      <c r="BG1687" s="2043"/>
      <c r="BH1687" s="2043"/>
      <c r="BI1687" s="2043"/>
      <c r="BJ1687" s="2043"/>
      <c r="BK1687" s="2043"/>
      <c r="BL1687" s="2043"/>
    </row>
    <row r="1688" spans="1:64" ht="15">
      <c r="A1688" s="2043"/>
      <c r="B1688" s="2043"/>
      <c r="C1688" s="2043"/>
      <c r="D1688" s="2043"/>
      <c r="E1688" s="2043"/>
      <c r="F1688" s="2043"/>
      <c r="G1688" s="2043"/>
      <c r="H1688" s="2043"/>
      <c r="I1688" s="2043"/>
      <c r="J1688" s="2043"/>
      <c r="K1688" s="2043"/>
      <c r="L1688" s="2043"/>
      <c r="M1688" s="2043"/>
      <c r="N1688" s="1994"/>
      <c r="O1688" s="2045"/>
      <c r="P1688" s="2045"/>
      <c r="Q1688" s="2043"/>
      <c r="R1688" s="2043"/>
      <c r="S1688" s="2043"/>
      <c r="T1688" s="2043"/>
      <c r="U1688" s="2043"/>
      <c r="V1688" s="2043"/>
      <c r="W1688" s="2043"/>
      <c r="X1688" s="2043"/>
      <c r="Y1688" s="2043"/>
      <c r="Z1688" s="2043"/>
      <c r="AA1688" s="2043"/>
      <c r="AB1688" s="2043"/>
      <c r="AC1688" s="2043"/>
      <c r="AD1688" s="2043"/>
      <c r="AE1688" s="2043"/>
      <c r="AF1688" s="2043"/>
      <c r="AG1688" s="2043"/>
      <c r="AH1688" s="2043"/>
      <c r="AI1688" s="2043"/>
      <c r="AJ1688" s="2043"/>
      <c r="AK1688" s="2043"/>
      <c r="AL1688" s="2043"/>
      <c r="AM1688" s="2043"/>
      <c r="AN1688" s="2043"/>
      <c r="AO1688" s="2043"/>
      <c r="AP1688" s="2043"/>
      <c r="AQ1688" s="2043"/>
      <c r="AR1688" s="2043"/>
      <c r="AS1688" s="2043"/>
      <c r="AT1688" s="2043"/>
      <c r="AU1688" s="2043"/>
      <c r="AV1688" s="2043"/>
      <c r="AW1688" s="2043"/>
      <c r="AX1688" s="2043"/>
      <c r="AY1688" s="2043"/>
      <c r="AZ1688" s="2043"/>
      <c r="BA1688" s="2043"/>
      <c r="BB1688" s="2043"/>
      <c r="BC1688" s="2043"/>
      <c r="BD1688" s="2043"/>
      <c r="BE1688" s="2043"/>
      <c r="BF1688" s="2043"/>
      <c r="BG1688" s="2043"/>
      <c r="BH1688" s="2043"/>
      <c r="BI1688" s="2043"/>
      <c r="BJ1688" s="2043"/>
      <c r="BK1688" s="2043"/>
      <c r="BL1688" s="2043"/>
    </row>
    <row r="1689" spans="1:64" ht="15">
      <c r="A1689" s="2043"/>
      <c r="B1689" s="2043"/>
      <c r="C1689" s="2043"/>
      <c r="D1689" s="2043"/>
      <c r="E1689" s="2043"/>
      <c r="F1689" s="2043"/>
      <c r="G1689" s="2043"/>
      <c r="H1689" s="2043"/>
      <c r="I1689" s="2043"/>
      <c r="J1689" s="2043"/>
      <c r="K1689" s="2043"/>
      <c r="L1689" s="2043"/>
      <c r="M1689" s="2043"/>
      <c r="N1689" s="1994"/>
      <c r="O1689" s="2045"/>
      <c r="P1689" s="2045"/>
      <c r="Q1689" s="2043"/>
      <c r="R1689" s="2043"/>
      <c r="S1689" s="2043"/>
      <c r="T1689" s="2043"/>
      <c r="U1689" s="2043"/>
      <c r="V1689" s="2043"/>
      <c r="W1689" s="2043"/>
      <c r="X1689" s="2043"/>
      <c r="Y1689" s="2043"/>
      <c r="Z1689" s="2043"/>
      <c r="AA1689" s="2043"/>
      <c r="AB1689" s="2043"/>
      <c r="AC1689" s="2043"/>
      <c r="AD1689" s="2043"/>
      <c r="AE1689" s="2043"/>
      <c r="AF1689" s="2043"/>
      <c r="AG1689" s="2043"/>
      <c r="AH1689" s="2043"/>
      <c r="AI1689" s="2043"/>
      <c r="AJ1689" s="2043"/>
      <c r="AK1689" s="2043"/>
      <c r="AL1689" s="2043"/>
      <c r="AM1689" s="2043"/>
      <c r="AN1689" s="2043"/>
      <c r="AO1689" s="2043"/>
      <c r="AP1689" s="2043"/>
      <c r="AQ1689" s="2043"/>
      <c r="AR1689" s="2043"/>
      <c r="AS1689" s="2043"/>
      <c r="AT1689" s="2043"/>
      <c r="AU1689" s="2043"/>
      <c r="AV1689" s="2043"/>
      <c r="AW1689" s="2043"/>
      <c r="AX1689" s="2043"/>
      <c r="AY1689" s="2043"/>
      <c r="AZ1689" s="2043"/>
      <c r="BA1689" s="2043"/>
      <c r="BB1689" s="2043"/>
      <c r="BC1689" s="2043"/>
      <c r="BD1689" s="2043"/>
      <c r="BE1689" s="2043"/>
      <c r="BF1689" s="2043"/>
      <c r="BG1689" s="2043"/>
      <c r="BH1689" s="2043"/>
      <c r="BI1689" s="2043"/>
      <c r="BJ1689" s="2043"/>
      <c r="BK1689" s="2043"/>
      <c r="BL1689" s="2043"/>
    </row>
    <row r="1690" spans="1:64" ht="15">
      <c r="A1690" s="2043"/>
      <c r="B1690" s="2043"/>
      <c r="C1690" s="2043"/>
      <c r="D1690" s="2043"/>
      <c r="E1690" s="2043"/>
      <c r="F1690" s="2043"/>
      <c r="G1690" s="2043"/>
      <c r="H1690" s="2043"/>
      <c r="I1690" s="2043"/>
      <c r="J1690" s="2043"/>
      <c r="K1690" s="2043"/>
      <c r="L1690" s="2043"/>
      <c r="M1690" s="2043"/>
      <c r="N1690" s="1994"/>
      <c r="O1690" s="2045"/>
      <c r="P1690" s="2045"/>
      <c r="Q1690" s="2043"/>
      <c r="R1690" s="2043"/>
      <c r="S1690" s="2043"/>
      <c r="T1690" s="2043"/>
      <c r="U1690" s="2043"/>
      <c r="V1690" s="2043"/>
      <c r="W1690" s="2043"/>
      <c r="X1690" s="2043"/>
      <c r="Y1690" s="2043"/>
      <c r="Z1690" s="2043"/>
      <c r="AA1690" s="2043"/>
      <c r="AB1690" s="2043"/>
      <c r="AC1690" s="2043"/>
      <c r="AD1690" s="2043"/>
      <c r="AE1690" s="2043"/>
      <c r="AF1690" s="2043"/>
      <c r="AG1690" s="2043"/>
      <c r="AH1690" s="2043"/>
      <c r="AI1690" s="2043"/>
      <c r="AJ1690" s="2043"/>
      <c r="AK1690" s="2043"/>
      <c r="AL1690" s="2043"/>
      <c r="AM1690" s="2043"/>
      <c r="AN1690" s="2043"/>
      <c r="AO1690" s="2043"/>
      <c r="AP1690" s="2043"/>
      <c r="AQ1690" s="2043"/>
      <c r="AR1690" s="2043"/>
      <c r="AS1690" s="2043"/>
      <c r="AT1690" s="2043"/>
      <c r="AU1690" s="2043"/>
      <c r="AV1690" s="2043"/>
      <c r="AW1690" s="2043"/>
      <c r="AX1690" s="2043"/>
      <c r="AY1690" s="2043"/>
      <c r="AZ1690" s="2043"/>
      <c r="BA1690" s="2043"/>
      <c r="BB1690" s="2043"/>
      <c r="BC1690" s="2043"/>
      <c r="BD1690" s="2043"/>
      <c r="BE1690" s="2043"/>
      <c r="BF1690" s="2043"/>
      <c r="BG1690" s="2043"/>
      <c r="BH1690" s="2043"/>
      <c r="BI1690" s="2043"/>
      <c r="BJ1690" s="2043"/>
      <c r="BK1690" s="2043"/>
      <c r="BL1690" s="2043"/>
    </row>
    <row r="1691" spans="1:64" ht="15">
      <c r="A1691" s="2043"/>
      <c r="B1691" s="2043"/>
      <c r="C1691" s="2043"/>
      <c r="D1691" s="2043"/>
      <c r="E1691" s="2043"/>
      <c r="F1691" s="2043"/>
      <c r="G1691" s="2043"/>
      <c r="H1691" s="2043"/>
      <c r="I1691" s="2043"/>
      <c r="J1691" s="2043"/>
      <c r="K1691" s="2043"/>
      <c r="L1691" s="2043"/>
      <c r="M1691" s="2043"/>
      <c r="N1691" s="1994"/>
      <c r="O1691" s="2045"/>
      <c r="P1691" s="2045"/>
      <c r="Q1691" s="2043"/>
      <c r="R1691" s="2043"/>
      <c r="S1691" s="2043"/>
      <c r="T1691" s="2043"/>
      <c r="U1691" s="2043"/>
      <c r="V1691" s="2043"/>
      <c r="W1691" s="2043"/>
      <c r="X1691" s="2043"/>
      <c r="Y1691" s="2043"/>
      <c r="Z1691" s="2043"/>
      <c r="AA1691" s="2043"/>
      <c r="AB1691" s="2043"/>
      <c r="AC1691" s="2043"/>
      <c r="AD1691" s="2043"/>
      <c r="AE1691" s="2043"/>
      <c r="AF1691" s="2043"/>
      <c r="AG1691" s="2043"/>
      <c r="AH1691" s="2043"/>
      <c r="AI1691" s="2043"/>
      <c r="AJ1691" s="2043"/>
      <c r="AK1691" s="2043"/>
      <c r="AL1691" s="2043"/>
      <c r="AM1691" s="2043"/>
      <c r="AN1691" s="2043"/>
      <c r="AO1691" s="2043"/>
      <c r="AP1691" s="2043"/>
      <c r="AQ1691" s="2043"/>
      <c r="AR1691" s="2043"/>
      <c r="AS1691" s="2043"/>
      <c r="AT1691" s="2043"/>
      <c r="AU1691" s="2043"/>
      <c r="AV1691" s="2043"/>
      <c r="AW1691" s="2043"/>
      <c r="AX1691" s="2043"/>
      <c r="AY1691" s="2043"/>
      <c r="AZ1691" s="2043"/>
      <c r="BA1691" s="2043"/>
      <c r="BB1691" s="2043"/>
      <c r="BC1691" s="2043"/>
      <c r="BD1691" s="2043"/>
      <c r="BE1691" s="2043"/>
      <c r="BF1691" s="2043"/>
      <c r="BG1691" s="2043"/>
      <c r="BH1691" s="2043"/>
      <c r="BI1691" s="2043"/>
      <c r="BJ1691" s="2043"/>
      <c r="BK1691" s="2043"/>
      <c r="BL1691" s="2043"/>
    </row>
    <row r="1692" spans="1:64" ht="15">
      <c r="A1692" s="2043"/>
      <c r="B1692" s="2043"/>
      <c r="C1692" s="2043"/>
      <c r="D1692" s="2043"/>
      <c r="E1692" s="2043"/>
      <c r="F1692" s="2043"/>
      <c r="G1692" s="2043"/>
      <c r="H1692" s="2043"/>
      <c r="I1692" s="2043"/>
      <c r="J1692" s="2043"/>
      <c r="K1692" s="2043"/>
      <c r="L1692" s="2043"/>
      <c r="M1692" s="2043"/>
      <c r="N1692" s="1994"/>
      <c r="O1692" s="2045"/>
      <c r="P1692" s="2045"/>
      <c r="Q1692" s="2043"/>
      <c r="R1692" s="2043"/>
      <c r="S1692" s="2043"/>
      <c r="T1692" s="2043"/>
      <c r="U1692" s="2043"/>
      <c r="V1692" s="2043"/>
      <c r="W1692" s="2043"/>
      <c r="X1692" s="2043"/>
      <c r="Y1692" s="2043"/>
      <c r="Z1692" s="2043"/>
      <c r="AA1692" s="2043"/>
      <c r="AB1692" s="2043"/>
      <c r="AC1692" s="2043"/>
      <c r="AD1692" s="2043"/>
      <c r="AE1692" s="2043"/>
      <c r="AF1692" s="2043"/>
      <c r="AG1692" s="2043"/>
      <c r="AH1692" s="2043"/>
      <c r="AI1692" s="2043"/>
      <c r="AJ1692" s="2043"/>
      <c r="AK1692" s="2043"/>
      <c r="AL1692" s="2043"/>
      <c r="AM1692" s="2043"/>
      <c r="AN1692" s="2043"/>
      <c r="AO1692" s="2043"/>
      <c r="AP1692" s="2043"/>
      <c r="AQ1692" s="2043"/>
      <c r="AR1692" s="2043"/>
      <c r="AS1692" s="2043"/>
      <c r="AT1692" s="2043"/>
      <c r="AU1692" s="2043"/>
      <c r="AV1692" s="2043"/>
      <c r="AW1692" s="2043"/>
      <c r="AX1692" s="2043"/>
      <c r="AY1692" s="2043"/>
      <c r="AZ1692" s="2043"/>
      <c r="BA1692" s="2043"/>
      <c r="BB1692" s="2043"/>
      <c r="BC1692" s="2043"/>
      <c r="BD1692" s="2043"/>
      <c r="BE1692" s="2043"/>
      <c r="BF1692" s="2043"/>
      <c r="BG1692" s="2043"/>
      <c r="BH1692" s="2043"/>
      <c r="BI1692" s="2043"/>
      <c r="BJ1692" s="2043"/>
      <c r="BK1692" s="2043"/>
      <c r="BL1692" s="2043"/>
    </row>
    <row r="1693" spans="1:64" ht="15">
      <c r="A1693" s="2043"/>
      <c r="B1693" s="2043"/>
      <c r="C1693" s="2043"/>
      <c r="D1693" s="2043"/>
      <c r="E1693" s="2043"/>
      <c r="F1693" s="2043"/>
      <c r="G1693" s="2043"/>
      <c r="H1693" s="2043"/>
      <c r="I1693" s="2043"/>
      <c r="J1693" s="2043"/>
      <c r="K1693" s="2043"/>
      <c r="L1693" s="2043"/>
      <c r="M1693" s="2043"/>
      <c r="N1693" s="1994"/>
      <c r="O1693" s="2045"/>
      <c r="P1693" s="2045"/>
      <c r="Q1693" s="2043"/>
      <c r="R1693" s="2043"/>
      <c r="S1693" s="2043"/>
      <c r="T1693" s="2043"/>
      <c r="U1693" s="2043"/>
      <c r="V1693" s="2043"/>
      <c r="W1693" s="2043"/>
      <c r="X1693" s="2043"/>
      <c r="Y1693" s="2043"/>
      <c r="Z1693" s="2043"/>
      <c r="AA1693" s="2043"/>
      <c r="AB1693" s="2043"/>
      <c r="AC1693" s="2043"/>
      <c r="AD1693" s="2043"/>
      <c r="AE1693" s="2043"/>
      <c r="AF1693" s="2043"/>
      <c r="AG1693" s="2043"/>
      <c r="AH1693" s="2043"/>
      <c r="AI1693" s="2043"/>
      <c r="AJ1693" s="2043"/>
      <c r="AK1693" s="2043"/>
      <c r="AL1693" s="2043"/>
      <c r="AM1693" s="2043"/>
      <c r="AN1693" s="2043"/>
      <c r="AO1693" s="2043"/>
      <c r="AP1693" s="2043"/>
      <c r="AQ1693" s="2043"/>
      <c r="AR1693" s="2043"/>
      <c r="AS1693" s="2043"/>
      <c r="AT1693" s="2043"/>
      <c r="AU1693" s="2043"/>
      <c r="AV1693" s="2043"/>
      <c r="AW1693" s="2043"/>
      <c r="AX1693" s="2043"/>
      <c r="AY1693" s="2043"/>
      <c r="AZ1693" s="2043"/>
      <c r="BA1693" s="2043"/>
      <c r="BB1693" s="2043"/>
      <c r="BC1693" s="2043"/>
      <c r="BD1693" s="2043"/>
      <c r="BE1693" s="2043"/>
      <c r="BF1693" s="2043"/>
      <c r="BG1693" s="2043"/>
      <c r="BH1693" s="2043"/>
      <c r="BI1693" s="2043"/>
      <c r="BJ1693" s="2043"/>
      <c r="BK1693" s="2043"/>
      <c r="BL1693" s="2043"/>
    </row>
    <row r="1694" spans="1:64" ht="15">
      <c r="A1694" s="2043"/>
      <c r="B1694" s="2043"/>
      <c r="C1694" s="2043"/>
      <c r="D1694" s="2043"/>
      <c r="E1694" s="2043"/>
      <c r="F1694" s="2043"/>
      <c r="G1694" s="2043"/>
      <c r="H1694" s="2043"/>
      <c r="I1694" s="2043"/>
      <c r="J1694" s="2043"/>
      <c r="K1694" s="2043"/>
      <c r="L1694" s="2043"/>
      <c r="M1694" s="2043"/>
      <c r="N1694" s="1994"/>
      <c r="O1694" s="2045"/>
      <c r="P1694" s="2045"/>
      <c r="Q1694" s="2043"/>
      <c r="R1694" s="2043"/>
      <c r="S1694" s="2043"/>
      <c r="T1694" s="2043"/>
      <c r="U1694" s="2043"/>
      <c r="V1694" s="2043"/>
      <c r="W1694" s="2043"/>
      <c r="X1694" s="2043"/>
      <c r="Y1694" s="2043"/>
      <c r="Z1694" s="2043"/>
      <c r="AA1694" s="2043"/>
      <c r="AB1694" s="2043"/>
      <c r="AC1694" s="2043"/>
      <c r="AD1694" s="2043"/>
      <c r="AE1694" s="2043"/>
      <c r="AF1694" s="2043"/>
      <c r="AG1694" s="2043"/>
      <c r="AH1694" s="2043"/>
      <c r="AI1694" s="2043"/>
      <c r="AJ1694" s="2043"/>
      <c r="AK1694" s="2043"/>
      <c r="AL1694" s="2043"/>
      <c r="AM1694" s="2043"/>
      <c r="AN1694" s="2043"/>
      <c r="AO1694" s="2043"/>
      <c r="AP1694" s="2043"/>
      <c r="AQ1694" s="2043"/>
      <c r="AR1694" s="2043"/>
      <c r="AS1694" s="2043"/>
      <c r="AT1694" s="2043"/>
      <c r="AU1694" s="2043"/>
      <c r="AV1694" s="2043"/>
      <c r="AW1694" s="2043"/>
      <c r="AX1694" s="2043"/>
      <c r="AY1694" s="2043"/>
      <c r="AZ1694" s="2043"/>
      <c r="BA1694" s="2043"/>
      <c r="BB1694" s="2043"/>
      <c r="BC1694" s="2043"/>
      <c r="BD1694" s="2043"/>
      <c r="BE1694" s="2043"/>
      <c r="BF1694" s="2043"/>
      <c r="BG1694" s="2043"/>
      <c r="BH1694" s="2043"/>
      <c r="BI1694" s="2043"/>
      <c r="BJ1694" s="2043"/>
      <c r="BK1694" s="2043"/>
      <c r="BL1694" s="2043"/>
    </row>
    <row r="1695" spans="1:64" ht="15">
      <c r="A1695" s="2043"/>
      <c r="B1695" s="2043"/>
      <c r="C1695" s="2043"/>
      <c r="D1695" s="2043"/>
      <c r="E1695" s="2043"/>
      <c r="F1695" s="2043"/>
      <c r="G1695" s="2043"/>
      <c r="H1695" s="2043"/>
      <c r="I1695" s="2043"/>
      <c r="J1695" s="2043"/>
      <c r="K1695" s="2043"/>
      <c r="L1695" s="2043"/>
      <c r="M1695" s="2043"/>
      <c r="N1695" s="1994"/>
      <c r="O1695" s="2045"/>
      <c r="P1695" s="2045"/>
      <c r="Q1695" s="2043"/>
      <c r="R1695" s="2043"/>
      <c r="S1695" s="2043"/>
      <c r="T1695" s="2043"/>
      <c r="U1695" s="2043"/>
      <c r="V1695" s="2043"/>
      <c r="W1695" s="2043"/>
      <c r="X1695" s="2043"/>
      <c r="Y1695" s="2043"/>
      <c r="Z1695" s="2043"/>
      <c r="AA1695" s="2043"/>
      <c r="AB1695" s="2043"/>
      <c r="AC1695" s="2043"/>
      <c r="AD1695" s="2043"/>
      <c r="AE1695" s="2043"/>
      <c r="AF1695" s="2043"/>
      <c r="AG1695" s="2043"/>
      <c r="AH1695" s="2043"/>
      <c r="AI1695" s="2043"/>
      <c r="AJ1695" s="2043"/>
      <c r="AK1695" s="2043"/>
      <c r="AL1695" s="2043"/>
      <c r="AM1695" s="2043"/>
      <c r="AN1695" s="2043"/>
      <c r="AO1695" s="2043"/>
      <c r="AP1695" s="2043"/>
      <c r="AQ1695" s="2043"/>
      <c r="AR1695" s="2043"/>
      <c r="AS1695" s="2043"/>
      <c r="AT1695" s="2043"/>
      <c r="AU1695" s="2043"/>
      <c r="AV1695" s="2043"/>
      <c r="AW1695" s="2043"/>
      <c r="AX1695" s="2043"/>
      <c r="AY1695" s="2043"/>
      <c r="AZ1695" s="2043"/>
      <c r="BA1695" s="2043"/>
      <c r="BB1695" s="2043"/>
      <c r="BC1695" s="2043"/>
      <c r="BD1695" s="2043"/>
      <c r="BE1695" s="2043"/>
      <c r="BF1695" s="2043"/>
      <c r="BG1695" s="2043"/>
      <c r="BH1695" s="2043"/>
      <c r="BI1695" s="2043"/>
      <c r="BJ1695" s="2043"/>
      <c r="BK1695" s="2043"/>
      <c r="BL1695" s="2043"/>
    </row>
    <row r="1696" spans="1:64" ht="15">
      <c r="A1696" s="2043"/>
      <c r="B1696" s="2043"/>
      <c r="C1696" s="2043"/>
      <c r="D1696" s="2043"/>
      <c r="E1696" s="2043"/>
      <c r="F1696" s="2043"/>
      <c r="G1696" s="2043"/>
      <c r="H1696" s="2043"/>
      <c r="I1696" s="2043"/>
      <c r="J1696" s="2043"/>
      <c r="K1696" s="2043"/>
      <c r="L1696" s="2043"/>
      <c r="M1696" s="2043"/>
      <c r="N1696" s="1994"/>
      <c r="O1696" s="2045"/>
      <c r="P1696" s="2045"/>
      <c r="Q1696" s="2043"/>
      <c r="R1696" s="2043"/>
      <c r="S1696" s="2043"/>
      <c r="T1696" s="2043"/>
      <c r="U1696" s="2043"/>
      <c r="V1696" s="2043"/>
      <c r="W1696" s="2043"/>
      <c r="X1696" s="2043"/>
      <c r="Y1696" s="2043"/>
      <c r="Z1696" s="2043"/>
      <c r="AA1696" s="2043"/>
      <c r="AB1696" s="2043"/>
      <c r="AC1696" s="2043"/>
      <c r="AD1696" s="2043"/>
      <c r="AE1696" s="2043"/>
      <c r="AF1696" s="2043"/>
      <c r="AG1696" s="2043"/>
      <c r="AH1696" s="2043"/>
      <c r="AI1696" s="2043"/>
      <c r="AJ1696" s="2043"/>
      <c r="AK1696" s="2043"/>
      <c r="AL1696" s="2043"/>
      <c r="AM1696" s="2043"/>
      <c r="AN1696" s="2043"/>
      <c r="AO1696" s="2043"/>
      <c r="AP1696" s="2043"/>
      <c r="AQ1696" s="2043"/>
      <c r="AR1696" s="2043"/>
      <c r="AS1696" s="2043"/>
      <c r="AT1696" s="2043"/>
      <c r="AU1696" s="2043"/>
      <c r="AV1696" s="2043"/>
      <c r="AW1696" s="2043"/>
      <c r="AX1696" s="2043"/>
      <c r="AY1696" s="2043"/>
      <c r="AZ1696" s="2043"/>
      <c r="BA1696" s="2043"/>
      <c r="BB1696" s="2043"/>
      <c r="BC1696" s="2043"/>
      <c r="BD1696" s="2043"/>
      <c r="BE1696" s="2043"/>
      <c r="BF1696" s="2043"/>
      <c r="BG1696" s="2043"/>
      <c r="BH1696" s="2043"/>
      <c r="BI1696" s="2043"/>
      <c r="BJ1696" s="2043"/>
      <c r="BK1696" s="2043"/>
      <c r="BL1696" s="2043"/>
    </row>
    <row r="1697" spans="1:64" ht="15">
      <c r="A1697" s="2043"/>
      <c r="B1697" s="2043"/>
      <c r="C1697" s="2043"/>
      <c r="D1697" s="2043"/>
      <c r="E1697" s="2043"/>
      <c r="F1697" s="2043"/>
      <c r="G1697" s="2043"/>
      <c r="H1697" s="2043"/>
      <c r="I1697" s="2043"/>
      <c r="J1697" s="2043"/>
      <c r="K1697" s="2043"/>
      <c r="L1697" s="2043"/>
      <c r="M1697" s="2043"/>
      <c r="N1697" s="1994"/>
      <c r="O1697" s="2045"/>
      <c r="P1697" s="2045"/>
      <c r="Q1697" s="2043"/>
      <c r="R1697" s="2043"/>
      <c r="S1697" s="2043"/>
      <c r="T1697" s="2043"/>
      <c r="U1697" s="2043"/>
      <c r="V1697" s="2043"/>
      <c r="W1697" s="2043"/>
      <c r="X1697" s="2043"/>
      <c r="Y1697" s="2043"/>
      <c r="Z1697" s="2043"/>
      <c r="AA1697" s="2043"/>
      <c r="AB1697" s="2043"/>
      <c r="AC1697" s="2043"/>
      <c r="AD1697" s="2043"/>
      <c r="AE1697" s="2043"/>
      <c r="AF1697" s="2043"/>
      <c r="AG1697" s="2043"/>
      <c r="AH1697" s="2043"/>
      <c r="AI1697" s="2043"/>
      <c r="AJ1697" s="2043"/>
      <c r="AK1697" s="2043"/>
      <c r="AL1697" s="2043"/>
      <c r="AM1697" s="2043"/>
      <c r="AN1697" s="2043"/>
      <c r="AO1697" s="2043"/>
      <c r="AP1697" s="2043"/>
      <c r="AQ1697" s="2043"/>
      <c r="AR1697" s="2043"/>
      <c r="AS1697" s="2043"/>
      <c r="AT1697" s="2043"/>
      <c r="AU1697" s="2043"/>
      <c r="AV1697" s="2043"/>
      <c r="AW1697" s="2043"/>
      <c r="AX1697" s="2043"/>
      <c r="AY1697" s="2043"/>
      <c r="AZ1697" s="2043"/>
      <c r="BA1697" s="2043"/>
      <c r="BB1697" s="2043"/>
      <c r="BC1697" s="2043"/>
      <c r="BD1697" s="2043"/>
      <c r="BE1697" s="2043"/>
      <c r="BF1697" s="2043"/>
      <c r="BG1697" s="2043"/>
      <c r="BH1697" s="2043"/>
      <c r="BI1697" s="2043"/>
      <c r="BJ1697" s="2043"/>
      <c r="BK1697" s="2043"/>
      <c r="BL1697" s="2043"/>
    </row>
    <row r="1698" spans="1:64" ht="15">
      <c r="A1698" s="2043"/>
      <c r="B1698" s="2043"/>
      <c r="C1698" s="2043"/>
      <c r="D1698" s="2043"/>
      <c r="E1698" s="2043"/>
      <c r="F1698" s="2043"/>
      <c r="G1698" s="2043"/>
      <c r="H1698" s="2043"/>
      <c r="I1698" s="2043"/>
      <c r="J1698" s="2043"/>
      <c r="K1698" s="2043"/>
      <c r="L1698" s="2043"/>
      <c r="M1698" s="2043"/>
      <c r="N1698" s="1994"/>
      <c r="O1698" s="2045"/>
      <c r="P1698" s="2045"/>
      <c r="Q1698" s="2043"/>
      <c r="R1698" s="2043"/>
      <c r="S1698" s="2043"/>
      <c r="T1698" s="2043"/>
      <c r="U1698" s="2043"/>
      <c r="V1698" s="2043"/>
      <c r="W1698" s="2043"/>
      <c r="X1698" s="2043"/>
      <c r="Y1698" s="2043"/>
      <c r="Z1698" s="2043"/>
      <c r="AA1698" s="2043"/>
      <c r="AB1698" s="2043"/>
      <c r="AC1698" s="2043"/>
      <c r="AD1698" s="2043"/>
      <c r="AE1698" s="2043"/>
      <c r="AF1698" s="2043"/>
      <c r="AG1698" s="2043"/>
      <c r="AH1698" s="2043"/>
      <c r="AI1698" s="2043"/>
      <c r="AJ1698" s="2043"/>
      <c r="AK1698" s="2043"/>
      <c r="AL1698" s="2043"/>
      <c r="AM1698" s="2043"/>
      <c r="AN1698" s="2043"/>
      <c r="AO1698" s="2043"/>
      <c r="AP1698" s="2043"/>
      <c r="AQ1698" s="2043"/>
      <c r="AR1698" s="2043"/>
      <c r="AS1698" s="2043"/>
      <c r="AT1698" s="2043"/>
      <c r="AU1698" s="2043"/>
      <c r="AV1698" s="2043"/>
      <c r="AW1698" s="2043"/>
      <c r="AX1698" s="2043"/>
      <c r="AY1698" s="2043"/>
      <c r="AZ1698" s="2043"/>
      <c r="BA1698" s="2043"/>
      <c r="BB1698" s="2043"/>
      <c r="BC1698" s="2043"/>
      <c r="BD1698" s="2043"/>
      <c r="BE1698" s="2043"/>
      <c r="BF1698" s="2043"/>
      <c r="BG1698" s="2043"/>
      <c r="BH1698" s="2043"/>
      <c r="BI1698" s="2043"/>
      <c r="BJ1698" s="2043"/>
      <c r="BK1698" s="2043"/>
      <c r="BL1698" s="2043"/>
    </row>
    <row r="1699" spans="1:64" ht="15">
      <c r="A1699" s="2043"/>
      <c r="B1699" s="2043"/>
      <c r="C1699" s="2043"/>
      <c r="D1699" s="2043"/>
      <c r="E1699" s="2043"/>
      <c r="F1699" s="2043"/>
      <c r="G1699" s="2043"/>
      <c r="H1699" s="2043"/>
      <c r="I1699" s="2043"/>
      <c r="J1699" s="2043"/>
      <c r="K1699" s="2043"/>
      <c r="L1699" s="2043"/>
      <c r="M1699" s="2043"/>
      <c r="N1699" s="1994"/>
      <c r="O1699" s="2045"/>
      <c r="P1699" s="2045"/>
      <c r="Q1699" s="2043"/>
      <c r="R1699" s="2043"/>
      <c r="S1699" s="2043"/>
      <c r="T1699" s="2043"/>
      <c r="U1699" s="2043"/>
      <c r="V1699" s="2043"/>
      <c r="W1699" s="2043"/>
      <c r="X1699" s="2043"/>
      <c r="Y1699" s="2043"/>
      <c r="Z1699" s="2043"/>
      <c r="AA1699" s="2043"/>
      <c r="AB1699" s="2043"/>
      <c r="AC1699" s="2043"/>
      <c r="AD1699" s="2043"/>
      <c r="AE1699" s="2043"/>
      <c r="AF1699" s="2043"/>
      <c r="AG1699" s="2043"/>
      <c r="AH1699" s="2043"/>
      <c r="AI1699" s="2043"/>
      <c r="AJ1699" s="2043"/>
      <c r="AK1699" s="2043"/>
      <c r="AL1699" s="2043"/>
      <c r="AM1699" s="2043"/>
      <c r="AN1699" s="2043"/>
      <c r="AO1699" s="2043"/>
      <c r="AP1699" s="2043"/>
      <c r="AQ1699" s="2043"/>
      <c r="AR1699" s="2043"/>
      <c r="AS1699" s="2043"/>
      <c r="AT1699" s="2043"/>
      <c r="AU1699" s="2043"/>
      <c r="AV1699" s="2043"/>
      <c r="AW1699" s="2043"/>
      <c r="AX1699" s="2043"/>
      <c r="AY1699" s="2043"/>
      <c r="AZ1699" s="2043"/>
      <c r="BA1699" s="2043"/>
      <c r="BB1699" s="2043"/>
      <c r="BC1699" s="2043"/>
      <c r="BD1699" s="2043"/>
      <c r="BE1699" s="2043"/>
      <c r="BF1699" s="2043"/>
      <c r="BG1699" s="2043"/>
      <c r="BH1699" s="2043"/>
      <c r="BI1699" s="2043"/>
      <c r="BJ1699" s="2043"/>
      <c r="BK1699" s="2043"/>
      <c r="BL1699" s="2043"/>
    </row>
    <row r="1700" spans="1:64" ht="15">
      <c r="A1700" s="2043"/>
      <c r="B1700" s="2043"/>
      <c r="C1700" s="2043"/>
      <c r="D1700" s="2043"/>
      <c r="E1700" s="2043"/>
      <c r="F1700" s="2043"/>
      <c r="G1700" s="2043"/>
      <c r="H1700" s="2043"/>
      <c r="I1700" s="2043"/>
      <c r="J1700" s="2043"/>
      <c r="K1700" s="2043"/>
      <c r="L1700" s="2043"/>
      <c r="M1700" s="2043"/>
      <c r="N1700" s="1994"/>
      <c r="O1700" s="2045"/>
      <c r="P1700" s="2045"/>
      <c r="Q1700" s="2043"/>
      <c r="R1700" s="2043"/>
      <c r="S1700" s="2043"/>
      <c r="T1700" s="2043"/>
      <c r="U1700" s="2043"/>
      <c r="V1700" s="2043"/>
      <c r="W1700" s="2043"/>
      <c r="X1700" s="2043"/>
      <c r="Y1700" s="2043"/>
      <c r="Z1700" s="2043"/>
      <c r="AA1700" s="2043"/>
      <c r="AB1700" s="2043"/>
      <c r="AC1700" s="2043"/>
      <c r="AD1700" s="2043"/>
      <c r="AE1700" s="2043"/>
      <c r="AF1700" s="2043"/>
      <c r="AG1700" s="2043"/>
      <c r="AH1700" s="2043"/>
      <c r="AI1700" s="2043"/>
      <c r="AJ1700" s="2043"/>
      <c r="AK1700" s="2043"/>
      <c r="AL1700" s="2043"/>
      <c r="AM1700" s="2043"/>
      <c r="AN1700" s="2043"/>
      <c r="AO1700" s="2043"/>
      <c r="AP1700" s="2043"/>
      <c r="AQ1700" s="2043"/>
      <c r="AR1700" s="2043"/>
      <c r="AS1700" s="2043"/>
      <c r="AT1700" s="2043"/>
      <c r="AU1700" s="2043"/>
      <c r="AV1700" s="2043"/>
      <c r="AW1700" s="2043"/>
      <c r="AX1700" s="2043"/>
      <c r="AY1700" s="2043"/>
      <c r="AZ1700" s="2043"/>
      <c r="BA1700" s="2043"/>
      <c r="BB1700" s="2043"/>
      <c r="BC1700" s="2043"/>
      <c r="BD1700" s="2043"/>
      <c r="BE1700" s="2043"/>
      <c r="BF1700" s="2043"/>
      <c r="BG1700" s="2043"/>
      <c r="BH1700" s="2043"/>
      <c r="BI1700" s="2043"/>
      <c r="BJ1700" s="2043"/>
      <c r="BK1700" s="2043"/>
      <c r="BL1700" s="2043"/>
    </row>
    <row r="1701" spans="1:64" ht="15">
      <c r="A1701" s="2043"/>
      <c r="B1701" s="2043"/>
      <c r="C1701" s="2043"/>
      <c r="D1701" s="2043"/>
      <c r="E1701" s="2043"/>
      <c r="F1701" s="2043"/>
      <c r="G1701" s="2043"/>
      <c r="H1701" s="2043"/>
      <c r="I1701" s="2043"/>
      <c r="J1701" s="2043"/>
      <c r="K1701" s="2043"/>
      <c r="L1701" s="2043"/>
      <c r="M1701" s="2043"/>
      <c r="N1701" s="1994"/>
      <c r="O1701" s="2045"/>
      <c r="P1701" s="2045"/>
      <c r="Q1701" s="2043"/>
      <c r="R1701" s="2043"/>
      <c r="S1701" s="2043"/>
      <c r="T1701" s="2043"/>
      <c r="U1701" s="2043"/>
      <c r="V1701" s="2043"/>
      <c r="W1701" s="2043"/>
      <c r="X1701" s="2043"/>
      <c r="Y1701" s="2043"/>
      <c r="Z1701" s="2043"/>
      <c r="AA1701" s="2043"/>
      <c r="AB1701" s="2043"/>
      <c r="AC1701" s="2043"/>
      <c r="AD1701" s="2043"/>
      <c r="AE1701" s="2043"/>
      <c r="AF1701" s="2043"/>
      <c r="AG1701" s="2043"/>
      <c r="AH1701" s="2043"/>
      <c r="AI1701" s="2043"/>
      <c r="AJ1701" s="2043"/>
      <c r="AK1701" s="2043"/>
      <c r="AL1701" s="2043"/>
      <c r="AM1701" s="2043"/>
      <c r="AN1701" s="2043"/>
      <c r="AO1701" s="2043"/>
      <c r="AP1701" s="2043"/>
      <c r="AQ1701" s="2043"/>
      <c r="AR1701" s="2043"/>
      <c r="AS1701" s="2043"/>
      <c r="AT1701" s="2043"/>
      <c r="AU1701" s="2043"/>
      <c r="AV1701" s="2043"/>
      <c r="AW1701" s="2043"/>
      <c r="AX1701" s="2043"/>
      <c r="AY1701" s="2043"/>
      <c r="AZ1701" s="2043"/>
      <c r="BA1701" s="2043"/>
      <c r="BB1701" s="2043"/>
      <c r="BC1701" s="2043"/>
      <c r="BD1701" s="2043"/>
      <c r="BE1701" s="2043"/>
      <c r="BF1701" s="2043"/>
      <c r="BG1701" s="2043"/>
      <c r="BH1701" s="2043"/>
      <c r="BI1701" s="2043"/>
      <c r="BJ1701" s="2043"/>
      <c r="BK1701" s="2043"/>
      <c r="BL1701" s="2043"/>
    </row>
    <row r="1702" spans="1:64" ht="15">
      <c r="A1702" s="2043"/>
      <c r="B1702" s="2043"/>
      <c r="C1702" s="2043"/>
      <c r="D1702" s="2043"/>
      <c r="E1702" s="2043"/>
      <c r="F1702" s="2043"/>
      <c r="G1702" s="2043"/>
      <c r="H1702" s="2043"/>
      <c r="I1702" s="2043"/>
      <c r="J1702" s="2043"/>
      <c r="K1702" s="2043"/>
      <c r="L1702" s="2043"/>
      <c r="M1702" s="2043"/>
      <c r="N1702" s="1994"/>
      <c r="O1702" s="2045"/>
      <c r="P1702" s="2045"/>
      <c r="Q1702" s="2043"/>
      <c r="R1702" s="2043"/>
      <c r="S1702" s="2043"/>
      <c r="T1702" s="2043"/>
      <c r="U1702" s="2043"/>
      <c r="V1702" s="2043"/>
      <c r="W1702" s="2043"/>
      <c r="X1702" s="2043"/>
      <c r="Y1702" s="2043"/>
      <c r="Z1702" s="2043"/>
      <c r="AA1702" s="2043"/>
      <c r="AB1702" s="2043"/>
      <c r="AC1702" s="2043"/>
      <c r="AD1702" s="2043"/>
      <c r="AE1702" s="2043"/>
      <c r="AF1702" s="2043"/>
      <c r="AG1702" s="2043"/>
      <c r="AH1702" s="2043"/>
      <c r="AI1702" s="2043"/>
      <c r="AJ1702" s="2043"/>
      <c r="AK1702" s="2043"/>
      <c r="AL1702" s="2043"/>
      <c r="AM1702" s="2043"/>
      <c r="AN1702" s="2043"/>
      <c r="AO1702" s="2043"/>
      <c r="AP1702" s="2043"/>
      <c r="AQ1702" s="2043"/>
      <c r="AR1702" s="2043"/>
      <c r="AS1702" s="2043"/>
      <c r="AT1702" s="2043"/>
      <c r="AU1702" s="2043"/>
      <c r="AV1702" s="2043"/>
      <c r="AW1702" s="2043"/>
      <c r="AX1702" s="2043"/>
      <c r="AY1702" s="2043"/>
      <c r="AZ1702" s="2043"/>
      <c r="BA1702" s="2043"/>
      <c r="BB1702" s="2043"/>
      <c r="BC1702" s="2043"/>
      <c r="BD1702" s="2043"/>
      <c r="BE1702" s="2043"/>
      <c r="BF1702" s="2043"/>
      <c r="BG1702" s="2043"/>
      <c r="BH1702" s="2043"/>
      <c r="BI1702" s="2043"/>
      <c r="BJ1702" s="2043"/>
      <c r="BK1702" s="2043"/>
      <c r="BL1702" s="2043"/>
    </row>
    <row r="1703" spans="1:64" ht="15">
      <c r="A1703" s="2043"/>
      <c r="B1703" s="2043"/>
      <c r="C1703" s="2043"/>
      <c r="D1703" s="2043"/>
      <c r="E1703" s="2043"/>
      <c r="F1703" s="2043"/>
      <c r="G1703" s="2043"/>
      <c r="H1703" s="2043"/>
      <c r="I1703" s="2043"/>
      <c r="J1703" s="2043"/>
      <c r="K1703" s="2043"/>
      <c r="L1703" s="2043"/>
      <c r="M1703" s="2043"/>
      <c r="N1703" s="1994"/>
      <c r="O1703" s="2045"/>
      <c r="P1703" s="2045"/>
      <c r="Q1703" s="2043"/>
      <c r="R1703" s="2043"/>
      <c r="S1703" s="2043"/>
      <c r="T1703" s="2043"/>
      <c r="U1703" s="2043"/>
      <c r="V1703" s="2043"/>
      <c r="W1703" s="2043"/>
      <c r="X1703" s="2043"/>
      <c r="Y1703" s="2043"/>
      <c r="Z1703" s="2043"/>
      <c r="AA1703" s="2043"/>
      <c r="AB1703" s="2043"/>
      <c r="AC1703" s="2043"/>
      <c r="AD1703" s="2043"/>
      <c r="AE1703" s="2043"/>
      <c r="AF1703" s="2043"/>
      <c r="AG1703" s="2043"/>
      <c r="AH1703" s="2043"/>
      <c r="AI1703" s="2043"/>
      <c r="AJ1703" s="2043"/>
      <c r="AK1703" s="2043"/>
      <c r="AL1703" s="2043"/>
      <c r="AM1703" s="2043"/>
      <c r="AN1703" s="2043"/>
      <c r="AO1703" s="2043"/>
      <c r="AP1703" s="2043"/>
      <c r="AQ1703" s="2043"/>
      <c r="AR1703" s="2043"/>
      <c r="AS1703" s="2043"/>
      <c r="AT1703" s="2043"/>
      <c r="AU1703" s="2043"/>
      <c r="AV1703" s="2043"/>
      <c r="AW1703" s="2043"/>
      <c r="AX1703" s="2043"/>
      <c r="AY1703" s="2043"/>
      <c r="AZ1703" s="2043"/>
      <c r="BA1703" s="2043"/>
      <c r="BB1703" s="2043"/>
      <c r="BC1703" s="2043"/>
      <c r="BD1703" s="2043"/>
      <c r="BE1703" s="2043"/>
      <c r="BF1703" s="2043"/>
      <c r="BG1703" s="2043"/>
      <c r="BH1703" s="2043"/>
      <c r="BI1703" s="2043"/>
      <c r="BJ1703" s="2043"/>
      <c r="BK1703" s="2043"/>
      <c r="BL1703" s="2043"/>
    </row>
    <row r="1704" spans="1:64" ht="15">
      <c r="A1704" s="2043"/>
      <c r="B1704" s="2043"/>
      <c r="C1704" s="2043"/>
      <c r="D1704" s="2043"/>
      <c r="E1704" s="2043"/>
      <c r="F1704" s="2043"/>
      <c r="G1704" s="2043"/>
      <c r="H1704" s="2043"/>
      <c r="I1704" s="2043"/>
      <c r="J1704" s="2043"/>
      <c r="K1704" s="2043"/>
      <c r="L1704" s="2043"/>
      <c r="M1704" s="2043"/>
      <c r="N1704" s="1994"/>
      <c r="O1704" s="2045"/>
      <c r="P1704" s="2045"/>
      <c r="Q1704" s="2043"/>
      <c r="R1704" s="2043"/>
      <c r="S1704" s="2043"/>
      <c r="T1704" s="2043"/>
      <c r="U1704" s="2043"/>
      <c r="V1704" s="2043"/>
      <c r="W1704" s="2043"/>
      <c r="X1704" s="2043"/>
      <c r="Y1704" s="2043"/>
      <c r="Z1704" s="2043"/>
      <c r="AA1704" s="2043"/>
      <c r="AB1704" s="2043"/>
      <c r="AC1704" s="2043"/>
      <c r="AD1704" s="2043"/>
      <c r="AE1704" s="2043"/>
      <c r="AF1704" s="2043"/>
      <c r="AG1704" s="2043"/>
      <c r="AH1704" s="2043"/>
      <c r="AI1704" s="2043"/>
      <c r="AJ1704" s="2043"/>
      <c r="AK1704" s="2043"/>
      <c r="AL1704" s="2043"/>
      <c r="AM1704" s="2043"/>
      <c r="AN1704" s="2043"/>
      <c r="AO1704" s="2043"/>
      <c r="AP1704" s="2043"/>
      <c r="AQ1704" s="2043"/>
      <c r="AR1704" s="2043"/>
      <c r="AS1704" s="2043"/>
      <c r="AT1704" s="2043"/>
      <c r="AU1704" s="2043"/>
      <c r="AV1704" s="2043"/>
      <c r="AW1704" s="2043"/>
      <c r="AX1704" s="2043"/>
      <c r="AY1704" s="2043"/>
      <c r="AZ1704" s="2043"/>
      <c r="BA1704" s="2043"/>
      <c r="BB1704" s="2043"/>
      <c r="BC1704" s="2043"/>
      <c r="BD1704" s="2043"/>
      <c r="BE1704" s="2043"/>
      <c r="BF1704" s="2043"/>
      <c r="BG1704" s="2043"/>
      <c r="BH1704" s="2043"/>
      <c r="BI1704" s="2043"/>
      <c r="BJ1704" s="2043"/>
      <c r="BK1704" s="2043"/>
      <c r="BL1704" s="2043"/>
    </row>
    <row r="1705" spans="1:64" ht="15">
      <c r="A1705" s="2043"/>
      <c r="B1705" s="2043"/>
      <c r="C1705" s="2043"/>
      <c r="D1705" s="2043"/>
      <c r="E1705" s="2043"/>
      <c r="F1705" s="2043"/>
      <c r="G1705" s="2043"/>
      <c r="H1705" s="2043"/>
      <c r="I1705" s="2043"/>
      <c r="J1705" s="2043"/>
      <c r="K1705" s="2043"/>
      <c r="L1705" s="2043"/>
      <c r="M1705" s="2043"/>
      <c r="N1705" s="1994"/>
      <c r="O1705" s="2045"/>
      <c r="P1705" s="2045"/>
      <c r="Q1705" s="2043"/>
      <c r="R1705" s="2043"/>
      <c r="S1705" s="2043"/>
      <c r="T1705" s="2043"/>
      <c r="U1705" s="2043"/>
      <c r="V1705" s="2043"/>
      <c r="W1705" s="2043"/>
      <c r="X1705" s="2043"/>
      <c r="Y1705" s="2043"/>
      <c r="Z1705" s="2043"/>
      <c r="AA1705" s="2043"/>
      <c r="AB1705" s="2043"/>
      <c r="AC1705" s="2043"/>
      <c r="AD1705" s="2043"/>
      <c r="AE1705" s="2043"/>
      <c r="AF1705" s="2043"/>
      <c r="AG1705" s="2043"/>
      <c r="AH1705" s="2043"/>
      <c r="AI1705" s="2043"/>
      <c r="AJ1705" s="2043"/>
      <c r="AK1705" s="2043"/>
      <c r="AL1705" s="2043"/>
      <c r="AM1705" s="2043"/>
      <c r="AN1705" s="2043"/>
      <c r="AO1705" s="2043"/>
      <c r="AP1705" s="2043"/>
      <c r="AQ1705" s="2043"/>
      <c r="AR1705" s="2043"/>
      <c r="AS1705" s="2043"/>
      <c r="AT1705" s="2043"/>
      <c r="AU1705" s="2043"/>
      <c r="AV1705" s="2043"/>
      <c r="AW1705" s="2043"/>
      <c r="AX1705" s="2043"/>
      <c r="AY1705" s="2043"/>
      <c r="AZ1705" s="2043"/>
      <c r="BA1705" s="2043"/>
      <c r="BB1705" s="2043"/>
      <c r="BC1705" s="2043"/>
      <c r="BD1705" s="2043"/>
      <c r="BE1705" s="2043"/>
      <c r="BF1705" s="2043"/>
      <c r="BG1705" s="2043"/>
      <c r="BH1705" s="2043"/>
      <c r="BI1705" s="2043"/>
      <c r="BJ1705" s="2043"/>
      <c r="BK1705" s="2043"/>
      <c r="BL1705" s="2043"/>
    </row>
    <row r="1706" spans="1:64" ht="15">
      <c r="A1706" s="2043"/>
      <c r="B1706" s="2043"/>
      <c r="C1706" s="2043"/>
      <c r="D1706" s="2043"/>
      <c r="E1706" s="2043"/>
      <c r="F1706" s="2043"/>
      <c r="G1706" s="2043"/>
      <c r="H1706" s="2043"/>
      <c r="I1706" s="2043"/>
      <c r="J1706" s="2043"/>
      <c r="K1706" s="2043"/>
      <c r="L1706" s="2043"/>
      <c r="M1706" s="2043"/>
      <c r="N1706" s="1994"/>
      <c r="O1706" s="2045"/>
      <c r="P1706" s="2045"/>
      <c r="Q1706" s="2043"/>
      <c r="R1706" s="2043"/>
      <c r="S1706" s="2043"/>
      <c r="T1706" s="2043"/>
      <c r="U1706" s="2043"/>
      <c r="V1706" s="2043"/>
      <c r="W1706" s="2043"/>
      <c r="X1706" s="2043"/>
      <c r="Y1706" s="2043"/>
      <c r="Z1706" s="2043"/>
      <c r="AA1706" s="2043"/>
      <c r="AB1706" s="2043"/>
      <c r="AC1706" s="2043"/>
      <c r="AD1706" s="2043"/>
      <c r="AE1706" s="2043"/>
      <c r="AF1706" s="2043"/>
      <c r="AG1706" s="2043"/>
      <c r="AH1706" s="2043"/>
      <c r="AI1706" s="2043"/>
      <c r="AJ1706" s="2043"/>
      <c r="AK1706" s="2043"/>
      <c r="AL1706" s="2043"/>
      <c r="AM1706" s="2043"/>
      <c r="AN1706" s="2043"/>
      <c r="AO1706" s="2043"/>
      <c r="AP1706" s="2043"/>
      <c r="AQ1706" s="2043"/>
      <c r="AR1706" s="2043"/>
      <c r="AS1706" s="2043"/>
      <c r="AT1706" s="2043"/>
      <c r="AU1706" s="2043"/>
      <c r="AV1706" s="2043"/>
      <c r="AW1706" s="2043"/>
      <c r="AX1706" s="2043"/>
      <c r="AY1706" s="2043"/>
      <c r="AZ1706" s="2043"/>
      <c r="BA1706" s="2043"/>
      <c r="BB1706" s="2043"/>
      <c r="BC1706" s="2043"/>
      <c r="BD1706" s="2043"/>
      <c r="BE1706" s="2043"/>
      <c r="BF1706" s="2043"/>
      <c r="BG1706" s="2043"/>
      <c r="BH1706" s="2043"/>
      <c r="BI1706" s="2043"/>
      <c r="BJ1706" s="2043"/>
      <c r="BK1706" s="2043"/>
      <c r="BL1706" s="2043"/>
    </row>
    <row r="1707" spans="1:64" ht="15">
      <c r="A1707" s="2043"/>
      <c r="B1707" s="2043"/>
      <c r="C1707" s="2043"/>
      <c r="D1707" s="2043"/>
      <c r="E1707" s="2043"/>
      <c r="F1707" s="2043"/>
      <c r="G1707" s="2043"/>
      <c r="H1707" s="2043"/>
      <c r="I1707" s="2043"/>
      <c r="J1707" s="2043"/>
      <c r="K1707" s="2043"/>
      <c r="L1707" s="2043"/>
      <c r="M1707" s="2043"/>
      <c r="N1707" s="1994"/>
      <c r="O1707" s="2045"/>
      <c r="P1707" s="2045"/>
      <c r="Q1707" s="2043"/>
      <c r="R1707" s="2043"/>
      <c r="S1707" s="2043"/>
      <c r="T1707" s="2043"/>
      <c r="U1707" s="2043"/>
      <c r="V1707" s="2043"/>
      <c r="W1707" s="2043"/>
      <c r="X1707" s="2043"/>
      <c r="Y1707" s="2043"/>
      <c r="Z1707" s="2043"/>
      <c r="AA1707" s="2043"/>
      <c r="AB1707" s="2043"/>
      <c r="AC1707" s="2043"/>
      <c r="AD1707" s="2043"/>
      <c r="AE1707" s="2043"/>
      <c r="AF1707" s="2043"/>
      <c r="AG1707" s="2043"/>
      <c r="AH1707" s="2043"/>
      <c r="AI1707" s="2043"/>
      <c r="AJ1707" s="2043"/>
      <c r="AK1707" s="2043"/>
      <c r="AL1707" s="2043"/>
      <c r="AM1707" s="2043"/>
      <c r="AN1707" s="2043"/>
      <c r="AO1707" s="2043"/>
      <c r="AP1707" s="2043"/>
      <c r="AQ1707" s="2043"/>
      <c r="AR1707" s="2043"/>
      <c r="AS1707" s="2043"/>
      <c r="AT1707" s="2043"/>
      <c r="AU1707" s="2043"/>
      <c r="AV1707" s="2043"/>
      <c r="AW1707" s="2043"/>
      <c r="AX1707" s="2043"/>
      <c r="AY1707" s="2043"/>
      <c r="AZ1707" s="2043"/>
      <c r="BA1707" s="2043"/>
      <c r="BB1707" s="2043"/>
      <c r="BC1707" s="2043"/>
      <c r="BD1707" s="2043"/>
      <c r="BE1707" s="2043"/>
      <c r="BF1707" s="2043"/>
      <c r="BG1707" s="2043"/>
      <c r="BH1707" s="2043"/>
      <c r="BI1707" s="2043"/>
      <c r="BJ1707" s="2043"/>
      <c r="BK1707" s="2043"/>
      <c r="BL1707" s="2043"/>
    </row>
    <row r="1708" spans="1:64" ht="15">
      <c r="A1708" s="2043"/>
      <c r="B1708" s="2043"/>
      <c r="C1708" s="2043"/>
      <c r="D1708" s="2043"/>
      <c r="E1708" s="2043"/>
      <c r="F1708" s="2043"/>
      <c r="G1708" s="2043"/>
      <c r="H1708" s="2043"/>
      <c r="I1708" s="2043"/>
      <c r="J1708" s="2043"/>
      <c r="K1708" s="2043"/>
      <c r="L1708" s="2043"/>
      <c r="M1708" s="2043"/>
      <c r="N1708" s="1994"/>
      <c r="O1708" s="2045"/>
      <c r="P1708" s="2045"/>
      <c r="Q1708" s="2043"/>
      <c r="R1708" s="2043"/>
      <c r="S1708" s="2043"/>
      <c r="T1708" s="2043"/>
      <c r="U1708" s="2043"/>
      <c r="V1708" s="2043"/>
      <c r="W1708" s="2043"/>
      <c r="X1708" s="2043"/>
      <c r="Y1708" s="2043"/>
      <c r="Z1708" s="2043"/>
      <c r="AA1708" s="2043"/>
      <c r="AB1708" s="2043"/>
      <c r="AC1708" s="2043"/>
      <c r="AD1708" s="2043"/>
      <c r="AE1708" s="2043"/>
      <c r="AF1708" s="2043"/>
      <c r="AG1708" s="2043"/>
      <c r="AH1708" s="2043"/>
      <c r="AI1708" s="2043"/>
      <c r="AJ1708" s="2043"/>
      <c r="AK1708" s="2043"/>
      <c r="AL1708" s="2043"/>
      <c r="AM1708" s="2043"/>
      <c r="AN1708" s="2043"/>
      <c r="AO1708" s="2043"/>
      <c r="AP1708" s="2043"/>
      <c r="AQ1708" s="2043"/>
      <c r="AR1708" s="2043"/>
      <c r="AS1708" s="2043"/>
      <c r="AT1708" s="2043"/>
      <c r="AU1708" s="2043"/>
      <c r="AV1708" s="2043"/>
      <c r="AW1708" s="2043"/>
      <c r="AX1708" s="2043"/>
      <c r="AY1708" s="2043"/>
      <c r="AZ1708" s="2043"/>
      <c r="BA1708" s="2043"/>
      <c r="BB1708" s="2043"/>
      <c r="BC1708" s="2043"/>
      <c r="BD1708" s="2043"/>
      <c r="BE1708" s="2043"/>
      <c r="BF1708" s="2043"/>
      <c r="BG1708" s="2043"/>
      <c r="BH1708" s="2043"/>
      <c r="BI1708" s="2043"/>
      <c r="BJ1708" s="2043"/>
      <c r="BK1708" s="2043"/>
      <c r="BL1708" s="2043"/>
    </row>
    <row r="1709" spans="1:64" ht="15">
      <c r="A1709" s="2043"/>
      <c r="B1709" s="2043"/>
      <c r="C1709" s="2043"/>
      <c r="D1709" s="2043"/>
      <c r="E1709" s="2043"/>
      <c r="F1709" s="2043"/>
      <c r="G1709" s="2043"/>
      <c r="H1709" s="2043"/>
      <c r="I1709" s="2043"/>
      <c r="J1709" s="2043"/>
      <c r="K1709" s="2043"/>
      <c r="L1709" s="2043"/>
      <c r="M1709" s="2043"/>
      <c r="N1709" s="1994"/>
      <c r="O1709" s="2045"/>
      <c r="P1709" s="2045"/>
      <c r="Q1709" s="2043"/>
      <c r="R1709" s="2043"/>
      <c r="S1709" s="2043"/>
      <c r="T1709" s="2043"/>
      <c r="U1709" s="2043"/>
      <c r="V1709" s="2043"/>
      <c r="W1709" s="2043"/>
      <c r="X1709" s="2043"/>
      <c r="Y1709" s="2043"/>
      <c r="Z1709" s="2043"/>
      <c r="AA1709" s="2043"/>
      <c r="AB1709" s="2043"/>
      <c r="AC1709" s="2043"/>
      <c r="AD1709" s="2043"/>
      <c r="AE1709" s="2043"/>
      <c r="AF1709" s="2043"/>
      <c r="AG1709" s="2043"/>
      <c r="AH1709" s="2043"/>
      <c r="AI1709" s="2043"/>
      <c r="AJ1709" s="2043"/>
      <c r="AK1709" s="2043"/>
      <c r="AL1709" s="2043"/>
      <c r="AM1709" s="2043"/>
      <c r="AN1709" s="2043"/>
      <c r="AO1709" s="2043"/>
      <c r="AP1709" s="2043"/>
      <c r="AQ1709" s="2043"/>
      <c r="AR1709" s="2043"/>
      <c r="AS1709" s="2043"/>
      <c r="AT1709" s="2043"/>
      <c r="AU1709" s="2043"/>
      <c r="AV1709" s="2043"/>
      <c r="AW1709" s="2043"/>
      <c r="AX1709" s="2043"/>
      <c r="AY1709" s="2043"/>
      <c r="AZ1709" s="2043"/>
      <c r="BA1709" s="2043"/>
      <c r="BB1709" s="2043"/>
      <c r="BC1709" s="2043"/>
      <c r="BD1709" s="2043"/>
      <c r="BE1709" s="2043"/>
      <c r="BF1709" s="2043"/>
      <c r="BG1709" s="2043"/>
      <c r="BH1709" s="2043"/>
      <c r="BI1709" s="2043"/>
      <c r="BJ1709" s="2043"/>
      <c r="BK1709" s="2043"/>
      <c r="BL1709" s="2043"/>
    </row>
    <row r="1710" spans="1:64" ht="15">
      <c r="A1710" s="2043"/>
      <c r="B1710" s="2043"/>
      <c r="C1710" s="2043"/>
      <c r="D1710" s="2043"/>
      <c r="E1710" s="2043"/>
      <c r="F1710" s="2043"/>
      <c r="G1710" s="2043"/>
      <c r="H1710" s="2043"/>
      <c r="I1710" s="2043"/>
      <c r="J1710" s="2043"/>
      <c r="K1710" s="2043"/>
      <c r="L1710" s="2043"/>
      <c r="M1710" s="2043"/>
      <c r="N1710" s="1994"/>
      <c r="O1710" s="2045"/>
      <c r="P1710" s="2045"/>
      <c r="Q1710" s="2043"/>
      <c r="R1710" s="2043"/>
      <c r="S1710" s="2043"/>
      <c r="T1710" s="2043"/>
      <c r="U1710" s="2043"/>
      <c r="V1710" s="2043"/>
      <c r="W1710" s="2043"/>
      <c r="X1710" s="2043"/>
      <c r="Y1710" s="2043"/>
      <c r="Z1710" s="2043"/>
      <c r="AA1710" s="2043"/>
      <c r="AB1710" s="2043"/>
      <c r="AC1710" s="2043"/>
      <c r="AD1710" s="2043"/>
      <c r="AE1710" s="2043"/>
      <c r="AF1710" s="2043"/>
      <c r="AG1710" s="2043"/>
      <c r="AH1710" s="2043"/>
      <c r="AI1710" s="2043"/>
      <c r="AJ1710" s="2043"/>
      <c r="AK1710" s="2043"/>
      <c r="AL1710" s="2043"/>
      <c r="AM1710" s="2043"/>
      <c r="AN1710" s="2043"/>
      <c r="AO1710" s="2043"/>
      <c r="AP1710" s="2043"/>
      <c r="AQ1710" s="2043"/>
      <c r="AR1710" s="2043"/>
      <c r="AS1710" s="2043"/>
      <c r="AT1710" s="2043"/>
      <c r="AU1710" s="2043"/>
      <c r="AV1710" s="2043"/>
      <c r="AW1710" s="2043"/>
      <c r="AX1710" s="2043"/>
      <c r="AY1710" s="2043"/>
      <c r="AZ1710" s="2043"/>
      <c r="BA1710" s="2043"/>
      <c r="BB1710" s="2043"/>
      <c r="BC1710" s="2043"/>
      <c r="BD1710" s="2043"/>
      <c r="BE1710" s="2043"/>
      <c r="BF1710" s="2043"/>
      <c r="BG1710" s="2043"/>
      <c r="BH1710" s="2043"/>
      <c r="BI1710" s="2043"/>
      <c r="BJ1710" s="2043"/>
      <c r="BK1710" s="2043"/>
      <c r="BL1710" s="2043"/>
    </row>
    <row r="1711" spans="1:64" ht="15">
      <c r="A1711" s="2043"/>
      <c r="B1711" s="2043"/>
      <c r="C1711" s="2043"/>
      <c r="D1711" s="2043"/>
      <c r="E1711" s="2043"/>
      <c r="F1711" s="2043"/>
      <c r="G1711" s="2043"/>
      <c r="H1711" s="2043"/>
      <c r="I1711" s="2043"/>
      <c r="J1711" s="2043"/>
      <c r="K1711" s="2043"/>
      <c r="L1711" s="2043"/>
      <c r="M1711" s="2043"/>
      <c r="N1711" s="1994"/>
      <c r="O1711" s="2045"/>
      <c r="P1711" s="2045"/>
      <c r="Q1711" s="2043"/>
      <c r="R1711" s="2043"/>
      <c r="S1711" s="2043"/>
      <c r="T1711" s="2043"/>
      <c r="U1711" s="2043"/>
      <c r="V1711" s="2043"/>
      <c r="W1711" s="2043"/>
      <c r="X1711" s="2043"/>
      <c r="Y1711" s="2043"/>
      <c r="Z1711" s="2043"/>
      <c r="AA1711" s="2043"/>
      <c r="AB1711" s="2043"/>
      <c r="AC1711" s="2043"/>
      <c r="AD1711" s="2043"/>
      <c r="AE1711" s="2043"/>
      <c r="AF1711" s="2043"/>
      <c r="AG1711" s="2043"/>
      <c r="AH1711" s="2043"/>
      <c r="AI1711" s="2043"/>
      <c r="AJ1711" s="2043"/>
      <c r="AK1711" s="2043"/>
      <c r="AL1711" s="2043"/>
      <c r="AM1711" s="2043"/>
      <c r="AN1711" s="2043"/>
      <c r="AO1711" s="2043"/>
      <c r="AP1711" s="2043"/>
      <c r="AQ1711" s="2043"/>
      <c r="AR1711" s="2043"/>
      <c r="AS1711" s="2043"/>
      <c r="AT1711" s="2043"/>
      <c r="AU1711" s="2043"/>
      <c r="AV1711" s="2043"/>
      <c r="AW1711" s="2043"/>
      <c r="AX1711" s="2043"/>
      <c r="AY1711" s="2043"/>
      <c r="AZ1711" s="2043"/>
      <c r="BA1711" s="2043"/>
      <c r="BB1711" s="2043"/>
      <c r="BC1711" s="2043"/>
      <c r="BD1711" s="2043"/>
      <c r="BE1711" s="2043"/>
      <c r="BF1711" s="2043"/>
      <c r="BG1711" s="2043"/>
      <c r="BH1711" s="2043"/>
      <c r="BI1711" s="2043"/>
      <c r="BJ1711" s="2043"/>
      <c r="BK1711" s="2043"/>
      <c r="BL1711" s="2043"/>
    </row>
    <row r="1712" spans="1:64" ht="15">
      <c r="A1712" s="2043"/>
      <c r="B1712" s="2043"/>
      <c r="C1712" s="2043"/>
      <c r="D1712" s="2043"/>
      <c r="E1712" s="2043"/>
      <c r="F1712" s="2043"/>
      <c r="G1712" s="2043"/>
      <c r="H1712" s="2043"/>
      <c r="I1712" s="2043"/>
      <c r="J1712" s="2043"/>
      <c r="K1712" s="2043"/>
      <c r="L1712" s="2043"/>
      <c r="M1712" s="2043"/>
      <c r="N1712" s="1994"/>
      <c r="O1712" s="2045"/>
      <c r="P1712" s="2045"/>
      <c r="Q1712" s="2043"/>
      <c r="R1712" s="2043"/>
      <c r="S1712" s="2043"/>
      <c r="T1712" s="2043"/>
      <c r="U1712" s="2043"/>
      <c r="V1712" s="2043"/>
      <c r="W1712" s="2043"/>
      <c r="X1712" s="2043"/>
      <c r="Y1712" s="2043"/>
      <c r="Z1712" s="2043"/>
      <c r="AA1712" s="2043"/>
      <c r="AB1712" s="2043"/>
      <c r="AC1712" s="2043"/>
      <c r="AD1712" s="2043"/>
      <c r="AE1712" s="2043"/>
      <c r="AF1712" s="2043"/>
      <c r="AG1712" s="2043"/>
      <c r="AH1712" s="2043"/>
      <c r="AI1712" s="2043"/>
      <c r="AJ1712" s="2043"/>
      <c r="AK1712" s="2043"/>
      <c r="AL1712" s="2043"/>
      <c r="AM1712" s="2043"/>
      <c r="AN1712" s="2043"/>
      <c r="AO1712" s="2043"/>
      <c r="AP1712" s="2043"/>
      <c r="AQ1712" s="2043"/>
      <c r="AR1712" s="2043"/>
      <c r="AS1712" s="2043"/>
      <c r="AT1712" s="2043"/>
      <c r="AU1712" s="2043"/>
      <c r="AV1712" s="2043"/>
      <c r="AW1712" s="2043"/>
      <c r="AX1712" s="2043"/>
      <c r="AY1712" s="2043"/>
      <c r="AZ1712" s="2043"/>
      <c r="BA1712" s="2043"/>
      <c r="BB1712" s="2043"/>
      <c r="BC1712" s="2043"/>
      <c r="BD1712" s="2043"/>
      <c r="BE1712" s="2043"/>
      <c r="BF1712" s="2043"/>
      <c r="BG1712" s="2043"/>
      <c r="BH1712" s="2043"/>
      <c r="BI1712" s="2043"/>
      <c r="BJ1712" s="2043"/>
      <c r="BK1712" s="2043"/>
      <c r="BL1712" s="2043"/>
    </row>
    <row r="1713" spans="1:64" ht="15">
      <c r="A1713" s="2043"/>
      <c r="B1713" s="2043"/>
      <c r="C1713" s="2043"/>
      <c r="D1713" s="2043"/>
      <c r="E1713" s="2043"/>
      <c r="F1713" s="2043"/>
      <c r="G1713" s="2043"/>
      <c r="H1713" s="2043"/>
      <c r="I1713" s="2043"/>
      <c r="J1713" s="2043"/>
      <c r="K1713" s="2043"/>
      <c r="L1713" s="2043"/>
      <c r="M1713" s="2043"/>
      <c r="N1713" s="1994"/>
      <c r="O1713" s="2045"/>
      <c r="P1713" s="2045"/>
      <c r="Q1713" s="2043"/>
      <c r="R1713" s="2043"/>
      <c r="S1713" s="2043"/>
      <c r="T1713" s="2043"/>
      <c r="U1713" s="2043"/>
      <c r="V1713" s="2043"/>
      <c r="W1713" s="2043"/>
      <c r="X1713" s="2043"/>
      <c r="Y1713" s="2043"/>
      <c r="Z1713" s="2043"/>
      <c r="AA1713" s="2043"/>
      <c r="AB1713" s="2043"/>
      <c r="AC1713" s="2043"/>
      <c r="AD1713" s="2043"/>
      <c r="AE1713" s="2043"/>
      <c r="AF1713" s="2043"/>
      <c r="AG1713" s="2043"/>
      <c r="AH1713" s="2043"/>
      <c r="AI1713" s="2043"/>
      <c r="AJ1713" s="2043"/>
      <c r="AK1713" s="2043"/>
      <c r="AL1713" s="2043"/>
      <c r="AM1713" s="2043"/>
      <c r="AN1713" s="2043"/>
      <c r="AO1713" s="2043"/>
      <c r="AP1713" s="2043"/>
      <c r="AQ1713" s="2043"/>
      <c r="AR1713" s="2043"/>
      <c r="AS1713" s="2043"/>
      <c r="AT1713" s="2043"/>
      <c r="AU1713" s="2043"/>
      <c r="AV1713" s="2043"/>
      <c r="AW1713" s="2043"/>
      <c r="AX1713" s="2043"/>
      <c r="AY1713" s="2043"/>
      <c r="AZ1713" s="2043"/>
      <c r="BA1713" s="2043"/>
      <c r="BB1713" s="2043"/>
      <c r="BC1713" s="2043"/>
      <c r="BD1713" s="2043"/>
      <c r="BE1713" s="2043"/>
      <c r="BF1713" s="2043"/>
      <c r="BG1713" s="2043"/>
      <c r="BH1713" s="2043"/>
      <c r="BI1713" s="2043"/>
      <c r="BJ1713" s="2043"/>
      <c r="BK1713" s="2043"/>
      <c r="BL1713" s="2043"/>
    </row>
    <row r="1714" spans="1:64" ht="15">
      <c r="A1714" s="2043"/>
      <c r="B1714" s="2043"/>
      <c r="C1714" s="2043"/>
      <c r="D1714" s="2043"/>
      <c r="E1714" s="2043"/>
      <c r="F1714" s="2043"/>
      <c r="G1714" s="2043"/>
      <c r="H1714" s="2043"/>
      <c r="I1714" s="2043"/>
      <c r="J1714" s="2043"/>
      <c r="K1714" s="2043"/>
      <c r="L1714" s="2043"/>
      <c r="M1714" s="2043"/>
      <c r="N1714" s="1994"/>
      <c r="O1714" s="2045"/>
      <c r="P1714" s="2045"/>
      <c r="Q1714" s="2043"/>
      <c r="R1714" s="2043"/>
      <c r="S1714" s="2043"/>
      <c r="T1714" s="2043"/>
      <c r="U1714" s="2043"/>
      <c r="V1714" s="2043"/>
      <c r="W1714" s="2043"/>
      <c r="X1714" s="2043"/>
      <c r="Y1714" s="2043"/>
      <c r="Z1714" s="2043"/>
      <c r="AA1714" s="2043"/>
      <c r="AB1714" s="2043"/>
      <c r="AC1714" s="2043"/>
      <c r="AD1714" s="2043"/>
      <c r="AE1714" s="2043"/>
      <c r="AF1714" s="2043"/>
      <c r="AG1714" s="2043"/>
      <c r="AH1714" s="2043"/>
      <c r="AI1714" s="2043"/>
      <c r="AJ1714" s="2043"/>
      <c r="AK1714" s="2043"/>
      <c r="AL1714" s="2043"/>
      <c r="AM1714" s="2043"/>
      <c r="AN1714" s="2043"/>
      <c r="AO1714" s="2043"/>
      <c r="AP1714" s="2043"/>
      <c r="AQ1714" s="2043"/>
      <c r="AR1714" s="2043"/>
      <c r="AS1714" s="2043"/>
      <c r="AT1714" s="2043"/>
      <c r="AU1714" s="2043"/>
      <c r="AV1714" s="2043"/>
      <c r="AW1714" s="2043"/>
      <c r="AX1714" s="2043"/>
      <c r="AY1714" s="2043"/>
      <c r="AZ1714" s="2043"/>
      <c r="BA1714" s="2043"/>
      <c r="BB1714" s="2043"/>
      <c r="BC1714" s="2043"/>
      <c r="BD1714" s="2043"/>
      <c r="BE1714" s="2043"/>
      <c r="BF1714" s="2043"/>
      <c r="BG1714" s="2043"/>
      <c r="BH1714" s="2043"/>
      <c r="BI1714" s="2043"/>
      <c r="BJ1714" s="2043"/>
      <c r="BK1714" s="2043"/>
      <c r="BL1714" s="2043"/>
    </row>
    <row r="1715" spans="1:64" ht="15">
      <c r="A1715" s="2043"/>
      <c r="B1715" s="2043"/>
      <c r="C1715" s="2043"/>
      <c r="D1715" s="2043"/>
      <c r="E1715" s="2043"/>
      <c r="F1715" s="2043"/>
      <c r="G1715" s="2043"/>
      <c r="H1715" s="2043"/>
      <c r="I1715" s="2043"/>
      <c r="J1715" s="2043"/>
      <c r="K1715" s="2043"/>
      <c r="L1715" s="2043"/>
      <c r="M1715" s="2043"/>
      <c r="N1715" s="1994"/>
      <c r="O1715" s="2045"/>
      <c r="P1715" s="2045"/>
      <c r="Q1715" s="2043"/>
      <c r="R1715" s="2043"/>
      <c r="S1715" s="2043"/>
      <c r="T1715" s="2043"/>
      <c r="U1715" s="2043"/>
      <c r="V1715" s="2043"/>
      <c r="W1715" s="2043"/>
      <c r="X1715" s="2043"/>
      <c r="Y1715" s="2043"/>
      <c r="Z1715" s="2043"/>
      <c r="AA1715" s="2043"/>
      <c r="AB1715" s="2043"/>
      <c r="AC1715" s="2043"/>
      <c r="AD1715" s="2043"/>
      <c r="AE1715" s="2043"/>
      <c r="AF1715" s="2043"/>
      <c r="AG1715" s="2043"/>
      <c r="AH1715" s="2043"/>
      <c r="AI1715" s="2043"/>
      <c r="AJ1715" s="2043"/>
      <c r="AK1715" s="2043"/>
      <c r="AL1715" s="2043"/>
      <c r="AM1715" s="2043"/>
      <c r="AN1715" s="2043"/>
      <c r="AO1715" s="2043"/>
      <c r="AP1715" s="2043"/>
      <c r="AQ1715" s="2043"/>
      <c r="AR1715" s="2043"/>
      <c r="AS1715" s="2043"/>
      <c r="AT1715" s="2043"/>
      <c r="AU1715" s="2043"/>
      <c r="AV1715" s="2043"/>
      <c r="AW1715" s="2043"/>
      <c r="AX1715" s="2043"/>
      <c r="AY1715" s="2043"/>
      <c r="AZ1715" s="2043"/>
      <c r="BA1715" s="2043"/>
      <c r="BB1715" s="2043"/>
      <c r="BC1715" s="2043"/>
      <c r="BD1715" s="2043"/>
      <c r="BE1715" s="2043"/>
      <c r="BF1715" s="2043"/>
      <c r="BG1715" s="2043"/>
      <c r="BH1715" s="2043"/>
      <c r="BI1715" s="2043"/>
      <c r="BJ1715" s="2043"/>
      <c r="BK1715" s="2043"/>
      <c r="BL1715" s="2043"/>
    </row>
    <row r="1716" spans="1:64" ht="15">
      <c r="A1716" s="2043"/>
      <c r="B1716" s="2043"/>
      <c r="C1716" s="2043"/>
      <c r="D1716" s="2043"/>
      <c r="E1716" s="2043"/>
      <c r="F1716" s="2043"/>
      <c r="G1716" s="2043"/>
      <c r="H1716" s="2043"/>
      <c r="I1716" s="2043"/>
      <c r="J1716" s="2043"/>
      <c r="K1716" s="2043"/>
      <c r="L1716" s="2043"/>
      <c r="M1716" s="2043"/>
      <c r="N1716" s="1994"/>
      <c r="O1716" s="2045"/>
      <c r="P1716" s="2045"/>
      <c r="Q1716" s="2043"/>
      <c r="R1716" s="2043"/>
      <c r="S1716" s="2043"/>
      <c r="T1716" s="2043"/>
      <c r="U1716" s="2043"/>
      <c r="V1716" s="2043"/>
      <c r="W1716" s="2043"/>
      <c r="X1716" s="2043"/>
      <c r="Y1716" s="2043"/>
      <c r="Z1716" s="2043"/>
      <c r="AA1716" s="2043"/>
      <c r="AB1716" s="2043"/>
      <c r="AC1716" s="2043"/>
      <c r="AD1716" s="2043"/>
      <c r="AE1716" s="2043"/>
      <c r="AF1716" s="2043"/>
      <c r="AG1716" s="2043"/>
      <c r="AH1716" s="2043"/>
      <c r="AI1716" s="2043"/>
      <c r="AJ1716" s="2043"/>
      <c r="AK1716" s="2043"/>
      <c r="AL1716" s="2043"/>
      <c r="AM1716" s="2043"/>
      <c r="AN1716" s="2043"/>
      <c r="AO1716" s="2043"/>
      <c r="AP1716" s="2043"/>
      <c r="AQ1716" s="2043"/>
      <c r="AR1716" s="2043"/>
      <c r="AS1716" s="2043"/>
      <c r="AT1716" s="2043"/>
      <c r="AU1716" s="2043"/>
      <c r="AV1716" s="2043"/>
      <c r="AW1716" s="2043"/>
      <c r="AX1716" s="2043"/>
      <c r="AY1716" s="2043"/>
      <c r="AZ1716" s="2043"/>
      <c r="BA1716" s="2043"/>
      <c r="BB1716" s="2043"/>
      <c r="BC1716" s="2043"/>
      <c r="BD1716" s="2043"/>
      <c r="BE1716" s="2043"/>
      <c r="BF1716" s="2043"/>
      <c r="BG1716" s="2043"/>
      <c r="BH1716" s="2043"/>
      <c r="BI1716" s="2043"/>
      <c r="BJ1716" s="2043"/>
      <c r="BK1716" s="2043"/>
      <c r="BL1716" s="2043"/>
    </row>
    <row r="1717" spans="1:64" ht="15">
      <c r="A1717" s="2043"/>
      <c r="B1717" s="2043"/>
      <c r="C1717" s="2043"/>
      <c r="D1717" s="2043"/>
      <c r="E1717" s="2043"/>
      <c r="F1717" s="2043"/>
      <c r="G1717" s="2043"/>
      <c r="H1717" s="2043"/>
      <c r="I1717" s="2043"/>
      <c r="J1717" s="2043"/>
      <c r="K1717" s="2043"/>
      <c r="L1717" s="2043"/>
      <c r="M1717" s="2043"/>
      <c r="N1717" s="1994"/>
      <c r="O1717" s="2045"/>
      <c r="P1717" s="2045"/>
      <c r="Q1717" s="2043"/>
      <c r="R1717" s="2043"/>
      <c r="S1717" s="2043"/>
      <c r="T1717" s="2043"/>
      <c r="U1717" s="2043"/>
      <c r="V1717" s="2043"/>
      <c r="W1717" s="2043"/>
      <c r="X1717" s="2043"/>
      <c r="Y1717" s="2043"/>
      <c r="Z1717" s="2043"/>
      <c r="AA1717" s="2043"/>
      <c r="AB1717" s="2043"/>
      <c r="AC1717" s="2043"/>
      <c r="AD1717" s="2043"/>
      <c r="AE1717" s="2043"/>
      <c r="AF1717" s="2043"/>
      <c r="AG1717" s="2043"/>
      <c r="AH1717" s="2043"/>
      <c r="AI1717" s="2043"/>
      <c r="AJ1717" s="2043"/>
      <c r="AK1717" s="2043"/>
      <c r="AL1717" s="2043"/>
      <c r="AM1717" s="2043"/>
      <c r="AN1717" s="2043"/>
      <c r="AO1717" s="2043"/>
      <c r="AP1717" s="2043"/>
      <c r="AQ1717" s="2043"/>
      <c r="AR1717" s="2043"/>
      <c r="AS1717" s="2043"/>
      <c r="AT1717" s="2043"/>
      <c r="AU1717" s="2043"/>
      <c r="AV1717" s="2043"/>
      <c r="AW1717" s="2043"/>
      <c r="AX1717" s="2043"/>
      <c r="AY1717" s="2043"/>
      <c r="AZ1717" s="2043"/>
      <c r="BA1717" s="2043"/>
      <c r="BB1717" s="2043"/>
      <c r="BC1717" s="2043"/>
      <c r="BD1717" s="2043"/>
      <c r="BE1717" s="2043"/>
      <c r="BF1717" s="2043"/>
      <c r="BG1717" s="2043"/>
      <c r="BH1717" s="2043"/>
      <c r="BI1717" s="2043"/>
      <c r="BJ1717" s="2043"/>
      <c r="BK1717" s="2043"/>
      <c r="BL1717" s="2043"/>
    </row>
    <row r="1718" spans="1:64" ht="14.25">
      <c r="AN1718" s="2043"/>
      <c r="AO1718" s="2043"/>
      <c r="AP1718" s="2043"/>
      <c r="AQ1718" s="2043"/>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34" zoomScaleNormal="100" workbookViewId="0">
      <selection activeCell="L29" sqref="L29:M29"/>
    </sheetView>
  </sheetViews>
  <sheetFormatPr defaultColWidth="9.28515625" defaultRowHeight="13.5"/>
  <cols>
    <col min="1" max="1" width="4.28515625" style="97" customWidth="1"/>
    <col min="2" max="17" width="8.28515625" style="97" customWidth="1"/>
    <col min="18" max="18" width="3.28515625" style="97" customWidth="1"/>
    <col min="19" max="19" width="13.5703125" style="97" customWidth="1"/>
    <col min="20" max="20" width="98.7109375" style="97" customWidth="1"/>
    <col min="21" max="24" width="9.28515625" style="97"/>
    <col min="25" max="25" width="16.5703125" style="1434" bestFit="1" customWidth="1"/>
    <col min="26" max="26" width="9.28515625" style="1434"/>
    <col min="27" max="51" width="9.28515625" style="97"/>
    <col min="52" max="52" width="9.28515625" style="1374"/>
    <col min="53" max="16384" width="9.28515625" style="97"/>
  </cols>
  <sheetData>
    <row r="1" spans="1:52" s="1434" customFormat="1" ht="12" hidden="1" customHeight="1">
      <c r="A1" s="1433"/>
      <c r="B1" s="1433" t="s">
        <v>3</v>
      </c>
      <c r="C1" s="1433"/>
      <c r="D1" s="1433"/>
      <c r="E1" s="1433" t="s">
        <v>349</v>
      </c>
      <c r="F1" s="1433"/>
      <c r="G1" s="2684"/>
      <c r="H1" s="2684" t="s">
        <v>350</v>
      </c>
      <c r="I1" s="2684" t="s">
        <v>351</v>
      </c>
      <c r="J1" s="2684"/>
      <c r="K1" s="2684" t="s">
        <v>352</v>
      </c>
      <c r="L1" s="2684" t="s">
        <v>353</v>
      </c>
      <c r="M1" s="1434" t="s">
        <v>354</v>
      </c>
      <c r="N1" s="1434" t="s">
        <v>355</v>
      </c>
      <c r="P1" s="1434" t="s">
        <v>356</v>
      </c>
      <c r="Z1" s="1401">
        <v>1</v>
      </c>
    </row>
    <row r="2" spans="1:52" s="141" customFormat="1" ht="14.1" customHeight="1">
      <c r="A2" s="3056" t="str">
        <f>CONCATENATE("PART TWO - SOURCES OF FUNDS (Proposed)","  -  ",'Part I-Project Identification'!$O$7," ",'Part I-Project Identification'!$F$25,", ",'Part I-Project Identification'!$F$26,", ",'Part I-Project Identification'!$J$26," County")</f>
        <v>PART TWO - SOURCES OF FUNDS (Proposed)  -  2023-5 Ashley Collegetown Phase I, Atlanta, Fulton County</v>
      </c>
      <c r="B2" s="3057"/>
      <c r="C2" s="3057"/>
      <c r="D2" s="3057"/>
      <c r="E2" s="3057"/>
      <c r="F2" s="3057"/>
      <c r="G2" s="3057"/>
      <c r="H2" s="3057"/>
      <c r="I2" s="3057"/>
      <c r="J2" s="3057"/>
      <c r="K2" s="3057"/>
      <c r="L2" s="3057"/>
      <c r="M2" s="3057"/>
      <c r="N2" s="3057"/>
      <c r="O2" s="3057"/>
      <c r="P2" s="3057"/>
      <c r="Q2" s="3058"/>
      <c r="S2" s="3143" t="str">
        <f>$A$2</f>
        <v>PART TWO - SOURCES OF FUNDS (Proposed)  -  2023-5 Ashley Collegetown Phase I, Atlanta, Fulton County</v>
      </c>
      <c r="T2" s="3143"/>
      <c r="Y2" s="1435"/>
      <c r="Z2" s="1401">
        <v>2</v>
      </c>
      <c r="AZ2" s="1375"/>
    </row>
    <row r="3" spans="1:52" ht="17.649999999999999" customHeight="1">
      <c r="A3" s="100"/>
      <c r="B3" s="100"/>
      <c r="C3" s="100"/>
      <c r="D3" s="100"/>
      <c r="E3" s="100"/>
      <c r="F3" s="100"/>
      <c r="G3" s="2685"/>
      <c r="H3" s="2685"/>
      <c r="I3" s="2685"/>
      <c r="J3" s="2685"/>
      <c r="K3" s="2685"/>
      <c r="L3" s="2685"/>
      <c r="Y3" s="1435"/>
      <c r="Z3" s="1401">
        <v>3</v>
      </c>
      <c r="AZ3" s="1375"/>
    </row>
    <row r="4" spans="1:52" s="141" customFormat="1" ht="13.35" customHeight="1">
      <c r="A4" s="158" t="s">
        <v>21</v>
      </c>
      <c r="B4" s="158" t="s">
        <v>357</v>
      </c>
      <c r="C4" s="99"/>
      <c r="D4" s="99"/>
      <c r="E4" s="99"/>
      <c r="F4" s="99"/>
      <c r="G4" s="99"/>
      <c r="L4" s="3164" t="str">
        <f>'Part I-Project Identification'!$A$6</f>
        <v>Sept 2023</v>
      </c>
      <c r="M4" s="3165"/>
      <c r="N4" s="3165"/>
      <c r="O4" s="3165"/>
      <c r="P4" s="3166"/>
      <c r="S4" s="171" t="str">
        <f>B4</f>
        <v>GOVERNMENT FUNDING SOURCES  (check all that apply)</v>
      </c>
      <c r="Y4" s="1435"/>
      <c r="Z4" s="1401">
        <v>4</v>
      </c>
      <c r="AZ4" s="1375"/>
    </row>
    <row r="5" spans="1:52" s="141" customFormat="1" ht="15.75" customHeight="1">
      <c r="A5" s="167"/>
      <c r="B5" s="278"/>
      <c r="C5" s="167"/>
      <c r="D5" s="99"/>
      <c r="E5" s="99"/>
      <c r="F5" s="99"/>
      <c r="G5" s="99"/>
      <c r="S5" s="3144" t="s">
        <v>358</v>
      </c>
      <c r="T5" s="3144"/>
      <c r="Y5" s="1435"/>
      <c r="Z5" s="1401">
        <v>5</v>
      </c>
      <c r="AZ5" s="1375"/>
    </row>
    <row r="6" spans="1:52" s="141" customFormat="1" ht="16.5" customHeight="1">
      <c r="A6" s="278"/>
      <c r="B6" s="993" t="s">
        <v>1402</v>
      </c>
      <c r="C6" s="142" t="s">
        <v>359</v>
      </c>
      <c r="D6" s="99"/>
      <c r="E6" s="993"/>
      <c r="F6" s="142" t="s">
        <v>360</v>
      </c>
      <c r="G6" s="99"/>
      <c r="I6" s="3154"/>
      <c r="J6" s="3155"/>
      <c r="L6" s="993"/>
      <c r="M6" s="142" t="s">
        <v>361</v>
      </c>
      <c r="Q6" s="1322"/>
      <c r="S6" s="3145"/>
      <c r="T6" s="3146"/>
      <c r="Y6" s="1435"/>
      <c r="Z6" s="1401">
        <v>6</v>
      </c>
      <c r="AZ6" s="1375"/>
    </row>
    <row r="7" spans="1:52" s="141" customFormat="1" ht="16.5" customHeight="1">
      <c r="A7" s="278"/>
      <c r="B7" s="652"/>
      <c r="C7" s="142" t="s">
        <v>362</v>
      </c>
      <c r="D7" s="99"/>
      <c r="E7" s="650"/>
      <c r="F7" s="142" t="s">
        <v>363</v>
      </c>
      <c r="I7" s="3156"/>
      <c r="J7" s="3157"/>
      <c r="L7" s="652"/>
      <c r="M7" s="142" t="s">
        <v>364</v>
      </c>
      <c r="P7" s="1322"/>
      <c r="Q7" s="1322"/>
      <c r="S7" s="3147"/>
      <c r="T7" s="3148"/>
      <c r="Y7" s="1435"/>
      <c r="Z7" s="1401">
        <v>7</v>
      </c>
      <c r="AZ7" s="1375"/>
    </row>
    <row r="8" spans="1:52" s="141" customFormat="1" ht="16.5" customHeight="1">
      <c r="A8" s="99"/>
      <c r="B8" s="652"/>
      <c r="C8" s="142" t="s">
        <v>365</v>
      </c>
      <c r="F8" s="141" t="s">
        <v>366</v>
      </c>
      <c r="H8" s="3167" t="s">
        <v>367</v>
      </c>
      <c r="I8" s="3168"/>
      <c r="J8" s="3169"/>
      <c r="L8" s="652"/>
      <c r="M8" s="142" t="s">
        <v>368</v>
      </c>
      <c r="P8" s="1322"/>
      <c r="Q8" s="1322"/>
      <c r="S8" s="3147"/>
      <c r="T8" s="3148"/>
      <c r="Y8" s="1435"/>
      <c r="Z8" s="1401">
        <v>8</v>
      </c>
      <c r="AZ8" s="1375"/>
    </row>
    <row r="9" spans="1:52" s="141" customFormat="1" ht="16.5" customHeight="1">
      <c r="A9" s="278"/>
      <c r="B9" s="652"/>
      <c r="C9" s="141" t="s">
        <v>369</v>
      </c>
      <c r="E9" s="996"/>
      <c r="F9" s="3160" t="s">
        <v>370</v>
      </c>
      <c r="G9" s="3160"/>
      <c r="H9" s="3158"/>
      <c r="I9" s="3158"/>
      <c r="J9" s="3159"/>
      <c r="L9" s="652"/>
      <c r="M9" s="142" t="s">
        <v>371</v>
      </c>
      <c r="Q9" s="1322"/>
      <c r="S9" s="3149"/>
      <c r="T9" s="3150"/>
      <c r="Y9" s="1435"/>
      <c r="Z9" s="1401">
        <v>9</v>
      </c>
      <c r="AZ9" s="1375"/>
    </row>
    <row r="10" spans="1:52" s="141" customFormat="1" ht="16.5" customHeight="1">
      <c r="A10" s="278"/>
      <c r="B10" s="652"/>
      <c r="C10" s="142" t="s">
        <v>372</v>
      </c>
      <c r="F10" s="3161" t="s">
        <v>373</v>
      </c>
      <c r="G10" s="3162"/>
      <c r="H10" s="3162"/>
      <c r="I10" s="3162"/>
      <c r="J10" s="3163"/>
      <c r="L10" s="652"/>
      <c r="M10" s="142" t="s">
        <v>374</v>
      </c>
      <c r="P10" s="1322"/>
      <c r="Q10" s="1322"/>
      <c r="S10" s="3145"/>
      <c r="T10" s="3146"/>
      <c r="Y10" s="1435"/>
      <c r="Z10" s="1401">
        <v>10</v>
      </c>
      <c r="AZ10" s="1375"/>
    </row>
    <row r="11" spans="1:52" s="141" customFormat="1" ht="16.5" customHeight="1">
      <c r="A11" s="278"/>
      <c r="B11" s="652"/>
      <c r="C11" s="142" t="s">
        <v>375</v>
      </c>
      <c r="E11" s="996"/>
      <c r="F11" s="3158" t="s">
        <v>376</v>
      </c>
      <c r="G11" s="3158"/>
      <c r="H11" s="3158"/>
      <c r="I11" s="3158"/>
      <c r="J11" s="3159"/>
      <c r="L11" s="652"/>
      <c r="M11" s="141" t="s">
        <v>377</v>
      </c>
      <c r="S11" s="3147"/>
      <c r="T11" s="3148"/>
      <c r="Y11" s="1435"/>
      <c r="Z11" s="1401">
        <v>11</v>
      </c>
      <c r="AZ11" s="1375"/>
    </row>
    <row r="12" spans="1:52" s="141" customFormat="1" ht="16.5" customHeight="1">
      <c r="A12" s="278"/>
      <c r="B12" s="652"/>
      <c r="C12" s="142" t="s">
        <v>378</v>
      </c>
      <c r="F12" s="3151" t="s">
        <v>379</v>
      </c>
      <c r="G12" s="3152"/>
      <c r="H12" s="3170"/>
      <c r="I12" s="3170"/>
      <c r="J12" s="3171"/>
      <c r="L12" s="652"/>
      <c r="M12" s="141" t="s">
        <v>380</v>
      </c>
      <c r="S12" s="3147"/>
      <c r="T12" s="3148"/>
      <c r="Y12" s="1435"/>
      <c r="Z12" s="1401">
        <v>12</v>
      </c>
      <c r="AZ12" s="1375"/>
    </row>
    <row r="13" spans="1:52" s="141" customFormat="1" ht="16.5" customHeight="1">
      <c r="A13" s="278"/>
      <c r="B13" s="652" t="s">
        <v>1402</v>
      </c>
      <c r="C13" s="142" t="s">
        <v>381</v>
      </c>
      <c r="E13" s="993"/>
      <c r="F13" s="142" t="s">
        <v>382</v>
      </c>
      <c r="H13" s="3151" t="s">
        <v>383</v>
      </c>
      <c r="I13" s="3152"/>
      <c r="J13" s="3153"/>
      <c r="L13" s="652"/>
      <c r="M13" s="141" t="s">
        <v>384</v>
      </c>
      <c r="S13" s="3147"/>
      <c r="T13" s="3148"/>
      <c r="Y13" s="1435"/>
      <c r="Z13" s="1401">
        <v>13</v>
      </c>
      <c r="AZ13" s="1375"/>
    </row>
    <row r="14" spans="1:52" s="141" customFormat="1" ht="16.5" customHeight="1">
      <c r="A14" s="278"/>
      <c r="B14" s="652"/>
      <c r="C14" s="141" t="s">
        <v>385</v>
      </c>
      <c r="E14" s="652"/>
      <c r="F14" s="142" t="s">
        <v>386</v>
      </c>
      <c r="L14" s="652" t="s">
        <v>1402</v>
      </c>
      <c r="M14" s="141" t="s">
        <v>387</v>
      </c>
      <c r="S14" s="3149"/>
      <c r="T14" s="3150"/>
      <c r="Y14" s="1435"/>
      <c r="Z14" s="1401">
        <v>14</v>
      </c>
      <c r="AZ14" s="1375"/>
    </row>
    <row r="15" spans="1:52" s="141" customFormat="1" ht="16.5" customHeight="1">
      <c r="A15" s="278"/>
      <c r="B15" s="652"/>
      <c r="C15" s="141" t="s">
        <v>388</v>
      </c>
      <c r="E15" s="652"/>
      <c r="F15" s="142" t="s">
        <v>389</v>
      </c>
      <c r="L15" s="652"/>
      <c r="M15" s="1323" t="s">
        <v>390</v>
      </c>
      <c r="Y15" s="1435"/>
      <c r="Z15" s="1401">
        <v>15</v>
      </c>
      <c r="AZ15" s="1375"/>
    </row>
    <row r="16" spans="1:52" s="141" customFormat="1" ht="16.5" customHeight="1">
      <c r="A16" s="278"/>
      <c r="B16" s="650"/>
      <c r="C16" s="142" t="s">
        <v>391</v>
      </c>
      <c r="E16" s="650" t="s">
        <v>1402</v>
      </c>
      <c r="F16" s="142" t="s">
        <v>392</v>
      </c>
      <c r="I16" s="3129">
        <v>26000000</v>
      </c>
      <c r="J16" s="3130"/>
      <c r="L16" s="650"/>
      <c r="M16" s="1323" t="s">
        <v>393</v>
      </c>
      <c r="Y16" s="1435"/>
      <c r="Z16" s="1401">
        <v>16</v>
      </c>
      <c r="AZ16" s="1375"/>
    </row>
    <row r="17" spans="1:52" s="141" customFormat="1" ht="17.100000000000001" customHeight="1">
      <c r="A17" s="278"/>
      <c r="B17" s="141" t="s">
        <v>394</v>
      </c>
      <c r="C17" s="99"/>
      <c r="D17" s="99"/>
      <c r="E17" s="99"/>
      <c r="F17" s="99"/>
      <c r="G17" s="99"/>
      <c r="H17" s="99"/>
      <c r="I17" s="99"/>
      <c r="J17" s="99"/>
      <c r="K17" s="99"/>
      <c r="L17" s="99"/>
      <c r="M17" s="97"/>
      <c r="N17" s="99"/>
      <c r="O17" s="99"/>
      <c r="P17" s="99"/>
      <c r="Q17" s="99"/>
      <c r="Y17" s="1435"/>
      <c r="Z17" s="1401">
        <v>17</v>
      </c>
      <c r="AZ17" s="1375"/>
    </row>
    <row r="18" spans="1:52" s="141" customFormat="1" ht="12" customHeight="1">
      <c r="A18" s="278"/>
      <c r="L18" s="99"/>
      <c r="M18" s="100"/>
      <c r="N18" s="99"/>
      <c r="O18" s="99"/>
      <c r="P18" s="99"/>
      <c r="Q18" s="99"/>
      <c r="Y18" s="1436"/>
      <c r="Z18" s="1401">
        <v>18</v>
      </c>
      <c r="AZ18" s="1376"/>
    </row>
    <row r="19" spans="1:52" s="171" customFormat="1" ht="15" customHeight="1">
      <c r="A19" s="158" t="s">
        <v>25</v>
      </c>
      <c r="B19" s="140" t="s">
        <v>395</v>
      </c>
      <c r="C19" s="99"/>
      <c r="D19" s="99"/>
      <c r="E19" s="99"/>
      <c r="F19" s="99"/>
      <c r="G19" s="99"/>
      <c r="L19" s="99"/>
      <c r="M19" s="99"/>
      <c r="N19" s="3131"/>
      <c r="O19" s="3131"/>
      <c r="P19" s="99"/>
      <c r="Q19" s="99"/>
      <c r="S19" s="171" t="str">
        <f>B19</f>
        <v>CONSTRUCTION FINANCING</v>
      </c>
      <c r="Y19" s="1436"/>
      <c r="Z19" s="1401">
        <v>19</v>
      </c>
      <c r="AZ19" s="1376"/>
    </row>
    <row r="20" spans="1:52" s="171" customFormat="1" ht="5.25" customHeight="1">
      <c r="A20" s="158"/>
      <c r="B20" s="140"/>
      <c r="C20" s="99"/>
      <c r="K20" s="99"/>
      <c r="L20" s="99"/>
      <c r="M20" s="99"/>
      <c r="N20" s="162"/>
      <c r="O20" s="162"/>
      <c r="P20" s="99"/>
      <c r="Q20" s="99"/>
      <c r="Y20" s="1436"/>
      <c r="Z20" s="1401">
        <v>20</v>
      </c>
      <c r="AZ20" s="1375"/>
    </row>
    <row r="21" spans="1:52" s="141" customFormat="1" ht="17.100000000000001" customHeight="1">
      <c r="A21" s="99"/>
      <c r="B21" s="160" t="s">
        <v>396</v>
      </c>
      <c r="C21" s="99"/>
      <c r="D21" s="99"/>
      <c r="E21" s="99"/>
      <c r="F21" s="99"/>
      <c r="G21" s="99"/>
      <c r="H21" s="3132" t="s">
        <v>397</v>
      </c>
      <c r="I21" s="3132"/>
      <c r="J21" s="3132"/>
      <c r="K21" s="3132"/>
      <c r="L21" s="3133" t="s">
        <v>398</v>
      </c>
      <c r="M21" s="3133"/>
      <c r="N21" s="3133" t="s">
        <v>399</v>
      </c>
      <c r="O21" s="3133"/>
      <c r="P21" s="3133" t="s">
        <v>400</v>
      </c>
      <c r="Q21" s="3133"/>
      <c r="S21" s="3144" t="s">
        <v>358</v>
      </c>
      <c r="T21" s="3144"/>
      <c r="Y21" s="1435"/>
      <c r="Z21" s="1401">
        <v>21</v>
      </c>
      <c r="AZ21" s="1375" t="s">
        <v>401</v>
      </c>
    </row>
    <row r="22" spans="1:52" s="141" customFormat="1" ht="15.75" customHeight="1">
      <c r="A22" s="99"/>
      <c r="B22" s="3172" t="s">
        <v>402</v>
      </c>
      <c r="C22" s="3173"/>
      <c r="D22" s="3173"/>
      <c r="E22" s="2686"/>
      <c r="F22" s="2686"/>
      <c r="G22" s="2686"/>
      <c r="H22" s="3174"/>
      <c r="I22" s="3175"/>
      <c r="J22" s="3175"/>
      <c r="K22" s="3176"/>
      <c r="L22" s="3177">
        <v>19630835</v>
      </c>
      <c r="M22" s="3178"/>
      <c r="N22" s="3179">
        <v>7.0000000000000007E-2</v>
      </c>
      <c r="O22" s="3180"/>
      <c r="P22" s="3181">
        <v>24</v>
      </c>
      <c r="Q22" s="3182"/>
      <c r="S22" s="3145"/>
      <c r="T22" s="3146"/>
      <c r="Y22" s="1435" t="s">
        <v>401</v>
      </c>
      <c r="Z22" s="1401">
        <v>22</v>
      </c>
      <c r="AZ22" s="1375" t="s">
        <v>403</v>
      </c>
    </row>
    <row r="23" spans="1:52" s="141" customFormat="1" ht="15.75" customHeight="1">
      <c r="A23" s="99"/>
      <c r="B23" s="3183" t="s">
        <v>404</v>
      </c>
      <c r="C23" s="3184"/>
      <c r="D23" s="3184"/>
      <c r="E23" s="99"/>
      <c r="F23" s="99"/>
      <c r="G23" s="99"/>
      <c r="H23" s="3185"/>
      <c r="I23" s="3186"/>
      <c r="J23" s="3186"/>
      <c r="K23" s="3187"/>
      <c r="L23" s="3188">
        <f>I41</f>
        <v>8276060</v>
      </c>
      <c r="M23" s="3189"/>
      <c r="N23" s="3197">
        <v>0.01</v>
      </c>
      <c r="O23" s="3198"/>
      <c r="P23" s="3199">
        <v>24</v>
      </c>
      <c r="Q23" s="3200"/>
      <c r="S23" s="3147"/>
      <c r="T23" s="3148"/>
      <c r="Y23" s="1435" t="s">
        <v>403</v>
      </c>
      <c r="Z23" s="1401">
        <v>23</v>
      </c>
      <c r="AZ23" s="1375" t="s">
        <v>405</v>
      </c>
    </row>
    <row r="24" spans="1:52" s="141" customFormat="1" ht="15.75" customHeight="1">
      <c r="A24" s="99"/>
      <c r="B24" s="3201" t="s">
        <v>406</v>
      </c>
      <c r="C24" s="3202"/>
      <c r="D24" s="3202"/>
      <c r="E24" s="655"/>
      <c r="F24" s="655"/>
      <c r="G24" s="655"/>
      <c r="H24" s="3134"/>
      <c r="I24" s="3135"/>
      <c r="J24" s="3135"/>
      <c r="K24" s="3136"/>
      <c r="L24" s="3137"/>
      <c r="M24" s="3138"/>
      <c r="N24" s="3139"/>
      <c r="O24" s="3140"/>
      <c r="P24" s="3141"/>
      <c r="Q24" s="3142"/>
      <c r="S24" s="3147"/>
      <c r="T24" s="3148"/>
      <c r="Y24" s="1435" t="s">
        <v>405</v>
      </c>
      <c r="Z24" s="1401">
        <v>24</v>
      </c>
      <c r="AZ24" s="1375" t="s">
        <v>407</v>
      </c>
    </row>
    <row r="25" spans="1:52" s="141" customFormat="1" ht="15.75" customHeight="1">
      <c r="A25" s="99"/>
      <c r="B25" s="3172" t="s">
        <v>408</v>
      </c>
      <c r="C25" s="3173"/>
      <c r="D25" s="3173"/>
      <c r="E25" s="99"/>
      <c r="F25" s="99"/>
      <c r="G25" s="99"/>
      <c r="H25" s="3190"/>
      <c r="I25" s="3191"/>
      <c r="J25" s="3191"/>
      <c r="K25" s="3192"/>
      <c r="L25" s="3193"/>
      <c r="M25" s="3194"/>
      <c r="N25" s="3195"/>
      <c r="O25" s="3196"/>
      <c r="P25" s="3131"/>
      <c r="Q25" s="3131"/>
      <c r="S25" s="3147"/>
      <c r="T25" s="3148"/>
      <c r="Y25" s="1435" t="s">
        <v>407</v>
      </c>
      <c r="Z25" s="1401">
        <v>25</v>
      </c>
      <c r="AZ25" s="1375" t="s">
        <v>409</v>
      </c>
    </row>
    <row r="26" spans="1:52" s="141" customFormat="1" ht="15.75" customHeight="1">
      <c r="A26" s="99"/>
      <c r="B26" s="3183" t="s">
        <v>410</v>
      </c>
      <c r="C26" s="3184"/>
      <c r="D26" s="3184"/>
      <c r="E26" s="99"/>
      <c r="H26" s="3185"/>
      <c r="I26" s="3186"/>
      <c r="J26" s="3186"/>
      <c r="K26" s="3187"/>
      <c r="L26" s="3188"/>
      <c r="M26" s="3189"/>
      <c r="N26" s="3195"/>
      <c r="O26" s="3196"/>
      <c r="P26" s="3131"/>
      <c r="Q26" s="3131"/>
      <c r="S26" s="3147"/>
      <c r="T26" s="3148"/>
      <c r="Y26" s="1435" t="s">
        <v>409</v>
      </c>
      <c r="Z26" s="1401">
        <v>26</v>
      </c>
      <c r="AZ26" s="1375" t="s">
        <v>411</v>
      </c>
    </row>
    <row r="27" spans="1:52" s="141" customFormat="1" ht="15.75" customHeight="1">
      <c r="A27" s="99"/>
      <c r="B27" s="3183" t="s">
        <v>412</v>
      </c>
      <c r="C27" s="3184"/>
      <c r="D27" s="3184"/>
      <c r="E27" s="99"/>
      <c r="H27" s="3185"/>
      <c r="I27" s="3186"/>
      <c r="J27" s="3186"/>
      <c r="K27" s="3187"/>
      <c r="L27" s="3188"/>
      <c r="M27" s="3189"/>
      <c r="N27" s="3195"/>
      <c r="O27" s="3196"/>
      <c r="P27" s="3131"/>
      <c r="Q27" s="3131"/>
      <c r="S27" s="3147"/>
      <c r="T27" s="3148"/>
      <c r="Y27" s="1435" t="s">
        <v>411</v>
      </c>
      <c r="Z27" s="1401">
        <v>27</v>
      </c>
      <c r="AZ27" s="1375" t="s">
        <v>413</v>
      </c>
    </row>
    <row r="28" spans="1:52" s="141" customFormat="1" ht="15.75" customHeight="1">
      <c r="A28" s="99"/>
      <c r="B28" s="3183" t="s">
        <v>414</v>
      </c>
      <c r="C28" s="3184"/>
      <c r="D28" s="3184"/>
      <c r="E28" s="99"/>
      <c r="H28" s="3185"/>
      <c r="I28" s="3186"/>
      <c r="J28" s="3186"/>
      <c r="K28" s="3187"/>
      <c r="L28" s="3188">
        <v>1680850</v>
      </c>
      <c r="M28" s="3189"/>
      <c r="N28" s="99"/>
      <c r="Q28" s="99"/>
      <c r="S28" s="3149"/>
      <c r="T28" s="3150"/>
      <c r="Y28" s="1435" t="s">
        <v>413</v>
      </c>
      <c r="Z28" s="1401">
        <v>28</v>
      </c>
      <c r="AZ28" s="1375" t="s">
        <v>415</v>
      </c>
    </row>
    <row r="29" spans="1:52" s="141" customFormat="1" ht="15.75" customHeight="1">
      <c r="A29" s="99"/>
      <c r="B29" s="3183" t="s">
        <v>416</v>
      </c>
      <c r="C29" s="3184"/>
      <c r="D29" s="3184"/>
      <c r="E29" s="99"/>
      <c r="H29" s="3185"/>
      <c r="I29" s="3186"/>
      <c r="J29" s="3186"/>
      <c r="K29" s="3187"/>
      <c r="L29" s="3188">
        <v>1004717</v>
      </c>
      <c r="M29" s="3189"/>
      <c r="N29" s="99"/>
      <c r="Q29" s="99"/>
      <c r="S29" s="3145"/>
      <c r="T29" s="3146"/>
      <c r="Y29" s="1435" t="s">
        <v>415</v>
      </c>
      <c r="Z29" s="1401">
        <v>29</v>
      </c>
      <c r="AZ29" s="1375" t="s">
        <v>417</v>
      </c>
    </row>
    <row r="30" spans="1:52" s="141" customFormat="1" ht="15.75" customHeight="1">
      <c r="A30" s="99"/>
      <c r="B30" s="651" t="s">
        <v>418</v>
      </c>
      <c r="C30" s="99"/>
      <c r="D30" s="3203"/>
      <c r="E30" s="3203"/>
      <c r="F30" s="3203"/>
      <c r="G30" s="3203"/>
      <c r="H30" s="3185"/>
      <c r="I30" s="3186"/>
      <c r="J30" s="3186"/>
      <c r="K30" s="3187"/>
      <c r="L30" s="3188"/>
      <c r="M30" s="3189"/>
      <c r="N30" s="99"/>
      <c r="Q30" s="99"/>
      <c r="S30" s="3147"/>
      <c r="T30" s="3148"/>
      <c r="Y30" s="1435" t="s">
        <v>417</v>
      </c>
      <c r="Z30" s="1401">
        <v>30</v>
      </c>
      <c r="AZ30" s="1375" t="s">
        <v>419</v>
      </c>
    </row>
    <row r="31" spans="1:52" s="141" customFormat="1" ht="15.75" customHeight="1">
      <c r="A31" s="99"/>
      <c r="B31" s="651" t="s">
        <v>418</v>
      </c>
      <c r="C31" s="99"/>
      <c r="D31" s="3204"/>
      <c r="E31" s="3204"/>
      <c r="F31" s="3204"/>
      <c r="G31" s="3204"/>
      <c r="H31" s="3185"/>
      <c r="I31" s="3186"/>
      <c r="J31" s="3186"/>
      <c r="K31" s="3187"/>
      <c r="L31" s="3188"/>
      <c r="M31" s="3189"/>
      <c r="N31" s="99"/>
      <c r="S31" s="3147"/>
      <c r="T31" s="3148"/>
      <c r="Y31" s="1435" t="s">
        <v>419</v>
      </c>
      <c r="Z31" s="1401">
        <v>31</v>
      </c>
      <c r="AZ31" s="1375" t="s">
        <v>420</v>
      </c>
    </row>
    <row r="32" spans="1:52" s="141" customFormat="1" ht="15.75" customHeight="1">
      <c r="A32" s="99"/>
      <c r="B32" s="654" t="s">
        <v>418</v>
      </c>
      <c r="C32" s="655"/>
      <c r="D32" s="3205"/>
      <c r="E32" s="3205"/>
      <c r="F32" s="3205"/>
      <c r="G32" s="3205"/>
      <c r="H32" s="3134"/>
      <c r="I32" s="3135"/>
      <c r="J32" s="3135"/>
      <c r="K32" s="3136"/>
      <c r="L32" s="3137"/>
      <c r="M32" s="3138"/>
      <c r="N32" s="99"/>
      <c r="S32" s="3147"/>
      <c r="T32" s="3148"/>
      <c r="Y32" s="1435" t="s">
        <v>420</v>
      </c>
      <c r="Z32" s="1401">
        <v>32</v>
      </c>
      <c r="AZ32" s="1375"/>
    </row>
    <row r="33" spans="1:52" s="141" customFormat="1" ht="16.5" customHeight="1">
      <c r="A33" s="99"/>
      <c r="B33" s="140" t="s">
        <v>421</v>
      </c>
      <c r="C33" s="99"/>
      <c r="D33" s="99"/>
      <c r="E33" s="99"/>
      <c r="F33" s="99"/>
      <c r="G33" s="99"/>
      <c r="H33" s="99"/>
      <c r="I33" s="99"/>
      <c r="L33" s="3206">
        <f>SUM(L22:L32)</f>
        <v>30592462</v>
      </c>
      <c r="M33" s="3207"/>
      <c r="N33" s="100"/>
      <c r="S33" s="3147"/>
      <c r="T33" s="3148"/>
      <c r="Y33" s="1435"/>
      <c r="Z33" s="1401">
        <v>33</v>
      </c>
      <c r="AZ33" s="1375"/>
    </row>
    <row r="34" spans="1:52" s="141" customFormat="1" ht="16.5" customHeight="1">
      <c r="A34" s="99"/>
      <c r="B34" s="160" t="s">
        <v>422</v>
      </c>
      <c r="C34" s="99"/>
      <c r="D34" s="99"/>
      <c r="E34" s="99"/>
      <c r="F34" s="99"/>
      <c r="G34" s="99"/>
      <c r="H34" s="99"/>
      <c r="I34" s="99"/>
      <c r="L34" s="3208">
        <f ca="1">'Part III-A-Uses of Funds'!$G$146-'Part III-A-Uses of Funds'!$G$103-'Part III-A-Uses of Funds'!$G$109-'Part III-A-Uses of Funds'!$G$130-'Part III-A-Uses of Funds'!$G$131-'Part III-A-Uses of Funds'!$G$132-'Part III-A-Uses of Funds'!$G$127+'Part III-A-Uses of Funds'!$F$123</f>
        <v>30592461.599999998</v>
      </c>
      <c r="M34" s="3209"/>
      <c r="N34" s="519"/>
      <c r="S34" s="3147"/>
      <c r="T34" s="3148"/>
      <c r="Y34" s="1435"/>
      <c r="Z34" s="1401">
        <v>34</v>
      </c>
      <c r="AZ34" s="1375"/>
    </row>
    <row r="35" spans="1:52" s="141" customFormat="1" ht="16.5" customHeight="1">
      <c r="A35" s="99"/>
      <c r="B35" s="160" t="s">
        <v>423</v>
      </c>
      <c r="C35" s="99"/>
      <c r="D35" s="99"/>
      <c r="E35" s="99"/>
      <c r="F35" s="99"/>
      <c r="G35" s="99"/>
      <c r="H35" s="99"/>
      <c r="I35" s="99"/>
      <c r="L35" s="3210">
        <f ca="1">L33-L34</f>
        <v>0.40000000223517418</v>
      </c>
      <c r="M35" s="3211"/>
      <c r="N35" s="519"/>
      <c r="S35" s="3149"/>
      <c r="T35" s="3150"/>
      <c r="Y35" s="1435"/>
      <c r="Z35" s="1401">
        <v>35</v>
      </c>
      <c r="AZ35" s="1374"/>
    </row>
    <row r="36" spans="1:52" ht="9.6" customHeight="1">
      <c r="A36" s="167"/>
      <c r="B36" s="140"/>
      <c r="C36" s="100"/>
      <c r="D36" s="100"/>
      <c r="E36" s="100"/>
      <c r="F36" s="100"/>
      <c r="G36" s="100"/>
      <c r="H36" s="100"/>
      <c r="I36" s="100"/>
      <c r="J36" s="100"/>
      <c r="K36" s="100"/>
      <c r="L36" s="100"/>
      <c r="M36" s="162"/>
      <c r="N36" s="162"/>
      <c r="Z36" s="1401">
        <v>36</v>
      </c>
    </row>
    <row r="37" spans="1:52" ht="9.6" customHeight="1">
      <c r="A37" s="158" t="s">
        <v>31</v>
      </c>
      <c r="B37" s="140" t="s">
        <v>424</v>
      </c>
      <c r="C37" s="100"/>
      <c r="D37" s="100"/>
      <c r="E37" s="100"/>
      <c r="F37" s="100"/>
      <c r="G37" s="100"/>
      <c r="H37" s="100"/>
      <c r="I37" s="100"/>
      <c r="J37" s="100"/>
      <c r="K37" s="100"/>
      <c r="L37" s="100"/>
      <c r="M37" s="162"/>
      <c r="N37" s="162"/>
      <c r="O37" s="100"/>
      <c r="S37" s="171" t="str">
        <f>B37</f>
        <v>PERMANENT FINANCING</v>
      </c>
      <c r="Z37" s="1401">
        <v>37</v>
      </c>
      <c r="AZ37" s="1375"/>
    </row>
    <row r="38" spans="1:52" s="141" customFormat="1" ht="13.35" customHeight="1">
      <c r="A38" s="99"/>
      <c r="B38" s="99"/>
      <c r="C38" s="99"/>
      <c r="D38" s="99"/>
      <c r="E38" s="99"/>
      <c r="F38" s="162"/>
      <c r="G38" s="162"/>
      <c r="H38" s="3131"/>
      <c r="I38" s="3131"/>
      <c r="K38" s="166" t="s">
        <v>425</v>
      </c>
      <c r="L38" s="162" t="s">
        <v>426</v>
      </c>
      <c r="M38" s="162" t="s">
        <v>427</v>
      </c>
      <c r="P38" s="3212" t="s">
        <v>428</v>
      </c>
      <c r="Q38" s="3212"/>
      <c r="S38" s="171"/>
      <c r="Y38" s="1435"/>
      <c r="Z38" s="1401">
        <v>38</v>
      </c>
      <c r="AZ38" s="1375"/>
    </row>
    <row r="39" spans="1:52" s="141" customFormat="1" ht="13.35" customHeight="1">
      <c r="A39" s="99"/>
      <c r="B39" s="656" t="s">
        <v>396</v>
      </c>
      <c r="C39" s="655"/>
      <c r="D39" s="655"/>
      <c r="E39" s="3214" t="s">
        <v>397</v>
      </c>
      <c r="F39" s="3214"/>
      <c r="G39" s="3214"/>
      <c r="H39" s="3214"/>
      <c r="I39" s="3133" t="s">
        <v>429</v>
      </c>
      <c r="J39" s="3133"/>
      <c r="K39" s="337" t="s">
        <v>430</v>
      </c>
      <c r="L39" s="337" t="s">
        <v>431</v>
      </c>
      <c r="M39" s="337" t="s">
        <v>431</v>
      </c>
      <c r="N39" s="3133" t="s">
        <v>432</v>
      </c>
      <c r="O39" s="3133"/>
      <c r="P39" s="3213"/>
      <c r="Q39" s="3213"/>
      <c r="S39" s="3144" t="s">
        <v>358</v>
      </c>
      <c r="T39" s="3144"/>
      <c r="Y39" s="1435"/>
      <c r="Z39" s="1401">
        <v>39</v>
      </c>
      <c r="AZ39" s="1375" t="s">
        <v>433</v>
      </c>
    </row>
    <row r="40" spans="1:52" s="141" customFormat="1" ht="15" customHeight="1">
      <c r="A40" s="99"/>
      <c r="B40" s="3172" t="s">
        <v>434</v>
      </c>
      <c r="C40" s="3173"/>
      <c r="D40" s="3173"/>
      <c r="E40" s="3174" t="s">
        <v>7062</v>
      </c>
      <c r="F40" s="3175"/>
      <c r="G40" s="3175"/>
      <c r="H40" s="3176"/>
      <c r="I40" s="3236">
        <v>14100000</v>
      </c>
      <c r="J40" s="3237"/>
      <c r="K40" s="2687">
        <v>7.2499999999999995E-2</v>
      </c>
      <c r="L40" s="993">
        <v>18</v>
      </c>
      <c r="M40" s="993">
        <v>40</v>
      </c>
      <c r="N40" s="3219" t="s">
        <v>7058</v>
      </c>
      <c r="O40" s="3219"/>
      <c r="P40" s="3235">
        <f>IF(OR(I40&lt;=0,I40=""),"",IF(N40="Cash Flow",0,IF(N40="Amortizing",-PMT(K40/12,M40*12,I40,0,0)*12,"")))</f>
        <v>1082324.8914344434</v>
      </c>
      <c r="Q40" s="3235"/>
      <c r="S40" s="3145"/>
      <c r="T40" s="3146"/>
      <c r="Y40" s="1435" t="s">
        <v>433</v>
      </c>
      <c r="Z40" s="1401">
        <v>40</v>
      </c>
      <c r="AZ40" s="1375" t="s">
        <v>435</v>
      </c>
    </row>
    <row r="41" spans="1:52" s="141" customFormat="1" ht="15" customHeight="1">
      <c r="A41" s="99"/>
      <c r="B41" s="3183" t="s">
        <v>436</v>
      </c>
      <c r="C41" s="3184"/>
      <c r="D41" s="3184"/>
      <c r="E41" s="3185" t="s">
        <v>7061</v>
      </c>
      <c r="F41" s="3186"/>
      <c r="G41" s="3186"/>
      <c r="H41" s="3187"/>
      <c r="I41" s="3216">
        <v>8276060</v>
      </c>
      <c r="J41" s="3217"/>
      <c r="K41" s="517">
        <v>0.01</v>
      </c>
      <c r="L41" s="652">
        <v>55</v>
      </c>
      <c r="M41" s="652"/>
      <c r="N41" s="3215" t="s">
        <v>1357</v>
      </c>
      <c r="O41" s="3215"/>
      <c r="P41" s="3218">
        <f>IF(OR(I41&lt;=0,I41=""),"",IF(N41="Cash Flow",0,IF(N41="Amortizing",-PMT(K41/12,M41*12,I41,0,0)*12,"")))</f>
        <v>0</v>
      </c>
      <c r="Q41" s="3218"/>
      <c r="S41" s="3147"/>
      <c r="T41" s="3148"/>
      <c r="Y41" s="1435" t="s">
        <v>435</v>
      </c>
      <c r="Z41" s="1401">
        <v>41</v>
      </c>
      <c r="AZ41" s="1375" t="s">
        <v>437</v>
      </c>
    </row>
    <row r="42" spans="1:52" s="141" customFormat="1" ht="15" customHeight="1">
      <c r="A42" s="99"/>
      <c r="B42" s="3183" t="s">
        <v>438</v>
      </c>
      <c r="C42" s="3184"/>
      <c r="D42" s="3184"/>
      <c r="E42" s="3185"/>
      <c r="F42" s="3186"/>
      <c r="G42" s="3186"/>
      <c r="H42" s="3187"/>
      <c r="I42" s="3216"/>
      <c r="J42" s="3217"/>
      <c r="K42" s="517"/>
      <c r="L42" s="652"/>
      <c r="M42" s="652"/>
      <c r="N42" s="3215"/>
      <c r="O42" s="3215"/>
      <c r="P42" s="3218" t="str">
        <f>IF(OR(I42&lt;=0,I42=""),"",IF(N42="Cash Flow",0,IF(N42="Amortizing",-PMT(K42/12,M42*12,I42,0,0)*12,"")))</f>
        <v/>
      </c>
      <c r="Q42" s="3218"/>
      <c r="S42" s="3147"/>
      <c r="T42" s="3148"/>
      <c r="Y42" s="1435" t="s">
        <v>437</v>
      </c>
      <c r="Z42" s="1401">
        <v>42</v>
      </c>
      <c r="AZ42" s="1375" t="s">
        <v>439</v>
      </c>
    </row>
    <row r="43" spans="1:52" s="141" customFormat="1" ht="15" customHeight="1">
      <c r="A43" s="99"/>
      <c r="B43" s="651" t="s">
        <v>440</v>
      </c>
      <c r="C43" s="3241"/>
      <c r="D43" s="3242"/>
      <c r="E43" s="3185"/>
      <c r="F43" s="3186"/>
      <c r="G43" s="3186"/>
      <c r="H43" s="3187"/>
      <c r="I43" s="3243"/>
      <c r="J43" s="3244"/>
      <c r="K43" s="518"/>
      <c r="L43" s="650"/>
      <c r="M43" s="650"/>
      <c r="N43" s="3246"/>
      <c r="O43" s="3246"/>
      <c r="P43" s="3245" t="str">
        <f>IF(OR(I43&lt;=0,I43=""),"",IF(N43="Cash Flow",0,IF(N43="Amortizing",-PMT(K43/12,M43*12,I43,0,0)*12,"")))</f>
        <v/>
      </c>
      <c r="Q43" s="3245"/>
      <c r="S43" s="3147"/>
      <c r="T43" s="3148"/>
      <c r="Y43" s="1435" t="s">
        <v>439</v>
      </c>
      <c r="Z43" s="1401">
        <v>43</v>
      </c>
      <c r="AZ43" s="1375" t="s">
        <v>441</v>
      </c>
    </row>
    <row r="44" spans="1:52" s="141" customFormat="1" ht="15" customHeight="1">
      <c r="A44" s="99"/>
      <c r="B44" s="651" t="s">
        <v>442</v>
      </c>
      <c r="C44" s="99"/>
      <c r="D44" s="653"/>
      <c r="E44" s="3185"/>
      <c r="F44" s="3186"/>
      <c r="G44" s="3186"/>
      <c r="H44" s="3187"/>
      <c r="I44" s="3216"/>
      <c r="J44" s="3217"/>
      <c r="K44" s="2888"/>
      <c r="L44" s="2889"/>
      <c r="M44" s="2889"/>
      <c r="N44" s="3248"/>
      <c r="O44" s="3248"/>
      <c r="P44" s="3247"/>
      <c r="Q44" s="3247"/>
      <c r="S44" s="3147"/>
      <c r="T44" s="3148"/>
      <c r="Y44" s="1435" t="s">
        <v>441</v>
      </c>
      <c r="Z44" s="1401">
        <v>44</v>
      </c>
      <c r="AZ44" s="1375" t="s">
        <v>443</v>
      </c>
    </row>
    <row r="45" spans="1:52" s="141" customFormat="1" ht="15" customHeight="1">
      <c r="A45" s="99"/>
      <c r="B45" s="654" t="s">
        <v>444</v>
      </c>
      <c r="C45" s="655"/>
      <c r="D45" s="2688">
        <f>IF(OR(I45="",I45=0,'Part III-A-Uses of Funds'!$G$127="",'Part III-A-Uses of Funds'!$G$127=0),"",I45/'Part III-A-Uses of Funds'!$G$127)</f>
        <v>0.28553228571428574</v>
      </c>
      <c r="E45" s="3134"/>
      <c r="F45" s="3135"/>
      <c r="G45" s="3135"/>
      <c r="H45" s="3136"/>
      <c r="I45" s="3220">
        <v>999363</v>
      </c>
      <c r="J45" s="3221"/>
      <c r="K45" s="516">
        <v>0</v>
      </c>
      <c r="L45" s="515">
        <v>10</v>
      </c>
      <c r="M45" s="515"/>
      <c r="N45" s="3224" t="s">
        <v>1357</v>
      </c>
      <c r="O45" s="3225"/>
      <c r="P45" s="3222">
        <f>IF(OR(I45&lt;=0,I45=""),"",IF(N45="Cash Flow",0,IF(N45="Amortizing",-PMT(K45/12,M45*12,I45,0,0)*12,"")))</f>
        <v>0</v>
      </c>
      <c r="Q45" s="3223"/>
      <c r="S45" s="3147"/>
      <c r="T45" s="3148"/>
      <c r="Y45" s="1435" t="s">
        <v>443</v>
      </c>
      <c r="Z45" s="1401">
        <v>45</v>
      </c>
      <c r="AZ45" s="1375"/>
    </row>
    <row r="46" spans="1:52" s="141" customFormat="1" ht="3" customHeight="1">
      <c r="A46" s="99"/>
      <c r="B46" s="99"/>
      <c r="C46" s="99"/>
      <c r="D46" s="99"/>
      <c r="E46" s="99"/>
      <c r="F46" s="99"/>
      <c r="G46" s="99"/>
      <c r="H46" s="99"/>
      <c r="I46" s="779"/>
      <c r="J46" s="780"/>
      <c r="K46" s="667"/>
      <c r="L46" s="175"/>
      <c r="M46" s="175"/>
      <c r="N46" s="668"/>
      <c r="O46" s="668"/>
      <c r="P46" s="175"/>
      <c r="Q46" s="175"/>
      <c r="S46" s="3147"/>
      <c r="T46" s="3148"/>
      <c r="Y46" s="1435"/>
      <c r="Z46" s="1401">
        <v>46</v>
      </c>
      <c r="AZ46" s="1375"/>
    </row>
    <row r="47" spans="1:52" s="141" customFormat="1" ht="15" customHeight="1">
      <c r="A47" s="99"/>
      <c r="B47" s="141" t="s">
        <v>445</v>
      </c>
      <c r="C47" s="99"/>
      <c r="E47" s="141" t="s">
        <v>446</v>
      </c>
      <c r="F47" s="3233">
        <f>IF(OR($I$45="",$I$45=0,'Part VI-Pro Forma'!$S$35=0,'Part VI-Pro Forma'!$S$35=""),"",VLOOKUP($L$45,'Part VI-Pro Forma'!$Q$21:$S$40,3))</f>
        <v>2331074.5998231731</v>
      </c>
      <c r="G47" s="3234"/>
      <c r="H47" s="362" t="s">
        <v>447</v>
      </c>
      <c r="I47" s="3233">
        <f>IF(OR($I$45="",$I$45=0,'Part VI-Pro Forma'!$R$35=0,'Part VI-Pro Forma'!$R$35=""),"",VLOOKUP($L$45,'Part VI-Pro Forma'!$Q$21:$S$35,2))</f>
        <v>999363.00000000023</v>
      </c>
      <c r="J47" s="3234"/>
      <c r="K47" s="362" t="s">
        <v>448</v>
      </c>
      <c r="L47" s="3231">
        <f>IF(OR($F$47 = 0,$F$47 =""),"",$I$47/$F$47)</f>
        <v>0.42871343545839685</v>
      </c>
      <c r="M47" s="3232"/>
      <c r="N47" s="3254" t="s">
        <v>449</v>
      </c>
      <c r="O47" s="3255"/>
      <c r="P47" s="3252">
        <f ca="1">IF(OR($I$62=0,$I$60&gt;$I$61),0,ABS($I$60-$I$61))</f>
        <v>0</v>
      </c>
      <c r="Q47" s="3253"/>
      <c r="S47" s="3147"/>
      <c r="T47" s="3148"/>
      <c r="Y47" s="1435"/>
      <c r="Z47" s="1401">
        <v>47</v>
      </c>
      <c r="AZ47" s="1375"/>
    </row>
    <row r="48" spans="1:52" s="141" customFormat="1" ht="3" customHeight="1">
      <c r="A48" s="99"/>
      <c r="B48" s="99"/>
      <c r="C48" s="99"/>
      <c r="D48" s="99"/>
      <c r="E48" s="99"/>
      <c r="F48" s="99"/>
      <c r="G48" s="99"/>
      <c r="H48" s="99"/>
      <c r="I48" s="669"/>
      <c r="J48" s="670"/>
      <c r="K48" s="667"/>
      <c r="L48" s="175"/>
      <c r="M48" s="175"/>
      <c r="N48" s="668"/>
      <c r="O48" s="668"/>
      <c r="P48" s="175"/>
      <c r="Q48" s="175"/>
      <c r="S48" s="3149"/>
      <c r="T48" s="3150"/>
      <c r="Y48" s="1435"/>
      <c r="Z48" s="1401">
        <v>48</v>
      </c>
      <c r="AZ48" s="1375" t="s">
        <v>450</v>
      </c>
    </row>
    <row r="49" spans="1:52" s="141" customFormat="1" ht="15" customHeight="1">
      <c r="A49" s="99"/>
      <c r="B49" s="3172" t="s">
        <v>408</v>
      </c>
      <c r="C49" s="3173"/>
      <c r="D49" s="3238"/>
      <c r="E49" s="3174"/>
      <c r="F49" s="3175"/>
      <c r="G49" s="3175"/>
      <c r="H49" s="3176"/>
      <c r="I49" s="3239"/>
      <c r="J49" s="3240"/>
      <c r="K49" s="99"/>
      <c r="L49" s="99"/>
      <c r="M49" s="99"/>
      <c r="N49" s="99"/>
      <c r="O49" s="99"/>
      <c r="P49" s="162" t="s">
        <v>451</v>
      </c>
      <c r="Q49" s="99"/>
      <c r="S49" s="3145"/>
      <c r="T49" s="3146"/>
      <c r="Y49" s="1435" t="s">
        <v>450</v>
      </c>
      <c r="Z49" s="1401">
        <v>49</v>
      </c>
      <c r="AZ49" s="1375" t="s">
        <v>452</v>
      </c>
    </row>
    <row r="50" spans="1:52" s="141" customFormat="1" ht="15" customHeight="1">
      <c r="A50" s="99"/>
      <c r="B50" s="3183" t="s">
        <v>410</v>
      </c>
      <c r="C50" s="3184"/>
      <c r="D50" s="3226"/>
      <c r="E50" s="3185"/>
      <c r="F50" s="3186"/>
      <c r="G50" s="3186"/>
      <c r="H50" s="3187"/>
      <c r="I50" s="3216"/>
      <c r="J50" s="3217"/>
      <c r="L50" s="3227" t="s">
        <v>453</v>
      </c>
      <c r="M50" s="3227"/>
      <c r="N50" s="3228" t="s">
        <v>454</v>
      </c>
      <c r="O50" s="3228"/>
      <c r="P50" s="224" t="s">
        <v>455</v>
      </c>
      <c r="Q50" s="99"/>
      <c r="S50" s="3147"/>
      <c r="T50" s="3148"/>
      <c r="Y50" s="1435" t="s">
        <v>452</v>
      </c>
      <c r="Z50" s="1401">
        <v>50</v>
      </c>
      <c r="AZ50" s="1375" t="s">
        <v>456</v>
      </c>
    </row>
    <row r="51" spans="1:52" s="141" customFormat="1" ht="15" customHeight="1">
      <c r="A51" s="99"/>
      <c r="B51" s="3183" t="s">
        <v>414</v>
      </c>
      <c r="C51" s="3184"/>
      <c r="D51" s="3226"/>
      <c r="E51" s="3185"/>
      <c r="F51" s="3186"/>
      <c r="G51" s="3186"/>
      <c r="H51" s="3187"/>
      <c r="I51" s="3216">
        <f ca="1">(('Part III-A-Uses of Funds'!J191*'Part III-A-Uses of Funds'!N182*98.99%)*10)+('Part III-A-Uses of Funds'!J191*'Part III-A-Uses of Funds'!N182*1%)*10</f>
        <v>7794890.2330199992</v>
      </c>
      <c r="J51" s="3216"/>
      <c r="L51" s="3229">
        <f ca="1">'Part III-A-Uses of Funds'!$J$191*10*'Part III-A-Uses of Funds'!$N$182</f>
        <v>7795669.7999999998</v>
      </c>
      <c r="M51" s="3229"/>
      <c r="N51" s="3230">
        <f ca="1">I51-L51</f>
        <v>-779.56698000058532</v>
      </c>
      <c r="O51" s="3230"/>
      <c r="P51" s="234">
        <f ca="1">I51/I61</f>
        <v>0.21755330884456295</v>
      </c>
      <c r="Q51" s="99"/>
      <c r="S51" s="3147"/>
      <c r="T51" s="3148"/>
      <c r="Y51" s="1435" t="s">
        <v>456</v>
      </c>
      <c r="Z51" s="1401">
        <v>51</v>
      </c>
      <c r="AZ51" s="1375" t="s">
        <v>457</v>
      </c>
    </row>
    <row r="52" spans="1:52" s="141" customFormat="1" ht="15" customHeight="1">
      <c r="A52" s="99"/>
      <c r="B52" s="3183" t="s">
        <v>416</v>
      </c>
      <c r="C52" s="3184"/>
      <c r="D52" s="3226"/>
      <c r="E52" s="3185"/>
      <c r="F52" s="3186"/>
      <c r="G52" s="3186"/>
      <c r="H52" s="3187"/>
      <c r="I52" s="3216">
        <f ca="1">('Part III-A-Uses of Funds'!J191*'Part III-A-Uses of Funds'!Q182)*10</f>
        <v>4659480.8</v>
      </c>
      <c r="J52" s="3216"/>
      <c r="L52" s="3229">
        <f ca="1">'Part III-A-Uses of Funds'!$J$191*10*'Part III-A-Uses of Funds'!$Q$182</f>
        <v>4659480.8</v>
      </c>
      <c r="M52" s="3229"/>
      <c r="N52" s="3230">
        <f ca="1">I52-L52</f>
        <v>0</v>
      </c>
      <c r="O52" s="3230"/>
      <c r="P52" s="234">
        <f ca="1">I52/I61</f>
        <v>0.13004486724439426</v>
      </c>
      <c r="Q52" s="99"/>
      <c r="S52" s="3147"/>
      <c r="T52" s="3148"/>
      <c r="Y52" s="1435" t="s">
        <v>457</v>
      </c>
      <c r="Z52" s="1401">
        <v>52</v>
      </c>
      <c r="AZ52" s="1375" t="s">
        <v>458</v>
      </c>
    </row>
    <row r="53" spans="1:52" s="141" customFormat="1" ht="15" customHeight="1">
      <c r="A53" s="99"/>
      <c r="B53" s="3183" t="s">
        <v>459</v>
      </c>
      <c r="C53" s="3184"/>
      <c r="D53" s="3226"/>
      <c r="E53" s="3185"/>
      <c r="F53" s="3186"/>
      <c r="G53" s="3186"/>
      <c r="H53" s="3187"/>
      <c r="I53" s="3216"/>
      <c r="J53" s="3216"/>
      <c r="P53" s="2890">
        <f ca="1">SUM(P51:P52)</f>
        <v>0.34759817608895721</v>
      </c>
      <c r="Q53" s="99"/>
      <c r="S53" s="3149"/>
      <c r="T53" s="3150"/>
      <c r="Y53" s="1435" t="s">
        <v>458</v>
      </c>
      <c r="Z53" s="1401">
        <v>53</v>
      </c>
      <c r="AZ53" s="1375"/>
    </row>
    <row r="54" spans="1:52" s="141" customFormat="1" ht="15" customHeight="1">
      <c r="A54" s="99"/>
      <c r="B54" s="651" t="s">
        <v>460</v>
      </c>
      <c r="C54" s="99"/>
      <c r="D54" s="653"/>
      <c r="E54" s="3185"/>
      <c r="F54" s="3186"/>
      <c r="G54" s="3186"/>
      <c r="H54" s="3187"/>
      <c r="I54" s="3216"/>
      <c r="J54" s="3216"/>
      <c r="K54" s="99"/>
      <c r="Q54" s="99"/>
      <c r="S54" s="3147"/>
      <c r="T54" s="3148"/>
      <c r="Y54" s="1435"/>
      <c r="Z54" s="1401">
        <v>54</v>
      </c>
      <c r="AZ54" s="1375"/>
    </row>
    <row r="55" spans="1:52" s="141" customFormat="1" ht="15" customHeight="1">
      <c r="A55" s="99"/>
      <c r="B55" s="651" t="s">
        <v>461</v>
      </c>
      <c r="C55" s="99"/>
      <c r="D55" s="653"/>
      <c r="E55" s="3185"/>
      <c r="F55" s="3186"/>
      <c r="G55" s="3186"/>
      <c r="H55" s="3187"/>
      <c r="I55" s="3216"/>
      <c r="J55" s="3216"/>
      <c r="N55" s="212"/>
      <c r="O55" s="212"/>
      <c r="P55" s="212"/>
      <c r="Q55" s="99"/>
      <c r="S55" s="3147"/>
      <c r="T55" s="3148"/>
      <c r="Y55" s="1435"/>
      <c r="Z55" s="1401">
        <v>55</v>
      </c>
      <c r="AZ55" s="1375"/>
    </row>
    <row r="56" spans="1:52" s="141" customFormat="1" ht="15" customHeight="1">
      <c r="A56" s="99"/>
      <c r="B56" s="651" t="s">
        <v>462</v>
      </c>
      <c r="C56" s="99"/>
      <c r="D56" s="653"/>
      <c r="E56" s="3185"/>
      <c r="F56" s="3186"/>
      <c r="G56" s="3186"/>
      <c r="H56" s="3187"/>
      <c r="I56" s="3216"/>
      <c r="J56" s="3216"/>
      <c r="M56" s="212"/>
      <c r="N56" s="212"/>
      <c r="O56" s="212"/>
      <c r="P56" s="212"/>
      <c r="Q56" s="99"/>
      <c r="S56" s="3147"/>
      <c r="T56" s="3148"/>
      <c r="Y56" s="1435"/>
      <c r="Z56" s="1401">
        <v>56</v>
      </c>
      <c r="AZ56" s="1375" t="s">
        <v>463</v>
      </c>
    </row>
    <row r="57" spans="1:52" s="141" customFormat="1" ht="15" customHeight="1">
      <c r="A57" s="99"/>
      <c r="B57" s="651" t="s">
        <v>440</v>
      </c>
      <c r="C57" s="3203"/>
      <c r="D57" s="3203"/>
      <c r="E57" s="3185"/>
      <c r="F57" s="3186"/>
      <c r="G57" s="3186"/>
      <c r="H57" s="3187"/>
      <c r="I57" s="3216"/>
      <c r="J57" s="3216"/>
      <c r="M57" s="212"/>
      <c r="N57" s="212"/>
      <c r="O57" s="212"/>
      <c r="P57" s="212"/>
      <c r="Q57" s="99"/>
      <c r="S57" s="3147"/>
      <c r="T57" s="3148"/>
      <c r="Y57" s="1435" t="s">
        <v>463</v>
      </c>
      <c r="Z57" s="1401">
        <v>57</v>
      </c>
      <c r="AZ57" s="1375" t="s">
        <v>464</v>
      </c>
    </row>
    <row r="58" spans="1:52" s="141" customFormat="1" ht="15" customHeight="1">
      <c r="A58" s="99"/>
      <c r="B58" s="651" t="s">
        <v>440</v>
      </c>
      <c r="C58" s="3204"/>
      <c r="D58" s="3204"/>
      <c r="E58" s="3185"/>
      <c r="F58" s="3186"/>
      <c r="G58" s="3186"/>
      <c r="H58" s="3187"/>
      <c r="I58" s="3216"/>
      <c r="J58" s="3216"/>
      <c r="K58" s="99"/>
      <c r="L58" s="162"/>
      <c r="M58" s="212"/>
      <c r="N58" s="212"/>
      <c r="O58" s="212"/>
      <c r="P58" s="212"/>
      <c r="Q58" s="99"/>
      <c r="S58" s="3147"/>
      <c r="T58" s="3148"/>
      <c r="Y58" s="1435" t="s">
        <v>464</v>
      </c>
      <c r="Z58" s="1401">
        <v>58</v>
      </c>
      <c r="AZ58" s="1375" t="s">
        <v>465</v>
      </c>
    </row>
    <row r="59" spans="1:52" s="141" customFormat="1" ht="15" customHeight="1">
      <c r="A59" s="99"/>
      <c r="B59" s="654" t="s">
        <v>440</v>
      </c>
      <c r="C59" s="3205"/>
      <c r="D59" s="3205"/>
      <c r="E59" s="3134"/>
      <c r="F59" s="3135"/>
      <c r="G59" s="3135"/>
      <c r="H59" s="3136"/>
      <c r="I59" s="3256"/>
      <c r="J59" s="3256"/>
      <c r="K59" s="99"/>
      <c r="L59" s="162"/>
      <c r="M59" s="212"/>
      <c r="N59" s="212"/>
      <c r="O59" s="212"/>
      <c r="P59" s="212"/>
      <c r="Q59" s="99"/>
      <c r="S59" s="3147"/>
      <c r="T59" s="3148"/>
      <c r="Y59" s="1435" t="s">
        <v>465</v>
      </c>
      <c r="Z59" s="1401">
        <v>59</v>
      </c>
      <c r="AZ59" s="1375"/>
    </row>
    <row r="60" spans="1:52" s="141" customFormat="1" ht="14.25" customHeight="1">
      <c r="A60" s="99"/>
      <c r="B60" s="160" t="s">
        <v>466</v>
      </c>
      <c r="C60" s="99"/>
      <c r="D60" s="99"/>
      <c r="E60" s="99"/>
      <c r="F60" s="99"/>
      <c r="G60" s="99"/>
      <c r="I60" s="3257">
        <f ca="1">SUM(I40:J45)+SUM(I49:J59)</f>
        <v>35829794.033019997</v>
      </c>
      <c r="J60" s="3258"/>
      <c r="K60" s="99"/>
      <c r="L60" s="162"/>
      <c r="M60" s="212"/>
      <c r="N60" s="212"/>
      <c r="O60" s="212"/>
      <c r="P60" s="212"/>
      <c r="Q60" s="99"/>
      <c r="S60" s="3147"/>
      <c r="T60" s="3148"/>
      <c r="Y60" s="1435"/>
      <c r="Z60" s="1401">
        <v>60</v>
      </c>
      <c r="AZ60" s="1375"/>
    </row>
    <row r="61" spans="1:52" s="141" customFormat="1" ht="14.25" customHeight="1" thickBot="1">
      <c r="A61" s="99"/>
      <c r="B61" s="160" t="s">
        <v>467</v>
      </c>
      <c r="C61" s="99"/>
      <c r="D61" s="99"/>
      <c r="E61" s="99"/>
      <c r="F61" s="99"/>
      <c r="G61" s="99"/>
      <c r="I61" s="3259">
        <f ca="1">'Part III-A-Uses of Funds'!$G$146</f>
        <v>35829793.968287915</v>
      </c>
      <c r="J61" s="3260"/>
      <c r="K61" s="99"/>
      <c r="L61" s="162"/>
      <c r="M61" s="212"/>
      <c r="N61" s="212"/>
      <c r="O61" s="212"/>
      <c r="P61" s="212"/>
      <c r="Q61" s="99"/>
      <c r="S61" s="3147"/>
      <c r="T61" s="3148"/>
      <c r="Y61" s="1435"/>
      <c r="Z61" s="1401">
        <v>61</v>
      </c>
      <c r="AZ61" s="1375"/>
    </row>
    <row r="62" spans="1:52" s="141" customFormat="1" ht="14.25" customHeight="1" thickBot="1">
      <c r="A62" s="99"/>
      <c r="B62" s="160" t="s">
        <v>468</v>
      </c>
      <c r="C62" s="99"/>
      <c r="D62" s="99"/>
      <c r="E62" s="99"/>
      <c r="F62" s="99"/>
      <c r="G62" s="99"/>
      <c r="I62" s="3261">
        <f ca="1">I60-I61</f>
        <v>6.4732082188129425E-2</v>
      </c>
      <c r="J62" s="3262"/>
      <c r="K62" s="99"/>
      <c r="L62" s="162"/>
      <c r="M62" s="212"/>
      <c r="N62" s="212"/>
      <c r="O62" s="212"/>
      <c r="P62" s="212"/>
      <c r="Q62" s="99"/>
      <c r="S62" s="3149"/>
      <c r="T62" s="3150"/>
      <c r="Y62" s="1435"/>
      <c r="Z62" s="1401">
        <v>62</v>
      </c>
      <c r="AZ62" s="1375"/>
    </row>
    <row r="63" spans="1:52" s="141" customFormat="1" ht="13.35" customHeight="1">
      <c r="A63" s="99" t="s">
        <v>469</v>
      </c>
      <c r="B63" s="160"/>
      <c r="C63" s="99"/>
      <c r="D63" s="99"/>
      <c r="E63" s="99"/>
      <c r="F63" s="99"/>
      <c r="G63" s="99"/>
      <c r="H63" s="209"/>
      <c r="I63" s="209"/>
      <c r="J63" s="100"/>
      <c r="K63" s="99"/>
      <c r="L63" s="162"/>
      <c r="M63" s="212"/>
      <c r="N63" s="212"/>
      <c r="O63" s="212"/>
      <c r="P63" s="212"/>
      <c r="Q63" s="99"/>
      <c r="R63" s="99"/>
      <c r="S63" s="99"/>
      <c r="T63" s="99"/>
      <c r="Y63" s="1435"/>
      <c r="Z63" s="1401">
        <v>63</v>
      </c>
      <c r="AZ63" s="1374"/>
    </row>
    <row r="64" spans="1:52" ht="2.25" customHeight="1">
      <c r="A64" s="100"/>
      <c r="B64" s="100"/>
      <c r="C64" s="100"/>
      <c r="D64" s="100"/>
      <c r="E64" s="100"/>
      <c r="F64" s="100"/>
      <c r="G64" s="100"/>
      <c r="H64" s="100"/>
      <c r="I64" s="100"/>
      <c r="J64" s="100"/>
      <c r="K64" s="100"/>
      <c r="L64" s="100"/>
      <c r="M64" s="100"/>
      <c r="N64" s="100"/>
      <c r="O64" s="100"/>
      <c r="P64" s="100"/>
      <c r="Q64" s="100"/>
      <c r="Z64" s="1401">
        <v>64</v>
      </c>
    </row>
    <row r="65" spans="1:52" ht="12" customHeight="1">
      <c r="A65" s="158" t="s">
        <v>50</v>
      </c>
      <c r="B65" s="158" t="s">
        <v>76</v>
      </c>
      <c r="C65" s="100"/>
      <c r="D65" s="100"/>
      <c r="E65" s="100"/>
      <c r="F65" s="100"/>
      <c r="G65" s="100"/>
      <c r="H65" s="100"/>
      <c r="I65" s="100"/>
      <c r="J65" s="100"/>
      <c r="M65" s="158" t="s">
        <v>50</v>
      </c>
      <c r="N65" s="158" t="s">
        <v>78</v>
      </c>
      <c r="O65" s="100"/>
      <c r="P65" s="100"/>
      <c r="Q65" s="100"/>
      <c r="Z65" s="1401">
        <v>65</v>
      </c>
      <c r="AZ65" s="1377"/>
    </row>
    <row r="66" spans="1:52" ht="111.75" customHeight="1">
      <c r="A66" s="3251"/>
      <c r="B66" s="3251"/>
      <c r="C66" s="3251"/>
      <c r="D66" s="3251"/>
      <c r="E66" s="3251"/>
      <c r="F66" s="3251"/>
      <c r="G66" s="3251"/>
      <c r="H66" s="3251"/>
      <c r="I66" s="3251"/>
      <c r="J66" s="3251"/>
      <c r="K66" s="3251"/>
      <c r="L66" s="3251"/>
      <c r="M66" s="3250"/>
      <c r="N66" s="3250"/>
      <c r="O66" s="3250"/>
      <c r="P66" s="3250"/>
      <c r="Q66" s="3250"/>
      <c r="S66" s="3249" t="s">
        <v>297</v>
      </c>
      <c r="T66" s="3249"/>
      <c r="U66" s="270"/>
      <c r="V66" s="270"/>
      <c r="W66" s="270"/>
      <c r="Y66" s="1437"/>
      <c r="Z66" s="1401">
        <v>66</v>
      </c>
      <c r="AZ66" s="1377"/>
    </row>
    <row r="67" spans="1:52" ht="11.25" customHeight="1">
      <c r="S67" s="270"/>
      <c r="T67" s="270"/>
      <c r="U67" s="270"/>
      <c r="V67" s="270"/>
      <c r="W67" s="270"/>
      <c r="Y67" s="1437"/>
    </row>
    <row r="68" spans="1:52" ht="12" customHeight="1"/>
    <row r="69" spans="1:52" ht="12" customHeight="1">
      <c r="B69" s="189"/>
    </row>
    <row r="70" spans="1:52" ht="14.65" customHeight="1">
      <c r="AZ70" s="1375"/>
    </row>
    <row r="71" spans="1:52" s="141" customFormat="1" ht="14.65" customHeight="1">
      <c r="Y71" s="1435"/>
      <c r="Z71" s="1435"/>
      <c r="AZ71" s="1375"/>
    </row>
    <row r="72" spans="1:52" s="141" customFormat="1" ht="14.65" customHeight="1">
      <c r="Y72" s="1435"/>
      <c r="Z72" s="1435"/>
      <c r="AZ72" s="1375"/>
    </row>
    <row r="73" spans="1:52" s="141" customFormat="1" ht="14.65" customHeight="1">
      <c r="Y73" s="1435"/>
      <c r="Z73" s="1435"/>
      <c r="AZ73" s="1374"/>
    </row>
    <row r="74" spans="1:52" ht="14.65" customHeight="1">
      <c r="AZ74" s="1375"/>
    </row>
    <row r="75" spans="1:52" s="141" customFormat="1" ht="14.65" customHeight="1">
      <c r="A75" s="190"/>
      <c r="Y75" s="1435"/>
      <c r="Z75" s="1435"/>
      <c r="AZ75" s="1375"/>
    </row>
    <row r="76" spans="1:52" s="141" customFormat="1" ht="14.65" customHeight="1">
      <c r="A76" s="190"/>
      <c r="Y76" s="1435"/>
      <c r="Z76" s="1435"/>
      <c r="AZ76" s="1375"/>
    </row>
    <row r="77" spans="1:52" s="141" customFormat="1" ht="14.65" customHeight="1">
      <c r="Y77" s="1435"/>
      <c r="Z77" s="1435"/>
      <c r="AZ77" s="1375"/>
    </row>
    <row r="78" spans="1:52" s="141" customFormat="1" ht="14.65" customHeight="1">
      <c r="A78" s="190"/>
      <c r="Y78" s="1435"/>
      <c r="Z78" s="1435"/>
      <c r="AZ78" s="1375"/>
    </row>
    <row r="79" spans="1:52" s="141" customFormat="1" ht="14.65" customHeight="1">
      <c r="A79" s="188"/>
      <c r="Y79" s="1435"/>
      <c r="Z79" s="1435"/>
      <c r="AZ79" s="1375"/>
    </row>
    <row r="80" spans="1:52" s="141" customFormat="1" ht="14.65" customHeight="1">
      <c r="A80" s="188"/>
      <c r="Y80" s="1435"/>
      <c r="Z80" s="1435"/>
      <c r="AZ80" s="1375"/>
    </row>
    <row r="81" spans="1:52" s="141" customFormat="1" ht="14.65" customHeight="1">
      <c r="A81" s="191"/>
      <c r="Y81" s="1435"/>
      <c r="Z81" s="1435"/>
      <c r="AZ81" s="1375"/>
    </row>
    <row r="82" spans="1:52" s="141" customFormat="1" ht="14.65" customHeight="1">
      <c r="A82" s="190"/>
      <c r="Y82" s="1435"/>
      <c r="Z82" s="1435"/>
      <c r="AZ82" s="1375"/>
    </row>
    <row r="83" spans="1:52" s="141" customFormat="1" ht="14.65" customHeight="1">
      <c r="A83" s="188"/>
      <c r="Y83" s="1435"/>
      <c r="Z83" s="1435"/>
      <c r="AZ83" s="1375"/>
    </row>
    <row r="84" spans="1:52" s="141" customFormat="1" ht="14.65" customHeight="1">
      <c r="A84" s="188"/>
      <c r="Y84" s="1435"/>
      <c r="Z84" s="1435"/>
      <c r="AZ84" s="1375"/>
    </row>
    <row r="85" spans="1:52" s="141" customFormat="1" ht="14.65" customHeight="1">
      <c r="A85" s="191"/>
      <c r="Y85" s="1435"/>
      <c r="Z85" s="1435"/>
      <c r="AZ85" s="1375"/>
    </row>
    <row r="86" spans="1:52" s="141" customFormat="1" ht="14.65" customHeight="1">
      <c r="A86" s="190"/>
      <c r="Y86" s="1435"/>
      <c r="Z86" s="1435"/>
      <c r="AZ86" s="1375"/>
    </row>
    <row r="87" spans="1:52" s="141" customFormat="1" ht="14.65" customHeight="1">
      <c r="A87" s="188"/>
      <c r="Y87" s="1435"/>
      <c r="Z87" s="1435"/>
      <c r="AZ87" s="1375"/>
    </row>
    <row r="88" spans="1:52" s="141" customFormat="1" ht="14.65" customHeight="1">
      <c r="A88" s="188"/>
      <c r="Y88" s="1435"/>
      <c r="Z88" s="1435"/>
      <c r="AZ88" s="1375"/>
    </row>
    <row r="89" spans="1:52" s="141" customFormat="1" ht="14.65" customHeight="1">
      <c r="A89" s="191"/>
      <c r="Y89" s="1435"/>
      <c r="Z89" s="1435"/>
      <c r="AZ89" s="1375"/>
    </row>
    <row r="90" spans="1:52" s="141" customFormat="1" ht="14.65" customHeight="1">
      <c r="A90" s="191"/>
      <c r="Y90" s="1435"/>
      <c r="Z90" s="1435"/>
      <c r="AZ90" s="1375"/>
    </row>
    <row r="91" spans="1:52" s="141" customFormat="1" ht="14.65" customHeight="1">
      <c r="A91" s="191"/>
      <c r="Y91" s="1435"/>
      <c r="Z91" s="1435"/>
      <c r="AZ91" s="1375"/>
    </row>
    <row r="92" spans="1:52" s="141" customFormat="1" ht="14.65" customHeight="1">
      <c r="A92" s="191"/>
      <c r="Y92" s="1435"/>
      <c r="Z92" s="1435"/>
      <c r="AZ92" s="1375"/>
    </row>
    <row r="93" spans="1:52" s="141" customFormat="1" ht="14.65" customHeight="1">
      <c r="Y93" s="1435"/>
      <c r="Z93" s="1435"/>
      <c r="AZ93" s="1375"/>
    </row>
    <row r="94" spans="1:52" s="141" customFormat="1" ht="14.65" customHeight="1">
      <c r="Y94" s="1435"/>
      <c r="Z94" s="1435"/>
      <c r="AZ94" s="13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9"/>
      <c r="L101" s="141"/>
      <c r="M101" s="141"/>
      <c r="N101" s="141"/>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5" customFormat="1" ht="16.350000000000001" customHeight="1">
      <c r="A1" s="3270" t="e">
        <f>CONCATENATE("PART III B: USD 538 LOAN","  -  ",#REF!," ",#REF!,", ",#REF!,", ",#REF!," County")</f>
        <v>#REF!</v>
      </c>
      <c r="B1" s="3271"/>
      <c r="C1" s="3271"/>
      <c r="D1" s="3271"/>
      <c r="E1" s="3271"/>
      <c r="F1" s="3272"/>
      <c r="G1" s="95"/>
      <c r="H1" s="95"/>
      <c r="I1" s="95"/>
      <c r="J1" s="95"/>
      <c r="K1" s="95"/>
      <c r="L1" s="95"/>
      <c r="M1" s="95"/>
      <c r="N1" s="95"/>
      <c r="O1" s="95"/>
      <c r="P1" s="95"/>
      <c r="Q1" s="95"/>
    </row>
    <row r="2" spans="1:17" ht="11.1" customHeight="1">
      <c r="A2" s="113"/>
      <c r="B2" s="113"/>
      <c r="C2" s="113"/>
      <c r="D2" s="113"/>
      <c r="E2" s="113"/>
      <c r="F2" s="113"/>
      <c r="G2" s="113"/>
      <c r="H2" s="113"/>
    </row>
    <row r="3" spans="1:17" ht="14.65" customHeight="1">
      <c r="A3" s="3263" t="s">
        <v>470</v>
      </c>
      <c r="B3" s="3263"/>
      <c r="C3" s="3263"/>
      <c r="D3" s="3263"/>
      <c r="E3" s="3263"/>
      <c r="F3" s="3263"/>
      <c r="G3" s="113"/>
      <c r="H3" s="113"/>
    </row>
    <row r="4" spans="1:17" ht="6" customHeight="1"/>
    <row r="5" spans="1:17">
      <c r="A5" s="13" t="s">
        <v>471</v>
      </c>
      <c r="B5" s="13"/>
      <c r="C5" s="2689"/>
      <c r="D5" s="2690">
        <f>IF(C5&gt;1500000,1500000,0)</f>
        <v>0</v>
      </c>
      <c r="E5" s="2691">
        <f>IF(C5&gt;1500000,C5-1500000,0)</f>
        <v>0</v>
      </c>
    </row>
    <row r="6" spans="1:17">
      <c r="A6" s="13" t="s">
        <v>472</v>
      </c>
      <c r="B6" s="50" t="s">
        <v>473</v>
      </c>
      <c r="C6" s="138">
        <v>0</v>
      </c>
      <c r="D6" s="15" t="s">
        <v>474</v>
      </c>
      <c r="E6" s="13"/>
    </row>
    <row r="7" spans="1:17">
      <c r="A7" s="13"/>
      <c r="B7" s="50" t="s">
        <v>475</v>
      </c>
      <c r="C7" s="2692"/>
      <c r="D7" s="15" t="s">
        <v>476</v>
      </c>
      <c r="E7" s="13"/>
    </row>
    <row r="8" spans="1:17" ht="13.35" customHeight="1">
      <c r="A8" s="13" t="s">
        <v>477</v>
      </c>
      <c r="B8" s="13"/>
      <c r="C8" s="138">
        <v>0</v>
      </c>
      <c r="D8" s="15" t="s">
        <v>478</v>
      </c>
      <c r="E8" s="13"/>
    </row>
    <row r="9" spans="1:17">
      <c r="A9" s="13" t="s">
        <v>479</v>
      </c>
      <c r="B9" s="13"/>
      <c r="C9" s="2693"/>
      <c r="D9" s="13"/>
      <c r="E9" s="13"/>
    </row>
    <row r="10" spans="1:17">
      <c r="A10" s="13" t="s">
        <v>480</v>
      </c>
      <c r="B10" s="13"/>
      <c r="C10" s="2693"/>
      <c r="D10" s="13"/>
      <c r="E10" s="13"/>
    </row>
    <row r="11" spans="1:17">
      <c r="A11" s="13" t="s">
        <v>481</v>
      </c>
      <c r="B11" s="13"/>
      <c r="C11" s="139" t="e">
        <f>PMT(C7/12,C10*12,-C5,0,0)*12</f>
        <v>#NUM!</v>
      </c>
      <c r="D11" s="2690" t="e">
        <f>PMT($C$7/12,$C$10*12,-D5,0,0)*12</f>
        <v>#NUM!</v>
      </c>
      <c r="E11" s="2690" t="e">
        <f>PMT($C$7/12,$C$10*12,-E5,0,0)*12</f>
        <v>#NUM!</v>
      </c>
    </row>
    <row r="12" spans="1:17">
      <c r="A12" s="13" t="s">
        <v>482</v>
      </c>
      <c r="B12" s="13"/>
      <c r="C12" s="139" t="e">
        <f>C11/12</f>
        <v>#NUM!</v>
      </c>
      <c r="D12" s="2690" t="e">
        <f>D11/12</f>
        <v>#NUM!</v>
      </c>
      <c r="E12" s="2690" t="e">
        <f>E11/12</f>
        <v>#NUM!</v>
      </c>
    </row>
    <row r="13" spans="1:17" ht="11.1" customHeight="1">
      <c r="A13" s="113"/>
      <c r="B13" s="113"/>
      <c r="C13" s="113"/>
      <c r="D13" s="113"/>
      <c r="E13" s="113"/>
      <c r="F13" s="113"/>
      <c r="G13" s="113"/>
      <c r="H13" s="113"/>
    </row>
    <row r="14" spans="1:17" ht="12.6" customHeight="1">
      <c r="A14" s="3264" t="s">
        <v>483</v>
      </c>
      <c r="B14" s="3264"/>
      <c r="C14" s="3264"/>
      <c r="D14" s="3264"/>
      <c r="E14" s="3264"/>
      <c r="F14" s="3264"/>
      <c r="G14" s="113"/>
      <c r="H14" s="113"/>
    </row>
    <row r="15" spans="1:17" ht="5.65" customHeight="1">
      <c r="A15" s="7"/>
      <c r="E15" s="120"/>
      <c r="F15" s="113"/>
      <c r="G15" s="113"/>
      <c r="H15" s="113"/>
    </row>
    <row r="16" spans="1:17" ht="13.35" customHeight="1">
      <c r="A16" s="121" t="s">
        <v>484</v>
      </c>
      <c r="B16" s="122" t="s">
        <v>485</v>
      </c>
      <c r="C16" s="122" t="s">
        <v>486</v>
      </c>
      <c r="D16" s="3273" t="s">
        <v>487</v>
      </c>
      <c r="E16" s="3273"/>
      <c r="F16" s="113"/>
      <c r="G16" s="113"/>
      <c r="H16" s="113"/>
    </row>
    <row r="17" spans="1:8" ht="12.6" customHeight="1">
      <c r="A17" s="36">
        <v>1</v>
      </c>
      <c r="B17" s="2694">
        <f>IF(A17&gt;$C$9,0,SUM(C64:C75)*($C$6/$C$7))</f>
        <v>0</v>
      </c>
      <c r="C17" s="2695">
        <f>IF(A17&gt;C9,0,(E63+K63)*$C$8)</f>
        <v>0</v>
      </c>
      <c r="D17" s="3268">
        <f t="shared" ref="D17:D56" si="0">IF(A17&gt;$C$9,0,$C$11+C17)</f>
        <v>0</v>
      </c>
      <c r="E17" s="3268"/>
      <c r="F17" s="113"/>
      <c r="G17" s="113"/>
      <c r="H17" s="113"/>
    </row>
    <row r="18" spans="1:8" ht="12.6" customHeight="1">
      <c r="A18" s="36">
        <v>2</v>
      </c>
      <c r="B18" s="2694">
        <f>IF(A18&gt;C9,0,SUM(C76:C87)*($C$6/$C$7))</f>
        <v>0</v>
      </c>
      <c r="C18" s="2695">
        <f>IF(A18&gt;C9,0,(E75+K75)*$C$8)</f>
        <v>0</v>
      </c>
      <c r="D18" s="3266">
        <f t="shared" si="0"/>
        <v>0</v>
      </c>
      <c r="E18" s="3266"/>
      <c r="F18" s="113"/>
      <c r="G18" s="113"/>
      <c r="H18" s="113"/>
    </row>
    <row r="19" spans="1:8" ht="12.6" customHeight="1">
      <c r="A19" s="36">
        <v>3</v>
      </c>
      <c r="B19" s="2694">
        <f>IF(A19&gt;C9,0,SUM(C88:C99)*($C$6/$C$7))</f>
        <v>0</v>
      </c>
      <c r="C19" s="2695">
        <f>IF(A19&gt;C9,0,(E87+K87)*$C$8)</f>
        <v>0</v>
      </c>
      <c r="D19" s="3266">
        <f t="shared" si="0"/>
        <v>0</v>
      </c>
      <c r="E19" s="3266"/>
      <c r="F19" s="113"/>
      <c r="G19" s="113"/>
      <c r="H19" s="113"/>
    </row>
    <row r="20" spans="1:8" ht="12.6" customHeight="1">
      <c r="A20" s="36">
        <v>4</v>
      </c>
      <c r="B20" s="2694">
        <f>IF(A20&gt;C9,0,SUM(C100:C111)*($C$6/$C$7))</f>
        <v>0</v>
      </c>
      <c r="C20" s="2695">
        <f>IF(A20&gt;C9,0,(E99+K99)*$C$8)</f>
        <v>0</v>
      </c>
      <c r="D20" s="3266">
        <f t="shared" si="0"/>
        <v>0</v>
      </c>
      <c r="E20" s="3266"/>
      <c r="F20" s="113"/>
      <c r="G20" s="113"/>
      <c r="H20" s="113"/>
    </row>
    <row r="21" spans="1:8" ht="12.6" customHeight="1">
      <c r="A21" s="36">
        <v>5</v>
      </c>
      <c r="B21" s="2694">
        <f>IF(A21&gt;C9,0,SUM(C112:C123)*($C$6/$C$7))</f>
        <v>0</v>
      </c>
      <c r="C21" s="2695">
        <f>IF(A21&gt;C9,0,(E111+K111)*$C$8)</f>
        <v>0</v>
      </c>
      <c r="D21" s="3267">
        <f t="shared" si="0"/>
        <v>0</v>
      </c>
      <c r="E21" s="3267"/>
      <c r="F21" s="113"/>
      <c r="G21" s="113"/>
      <c r="H21" s="113"/>
    </row>
    <row r="22" spans="1:8" ht="12.6" customHeight="1">
      <c r="A22" s="110">
        <v>6</v>
      </c>
      <c r="B22" s="2697">
        <f>IF(A22&gt;C9,0,SUM(C124:C135)*($C$6/$C$7))</f>
        <v>0</v>
      </c>
      <c r="C22" s="2698">
        <f>IF(A22&gt;C9,0,(E123+K123)*$C$8)</f>
        <v>0</v>
      </c>
      <c r="D22" s="3266">
        <f t="shared" si="0"/>
        <v>0</v>
      </c>
      <c r="E22" s="3266"/>
      <c r="F22" s="113"/>
      <c r="G22" s="113"/>
      <c r="H22" s="113"/>
    </row>
    <row r="23" spans="1:8" ht="12.6" customHeight="1">
      <c r="A23" s="36">
        <v>7</v>
      </c>
      <c r="B23" s="2694">
        <f>IF(A23&gt;C9,0,SUM(C136:C147)*($C$6/$C$7))</f>
        <v>0</v>
      </c>
      <c r="C23" s="2695">
        <f>IF(A23&gt;C9,0,(E135+K135)*$C$8)</f>
        <v>0</v>
      </c>
      <c r="D23" s="3266">
        <f t="shared" si="0"/>
        <v>0</v>
      </c>
      <c r="E23" s="3266"/>
      <c r="F23" s="113"/>
      <c r="G23" s="113"/>
      <c r="H23" s="113"/>
    </row>
    <row r="24" spans="1:8" ht="12.6" customHeight="1">
      <c r="A24" s="36">
        <v>8</v>
      </c>
      <c r="B24" s="2694">
        <f>IF(A24&gt;C9,0,SUM(C148:C159)*($C$6/$C$7))</f>
        <v>0</v>
      </c>
      <c r="C24" s="2695">
        <f>IF(A24&gt;C9,0,(E147+K147)*$C$8)</f>
        <v>0</v>
      </c>
      <c r="D24" s="3266">
        <f t="shared" si="0"/>
        <v>0</v>
      </c>
      <c r="E24" s="3266"/>
      <c r="F24" s="113"/>
      <c r="G24" s="113"/>
      <c r="H24" s="113"/>
    </row>
    <row r="25" spans="1:8" ht="12.6" customHeight="1">
      <c r="A25" s="36">
        <v>9</v>
      </c>
      <c r="B25" s="2694">
        <f>IF(A25&gt;C9,0,SUM(C160:C171)*($C$6/$C$7))</f>
        <v>0</v>
      </c>
      <c r="C25" s="2695">
        <f>IF(A25&gt;C9,0,(E159+K159)*$C$8)</f>
        <v>0</v>
      </c>
      <c r="D25" s="3266">
        <f t="shared" si="0"/>
        <v>0</v>
      </c>
      <c r="E25" s="3266"/>
      <c r="F25" s="113"/>
      <c r="G25" s="113"/>
      <c r="H25" s="113"/>
    </row>
    <row r="26" spans="1:8" ht="12.6" customHeight="1">
      <c r="A26" s="111">
        <v>10</v>
      </c>
      <c r="B26" s="2699">
        <f>IF(A26&gt;C9,0,SUM(C172:C183)*($C$6/$C$7))</f>
        <v>0</v>
      </c>
      <c r="C26" s="2696">
        <f>IF(A26&gt;C9,0,(E171+K171)*$C$8)</f>
        <v>0</v>
      </c>
      <c r="D26" s="3267">
        <f t="shared" si="0"/>
        <v>0</v>
      </c>
      <c r="E26" s="3267"/>
      <c r="F26" s="113"/>
      <c r="G26" s="113"/>
      <c r="H26" s="113"/>
    </row>
    <row r="27" spans="1:8" ht="12.6" customHeight="1">
      <c r="A27" s="36">
        <v>11</v>
      </c>
      <c r="B27" s="2694">
        <f>IF(A27&gt;C9,0,SUM(C184:C195)*($C$6/$C$7))</f>
        <v>0</v>
      </c>
      <c r="C27" s="2695">
        <f>IF(A27&gt;C9,0,(E183+K183)*$C$8)</f>
        <v>0</v>
      </c>
      <c r="D27" s="3266">
        <f t="shared" si="0"/>
        <v>0</v>
      </c>
      <c r="E27" s="3266"/>
      <c r="F27" s="113"/>
      <c r="G27" s="113"/>
      <c r="H27" s="113"/>
    </row>
    <row r="28" spans="1:8" ht="12.6" customHeight="1">
      <c r="A28" s="36">
        <v>12</v>
      </c>
      <c r="B28" s="2694">
        <f>IF(A28&gt;C9,0,SUM(C196:C207)*($C$6/$C$7))</f>
        <v>0</v>
      </c>
      <c r="C28" s="2695">
        <f>IF(A28&gt;C9,0,(E195+K195)*$C$8)</f>
        <v>0</v>
      </c>
      <c r="D28" s="3266">
        <f t="shared" si="0"/>
        <v>0</v>
      </c>
      <c r="E28" s="3266"/>
      <c r="F28" s="113"/>
      <c r="G28" s="113"/>
      <c r="H28" s="113"/>
    </row>
    <row r="29" spans="1:8" ht="12.6" customHeight="1">
      <c r="A29" s="36">
        <v>13</v>
      </c>
      <c r="B29" s="2694">
        <f>IF(A29&gt;C9,0,SUM(C208:C219)*($C$6/$C$7))</f>
        <v>0</v>
      </c>
      <c r="C29" s="2695">
        <f>IF(A29&gt;C9,0,(E207+K207)*$C$8)</f>
        <v>0</v>
      </c>
      <c r="D29" s="3266">
        <f t="shared" si="0"/>
        <v>0</v>
      </c>
      <c r="E29" s="3266"/>
      <c r="F29" s="113"/>
      <c r="G29" s="113"/>
      <c r="H29" s="113"/>
    </row>
    <row r="30" spans="1:8" ht="12.6" customHeight="1">
      <c r="A30" s="36">
        <v>14</v>
      </c>
      <c r="B30" s="2694">
        <f>IF(A30&gt;C9,0,SUM(C220:C231)*($C$6/$C$7))</f>
        <v>0</v>
      </c>
      <c r="C30" s="2695">
        <f>IF(A30&gt;C9,0,(E219+K219)*$C$8)</f>
        <v>0</v>
      </c>
      <c r="D30" s="3266">
        <f t="shared" si="0"/>
        <v>0</v>
      </c>
      <c r="E30" s="3266"/>
      <c r="F30" s="113"/>
      <c r="G30" s="113"/>
      <c r="H30" s="113"/>
    </row>
    <row r="31" spans="1:8" ht="12.6" customHeight="1">
      <c r="A31" s="36">
        <v>15</v>
      </c>
      <c r="B31" s="2694">
        <f>IF(A31&gt;C9,0,SUM(C232:C243)*($C$6/$C$7))</f>
        <v>0</v>
      </c>
      <c r="C31" s="2695">
        <f>IF(A31&gt;C9,0,(E231+K231)*$C$8)</f>
        <v>0</v>
      </c>
      <c r="D31" s="3267">
        <f t="shared" si="0"/>
        <v>0</v>
      </c>
      <c r="E31" s="3267"/>
      <c r="F31" s="113"/>
      <c r="G31" s="113"/>
      <c r="H31" s="113"/>
    </row>
    <row r="32" spans="1:8" ht="12.6" customHeight="1">
      <c r="A32" s="110">
        <v>16</v>
      </c>
      <c r="B32" s="2697">
        <f>IF(A32&gt;C9,0,SUM(C244:C255)*($C$6/$C$7))</f>
        <v>0</v>
      </c>
      <c r="C32" s="2698">
        <f>IF(A32&gt;C9,0,(E243+K243)*$C$8)</f>
        <v>0</v>
      </c>
      <c r="D32" s="3266">
        <f t="shared" si="0"/>
        <v>0</v>
      </c>
      <c r="E32" s="3266"/>
      <c r="F32" s="113"/>
      <c r="G32" s="113"/>
      <c r="H32" s="113"/>
    </row>
    <row r="33" spans="1:8" ht="12.6" customHeight="1">
      <c r="A33" s="36">
        <v>17</v>
      </c>
      <c r="B33" s="2694">
        <f>IF(A33&gt;C9,0,SUM(C256:C267)*($C$6/$C$7))</f>
        <v>0</v>
      </c>
      <c r="C33" s="2695">
        <f>IF(A33&gt;C9,0,(E255+K255)*$C$8)</f>
        <v>0</v>
      </c>
      <c r="D33" s="3266">
        <f t="shared" si="0"/>
        <v>0</v>
      </c>
      <c r="E33" s="3266"/>
      <c r="F33" s="113"/>
      <c r="G33" s="113"/>
      <c r="H33" s="113"/>
    </row>
    <row r="34" spans="1:8" ht="12.6" customHeight="1">
      <c r="A34" s="36">
        <v>18</v>
      </c>
      <c r="B34" s="2694">
        <f>IF(A34&gt;C9,0,SUM(C268:C279)*($C$6/$C$7))</f>
        <v>0</v>
      </c>
      <c r="C34" s="2695">
        <f>IF(A34&gt;C9,0,(E267+K267)*$C$8)</f>
        <v>0</v>
      </c>
      <c r="D34" s="3266">
        <f t="shared" si="0"/>
        <v>0</v>
      </c>
      <c r="E34" s="3266"/>
      <c r="F34" s="113"/>
      <c r="G34" s="113"/>
      <c r="H34" s="113"/>
    </row>
    <row r="35" spans="1:8" ht="12.6" customHeight="1">
      <c r="A35" s="36">
        <v>19</v>
      </c>
      <c r="B35" s="2694">
        <f>IF(A35&gt;C9,0,SUM(C280:C291)*($C$6/$C$7))</f>
        <v>0</v>
      </c>
      <c r="C35" s="2695">
        <f>IF(A35&gt;C9,0,(E279+K279)*$C$8)</f>
        <v>0</v>
      </c>
      <c r="D35" s="3266">
        <f t="shared" si="0"/>
        <v>0</v>
      </c>
      <c r="E35" s="3266"/>
      <c r="F35" s="113"/>
      <c r="G35" s="113"/>
      <c r="H35" s="113"/>
    </row>
    <row r="36" spans="1:8" ht="12.6" customHeight="1">
      <c r="A36" s="111">
        <v>20</v>
      </c>
      <c r="B36" s="2699">
        <f>IF(A36&gt;C9,0,SUM(C292:C303)*($C$6/$C$7))</f>
        <v>0</v>
      </c>
      <c r="C36" s="2696">
        <f>IF(A36&gt;C9,0,(E291+K291)*$C$8)</f>
        <v>0</v>
      </c>
      <c r="D36" s="3267">
        <f t="shared" si="0"/>
        <v>0</v>
      </c>
      <c r="E36" s="3267"/>
      <c r="F36" s="113"/>
      <c r="G36" s="113"/>
      <c r="H36" s="113"/>
    </row>
    <row r="37" spans="1:8" ht="12.6" customHeight="1">
      <c r="A37" s="36">
        <v>21</v>
      </c>
      <c r="B37" s="2697">
        <f>IF(A37&gt;C9,0,SUM(C293:C304)*($C$6/$C$7))</f>
        <v>0</v>
      </c>
      <c r="C37" s="2698">
        <f>IF(A37&gt;C9,0,(E303+K303)*$C$8)</f>
        <v>0</v>
      </c>
      <c r="D37" s="3269">
        <f t="shared" si="0"/>
        <v>0</v>
      </c>
      <c r="E37" s="3269"/>
      <c r="F37" s="113"/>
      <c r="G37" s="113"/>
      <c r="H37" s="113"/>
    </row>
    <row r="38" spans="1:8" ht="12.6" customHeight="1">
      <c r="A38" s="36">
        <v>22</v>
      </c>
      <c r="B38" s="2694">
        <f>IF(A38&gt;C9,0,SUM(C294:C305)*($C$6/$C$7))</f>
        <v>0</v>
      </c>
      <c r="C38" s="2695">
        <f>IF(A38&gt;C9,0,(E315+K315)*$C$8)</f>
        <v>0</v>
      </c>
      <c r="D38" s="3266">
        <f t="shared" si="0"/>
        <v>0</v>
      </c>
      <c r="E38" s="3266"/>
      <c r="F38" s="113"/>
      <c r="G38" s="113"/>
      <c r="H38" s="113"/>
    </row>
    <row r="39" spans="1:8" ht="12.6" customHeight="1">
      <c r="A39" s="36">
        <v>23</v>
      </c>
      <c r="B39" s="2694">
        <f>IF(A39&gt;C9,0,SUM(C295:C306)*($C$6/$C$7))</f>
        <v>0</v>
      </c>
      <c r="C39" s="2695">
        <f>IF(A39&gt;C9,0,(E327+K327)*$C$8)</f>
        <v>0</v>
      </c>
      <c r="D39" s="3266">
        <f t="shared" si="0"/>
        <v>0</v>
      </c>
      <c r="E39" s="3266"/>
      <c r="F39" s="113"/>
      <c r="G39" s="113"/>
      <c r="H39" s="113"/>
    </row>
    <row r="40" spans="1:8" ht="12.6" customHeight="1">
      <c r="A40" s="36">
        <v>24</v>
      </c>
      <c r="B40" s="2694">
        <f>IF(A40&gt;C9,0,SUM(C296:C307)*($C$6/$C$7))</f>
        <v>0</v>
      </c>
      <c r="C40" s="2695">
        <f>IF(A40&gt;C9,0,(E339+K339)*$C$8)</f>
        <v>0</v>
      </c>
      <c r="D40" s="3266">
        <f t="shared" si="0"/>
        <v>0</v>
      </c>
      <c r="E40" s="3266"/>
      <c r="F40" s="113"/>
      <c r="G40" s="113"/>
      <c r="H40" s="113"/>
    </row>
    <row r="41" spans="1:8" ht="12.6" customHeight="1">
      <c r="A41" s="36">
        <v>25</v>
      </c>
      <c r="B41" s="2699">
        <f>IF(A41&gt;C9,0,SUM(C297:C308)*($C$6/$C$7))</f>
        <v>0</v>
      </c>
      <c r="C41" s="2696">
        <f>IF(A41&gt;C9,0,(E351+K351)*$C$8)</f>
        <v>0</v>
      </c>
      <c r="D41" s="3267">
        <f t="shared" si="0"/>
        <v>0</v>
      </c>
      <c r="E41" s="3267"/>
      <c r="F41" s="113"/>
      <c r="G41" s="113"/>
      <c r="H41" s="113"/>
    </row>
    <row r="42" spans="1:8" ht="12.6" customHeight="1">
      <c r="A42" s="110">
        <v>26</v>
      </c>
      <c r="B42" s="2697">
        <f>IF(A42&gt;C9,0,SUM(C298:C309)*($C$6/$C$7))</f>
        <v>0</v>
      </c>
      <c r="C42" s="2698">
        <f>IF(A42&gt;C9,0,(E363+K363)*$C$8)</f>
        <v>0</v>
      </c>
      <c r="D42" s="3269">
        <f t="shared" si="0"/>
        <v>0</v>
      </c>
      <c r="E42" s="3269"/>
      <c r="F42" s="113"/>
      <c r="G42" s="113"/>
      <c r="H42" s="113"/>
    </row>
    <row r="43" spans="1:8" ht="12.6" customHeight="1">
      <c r="A43" s="36">
        <v>27</v>
      </c>
      <c r="B43" s="2694">
        <f>IF(A43&gt;C9,0,SUM(C299:C310)*($C$6/$C$7))</f>
        <v>0</v>
      </c>
      <c r="C43" s="2695">
        <f>IF(A43&gt;C9,0,(E375+K375)*$C$8)</f>
        <v>0</v>
      </c>
      <c r="D43" s="3266">
        <f t="shared" si="0"/>
        <v>0</v>
      </c>
      <c r="E43" s="3266"/>
      <c r="F43" s="113"/>
      <c r="G43" s="113"/>
      <c r="H43" s="113"/>
    </row>
    <row r="44" spans="1:8" ht="12.6" customHeight="1">
      <c r="A44" s="36">
        <v>28</v>
      </c>
      <c r="B44" s="2694">
        <f>IF(A44&gt;C9,0,SUM(C300:C311)*($C$6/$C$7))</f>
        <v>0</v>
      </c>
      <c r="C44" s="2695">
        <f>IF(A44&gt;C9,0,(E387+K387)*$C$8)</f>
        <v>0</v>
      </c>
      <c r="D44" s="3266">
        <f t="shared" si="0"/>
        <v>0</v>
      </c>
      <c r="E44" s="3266"/>
      <c r="F44" s="113"/>
      <c r="G44" s="113"/>
      <c r="H44" s="113"/>
    </row>
    <row r="45" spans="1:8" ht="12.6" customHeight="1">
      <c r="A45" s="36">
        <v>29</v>
      </c>
      <c r="B45" s="2694">
        <f>IF(A45&gt;C9,0,SUM(C301:C312)*($C$6/$C$7))</f>
        <v>0</v>
      </c>
      <c r="C45" s="2695">
        <f>IF(A45&gt;C9,0,(E411+K411)*$C$8)</f>
        <v>0</v>
      </c>
      <c r="D45" s="3266">
        <f t="shared" si="0"/>
        <v>0</v>
      </c>
      <c r="E45" s="3266"/>
      <c r="F45" s="113"/>
      <c r="G45" s="113"/>
      <c r="H45" s="113"/>
    </row>
    <row r="46" spans="1:8" ht="12.6" customHeight="1">
      <c r="A46" s="111">
        <v>30</v>
      </c>
      <c r="B46" s="2699">
        <f>IF(A46&gt;C9,0,SUM(C302:C313)*($C$6/$C$7))</f>
        <v>0</v>
      </c>
      <c r="C46" s="2696">
        <f>IF(A46&gt;C9,0,(E423+K423)*$C$8)</f>
        <v>0</v>
      </c>
      <c r="D46" s="3267">
        <f t="shared" si="0"/>
        <v>0</v>
      </c>
      <c r="E46" s="3267"/>
      <c r="F46" s="113"/>
      <c r="G46" s="113"/>
      <c r="H46" s="113"/>
    </row>
    <row r="47" spans="1:8" ht="12.6" customHeight="1">
      <c r="A47" s="110">
        <v>31</v>
      </c>
      <c r="B47" s="2697">
        <f>IF(A47&gt;C9,0,SUM(C303:C314)*($C$6/$C$7))</f>
        <v>0</v>
      </c>
      <c r="C47" s="2698">
        <f>IF(A47&gt;C9,0,(E435+K435)*$C$8)</f>
        <v>0</v>
      </c>
      <c r="D47" s="3269">
        <f t="shared" si="0"/>
        <v>0</v>
      </c>
      <c r="E47" s="3269"/>
      <c r="F47" s="113"/>
      <c r="G47" s="113"/>
      <c r="H47" s="113"/>
    </row>
    <row r="48" spans="1:8" ht="12.6" customHeight="1">
      <c r="A48" s="36">
        <v>32</v>
      </c>
      <c r="B48" s="2694">
        <f>IF(A48&gt;C9,0,SUM(C304:C315)*($C$6/$C$7))</f>
        <v>0</v>
      </c>
      <c r="C48" s="2695">
        <f>IF(A48&gt;C9,0,(E447+K447)*$C$8)</f>
        <v>0</v>
      </c>
      <c r="D48" s="3266">
        <f t="shared" si="0"/>
        <v>0</v>
      </c>
      <c r="E48" s="3266"/>
      <c r="F48" s="113"/>
      <c r="G48" s="113"/>
      <c r="H48" s="113"/>
    </row>
    <row r="49" spans="1:12" ht="12.6" customHeight="1">
      <c r="A49" s="36">
        <v>33</v>
      </c>
      <c r="B49" s="2694">
        <f>IF(A49&gt;C9,0,SUM(C305:C316)*($C$6/$C$7))</f>
        <v>0</v>
      </c>
      <c r="C49" s="2695">
        <f>IF(A49&gt;C9,0,(E459+K459)*$C$8)</f>
        <v>0</v>
      </c>
      <c r="D49" s="3266">
        <f t="shared" si="0"/>
        <v>0</v>
      </c>
      <c r="E49" s="3266"/>
      <c r="F49" s="113"/>
      <c r="G49" s="113"/>
      <c r="H49" s="113"/>
    </row>
    <row r="50" spans="1:12" ht="12.6" customHeight="1">
      <c r="A50" s="36">
        <v>34</v>
      </c>
      <c r="B50" s="2694">
        <f>IF(A50&gt;C9,0,SUM(C306:C317)*($C$6/$C$7))</f>
        <v>0</v>
      </c>
      <c r="C50" s="2695">
        <f>IF(A50&gt;C9,0,(E471+K471)*$C$8)</f>
        <v>0</v>
      </c>
      <c r="D50" s="3266">
        <f t="shared" si="0"/>
        <v>0</v>
      </c>
      <c r="E50" s="3266"/>
      <c r="F50" s="113"/>
      <c r="G50" s="113"/>
      <c r="H50" s="113"/>
    </row>
    <row r="51" spans="1:12" ht="12.6" customHeight="1">
      <c r="A51" s="111">
        <v>35</v>
      </c>
      <c r="B51" s="2699">
        <f>IF(A51&gt;C9,0,SUM(C307:C318)*($C$6/$C$7))</f>
        <v>0</v>
      </c>
      <c r="C51" s="2696">
        <f>IF(A51&gt;C9,0,(E483+K483)*$C$8)</f>
        <v>0</v>
      </c>
      <c r="D51" s="3267">
        <f t="shared" si="0"/>
        <v>0</v>
      </c>
      <c r="E51" s="3267"/>
      <c r="F51" s="113"/>
      <c r="G51" s="113"/>
      <c r="H51" s="113"/>
    </row>
    <row r="52" spans="1:12" ht="12.6" customHeight="1">
      <c r="A52" s="110">
        <v>36</v>
      </c>
      <c r="B52" s="2697">
        <f>IF(A52&gt;C9,0,SUM(C308:C319)*($C$6/$C$7))</f>
        <v>0</v>
      </c>
      <c r="C52" s="2698">
        <f>IF(A52&gt;C9,0,(E495+K495)*$C$8)</f>
        <v>0</v>
      </c>
      <c r="D52" s="3269">
        <f t="shared" si="0"/>
        <v>0</v>
      </c>
      <c r="E52" s="3269"/>
      <c r="F52" s="113"/>
      <c r="G52" s="113"/>
      <c r="H52" s="113"/>
    </row>
    <row r="53" spans="1:12" ht="12.6" customHeight="1">
      <c r="A53" s="36">
        <v>37</v>
      </c>
      <c r="B53" s="2694">
        <f>IF(A53&gt;C9,0,SUM(C309:C320)*($C$6/$C$7))</f>
        <v>0</v>
      </c>
      <c r="C53" s="2695">
        <f>IF(A53&gt;C9,0,(E507+K507)*$C$8)</f>
        <v>0</v>
      </c>
      <c r="D53" s="3266">
        <f t="shared" si="0"/>
        <v>0</v>
      </c>
      <c r="E53" s="3266"/>
      <c r="F53" s="113"/>
      <c r="G53" s="113"/>
      <c r="H53" s="113"/>
    </row>
    <row r="54" spans="1:12" ht="12.6" customHeight="1">
      <c r="A54" s="36">
        <v>38</v>
      </c>
      <c r="B54" s="2694">
        <f>IF(A54&gt;C9,0,SUM(C310:C321)*($C$6/$C$7))</f>
        <v>0</v>
      </c>
      <c r="C54" s="2695">
        <f>IF(A54&gt;C9,0,(E519+K519)*$C$8)</f>
        <v>0</v>
      </c>
      <c r="D54" s="3266">
        <f t="shared" si="0"/>
        <v>0</v>
      </c>
      <c r="E54" s="3266"/>
      <c r="F54" s="113"/>
      <c r="G54" s="113"/>
      <c r="H54" s="113"/>
    </row>
    <row r="55" spans="1:12" ht="12.6" customHeight="1">
      <c r="A55" s="36">
        <v>39</v>
      </c>
      <c r="B55" s="2694">
        <f>IF(A55&gt;C9,0,SUM(C311:C322)*($C$6/$C$7))</f>
        <v>0</v>
      </c>
      <c r="C55" s="2695">
        <f>IF(A55&gt;C9,0,(E531+K531)*$C$8)</f>
        <v>0</v>
      </c>
      <c r="D55" s="3266">
        <f t="shared" si="0"/>
        <v>0</v>
      </c>
      <c r="E55" s="3266"/>
      <c r="F55" s="113"/>
      <c r="G55" s="113"/>
      <c r="H55" s="113"/>
    </row>
    <row r="56" spans="1:12" ht="12.6" customHeight="1">
      <c r="A56" s="111">
        <v>40</v>
      </c>
      <c r="B56" s="2699">
        <f>IF(A56&gt;C9,0,SUM(C312:C323)*($C$6/$C$7))</f>
        <v>0</v>
      </c>
      <c r="C56" s="2696">
        <f>IF(A56&gt;C9,0,(E543+K543)*$C$8)</f>
        <v>0</v>
      </c>
      <c r="D56" s="3267">
        <f t="shared" si="0"/>
        <v>0</v>
      </c>
      <c r="E56" s="3267"/>
      <c r="F56" s="113"/>
      <c r="G56" s="113"/>
      <c r="H56" s="113"/>
    </row>
    <row r="57" spans="1:12" ht="3" customHeight="1">
      <c r="A57" s="113"/>
      <c r="B57" s="113"/>
      <c r="C57" s="113"/>
      <c r="D57" s="113"/>
      <c r="E57" s="113"/>
      <c r="F57" s="113"/>
      <c r="G57" s="113"/>
      <c r="H57" s="113"/>
    </row>
    <row r="58" spans="1:12" ht="13.35" customHeight="1">
      <c r="A58" s="3265" t="e">
        <f>CONCATENATE(#REF!," ",#REF!,", ",#REF!,", ",#REF!," County")</f>
        <v>#REF!</v>
      </c>
      <c r="B58" s="3265"/>
      <c r="C58" s="3265"/>
      <c r="D58" s="3265"/>
      <c r="E58" s="3265"/>
      <c r="F58" s="3265"/>
      <c r="G58" s="3265" t="e">
        <f>CONCATENATE(#REF!," ",#REF!,", ",#REF!,", ",#REF!," County")</f>
        <v>#REF!</v>
      </c>
      <c r="H58" s="3265"/>
      <c r="I58" s="3265"/>
      <c r="J58" s="3265"/>
      <c r="K58" s="3265"/>
      <c r="L58" s="3265"/>
    </row>
    <row r="59" spans="1:12" ht="15">
      <c r="A59" s="3263" t="s">
        <v>488</v>
      </c>
      <c r="B59" s="3263"/>
      <c r="C59" s="3263"/>
      <c r="D59" s="3263"/>
      <c r="E59" s="3263"/>
      <c r="F59" s="3263"/>
      <c r="G59" s="3263" t="s">
        <v>488</v>
      </c>
      <c r="H59" s="3263"/>
      <c r="I59" s="3263"/>
      <c r="J59" s="3263"/>
      <c r="K59" s="3263"/>
      <c r="L59" s="3263"/>
    </row>
    <row r="60" spans="1:12" ht="6" customHeight="1">
      <c r="C60" s="112"/>
      <c r="D60" s="112"/>
      <c r="I60" s="112"/>
      <c r="J60" s="112"/>
    </row>
    <row r="61" spans="1:12">
      <c r="A61" s="114" t="s">
        <v>489</v>
      </c>
      <c r="B61" s="115" t="s">
        <v>490</v>
      </c>
      <c r="C61" s="115" t="s">
        <v>491</v>
      </c>
      <c r="D61" s="115" t="s">
        <v>492</v>
      </c>
      <c r="E61" s="114" t="s">
        <v>493</v>
      </c>
      <c r="F61" s="125" t="s">
        <v>484</v>
      </c>
      <c r="G61" s="114" t="s">
        <v>489</v>
      </c>
      <c r="H61" s="115" t="s">
        <v>490</v>
      </c>
      <c r="I61" s="115" t="s">
        <v>491</v>
      </c>
      <c r="J61" s="115" t="s">
        <v>492</v>
      </c>
      <c r="K61" s="114" t="s">
        <v>493</v>
      </c>
      <c r="L61" s="125" t="s">
        <v>484</v>
      </c>
    </row>
    <row r="62" spans="1:12" ht="3.6" customHeight="1">
      <c r="A62" s="36"/>
      <c r="F62" s="36"/>
      <c r="G62" s="36"/>
      <c r="L62" s="36"/>
    </row>
    <row r="63" spans="1:12">
      <c r="A63" s="111" t="s">
        <v>494</v>
      </c>
      <c r="B63" s="116"/>
      <c r="C63" s="116"/>
      <c r="D63" s="116"/>
      <c r="E63" s="117">
        <f>IF($C$5&gt;1500000,$D$5,$C$5)</f>
        <v>0</v>
      </c>
      <c r="F63" s="36"/>
      <c r="G63" s="111" t="s">
        <v>494</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6" customWidth="1"/>
    <col min="9" max="9" width="10.42578125" bestFit="1" customWidth="1"/>
    <col min="10" max="10" width="12.28515625" customWidth="1"/>
    <col min="11" max="11" width="10.7109375" customWidth="1"/>
  </cols>
  <sheetData>
    <row r="1" spans="1:17" s="5" customFormat="1" ht="16.350000000000001" customHeight="1">
      <c r="A1" s="3270" t="e">
        <f>CONCATENATE("PART III C  - HUD INSURED LOAN","  -  ",#REF!," ",#REF!,", ",#REF!,", ",#REF!," County")</f>
        <v>#REF!</v>
      </c>
      <c r="B1" s="3271"/>
      <c r="C1" s="3271"/>
      <c r="D1" s="3271"/>
      <c r="E1" s="3271"/>
      <c r="F1" s="3272"/>
      <c r="G1" s="95"/>
      <c r="H1" s="95"/>
      <c r="I1" s="95"/>
      <c r="J1" s="95"/>
      <c r="K1" s="95"/>
      <c r="L1" s="95"/>
      <c r="M1" s="95"/>
      <c r="N1" s="95"/>
      <c r="O1" s="95"/>
      <c r="P1" s="95"/>
      <c r="Q1" s="95"/>
    </row>
    <row r="2" spans="1:17">
      <c r="A2" s="7"/>
    </row>
    <row r="3" spans="1:17" ht="15.6" customHeight="1">
      <c r="A3" s="3263" t="s">
        <v>470</v>
      </c>
      <c r="B3" s="3263"/>
      <c r="C3" s="3263"/>
      <c r="D3" s="3263"/>
      <c r="E3" s="3263"/>
      <c r="F3" s="3263"/>
      <c r="G3" s="127"/>
      <c r="H3" s="127"/>
    </row>
    <row r="4" spans="1:17">
      <c r="A4" s="7"/>
    </row>
    <row r="5" spans="1:17" ht="13.35" customHeight="1">
      <c r="A5" t="s">
        <v>471</v>
      </c>
      <c r="D5" s="2700"/>
      <c r="E5" s="3274" t="s">
        <v>495</v>
      </c>
      <c r="F5" s="3275"/>
      <c r="G5" s="87"/>
    </row>
    <row r="6" spans="1:17">
      <c r="E6" s="3275"/>
      <c r="F6" s="3275"/>
      <c r="G6" s="87"/>
    </row>
    <row r="7" spans="1:17">
      <c r="A7" t="s">
        <v>472</v>
      </c>
      <c r="C7" t="s">
        <v>496</v>
      </c>
      <c r="D7" s="2701"/>
      <c r="E7" s="3275"/>
      <c r="F7" s="3275"/>
      <c r="G7" s="87"/>
    </row>
    <row r="8" spans="1:17">
      <c r="C8" t="s">
        <v>497</v>
      </c>
      <c r="D8" s="2701"/>
      <c r="E8" s="3275"/>
      <c r="F8" s="3275"/>
      <c r="G8" s="87"/>
    </row>
    <row r="9" spans="1:17">
      <c r="C9" t="s">
        <v>498</v>
      </c>
      <c r="D9" s="2701"/>
      <c r="E9" s="3275"/>
      <c r="F9" s="3275"/>
      <c r="G9" s="87"/>
    </row>
    <row r="10" spans="1:17">
      <c r="C10" t="s">
        <v>475</v>
      </c>
      <c r="D10" s="128">
        <f>D7+D8+D9</f>
        <v>0</v>
      </c>
      <c r="E10" s="3275"/>
      <c r="F10" s="3275"/>
      <c r="G10" s="87"/>
    </row>
    <row r="11" spans="1:17">
      <c r="F11" s="87"/>
      <c r="G11" s="87"/>
    </row>
    <row r="12" spans="1:17">
      <c r="A12" t="s">
        <v>499</v>
      </c>
      <c r="D12" s="2702"/>
      <c r="E12" t="s">
        <v>500</v>
      </c>
      <c r="F12" s="87"/>
      <c r="G12" s="87"/>
    </row>
    <row r="13" spans="1:17">
      <c r="D13" s="112"/>
      <c r="F13" s="87"/>
      <c r="G13" s="87"/>
    </row>
    <row r="14" spans="1:17">
      <c r="A14" t="s">
        <v>501</v>
      </c>
      <c r="D14" s="2703"/>
      <c r="E14" t="s">
        <v>502</v>
      </c>
      <c r="F14" s="129"/>
    </row>
    <row r="15" spans="1:17">
      <c r="D15" s="123"/>
      <c r="F15" s="129"/>
    </row>
    <row r="16" spans="1:17">
      <c r="A16" t="s">
        <v>503</v>
      </c>
      <c r="D16" s="2703"/>
      <c r="E16" t="s">
        <v>502</v>
      </c>
      <c r="F16" s="129"/>
    </row>
    <row r="17" spans="1:10">
      <c r="D17" s="112"/>
      <c r="F17" s="129"/>
    </row>
    <row r="18" spans="1:10">
      <c r="A18" t="s">
        <v>504</v>
      </c>
      <c r="D18" s="112" t="e">
        <f>PMT(D10/12,D16*12,-D5,0,0)*12</f>
        <v>#NUM!</v>
      </c>
      <c r="E18" t="s">
        <v>505</v>
      </c>
      <c r="F18" s="129"/>
    </row>
    <row r="19" spans="1:10">
      <c r="D19" s="112"/>
      <c r="F19" s="129"/>
    </row>
    <row r="20" spans="1:10">
      <c r="A20" t="s">
        <v>506</v>
      </c>
      <c r="D20" s="112" t="e">
        <f>D18/12</f>
        <v>#NUM!</v>
      </c>
      <c r="E20" t="s">
        <v>505</v>
      </c>
      <c r="F20" s="129"/>
    </row>
    <row r="24" spans="1:10" ht="18" customHeight="1">
      <c r="A24" s="3264" t="s">
        <v>507</v>
      </c>
      <c r="B24" s="3264"/>
      <c r="C24" s="3264"/>
      <c r="D24" s="3264"/>
      <c r="E24" s="3264"/>
      <c r="F24" s="3264"/>
      <c r="J24" s="2704"/>
    </row>
    <row r="25" spans="1:10">
      <c r="C25" s="112"/>
      <c r="J25" s="2704"/>
    </row>
    <row r="26" spans="1:10">
      <c r="A26" s="51"/>
      <c r="B26" s="36"/>
      <c r="C26" s="3276" t="s">
        <v>487</v>
      </c>
      <c r="D26" s="126"/>
      <c r="E26" s="36"/>
      <c r="F26" s="3276" t="s">
        <v>487</v>
      </c>
      <c r="J26" s="2704"/>
    </row>
    <row r="27" spans="1:10">
      <c r="A27" s="130" t="s">
        <v>484</v>
      </c>
      <c r="B27" s="11" t="s">
        <v>508</v>
      </c>
      <c r="C27" s="3277"/>
      <c r="D27" s="131" t="s">
        <v>484</v>
      </c>
      <c r="E27" s="11" t="s">
        <v>508</v>
      </c>
      <c r="F27" s="3277"/>
      <c r="J27" s="2704"/>
    </row>
    <row r="28" spans="1:10">
      <c r="A28" s="705">
        <v>1</v>
      </c>
      <c r="B28" s="2705">
        <f>IF(A28&gt;D14,0,E55*$D$12)</f>
        <v>0</v>
      </c>
      <c r="C28" s="2705">
        <f>IF(A28&gt;$D$14,0,$D$18+B28)</f>
        <v>0</v>
      </c>
      <c r="D28" s="2706">
        <v>21</v>
      </c>
      <c r="E28" s="2705">
        <f>IF(D28&gt;$D$14,0,E295*$D$12)</f>
        <v>0</v>
      </c>
      <c r="F28" s="2705">
        <f>IF(D28&gt;$D$14,0,$D$18+E28)</f>
        <v>0</v>
      </c>
      <c r="J28" s="2704"/>
    </row>
    <row r="29" spans="1:10">
      <c r="A29" s="705">
        <v>2</v>
      </c>
      <c r="B29" s="2705">
        <f>IF(A29&gt;D14,0,E67*$D$12)</f>
        <v>0</v>
      </c>
      <c r="C29" s="2705">
        <f t="shared" ref="C29:C47" si="0">IF(A29&gt;$D$14,0,$D$18+B29)</f>
        <v>0</v>
      </c>
      <c r="D29" s="2706">
        <v>22</v>
      </c>
      <c r="E29" s="2705">
        <f>IF(D29&gt;$D$14,0,E307*$D$12)</f>
        <v>0</v>
      </c>
      <c r="F29" s="2705">
        <f t="shared" ref="F29:F47" si="1">IF(D29&gt;$D$14,0,$D$18+E29)</f>
        <v>0</v>
      </c>
      <c r="J29" s="2704"/>
    </row>
    <row r="30" spans="1:10">
      <c r="A30" s="705">
        <v>3</v>
      </c>
      <c r="B30" s="2705">
        <f>IF(A30&gt;D14,0,E79*$D$12)</f>
        <v>0</v>
      </c>
      <c r="C30" s="2705">
        <f t="shared" si="0"/>
        <v>0</v>
      </c>
      <c r="D30" s="2706">
        <v>23</v>
      </c>
      <c r="E30" s="2705">
        <f>IF(D30&gt;$D$14,0,E319*$D$12)</f>
        <v>0</v>
      </c>
      <c r="F30" s="2705">
        <f t="shared" si="1"/>
        <v>0</v>
      </c>
      <c r="J30" s="2704"/>
    </row>
    <row r="31" spans="1:10">
      <c r="A31" s="705">
        <v>4</v>
      </c>
      <c r="B31" s="2705">
        <f>IF(A31&gt;D14,0,E91*$D$12)</f>
        <v>0</v>
      </c>
      <c r="C31" s="2705">
        <f t="shared" si="0"/>
        <v>0</v>
      </c>
      <c r="D31" s="2706">
        <v>24</v>
      </c>
      <c r="E31" s="2705">
        <f>IF(D31&gt;$D$14,0,E331*$D$12)</f>
        <v>0</v>
      </c>
      <c r="F31" s="2705">
        <f t="shared" si="1"/>
        <v>0</v>
      </c>
      <c r="J31" s="2704"/>
    </row>
    <row r="32" spans="1:10">
      <c r="A32" s="705">
        <v>5</v>
      </c>
      <c r="B32" s="2705">
        <f>IF(A32&gt;D14,0,E103*$D$12)</f>
        <v>0</v>
      </c>
      <c r="C32" s="2707">
        <f t="shared" si="0"/>
        <v>0</v>
      </c>
      <c r="D32" s="2706">
        <v>25</v>
      </c>
      <c r="E32" s="2705">
        <f>IF(D32&gt;$D$14,0,E343*$D$12)</f>
        <v>0</v>
      </c>
      <c r="F32" s="2707">
        <f t="shared" si="1"/>
        <v>0</v>
      </c>
      <c r="J32" s="2704"/>
    </row>
    <row r="33" spans="1:10">
      <c r="A33" s="2708">
        <v>6</v>
      </c>
      <c r="B33" s="2709">
        <f>IF(A33&gt;D14,0,E115*$D$12)</f>
        <v>0</v>
      </c>
      <c r="C33" s="2705">
        <f t="shared" si="0"/>
        <v>0</v>
      </c>
      <c r="D33" s="2710">
        <v>26</v>
      </c>
      <c r="E33" s="2709">
        <f>IF(D33&gt;$D$14,0,E355*$D$12)</f>
        <v>0</v>
      </c>
      <c r="F33" s="2705">
        <f t="shared" si="1"/>
        <v>0</v>
      </c>
      <c r="J33" s="2704"/>
    </row>
    <row r="34" spans="1:10">
      <c r="A34" s="705">
        <v>7</v>
      </c>
      <c r="B34" s="2705">
        <f>IF(A34&gt;D14,0,E127*$D$12)</f>
        <v>0</v>
      </c>
      <c r="C34" s="2705">
        <f t="shared" si="0"/>
        <v>0</v>
      </c>
      <c r="D34" s="2706">
        <v>27</v>
      </c>
      <c r="E34" s="2705">
        <f>IF(D34&gt;$D$14,0,E367*$D$12)</f>
        <v>0</v>
      </c>
      <c r="F34" s="2705">
        <f t="shared" si="1"/>
        <v>0</v>
      </c>
      <c r="J34" s="2704"/>
    </row>
    <row r="35" spans="1:10">
      <c r="A35" s="705">
        <v>8</v>
      </c>
      <c r="B35" s="2705">
        <f>IF(A35&gt;D14,0,E139*$D$12)</f>
        <v>0</v>
      </c>
      <c r="C35" s="2705">
        <f t="shared" si="0"/>
        <v>0</v>
      </c>
      <c r="D35" s="2706">
        <v>28</v>
      </c>
      <c r="E35" s="2705">
        <f>IF(D35&gt;$D$14,0,E379*$D$12)</f>
        <v>0</v>
      </c>
      <c r="F35" s="2705">
        <f t="shared" si="1"/>
        <v>0</v>
      </c>
      <c r="J35" s="2704"/>
    </row>
    <row r="36" spans="1:10">
      <c r="A36" s="705">
        <v>9</v>
      </c>
      <c r="B36" s="2705">
        <f>IF(A36&gt;D14,0,E151*$D$12)</f>
        <v>0</v>
      </c>
      <c r="C36" s="2705">
        <f t="shared" si="0"/>
        <v>0</v>
      </c>
      <c r="D36" s="2706">
        <v>29</v>
      </c>
      <c r="E36" s="2705">
        <f>IF(D36&gt;$D$14,0,E391*$D$12)</f>
        <v>0</v>
      </c>
      <c r="F36" s="2705">
        <f t="shared" si="1"/>
        <v>0</v>
      </c>
      <c r="J36" s="2704"/>
    </row>
    <row r="37" spans="1:10">
      <c r="A37" s="2711">
        <v>10</v>
      </c>
      <c r="B37" s="2707">
        <f>IF(A37&gt;D14,0,E163*$D$12)</f>
        <v>0</v>
      </c>
      <c r="C37" s="2707">
        <f t="shared" si="0"/>
        <v>0</v>
      </c>
      <c r="D37" s="2712">
        <v>30</v>
      </c>
      <c r="E37" s="2707">
        <f>IF(D37&gt;$D$14,0,E403*$D$12)</f>
        <v>0</v>
      </c>
      <c r="F37" s="2707">
        <f t="shared" si="1"/>
        <v>0</v>
      </c>
      <c r="J37" s="2704"/>
    </row>
    <row r="38" spans="1:10">
      <c r="A38" s="705">
        <v>11</v>
      </c>
      <c r="B38" s="2705">
        <f>IF(A38&gt;D14,0,E175*$D$12)</f>
        <v>0</v>
      </c>
      <c r="C38" s="2705">
        <f t="shared" si="0"/>
        <v>0</v>
      </c>
      <c r="D38" s="2706">
        <v>31</v>
      </c>
      <c r="E38" s="2705">
        <f>IF(D38&gt;$D$14,0,E415*$D$12)</f>
        <v>0</v>
      </c>
      <c r="F38" s="2705">
        <f t="shared" si="1"/>
        <v>0</v>
      </c>
      <c r="J38" s="2704"/>
    </row>
    <row r="39" spans="1:10">
      <c r="A39" s="705">
        <v>12</v>
      </c>
      <c r="B39" s="2705">
        <f>IF(A39&gt;D14,0,E187*$D$12)</f>
        <v>0</v>
      </c>
      <c r="C39" s="2705">
        <f t="shared" si="0"/>
        <v>0</v>
      </c>
      <c r="D39" s="2706">
        <v>32</v>
      </c>
      <c r="E39" s="2705">
        <f>IF(D39&gt;$D$14,0,E427*$D$12)</f>
        <v>0</v>
      </c>
      <c r="F39" s="2705">
        <f t="shared" si="1"/>
        <v>0</v>
      </c>
      <c r="J39" s="2704"/>
    </row>
    <row r="40" spans="1:10">
      <c r="A40" s="705">
        <v>13</v>
      </c>
      <c r="B40" s="2705">
        <f>IF(A40&gt;D14,0,E199*$D$12)</f>
        <v>0</v>
      </c>
      <c r="C40" s="2705">
        <f t="shared" si="0"/>
        <v>0</v>
      </c>
      <c r="D40" s="2706">
        <v>33</v>
      </c>
      <c r="E40" s="2705">
        <f>IF(D40&gt;$D$14,0,E439*$D$12)</f>
        <v>0</v>
      </c>
      <c r="F40" s="2705">
        <f t="shared" si="1"/>
        <v>0</v>
      </c>
      <c r="J40" s="2704"/>
    </row>
    <row r="41" spans="1:10">
      <c r="A41" s="705">
        <v>14</v>
      </c>
      <c r="B41" s="2705">
        <f>IF(A41&gt;D14,0,E211*$D$12)</f>
        <v>0</v>
      </c>
      <c r="C41" s="2705">
        <f t="shared" si="0"/>
        <v>0</v>
      </c>
      <c r="D41" s="2706">
        <v>34</v>
      </c>
      <c r="E41" s="2705">
        <f>IF(D41&gt;$D$14,0,E451*$D$12)</f>
        <v>0</v>
      </c>
      <c r="F41" s="2705">
        <f t="shared" si="1"/>
        <v>0</v>
      </c>
      <c r="J41" s="2704"/>
    </row>
    <row r="42" spans="1:10">
      <c r="A42" s="705">
        <v>15</v>
      </c>
      <c r="B42" s="2705">
        <f>IF(A42&gt;D14,0,E223*$D$12)</f>
        <v>0</v>
      </c>
      <c r="C42" s="2707">
        <f t="shared" si="0"/>
        <v>0</v>
      </c>
      <c r="D42" s="2706">
        <v>35</v>
      </c>
      <c r="E42" s="2705">
        <f>IF(D42&gt;$D$14,0,E463*$D$12)</f>
        <v>0</v>
      </c>
      <c r="F42" s="2707">
        <f t="shared" si="1"/>
        <v>0</v>
      </c>
      <c r="J42" s="2704"/>
    </row>
    <row r="43" spans="1:10">
      <c r="A43" s="2708">
        <v>16</v>
      </c>
      <c r="B43" s="2709">
        <f>IF(A43&gt;D14,0,E235*$D$12)</f>
        <v>0</v>
      </c>
      <c r="C43" s="2705">
        <f t="shared" si="0"/>
        <v>0</v>
      </c>
      <c r="D43" s="2710">
        <v>36</v>
      </c>
      <c r="E43" s="2709">
        <f>IF(D43&gt;$D$14,0,E475*$D$12)</f>
        <v>0</v>
      </c>
      <c r="F43" s="2705">
        <f t="shared" si="1"/>
        <v>0</v>
      </c>
      <c r="J43" s="2704"/>
    </row>
    <row r="44" spans="1:10">
      <c r="A44" s="705">
        <v>17</v>
      </c>
      <c r="B44" s="2705">
        <f>IF(A44&gt;D14,0,E247*$D$12)</f>
        <v>0</v>
      </c>
      <c r="C44" s="2705">
        <f t="shared" si="0"/>
        <v>0</v>
      </c>
      <c r="D44" s="2706">
        <v>37</v>
      </c>
      <c r="E44" s="2705">
        <f>IF(D44&gt;$D$14,0,E487*$D$12)</f>
        <v>0</v>
      </c>
      <c r="F44" s="2705">
        <f t="shared" si="1"/>
        <v>0</v>
      </c>
      <c r="J44" s="2704"/>
    </row>
    <row r="45" spans="1:10">
      <c r="A45" s="705">
        <v>18</v>
      </c>
      <c r="B45" s="2705">
        <f>IF(A45&gt;D14,0,E259*$D$12)</f>
        <v>0</v>
      </c>
      <c r="C45" s="2705">
        <f t="shared" si="0"/>
        <v>0</v>
      </c>
      <c r="D45" s="2706">
        <v>38</v>
      </c>
      <c r="E45" s="2705">
        <f>IF(D45&gt;$D$14,0,E499*$D$12)</f>
        <v>0</v>
      </c>
      <c r="F45" s="2705">
        <f t="shared" si="1"/>
        <v>0</v>
      </c>
      <c r="J45" s="2704"/>
    </row>
    <row r="46" spans="1:10">
      <c r="A46" s="705">
        <v>19</v>
      </c>
      <c r="B46" s="2705">
        <f>IF(A46&gt;D14,0,E271*$D$12)</f>
        <v>0</v>
      </c>
      <c r="C46" s="2705">
        <f t="shared" si="0"/>
        <v>0</v>
      </c>
      <c r="D46" s="2706">
        <v>39</v>
      </c>
      <c r="E46" s="2705">
        <f>IF(D46&gt;$D$14,0,E511*$D$12)</f>
        <v>0</v>
      </c>
      <c r="F46" s="2705">
        <f t="shared" si="1"/>
        <v>0</v>
      </c>
      <c r="J46" s="2704"/>
    </row>
    <row r="47" spans="1:10">
      <c r="A47" s="2711">
        <v>20</v>
      </c>
      <c r="B47" s="2707">
        <f>IF(A47&gt;D14,0,E283*$D$12)</f>
        <v>0</v>
      </c>
      <c r="C47" s="2707">
        <f t="shared" si="0"/>
        <v>0</v>
      </c>
      <c r="D47" s="2712">
        <v>40</v>
      </c>
      <c r="E47" s="2707">
        <f>IF(D47&gt;$D$14,0,E523*$D$12)</f>
        <v>0</v>
      </c>
      <c r="F47" s="2707">
        <f t="shared" si="1"/>
        <v>0</v>
      </c>
      <c r="J47" s="2704"/>
    </row>
    <row r="48" spans="1:10">
      <c r="C48" s="112"/>
      <c r="J48" s="2704"/>
    </row>
    <row r="49" spans="1:10">
      <c r="C49" s="112"/>
      <c r="J49" s="2704"/>
    </row>
    <row r="50" spans="1:10" ht="14.1" customHeight="1">
      <c r="A50" s="3265" t="e">
        <f>CONCATENATE(#REF!," ",#REF!,", ",#REF!,", ",#REF!," County")</f>
        <v>#REF!</v>
      </c>
      <c r="B50" s="3265"/>
      <c r="C50" s="3265"/>
      <c r="D50" s="3265"/>
      <c r="E50" s="3265"/>
      <c r="F50" s="3265"/>
      <c r="G50" s="50"/>
      <c r="H50" s="50"/>
    </row>
    <row r="51" spans="1:10" ht="15">
      <c r="A51" s="3263" t="s">
        <v>488</v>
      </c>
      <c r="B51" s="3263"/>
      <c r="C51" s="3263"/>
      <c r="D51" s="3263"/>
      <c r="E51" s="3263"/>
      <c r="F51" s="3263"/>
      <c r="G51" s="127"/>
      <c r="H51" s="127"/>
      <c r="I51" s="127"/>
      <c r="J51" s="127"/>
    </row>
    <row r="52" spans="1:10" ht="5.65" customHeight="1">
      <c r="C52" s="112"/>
      <c r="D52" s="112"/>
    </row>
    <row r="53" spans="1:10">
      <c r="A53" s="114" t="s">
        <v>489</v>
      </c>
      <c r="B53" s="114" t="s">
        <v>490</v>
      </c>
      <c r="C53" s="114" t="s">
        <v>491</v>
      </c>
      <c r="D53" s="114" t="s">
        <v>492</v>
      </c>
      <c r="E53" s="114" t="s">
        <v>493</v>
      </c>
      <c r="F53" s="125" t="s">
        <v>484</v>
      </c>
      <c r="G53" s="114"/>
      <c r="H53" s="114"/>
      <c r="I53" s="114"/>
    </row>
    <row r="54" spans="1:10" ht="3.6" customHeight="1">
      <c r="F54" s="36"/>
    </row>
    <row r="55" spans="1:10">
      <c r="A55" t="s">
        <v>494</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6" zoomScaleNormal="100" workbookViewId="0">
      <selection activeCell="G103" sqref="G103:H103"/>
    </sheetView>
  </sheetViews>
  <sheetFormatPr defaultColWidth="9.28515625" defaultRowHeight="12.75"/>
  <cols>
    <col min="1" max="1" width="2.42578125" style="100" customWidth="1"/>
    <col min="2" max="2" width="5.42578125" style="100" customWidth="1"/>
    <col min="3" max="3" width="18.28515625" style="100" customWidth="1"/>
    <col min="4" max="4" width="7.28515625" style="100" customWidth="1"/>
    <col min="5" max="5" width="12.5703125" style="100" customWidth="1"/>
    <col min="6" max="6" width="10.42578125" style="100" customWidth="1"/>
    <col min="7" max="8" width="6.42578125" style="100" customWidth="1"/>
    <col min="9" max="9" width="1.7109375" style="100" customWidth="1"/>
    <col min="10" max="11" width="6.42578125" style="100" customWidth="1"/>
    <col min="12" max="12" width="1.7109375" style="100" customWidth="1"/>
    <col min="13" max="14" width="6.42578125" style="100" customWidth="1"/>
    <col min="15" max="15" width="1.7109375" style="100" customWidth="1"/>
    <col min="16" max="17" width="6.42578125" style="100" customWidth="1"/>
    <col min="18" max="18" width="1.7109375" style="100" customWidth="1"/>
    <col min="19" max="20" width="7" style="100" customWidth="1"/>
    <col min="21" max="21" width="5.7109375" style="100" customWidth="1"/>
    <col min="22" max="22" width="13.28515625" style="100" customWidth="1"/>
    <col min="23" max="23" width="24.7109375" style="100" customWidth="1"/>
    <col min="24" max="24" width="73.42578125" style="100" customWidth="1"/>
    <col min="25" max="25" width="9.28515625" style="100"/>
    <col min="26" max="29" width="8" style="100" customWidth="1"/>
    <col min="30" max="31" width="9.28515625" style="100" bestFit="1" customWidth="1"/>
    <col min="32" max="32" width="10.42578125" style="100" customWidth="1"/>
    <col min="33" max="33" width="10.28515625" style="100" customWidth="1"/>
    <col min="34" max="51" width="8" style="100" customWidth="1"/>
    <col min="52" max="52" width="9.28515625" style="591"/>
    <col min="53" max="53" width="9.28515625" style="1433"/>
    <col min="54" max="16384" width="9.28515625" style="100"/>
  </cols>
  <sheetData>
    <row r="1" spans="1:53" s="1433" customFormat="1" ht="13.5" hidden="1" customHeight="1">
      <c r="G1" s="1433" t="s">
        <v>509</v>
      </c>
      <c r="J1" s="1433" t="s">
        <v>510</v>
      </c>
      <c r="M1" s="1433" t="s">
        <v>511</v>
      </c>
      <c r="N1" s="1433" t="s">
        <v>512</v>
      </c>
      <c r="P1" s="1433" t="s">
        <v>513</v>
      </c>
      <c r="Q1" s="1433" t="s">
        <v>514</v>
      </c>
      <c r="S1" s="1433" t="s">
        <v>515</v>
      </c>
      <c r="AZ1" s="591"/>
      <c r="BA1" s="1401">
        <v>1</v>
      </c>
    </row>
    <row r="2" spans="1:53" s="99" customFormat="1" ht="13.5" customHeight="1">
      <c r="A2" s="3320" t="str">
        <f>CONCATENATE("PART THREE (A):  USES OF FUNDS","  -  ",'Part I-Project Identification'!$O$7," ",'Part I-Project Identification'!$F$25,", ",'Part I-Project Identification'!F26,", ",'Part I-Project Identification'!J26," County")</f>
        <v>PART THREE (A):  USES OF FUNDS  -  2023-5 Ashley Collegetown Phase I, Atlanta, Fulton County</v>
      </c>
      <c r="B2" s="3321"/>
      <c r="C2" s="3321"/>
      <c r="D2" s="3321"/>
      <c r="E2" s="3321"/>
      <c r="F2" s="3321"/>
      <c r="G2" s="3321"/>
      <c r="H2" s="3321"/>
      <c r="I2" s="3321"/>
      <c r="J2" s="3321"/>
      <c r="K2" s="3321"/>
      <c r="L2" s="3321"/>
      <c r="M2" s="3321"/>
      <c r="N2" s="3321"/>
      <c r="O2" s="3321"/>
      <c r="P2" s="3321"/>
      <c r="Q2" s="3321"/>
      <c r="R2" s="3321"/>
      <c r="S2" s="3321"/>
      <c r="T2" s="3321"/>
      <c r="W2" s="3322" t="str">
        <f>A2</f>
        <v>PART THREE (A):  USES OF FUNDS  -  2023-5 Ashley Collegetown Phase I, Atlanta, Fulton County</v>
      </c>
      <c r="X2" s="3322"/>
      <c r="AZ2" s="1638"/>
      <c r="BA2" s="1401">
        <v>2</v>
      </c>
    </row>
    <row r="3" spans="1:53" ht="2.25" customHeight="1">
      <c r="BA3" s="1401">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638"/>
      <c r="BA4" s="1401">
        <v>4</v>
      </c>
    </row>
    <row r="5" spans="1:53" s="99" customFormat="1" ht="2.1" customHeight="1" thickBot="1">
      <c r="A5" s="278"/>
      <c r="B5" s="278"/>
      <c r="C5" s="278"/>
      <c r="D5" s="279"/>
      <c r="E5" s="279"/>
      <c r="F5" s="279"/>
      <c r="G5" s="279"/>
      <c r="H5" s="279"/>
      <c r="I5" s="158"/>
      <c r="J5" s="278"/>
      <c r="K5" s="278"/>
      <c r="L5" s="278"/>
      <c r="M5" s="278"/>
      <c r="N5" s="278"/>
      <c r="O5" s="278"/>
      <c r="P5" s="278"/>
      <c r="Q5" s="278"/>
      <c r="R5" s="278"/>
      <c r="S5" s="278"/>
      <c r="T5" s="278"/>
      <c r="AZ5" s="1638"/>
      <c r="BA5" s="1401">
        <v>5</v>
      </c>
    </row>
    <row r="6" spans="1:53" s="99" customFormat="1" ht="19.5" customHeight="1" thickBot="1">
      <c r="A6" s="247" t="s">
        <v>21</v>
      </c>
      <c r="B6" s="247" t="s">
        <v>516</v>
      </c>
      <c r="D6" s="3410" t="str">
        <f>'Part I-Project Identification'!$A$6</f>
        <v>Sept 2023</v>
      </c>
      <c r="E6" s="3410"/>
      <c r="F6" s="3410"/>
      <c r="G6" s="3410"/>
      <c r="H6" s="3410"/>
      <c r="I6" s="279"/>
      <c r="J6" s="3305" t="s">
        <v>517</v>
      </c>
      <c r="K6" s="3306"/>
      <c r="L6" s="192"/>
      <c r="M6" s="3311" t="s">
        <v>518</v>
      </c>
      <c r="N6" s="3312"/>
      <c r="P6" s="3305" t="s">
        <v>519</v>
      </c>
      <c r="Q6" s="3306"/>
      <c r="S6" s="3305" t="s">
        <v>520</v>
      </c>
      <c r="T6" s="3306"/>
      <c r="V6" s="248" t="str">
        <f>B6</f>
        <v>DEVELOPMENT BUDGET</v>
      </c>
      <c r="AZ6" s="1638"/>
      <c r="BA6" s="1401">
        <v>6</v>
      </c>
    </row>
    <row r="7" spans="1:53" s="99" customFormat="1" ht="19.5" customHeight="1" thickBot="1">
      <c r="D7" s="992"/>
      <c r="E7" s="992"/>
      <c r="F7" s="992"/>
      <c r="G7" s="3291" t="s">
        <v>521</v>
      </c>
      <c r="H7" s="3292"/>
      <c r="J7" s="3307"/>
      <c r="K7" s="3308"/>
      <c r="L7" s="192"/>
      <c r="M7" s="3313"/>
      <c r="N7" s="3314"/>
      <c r="P7" s="3307"/>
      <c r="Q7" s="3308"/>
      <c r="S7" s="3307"/>
      <c r="T7" s="3308"/>
      <c r="V7" s="167" t="s">
        <v>358</v>
      </c>
      <c r="X7" s="167"/>
      <c r="AZ7" s="1638"/>
      <c r="BA7" s="1401">
        <v>7</v>
      </c>
    </row>
    <row r="8" spans="1:53" s="99" customFormat="1" ht="12" customHeight="1">
      <c r="B8" s="158" t="s">
        <v>522</v>
      </c>
      <c r="O8" s="278" t="str">
        <f>B8</f>
        <v>PRE-DEVELOPMENT COSTS</v>
      </c>
      <c r="W8" s="99" t="str">
        <f>B8</f>
        <v>PRE-DEVELOPMENT COSTS</v>
      </c>
      <c r="AZ8" s="1638"/>
      <c r="BA8" s="1401">
        <v>8</v>
      </c>
    </row>
    <row r="9" spans="1:53" s="99" customFormat="1" ht="11.25" customHeight="1">
      <c r="B9" s="99" t="s">
        <v>523</v>
      </c>
      <c r="G9" s="3177">
        <v>9000</v>
      </c>
      <c r="H9" s="3178"/>
      <c r="J9" s="3177"/>
      <c r="K9" s="3178"/>
      <c r="L9" s="657"/>
      <c r="M9" s="3177">
        <f>G9</f>
        <v>9000</v>
      </c>
      <c r="N9" s="3178"/>
      <c r="P9" s="3177"/>
      <c r="Q9" s="3178"/>
      <c r="S9" s="3177"/>
      <c r="T9" s="3178"/>
      <c r="V9" s="676"/>
      <c r="W9" s="3289"/>
      <c r="X9" s="3290"/>
      <c r="AZ9" s="1638"/>
      <c r="BA9" s="1401">
        <v>9</v>
      </c>
    </row>
    <row r="10" spans="1:53" s="99" customFormat="1" ht="11.25" customHeight="1">
      <c r="B10" s="99" t="s">
        <v>524</v>
      </c>
      <c r="G10" s="3188">
        <v>5000</v>
      </c>
      <c r="H10" s="3189"/>
      <c r="J10" s="3188"/>
      <c r="K10" s="3189"/>
      <c r="L10" s="657"/>
      <c r="M10" s="3188"/>
      <c r="N10" s="3189"/>
      <c r="P10" s="3188">
        <f t="shared" ref="P10:P17" si="0">G10</f>
        <v>5000</v>
      </c>
      <c r="Q10" s="3189"/>
      <c r="S10" s="3188"/>
      <c r="T10" s="3189"/>
      <c r="V10" s="676"/>
      <c r="W10" s="3289"/>
      <c r="X10" s="3290"/>
      <c r="AZ10" s="1638"/>
      <c r="BA10" s="1401">
        <v>10</v>
      </c>
    </row>
    <row r="11" spans="1:53" s="99" customFormat="1" ht="11.25" customHeight="1">
      <c r="B11" s="99" t="s">
        <v>525</v>
      </c>
      <c r="G11" s="3188">
        <v>39119</v>
      </c>
      <c r="H11" s="3189"/>
      <c r="J11" s="3188"/>
      <c r="K11" s="3189"/>
      <c r="L11" s="657"/>
      <c r="M11" s="3188"/>
      <c r="N11" s="3189"/>
      <c r="P11" s="3188">
        <f t="shared" si="0"/>
        <v>39119</v>
      </c>
      <c r="Q11" s="3189"/>
      <c r="S11" s="3188"/>
      <c r="T11" s="3189"/>
      <c r="V11" s="676"/>
      <c r="W11" s="3289"/>
      <c r="X11" s="3290"/>
      <c r="AZ11" s="1638"/>
      <c r="BA11" s="1401">
        <v>11</v>
      </c>
    </row>
    <row r="12" spans="1:53" s="99" customFormat="1" ht="11.25" customHeight="1">
      <c r="B12" s="99" t="s">
        <v>526</v>
      </c>
      <c r="G12" s="3188">
        <v>0</v>
      </c>
      <c r="H12" s="3189"/>
      <c r="J12" s="3188"/>
      <c r="K12" s="3189"/>
      <c r="L12" s="657"/>
      <c r="M12" s="3188"/>
      <c r="N12" s="3189"/>
      <c r="P12" s="3188">
        <f t="shared" si="0"/>
        <v>0</v>
      </c>
      <c r="Q12" s="3189"/>
      <c r="S12" s="3188"/>
      <c r="T12" s="3189"/>
      <c r="V12" s="676"/>
      <c r="W12" s="3289"/>
      <c r="X12" s="3290"/>
      <c r="AZ12" s="1638"/>
      <c r="BA12" s="1401">
        <v>12</v>
      </c>
    </row>
    <row r="13" spans="1:53" s="99" customFormat="1" ht="11.25" customHeight="1">
      <c r="B13" s="99" t="s">
        <v>527</v>
      </c>
      <c r="G13" s="3188">
        <v>58200</v>
      </c>
      <c r="H13" s="3189"/>
      <c r="J13" s="3188"/>
      <c r="K13" s="3189"/>
      <c r="L13" s="657"/>
      <c r="M13" s="3188"/>
      <c r="N13" s="3189"/>
      <c r="P13" s="3188">
        <f t="shared" si="0"/>
        <v>58200</v>
      </c>
      <c r="Q13" s="3189"/>
      <c r="S13" s="3188"/>
      <c r="T13" s="3189"/>
      <c r="V13" s="676"/>
      <c r="W13" s="3289"/>
      <c r="X13" s="3290"/>
      <c r="AZ13" s="1638"/>
      <c r="BA13" s="1401">
        <v>13</v>
      </c>
    </row>
    <row r="14" spans="1:53" s="99" customFormat="1" ht="11.25" customHeight="1">
      <c r="B14" s="99" t="s">
        <v>528</v>
      </c>
      <c r="G14" s="3188">
        <v>300</v>
      </c>
      <c r="H14" s="3189"/>
      <c r="J14" s="3188"/>
      <c r="K14" s="3189"/>
      <c r="L14" s="657"/>
      <c r="M14" s="3188"/>
      <c r="N14" s="3189"/>
      <c r="P14" s="3188">
        <f t="shared" si="0"/>
        <v>300</v>
      </c>
      <c r="Q14" s="3189"/>
      <c r="S14" s="3188"/>
      <c r="T14" s="3189"/>
      <c r="V14" s="676"/>
      <c r="W14" s="3289"/>
      <c r="X14" s="3290"/>
      <c r="AZ14" s="1638"/>
      <c r="BA14" s="1401">
        <v>14</v>
      </c>
    </row>
    <row r="15" spans="1:53" s="99" customFormat="1" ht="11.25" customHeight="1">
      <c r="A15" s="214" t="str">
        <f>IF(AND(G15&gt;0,OR(C15="",C15="&lt;Enter detailed description here; use Comments section if needed&gt;")),"X","")</f>
        <v/>
      </c>
      <c r="B15" s="102" t="s">
        <v>529</v>
      </c>
      <c r="C15" s="3324" t="s">
        <v>530</v>
      </c>
      <c r="D15" s="3324"/>
      <c r="E15" s="3324"/>
      <c r="F15" s="3325"/>
      <c r="G15" s="3188"/>
      <c r="H15" s="3189"/>
      <c r="J15" s="3188"/>
      <c r="K15" s="3189"/>
      <c r="L15" s="657"/>
      <c r="M15" s="3188"/>
      <c r="N15" s="3189"/>
      <c r="P15" s="3188">
        <f t="shared" si="0"/>
        <v>0</v>
      </c>
      <c r="Q15" s="3189"/>
      <c r="S15" s="3188"/>
      <c r="T15" s="3189"/>
      <c r="U15" s="213" t="str">
        <f>IF(AND(G15&gt;0,OR(C15="",C15="&lt;Enter detailed description here; use Comments section if needed&gt;")),"NO DESCRIPTION PROVIDED - please enter detailed description in Other box at left; use Comments section below if needed.","")</f>
        <v/>
      </c>
      <c r="V15" s="677"/>
      <c r="W15" s="3289"/>
      <c r="X15" s="3290"/>
      <c r="AZ15" s="1638" t="s">
        <v>531</v>
      </c>
      <c r="BA15" s="1401">
        <v>15</v>
      </c>
    </row>
    <row r="16" spans="1:53" s="99" customFormat="1" ht="11.25" customHeight="1">
      <c r="A16" s="214" t="str">
        <f>IF(AND(G16&gt;0,OR(C16="",C16="&lt;Enter detailed description here; use Comments section if needed&gt;")),"X","")</f>
        <v/>
      </c>
      <c r="B16" s="102" t="s">
        <v>532</v>
      </c>
      <c r="C16" s="3324" t="s">
        <v>530</v>
      </c>
      <c r="D16" s="3324"/>
      <c r="E16" s="3324"/>
      <c r="F16" s="3325"/>
      <c r="G16" s="3188"/>
      <c r="H16" s="3189"/>
      <c r="J16" s="3188"/>
      <c r="K16" s="3189"/>
      <c r="L16" s="657"/>
      <c r="M16" s="3188"/>
      <c r="N16" s="3189"/>
      <c r="P16" s="3188">
        <f t="shared" si="0"/>
        <v>0</v>
      </c>
      <c r="Q16" s="3189"/>
      <c r="S16" s="3188"/>
      <c r="T16" s="3189"/>
      <c r="U16" s="213" t="str">
        <f>IF(AND(G16&gt;0,OR(C16="",C16="&lt;Enter detailed description here; use Comments section if needed&gt;")),"NO DESCRIPTION PROVIDED - please enter detailed description in Other box at left; use Comments section below if needed.","")</f>
        <v/>
      </c>
      <c r="V16" s="677"/>
      <c r="W16" s="3289"/>
      <c r="X16" s="3290"/>
      <c r="AZ16" s="1638" t="s">
        <v>533</v>
      </c>
      <c r="BA16" s="1401">
        <v>16</v>
      </c>
    </row>
    <row r="17" spans="1:53" s="99" customFormat="1" ht="11.25" customHeight="1" thickBot="1">
      <c r="A17" s="214" t="str">
        <f>IF(AND(G17&gt;0,OR(C17="",C17="&lt;Enter detailed description here; use Comments section if needed&gt;")),"X","")</f>
        <v/>
      </c>
      <c r="B17" s="102" t="s">
        <v>534</v>
      </c>
      <c r="C17" s="3324" t="s">
        <v>530</v>
      </c>
      <c r="D17" s="3324"/>
      <c r="E17" s="3324"/>
      <c r="F17" s="3325"/>
      <c r="G17" s="3287"/>
      <c r="H17" s="3288"/>
      <c r="J17" s="3287"/>
      <c r="K17" s="3288"/>
      <c r="L17" s="657"/>
      <c r="M17" s="3287"/>
      <c r="N17" s="3288"/>
      <c r="P17" s="3287">
        <f t="shared" si="0"/>
        <v>0</v>
      </c>
      <c r="Q17" s="3288"/>
      <c r="S17" s="3287"/>
      <c r="T17" s="3288"/>
      <c r="U17" s="213" t="str">
        <f>IF(AND(G17&gt;0,OR(C17="",C17="&lt;Enter detailed description here; use Comments section if needed&gt;")),"NO DESCRIPTION PROVIDED - please enter detailed description in Other box at left; use Comments section below if needed.","")</f>
        <v/>
      </c>
      <c r="V17" s="677"/>
      <c r="W17" s="3296"/>
      <c r="X17" s="3297"/>
      <c r="AZ17" s="1638" t="s">
        <v>535</v>
      </c>
      <c r="BA17" s="1401">
        <v>17</v>
      </c>
    </row>
    <row r="18" spans="1:53" s="99" customFormat="1" ht="12.6" customHeight="1" thickTop="1">
      <c r="F18" s="193" t="s">
        <v>536</v>
      </c>
      <c r="G18" s="3285">
        <f>SUM(G9:G17)</f>
        <v>111619</v>
      </c>
      <c r="H18" s="3286"/>
      <c r="J18" s="3285">
        <f>SUM(J9:J17)</f>
        <v>0</v>
      </c>
      <c r="K18" s="3286"/>
      <c r="L18" s="657"/>
      <c r="M18" s="3285">
        <f>SUM(M9:M17)</f>
        <v>9000</v>
      </c>
      <c r="N18" s="3286"/>
      <c r="P18" s="3285">
        <f>SUM(P9:P17)</f>
        <v>102619</v>
      </c>
      <c r="Q18" s="3286"/>
      <c r="S18" s="3285">
        <f>SUM(S9:S17)</f>
        <v>0</v>
      </c>
      <c r="T18" s="3286"/>
      <c r="V18" s="678">
        <f>SUM(V9:V17)</f>
        <v>0</v>
      </c>
      <c r="W18" s="3298"/>
      <c r="X18" s="3299"/>
      <c r="AZ18" s="1638" t="s">
        <v>537</v>
      </c>
      <c r="BA18" s="1401">
        <v>18</v>
      </c>
    </row>
    <row r="19" spans="1:53" s="99" customFormat="1" ht="12" customHeight="1">
      <c r="B19" s="158" t="s">
        <v>538</v>
      </c>
      <c r="J19" s="192"/>
      <c r="K19" s="192"/>
      <c r="M19" s="192"/>
      <c r="N19" s="192"/>
      <c r="O19" s="194" t="str">
        <f>B19</f>
        <v>ACQUISITION</v>
      </c>
      <c r="P19" s="192"/>
      <c r="Q19" s="192"/>
      <c r="S19" s="192"/>
      <c r="T19" s="192"/>
      <c r="V19" s="679"/>
      <c r="W19" s="99" t="str">
        <f>B19</f>
        <v>ACQUISITION</v>
      </c>
      <c r="AZ19" s="1638"/>
      <c r="BA19" s="1401">
        <v>19</v>
      </c>
    </row>
    <row r="20" spans="1:53" s="99" customFormat="1" ht="11.25" customHeight="1">
      <c r="B20" s="99" t="s">
        <v>539</v>
      </c>
      <c r="E20" s="520" t="s">
        <v>540</v>
      </c>
      <c r="F20" s="1579">
        <f>IF('Part I-Project Identification'!$O$27="","",G20/'Part I-Project Identification'!$O$27)</f>
        <v>0</v>
      </c>
      <c r="G20" s="3177"/>
      <c r="H20" s="3178"/>
      <c r="J20" s="195"/>
      <c r="K20" s="192"/>
      <c r="L20" s="195"/>
      <c r="M20" s="195"/>
      <c r="N20" s="192"/>
      <c r="P20" s="195"/>
      <c r="Q20" s="192"/>
      <c r="S20" s="3177"/>
      <c r="T20" s="3178"/>
      <c r="V20" s="676"/>
      <c r="W20" s="3289"/>
      <c r="X20" s="3290"/>
      <c r="AZ20" s="1638"/>
      <c r="BA20" s="1401">
        <v>20</v>
      </c>
    </row>
    <row r="21" spans="1:53" s="99" customFormat="1" ht="11.25" customHeight="1">
      <c r="B21" s="99" t="s">
        <v>541</v>
      </c>
      <c r="G21" s="3188"/>
      <c r="H21" s="3189"/>
      <c r="J21" s="195"/>
      <c r="K21" s="192"/>
      <c r="L21" s="195"/>
      <c r="M21" s="195"/>
      <c r="N21" s="192"/>
      <c r="P21" s="195"/>
      <c r="Q21" s="192"/>
      <c r="S21" s="3188"/>
      <c r="T21" s="3189"/>
      <c r="V21" s="676"/>
      <c r="W21" s="3289"/>
      <c r="X21" s="3290"/>
      <c r="AZ21" s="1638"/>
      <c r="BA21" s="1401">
        <v>21</v>
      </c>
    </row>
    <row r="22" spans="1:53" s="99" customFormat="1" ht="11.25" customHeight="1">
      <c r="B22" s="99" t="s">
        <v>542</v>
      </c>
      <c r="G22" s="3188"/>
      <c r="H22" s="3189"/>
      <c r="J22" s="195"/>
      <c r="K22" s="192"/>
      <c r="L22" s="195"/>
      <c r="M22" s="3177"/>
      <c r="N22" s="3178"/>
      <c r="P22" s="195"/>
      <c r="Q22" s="192"/>
      <c r="S22" s="3188"/>
      <c r="T22" s="3189"/>
      <c r="V22" s="676"/>
      <c r="W22" s="3289"/>
      <c r="X22" s="3290"/>
      <c r="AZ22" s="1638"/>
      <c r="BA22" s="1401">
        <v>22</v>
      </c>
    </row>
    <row r="23" spans="1:53" s="99" customFormat="1" ht="11.25" customHeight="1" thickBot="1">
      <c r="B23" s="99" t="s">
        <v>543</v>
      </c>
      <c r="G23" s="3287">
        <v>13250000</v>
      </c>
      <c r="H23" s="3288"/>
      <c r="J23" s="195"/>
      <c r="K23" s="192"/>
      <c r="L23" s="195"/>
      <c r="M23" s="3287">
        <f>G23</f>
        <v>13250000</v>
      </c>
      <c r="N23" s="3288"/>
      <c r="P23" s="195"/>
      <c r="Q23" s="192"/>
      <c r="S23" s="3287"/>
      <c r="T23" s="3288"/>
      <c r="V23" s="676"/>
      <c r="W23" s="3296"/>
      <c r="X23" s="3297"/>
      <c r="AZ23" s="1638"/>
      <c r="BA23" s="1401">
        <v>23</v>
      </c>
    </row>
    <row r="24" spans="1:53" s="99" customFormat="1" ht="12.6" customHeight="1" thickTop="1">
      <c r="F24" s="193" t="s">
        <v>536</v>
      </c>
      <c r="G24" s="3285">
        <f>SUM(G20:G23)</f>
        <v>13250000</v>
      </c>
      <c r="H24" s="3286"/>
      <c r="J24" s="195"/>
      <c r="K24" s="192"/>
      <c r="L24" s="195"/>
      <c r="M24" s="3285">
        <f>SUM(M22:M23)</f>
        <v>13250000</v>
      </c>
      <c r="N24" s="3286"/>
      <c r="P24" s="195"/>
      <c r="Q24" s="192"/>
      <c r="S24" s="3285">
        <f>SUM(S20:S23)</f>
        <v>0</v>
      </c>
      <c r="T24" s="3286"/>
      <c r="V24" s="678">
        <f>SUM(V20:V23)</f>
        <v>0</v>
      </c>
      <c r="W24" s="3298"/>
      <c r="X24" s="3299"/>
      <c r="AZ24" s="1638" t="s">
        <v>544</v>
      </c>
      <c r="BA24" s="1401">
        <v>24</v>
      </c>
    </row>
    <row r="25" spans="1:53" s="99" customFormat="1" ht="12" customHeight="1">
      <c r="B25" s="158" t="s">
        <v>545</v>
      </c>
      <c r="J25" s="195"/>
      <c r="K25" s="192"/>
      <c r="M25" s="195"/>
      <c r="N25" s="192"/>
      <c r="O25" s="194" t="str">
        <f>B25</f>
        <v>LAND IMPROVEMENTS</v>
      </c>
      <c r="P25" s="195"/>
      <c r="Q25" s="192"/>
      <c r="S25" s="195"/>
      <c r="T25" s="192"/>
      <c r="V25" s="679"/>
      <c r="W25" s="99" t="str">
        <f>B25</f>
        <v>LAND IMPROVEMENTS</v>
      </c>
      <c r="AZ25" s="1638"/>
      <c r="BA25" s="1401">
        <v>25</v>
      </c>
    </row>
    <row r="26" spans="1:53" s="99" customFormat="1" ht="11.25" customHeight="1">
      <c r="B26" s="99" t="s">
        <v>546</v>
      </c>
      <c r="E26" s="520" t="s">
        <v>540</v>
      </c>
      <c r="F26" s="1579">
        <f>IF('Part I-Project Identification'!$O$27="","",G26/'Part I-Project Identification'!$O$27)</f>
        <v>61815.102639296187</v>
      </c>
      <c r="G26" s="3177">
        <v>421579</v>
      </c>
      <c r="H26" s="3178"/>
      <c r="J26" s="3177"/>
      <c r="K26" s="3178"/>
      <c r="L26" s="657"/>
      <c r="M26" s="3326"/>
      <c r="N26" s="3327"/>
      <c r="P26" s="3326">
        <f>G26</f>
        <v>421579</v>
      </c>
      <c r="Q26" s="3327"/>
      <c r="S26" s="3177"/>
      <c r="T26" s="3178"/>
      <c r="V26" s="676"/>
      <c r="W26" s="3289"/>
      <c r="X26" s="3290"/>
      <c r="AZ26" s="1638"/>
      <c r="BA26" s="1401">
        <v>26</v>
      </c>
    </row>
    <row r="27" spans="1:53" s="99" customFormat="1" ht="11.25" customHeight="1" thickBot="1">
      <c r="B27" s="99" t="s">
        <v>547</v>
      </c>
      <c r="G27" s="3287"/>
      <c r="H27" s="3288"/>
      <c r="J27" s="3287"/>
      <c r="K27" s="3288"/>
      <c r="L27" s="196"/>
      <c r="M27" s="3328"/>
      <c r="N27" s="3328"/>
      <c r="P27" s="3328"/>
      <c r="Q27" s="3328"/>
      <c r="S27" s="3287"/>
      <c r="T27" s="3288"/>
      <c r="V27" s="676"/>
      <c r="W27" s="3296"/>
      <c r="X27" s="3297"/>
      <c r="AZ27" s="1638"/>
      <c r="BA27" s="1401">
        <v>27</v>
      </c>
    </row>
    <row r="28" spans="1:53" s="99" customFormat="1" ht="12.6" customHeight="1" thickTop="1">
      <c r="F28" s="193" t="s">
        <v>536</v>
      </c>
      <c r="G28" s="3285">
        <f>SUM(G26:G27)</f>
        <v>421579</v>
      </c>
      <c r="H28" s="3286"/>
      <c r="J28" s="3285">
        <f>SUM(J26:J27)</f>
        <v>0</v>
      </c>
      <c r="K28" s="3286"/>
      <c r="L28" s="195"/>
      <c r="M28" s="3285">
        <f>M26</f>
        <v>0</v>
      </c>
      <c r="N28" s="3286"/>
      <c r="P28" s="3285">
        <f>P26</f>
        <v>421579</v>
      </c>
      <c r="Q28" s="3286"/>
      <c r="S28" s="3285">
        <f>SUM(S26:S27)</f>
        <v>0</v>
      </c>
      <c r="T28" s="3286"/>
      <c r="V28" s="678">
        <f>SUM(V26:V27)</f>
        <v>0</v>
      </c>
      <c r="W28" s="3298"/>
      <c r="X28" s="3299"/>
      <c r="AZ28" s="1638" t="s">
        <v>548</v>
      </c>
      <c r="BA28" s="1401">
        <v>28</v>
      </c>
    </row>
    <row r="29" spans="1:53" s="99" customFormat="1" ht="12" customHeight="1">
      <c r="B29" s="158" t="s">
        <v>549</v>
      </c>
      <c r="J29" s="195"/>
      <c r="K29" s="192"/>
      <c r="M29" s="195"/>
      <c r="N29" s="192"/>
      <c r="O29" s="194" t="str">
        <f>B29</f>
        <v>STRUCTURES</v>
      </c>
      <c r="P29" s="195"/>
      <c r="Q29" s="192"/>
      <c r="S29" s="195"/>
      <c r="T29" s="192"/>
      <c r="V29" s="679"/>
      <c r="W29" s="99" t="str">
        <f>B29</f>
        <v>STRUCTURES</v>
      </c>
      <c r="AZ29" s="1638"/>
      <c r="BA29" s="1401">
        <v>29</v>
      </c>
    </row>
    <row r="30" spans="1:53" s="99" customFormat="1" ht="11.25" customHeight="1">
      <c r="B30" s="99" t="s">
        <v>550</v>
      </c>
      <c r="G30" s="3177"/>
      <c r="H30" s="3178"/>
      <c r="J30" s="3177"/>
      <c r="K30" s="3178"/>
      <c r="L30" s="657"/>
      <c r="M30" s="3177"/>
      <c r="N30" s="3178"/>
      <c r="P30" s="3177"/>
      <c r="Q30" s="3178"/>
      <c r="S30" s="3177"/>
      <c r="T30" s="3178"/>
      <c r="V30" s="676"/>
      <c r="W30" s="3289"/>
      <c r="X30" s="3290"/>
      <c r="AZ30" s="1638"/>
      <c r="BA30" s="1401">
        <v>30</v>
      </c>
    </row>
    <row r="31" spans="1:53" s="99" customFormat="1" ht="11.25" customHeight="1">
      <c r="B31" s="99" t="s">
        <v>551</v>
      </c>
      <c r="G31" s="3188">
        <f>9254927</f>
        <v>9254927</v>
      </c>
      <c r="H31" s="3189"/>
      <c r="J31" s="3188"/>
      <c r="K31" s="3189"/>
      <c r="L31" s="657"/>
      <c r="M31" s="3188"/>
      <c r="N31" s="3189"/>
      <c r="P31" s="3188">
        <f>G31</f>
        <v>9254927</v>
      </c>
      <c r="Q31" s="3189"/>
      <c r="S31" s="3188"/>
      <c r="T31" s="3189"/>
      <c r="V31" s="676"/>
      <c r="W31" s="3289"/>
      <c r="X31" s="3290"/>
      <c r="AZ31" s="1638"/>
      <c r="BA31" s="1401">
        <v>31</v>
      </c>
    </row>
    <row r="32" spans="1:53" s="99" customFormat="1" ht="11.25" customHeight="1">
      <c r="B32" s="99" t="s">
        <v>552</v>
      </c>
      <c r="G32" s="3188"/>
      <c r="H32" s="3189"/>
      <c r="J32" s="3188"/>
      <c r="K32" s="3189"/>
      <c r="L32" s="657"/>
      <c r="M32" s="3188"/>
      <c r="N32" s="3189"/>
      <c r="P32" s="3188"/>
      <c r="Q32" s="3189"/>
      <c r="S32" s="3188"/>
      <c r="T32" s="3189"/>
      <c r="V32" s="676"/>
      <c r="W32" s="3289"/>
      <c r="X32" s="3290"/>
      <c r="AZ32" s="1638"/>
      <c r="BA32" s="1401">
        <v>32</v>
      </c>
    </row>
    <row r="33" spans="1:53" s="99" customFormat="1" ht="11.25" customHeight="1">
      <c r="B33" s="99" t="s">
        <v>553</v>
      </c>
      <c r="G33" s="3188"/>
      <c r="H33" s="3189"/>
      <c r="J33" s="3188"/>
      <c r="K33" s="3189"/>
      <c r="L33" s="657"/>
      <c r="M33" s="3188"/>
      <c r="N33" s="3189"/>
      <c r="P33" s="3188"/>
      <c r="Q33" s="3189"/>
      <c r="S33" s="3188"/>
      <c r="T33" s="3189"/>
      <c r="V33" s="676"/>
      <c r="W33" s="3289"/>
      <c r="X33" s="3290"/>
      <c r="AZ33" s="1638"/>
      <c r="BA33" s="1401">
        <v>33</v>
      </c>
    </row>
    <row r="34" spans="1:53" ht="11.25" customHeight="1">
      <c r="B34" s="99" t="s">
        <v>554</v>
      </c>
      <c r="G34" s="3188"/>
      <c r="H34" s="3189"/>
      <c r="I34" s="99"/>
      <c r="J34" s="3188"/>
      <c r="K34" s="3189"/>
      <c r="L34" s="657"/>
      <c r="M34" s="3188"/>
      <c r="N34" s="3189"/>
      <c r="O34" s="99"/>
      <c r="P34" s="3188"/>
      <c r="Q34" s="3189"/>
      <c r="R34" s="99"/>
      <c r="S34" s="3188"/>
      <c r="T34" s="3189"/>
      <c r="V34" s="676"/>
      <c r="W34" s="3296"/>
      <c r="X34" s="3297"/>
      <c r="BA34" s="1401">
        <v>34</v>
      </c>
    </row>
    <row r="35" spans="1:53" ht="11.25" customHeight="1" thickBot="1">
      <c r="B35" s="99" t="s">
        <v>555</v>
      </c>
      <c r="G35" s="3329"/>
      <c r="H35" s="3330"/>
      <c r="I35" s="99"/>
      <c r="J35" s="3329"/>
      <c r="K35" s="3330"/>
      <c r="L35" s="657"/>
      <c r="M35" s="3329"/>
      <c r="N35" s="3330"/>
      <c r="O35" s="99"/>
      <c r="P35" s="3329"/>
      <c r="Q35" s="3330"/>
      <c r="R35" s="99"/>
      <c r="S35" s="3329"/>
      <c r="T35" s="3330"/>
      <c r="V35" s="676"/>
      <c r="W35" s="3296"/>
      <c r="X35" s="3297"/>
      <c r="BA35" s="1401">
        <v>35</v>
      </c>
    </row>
    <row r="36" spans="1:53" s="99" customFormat="1" ht="12.6" customHeight="1" thickTop="1">
      <c r="C36" s="3332"/>
      <c r="D36" s="3332"/>
      <c r="E36" s="658"/>
      <c r="F36" s="193" t="s">
        <v>536</v>
      </c>
      <c r="G36" s="3285">
        <f>SUM(G30:G35)</f>
        <v>9254927</v>
      </c>
      <c r="H36" s="3286"/>
      <c r="J36" s="3285">
        <f>SUM(J30:J35)</f>
        <v>0</v>
      </c>
      <c r="K36" s="3286"/>
      <c r="L36" s="657"/>
      <c r="M36" s="3285">
        <f>SUM(M30:M35)</f>
        <v>0</v>
      </c>
      <c r="N36" s="3286"/>
      <c r="P36" s="3285">
        <f>SUM(P30:P35)</f>
        <v>9254927</v>
      </c>
      <c r="Q36" s="3286"/>
      <c r="S36" s="3285">
        <f>SUM(S30:S35)</f>
        <v>0</v>
      </c>
      <c r="T36" s="3286"/>
      <c r="V36" s="678">
        <f>SUM(V30:V35)</f>
        <v>0</v>
      </c>
      <c r="W36" s="3298"/>
      <c r="X36" s="3299"/>
      <c r="AZ36" s="1638" t="s">
        <v>556</v>
      </c>
      <c r="BA36" s="1401">
        <v>36</v>
      </c>
    </row>
    <row r="37" spans="1:53" s="99" customFormat="1" ht="12" customHeight="1">
      <c r="B37" s="158" t="s">
        <v>557</v>
      </c>
      <c r="D37" s="3331" t="s">
        <v>558</v>
      </c>
      <c r="E37" s="3331"/>
      <c r="F37" s="600">
        <f>SUM(F38:F40)</f>
        <v>0.13999991319180705</v>
      </c>
      <c r="G37" s="322"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79"/>
      <c r="W37" s="99" t="str">
        <f>B37</f>
        <v>CONTRACTOR SERVICES</v>
      </c>
      <c r="AZ37" s="1638"/>
      <c r="BA37" s="1401">
        <v>37</v>
      </c>
    </row>
    <row r="38" spans="1:53" s="99" customFormat="1" ht="11.25" customHeight="1">
      <c r="B38" s="99" t="s">
        <v>559</v>
      </c>
      <c r="D38" s="1619">
        <f>'DCA Underwriting Assumptions'!$R$38</f>
        <v>0.06</v>
      </c>
      <c r="E38" s="1620">
        <f>ROUNDDOWN(D38*(G28+G36),0)</f>
        <v>580590</v>
      </c>
      <c r="F38" s="1621">
        <f>IF(($G$28+$G$36)=0,0,G38/($G$28+$G$36))</f>
        <v>5.9999962796488733E-2</v>
      </c>
      <c r="G38" s="3177">
        <f>E38</f>
        <v>580590</v>
      </c>
      <c r="H38" s="3178"/>
      <c r="I38" s="100"/>
      <c r="J38" s="3177"/>
      <c r="K38" s="3178"/>
      <c r="L38" s="657"/>
      <c r="M38" s="3177"/>
      <c r="N38" s="3178"/>
      <c r="P38" s="3177">
        <f>G38</f>
        <v>580590</v>
      </c>
      <c r="Q38" s="3178"/>
      <c r="S38" s="3177"/>
      <c r="T38" s="3178"/>
      <c r="V38" s="676"/>
      <c r="W38" s="3289"/>
      <c r="X38" s="3290"/>
      <c r="AZ38" s="1638"/>
      <c r="BA38" s="1401">
        <v>38</v>
      </c>
    </row>
    <row r="39" spans="1:53" s="99" customFormat="1" ht="11.25" customHeight="1">
      <c r="B39" s="99" t="s">
        <v>560</v>
      </c>
      <c r="D39" s="1619">
        <f>'DCA Underwriting Assumptions'!$R$39</f>
        <v>0.02</v>
      </c>
      <c r="E39" s="1620">
        <f>ROUNDDOWN(D39*(G28+G36),0)</f>
        <v>193530</v>
      </c>
      <c r="F39" s="1621">
        <f>IF(($G$28+$G$36)=0,0,G39/($G$28+$G$36))</f>
        <v>1.9999987598829577E-2</v>
      </c>
      <c r="G39" s="3188">
        <f t="shared" ref="G39:G40" si="1">E39</f>
        <v>193530</v>
      </c>
      <c r="H39" s="3189"/>
      <c r="I39" s="100"/>
      <c r="J39" s="3188"/>
      <c r="K39" s="3189"/>
      <c r="L39" s="657"/>
      <c r="M39" s="3188"/>
      <c r="N39" s="3189"/>
      <c r="P39" s="3188">
        <f t="shared" ref="P39:P40" si="2">G39</f>
        <v>193530</v>
      </c>
      <c r="Q39" s="3189"/>
      <c r="S39" s="3188"/>
      <c r="T39" s="3189"/>
      <c r="V39" s="676"/>
      <c r="W39" s="3289"/>
      <c r="X39" s="3290"/>
      <c r="AZ39" s="1638"/>
      <c r="BA39" s="1401">
        <v>39</v>
      </c>
    </row>
    <row r="40" spans="1:53" s="99" customFormat="1" ht="11.25" customHeight="1" thickBot="1">
      <c r="B40" s="99" t="s">
        <v>561</v>
      </c>
      <c r="D40" s="1622">
        <f>'DCA Underwriting Assumptions'!$R$40</f>
        <v>0.06</v>
      </c>
      <c r="E40" s="1623">
        <f>ROUNDDOWN(D40*(G28+G36),0)</f>
        <v>580590</v>
      </c>
      <c r="F40" s="1624">
        <f>IF(($G$28+$G$36)=0,0,G40/($G$28+$G$36))</f>
        <v>5.9999962796488733E-2</v>
      </c>
      <c r="G40" s="3287">
        <f t="shared" si="1"/>
        <v>580590</v>
      </c>
      <c r="H40" s="3288"/>
      <c r="I40" s="100"/>
      <c r="J40" s="3287"/>
      <c r="K40" s="3288"/>
      <c r="L40" s="657"/>
      <c r="M40" s="3287"/>
      <c r="N40" s="3288"/>
      <c r="P40" s="3287">
        <f t="shared" si="2"/>
        <v>580590</v>
      </c>
      <c r="Q40" s="3288"/>
      <c r="S40" s="3287"/>
      <c r="T40" s="3288"/>
      <c r="V40" s="676"/>
      <c r="W40" s="3296"/>
      <c r="X40" s="3297"/>
      <c r="AZ40" s="1638"/>
      <c r="BA40" s="1401">
        <v>40</v>
      </c>
    </row>
    <row r="41" spans="1:53" s="99" customFormat="1" ht="12.6" customHeight="1" thickTop="1">
      <c r="B41" s="102" t="s">
        <v>562</v>
      </c>
      <c r="D41" s="601">
        <f>SUM(D38:D40)</f>
        <v>0.14000000000000001</v>
      </c>
      <c r="E41" s="602">
        <f>SUM(E38:E40)</f>
        <v>1354710</v>
      </c>
      <c r="F41" s="1618" t="s">
        <v>536</v>
      </c>
      <c r="G41" s="3285">
        <f>SUM(G38:G40)</f>
        <v>1354710</v>
      </c>
      <c r="H41" s="3286"/>
      <c r="J41" s="3285">
        <f>SUM(J38:J40)</f>
        <v>0</v>
      </c>
      <c r="K41" s="3286"/>
      <c r="L41" s="195"/>
      <c r="M41" s="3285">
        <f>SUM(M38:M40)</f>
        <v>0</v>
      </c>
      <c r="N41" s="3286"/>
      <c r="P41" s="3285">
        <f>SUM(P38:P40)</f>
        <v>1354710</v>
      </c>
      <c r="Q41" s="3286"/>
      <c r="S41" s="3285">
        <f>SUM(S38:S40)</f>
        <v>0</v>
      </c>
      <c r="T41" s="3286"/>
      <c r="V41" s="678">
        <f>SUM(V38:V40)</f>
        <v>0</v>
      </c>
      <c r="W41" s="3298"/>
      <c r="X41" s="3299"/>
      <c r="AZ41" s="1638" t="s">
        <v>563</v>
      </c>
      <c r="BA41" s="1401">
        <v>41</v>
      </c>
    </row>
    <row r="42" spans="1:53" s="99" customFormat="1" ht="3" customHeight="1">
      <c r="A42" s="278"/>
      <c r="B42" s="278"/>
      <c r="C42" s="278"/>
      <c r="D42" s="278"/>
      <c r="E42" s="278"/>
      <c r="F42" s="278"/>
      <c r="G42" s="278"/>
      <c r="H42" s="278"/>
      <c r="I42" s="278"/>
      <c r="J42" s="278"/>
      <c r="K42" s="278"/>
      <c r="L42" s="278"/>
      <c r="M42" s="278"/>
      <c r="N42" s="278"/>
      <c r="O42" s="278"/>
      <c r="P42" s="278"/>
      <c r="Q42" s="278"/>
      <c r="R42" s="278"/>
      <c r="S42" s="278"/>
      <c r="T42" s="278"/>
      <c r="V42" s="679"/>
      <c r="AZ42" s="1638"/>
      <c r="BA42" s="1401">
        <v>42</v>
      </c>
    </row>
    <row r="43" spans="1:53" s="99" customFormat="1">
      <c r="A43" s="278"/>
      <c r="C43" s="2891" t="s">
        <v>564</v>
      </c>
      <c r="D43" s="2892"/>
      <c r="E43" s="2893"/>
      <c r="F43" s="2893"/>
      <c r="G43" s="3351">
        <f>G28+G36+G41</f>
        <v>11031216</v>
      </c>
      <c r="H43" s="3352"/>
      <c r="I43" s="278"/>
      <c r="J43" s="278"/>
      <c r="K43" s="278"/>
      <c r="L43" s="278"/>
      <c r="M43" s="278"/>
      <c r="N43" s="278"/>
      <c r="O43" s="278"/>
      <c r="P43" s="278"/>
      <c r="Q43" s="278"/>
      <c r="R43" s="278"/>
      <c r="S43" s="278"/>
      <c r="T43" s="278"/>
      <c r="V43" s="679"/>
      <c r="AZ43" s="1638"/>
      <c r="BA43" s="1401">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91" t="s">
        <v>565</v>
      </c>
      <c r="BA44" s="1401">
        <v>44</v>
      </c>
    </row>
    <row r="45" spans="1:53" s="99" customFormat="1" ht="12" customHeight="1">
      <c r="B45" s="158" t="s">
        <v>566</v>
      </c>
      <c r="J45" s="195"/>
      <c r="K45" s="192"/>
      <c r="M45" s="195"/>
      <c r="N45" s="192"/>
      <c r="O45" s="194" t="str">
        <f>B45</f>
        <v>OTHER CONSTRUCTION HARD COSTS (Non-GC work scope items done by Owner)</v>
      </c>
      <c r="P45" s="195"/>
      <c r="Q45" s="192"/>
      <c r="S45" s="195"/>
      <c r="T45" s="192"/>
      <c r="V45" s="679"/>
      <c r="W45" s="99" t="str">
        <f>B45</f>
        <v>OTHER CONSTRUCTION HARD COSTS (Non-GC work scope items done by Owner)</v>
      </c>
      <c r="AZ45" s="1638"/>
      <c r="BA45" s="1401">
        <v>45</v>
      </c>
    </row>
    <row r="46" spans="1:53" ht="11.25" customHeight="1">
      <c r="B46" s="102" t="s">
        <v>567</v>
      </c>
      <c r="C46" s="3324"/>
      <c r="D46" s="3349"/>
      <c r="E46" s="3349"/>
      <c r="F46" s="3350"/>
      <c r="G46" s="3335"/>
      <c r="H46" s="3336"/>
      <c r="I46" s="99"/>
      <c r="J46" s="3335"/>
      <c r="K46" s="3336"/>
      <c r="L46" s="657"/>
      <c r="M46" s="3335"/>
      <c r="N46" s="3336"/>
      <c r="O46" s="99"/>
      <c r="P46" s="3335"/>
      <c r="Q46" s="3336"/>
      <c r="R46" s="99"/>
      <c r="S46" s="3335"/>
      <c r="T46" s="3336"/>
      <c r="V46" s="676"/>
      <c r="W46" s="3337"/>
      <c r="X46" s="3338"/>
      <c r="AZ46" s="1638"/>
      <c r="BA46" s="1401">
        <v>46</v>
      </c>
    </row>
    <row r="47" spans="1:53" s="99" customFormat="1" ht="6" customHeight="1">
      <c r="A47" s="278"/>
      <c r="B47" s="278"/>
      <c r="C47" s="278"/>
      <c r="D47" s="278"/>
      <c r="E47" s="278"/>
      <c r="F47" s="278"/>
      <c r="G47" s="278"/>
      <c r="H47" s="278"/>
      <c r="I47" s="278"/>
      <c r="J47" s="278"/>
      <c r="K47" s="278"/>
      <c r="L47" s="278"/>
      <c r="M47" s="278"/>
      <c r="N47" s="278"/>
      <c r="O47" s="278"/>
      <c r="P47" s="278"/>
      <c r="Q47" s="278"/>
      <c r="R47" s="278"/>
      <c r="S47" s="278"/>
      <c r="T47" s="278"/>
      <c r="V47" s="679"/>
      <c r="W47" s="3339"/>
      <c r="X47" s="3340"/>
      <c r="AZ47" s="1638" t="s">
        <v>568</v>
      </c>
      <c r="BA47" s="1401">
        <v>47</v>
      </c>
    </row>
    <row r="48" spans="1:53" s="99" customFormat="1" ht="12.6" customHeight="1">
      <c r="B48" s="1364" t="s">
        <v>569</v>
      </c>
      <c r="C48" s="1365"/>
      <c r="E48" s="3343" t="s">
        <v>570</v>
      </c>
      <c r="F48" s="1366">
        <f>C49/'Part V-Revenues &amp; Expenses'!$P$65</f>
        <v>55433.246231155776</v>
      </c>
      <c r="G48" s="1367" t="s">
        <v>571</v>
      </c>
      <c r="H48" s="1368"/>
      <c r="I48" s="1368"/>
      <c r="J48" s="3345">
        <f>C49/'Part V-Revenues &amp; Expenses'!$P$67</f>
        <v>55433.246231155776</v>
      </c>
      <c r="K48" s="3345"/>
      <c r="L48" s="1368"/>
      <c r="M48" s="3346" t="s">
        <v>572</v>
      </c>
      <c r="N48" s="3346"/>
      <c r="O48" s="1368"/>
      <c r="P48" s="3345">
        <f>C49/'Part V-Revenues &amp; Expenses'!$K$175</f>
        <v>51.455407119934321</v>
      </c>
      <c r="Q48" s="3345"/>
      <c r="R48" s="1368"/>
      <c r="S48" s="3347" t="s">
        <v>573</v>
      </c>
      <c r="T48" s="3348"/>
      <c r="V48" s="679"/>
      <c r="W48" s="3339"/>
      <c r="X48" s="3340"/>
      <c r="AZ48" s="1638"/>
      <c r="BA48" s="1401">
        <v>48</v>
      </c>
    </row>
    <row r="49" spans="1:53" s="99" customFormat="1" ht="12.6" customHeight="1">
      <c r="B49" s="1408" t="s">
        <v>574</v>
      </c>
      <c r="C49" s="1407">
        <f>G28+G36+G41+G46</f>
        <v>11031216</v>
      </c>
      <c r="E49" s="3344"/>
      <c r="F49" s="1369">
        <f>C49/'Part V-Revenues &amp; Expenses'!$P$166</f>
        <v>53.417604075367173</v>
      </c>
      <c r="G49" s="1370" t="s">
        <v>575</v>
      </c>
      <c r="H49" s="1371"/>
      <c r="I49" s="1371"/>
      <c r="J49" s="3333">
        <f>C49/'Part V-Revenues &amp; Expenses'!$P$168</f>
        <v>53.417604075367173</v>
      </c>
      <c r="K49" s="3333"/>
      <c r="L49" s="1371"/>
      <c r="M49" s="3334" t="s">
        <v>576</v>
      </c>
      <c r="N49" s="3334"/>
      <c r="O49" s="1371"/>
      <c r="P49" s="1371"/>
      <c r="Q49" s="1371"/>
      <c r="R49" s="1371"/>
      <c r="S49" s="1371"/>
      <c r="T49" s="1372"/>
      <c r="V49" s="679"/>
      <c r="W49" s="3341"/>
      <c r="X49" s="3342"/>
      <c r="AZ49" s="1638"/>
      <c r="BA49" s="1401">
        <v>49</v>
      </c>
    </row>
    <row r="50" spans="1:53" s="99" customFormat="1" ht="3" customHeight="1" thickBot="1">
      <c r="A50" s="278"/>
      <c r="B50" s="278"/>
      <c r="C50" s="278"/>
      <c r="D50" s="278"/>
      <c r="E50" s="278"/>
      <c r="F50" s="278"/>
      <c r="G50" s="278"/>
      <c r="H50" s="278"/>
      <c r="I50" s="278"/>
      <c r="J50" s="278"/>
      <c r="K50" s="278"/>
      <c r="L50" s="278"/>
      <c r="M50" s="278"/>
      <c r="N50" s="278"/>
      <c r="O50" s="278"/>
      <c r="P50" s="278"/>
      <c r="Q50" s="278"/>
      <c r="R50" s="278"/>
      <c r="S50" s="278"/>
      <c r="T50" s="278"/>
      <c r="V50" s="679"/>
      <c r="AZ50" s="1638"/>
      <c r="BA50" s="1401">
        <v>56</v>
      </c>
    </row>
    <row r="51" spans="1:53" s="99" customFormat="1" ht="18.75" customHeight="1" thickBot="1">
      <c r="A51" s="247" t="s">
        <v>21</v>
      </c>
      <c r="B51" s="247" t="s">
        <v>577</v>
      </c>
      <c r="J51" s="3305" t="s">
        <v>517</v>
      </c>
      <c r="K51" s="3306"/>
      <c r="L51" s="192"/>
      <c r="M51" s="3311" t="s">
        <v>518</v>
      </c>
      <c r="N51" s="3312"/>
      <c r="P51" s="3305" t="s">
        <v>519</v>
      </c>
      <c r="Q51" s="3306"/>
      <c r="S51" s="3305" t="s">
        <v>520</v>
      </c>
      <c r="T51" s="3306"/>
      <c r="V51" s="679"/>
      <c r="W51" s="248" t="str">
        <f>B51</f>
        <v>DEVELOPMENT BUDGET (cont'd)</v>
      </c>
      <c r="AZ51" s="1638"/>
      <c r="BA51" s="1401">
        <v>58</v>
      </c>
    </row>
    <row r="52" spans="1:53" s="99" customFormat="1" ht="18.75" customHeight="1" thickBot="1">
      <c r="G52" s="3291" t="s">
        <v>521</v>
      </c>
      <c r="H52" s="3292"/>
      <c r="J52" s="3307"/>
      <c r="K52" s="3308"/>
      <c r="L52" s="192"/>
      <c r="M52" s="3313"/>
      <c r="N52" s="3314"/>
      <c r="P52" s="3307"/>
      <c r="Q52" s="3308"/>
      <c r="S52" s="3307"/>
      <c r="T52" s="3308"/>
      <c r="V52" s="679"/>
      <c r="W52" s="3406" t="s">
        <v>358</v>
      </c>
      <c r="X52" s="3406"/>
      <c r="AZ52" s="1638"/>
      <c r="BA52" s="1401">
        <v>59</v>
      </c>
    </row>
    <row r="53" spans="1:53" s="99" customFormat="1" ht="9" customHeight="1">
      <c r="A53" s="278"/>
      <c r="B53" s="278"/>
      <c r="C53" s="278"/>
      <c r="D53" s="278"/>
      <c r="E53" s="278"/>
      <c r="F53" s="278"/>
      <c r="G53" s="278"/>
      <c r="H53" s="278"/>
      <c r="I53" s="278"/>
      <c r="J53" s="278"/>
      <c r="K53" s="278"/>
      <c r="L53" s="278"/>
      <c r="M53" s="278"/>
      <c r="N53" s="278"/>
      <c r="O53" s="278"/>
      <c r="P53" s="278"/>
      <c r="Q53" s="278"/>
      <c r="R53" s="278"/>
      <c r="S53" s="278"/>
      <c r="T53" s="278"/>
      <c r="V53" s="679"/>
      <c r="AZ53" s="591"/>
      <c r="BA53" s="1401">
        <v>50</v>
      </c>
    </row>
    <row r="54" spans="1:53" s="99" customFormat="1" ht="12" customHeight="1">
      <c r="B54" s="158" t="s">
        <v>578</v>
      </c>
      <c r="F54" s="149" t="s">
        <v>579</v>
      </c>
      <c r="G54" s="291" t="str">
        <f>IF(G55&gt;E55,"Check Contingency Amount!!!!","")</f>
        <v/>
      </c>
      <c r="J54" s="195"/>
      <c r="K54" s="192"/>
      <c r="M54" s="195"/>
      <c r="N54" s="192"/>
      <c r="O54" s="194" t="str">
        <f>B54</f>
        <v>CONSTRUCTION CONTINGENCY (CC)</v>
      </c>
      <c r="P54" s="195"/>
      <c r="Q54" s="192"/>
      <c r="S54" s="195"/>
      <c r="T54" s="192"/>
      <c r="V54" s="679"/>
      <c r="W54" s="99" t="str">
        <f>B54</f>
        <v>CONSTRUCTION CONTINGENCY (CC)</v>
      </c>
      <c r="AZ54" s="1638"/>
      <c r="BA54" s="1401">
        <v>51</v>
      </c>
    </row>
    <row r="55" spans="1:53" ht="11.25" customHeight="1">
      <c r="B55" s="99" t="s">
        <v>580</v>
      </c>
      <c r="D55" s="520" t="s">
        <v>581</v>
      </c>
      <c r="E55" s="144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1103121.6000000001</v>
      </c>
      <c r="F55" s="1448">
        <f>G55/C49</f>
        <v>0.1</v>
      </c>
      <c r="G55" s="3335">
        <f>G43*10%</f>
        <v>1103121.6000000001</v>
      </c>
      <c r="H55" s="3336"/>
      <c r="I55" s="99"/>
      <c r="J55" s="3335"/>
      <c r="K55" s="3336"/>
      <c r="L55" s="657"/>
      <c r="M55" s="3335"/>
      <c r="N55" s="3336"/>
      <c r="O55" s="99"/>
      <c r="P55" s="3335">
        <f>G55</f>
        <v>1103121.6000000001</v>
      </c>
      <c r="Q55" s="3336"/>
      <c r="R55" s="99"/>
      <c r="S55" s="3335">
        <f>G55-P55</f>
        <v>0</v>
      </c>
      <c r="T55" s="3336"/>
      <c r="V55" s="676"/>
      <c r="W55" s="3289"/>
      <c r="X55" s="3290"/>
      <c r="AZ55" s="1638"/>
      <c r="BA55" s="1401">
        <v>52</v>
      </c>
    </row>
    <row r="56" spans="1:53" s="99" customFormat="1" ht="6" customHeight="1">
      <c r="A56" s="278"/>
      <c r="B56" s="278"/>
      <c r="C56" s="278"/>
      <c r="D56" s="278"/>
      <c r="E56" s="278"/>
      <c r="F56" s="278"/>
      <c r="G56" s="278"/>
      <c r="H56" s="278"/>
      <c r="I56" s="278"/>
      <c r="J56" s="278"/>
      <c r="K56" s="278"/>
      <c r="L56" s="278"/>
      <c r="M56" s="278"/>
      <c r="N56" s="278"/>
      <c r="O56" s="278"/>
      <c r="P56" s="278"/>
      <c r="Q56" s="278"/>
      <c r="R56" s="278"/>
      <c r="S56" s="278"/>
      <c r="T56" s="278"/>
      <c r="V56" s="679"/>
      <c r="W56" s="3337"/>
      <c r="X56" s="3338"/>
      <c r="AZ56" s="1638"/>
      <c r="BA56" s="1401">
        <v>53</v>
      </c>
    </row>
    <row r="57" spans="1:53" s="99" customFormat="1" ht="12.6" customHeight="1">
      <c r="B57" s="1373" t="s">
        <v>582</v>
      </c>
      <c r="C57" s="1365"/>
      <c r="E57" s="3423" t="s">
        <v>583</v>
      </c>
      <c r="F57" s="1366">
        <f>B58/'Part V-Revenues &amp; Expenses'!$P$65</f>
        <v>60976.570854271355</v>
      </c>
      <c r="G57" s="1367" t="s">
        <v>571</v>
      </c>
      <c r="H57" s="1368"/>
      <c r="I57" s="1368"/>
      <c r="J57" s="3345">
        <f>B58/'Part V-Revenues &amp; Expenses'!$P$67</f>
        <v>60976.570854271355</v>
      </c>
      <c r="K57" s="3345"/>
      <c r="L57" s="1368"/>
      <c r="M57" s="3346" t="s">
        <v>572</v>
      </c>
      <c r="N57" s="3346"/>
      <c r="O57" s="1368"/>
      <c r="P57" s="3345">
        <f>B58/'Part V-Revenues &amp; Expenses'!$K$175</f>
        <v>56.600947831927755</v>
      </c>
      <c r="Q57" s="3345"/>
      <c r="R57" s="1368"/>
      <c r="S57" s="3347" t="s">
        <v>573</v>
      </c>
      <c r="T57" s="3348"/>
      <c r="V57" s="679"/>
      <c r="W57" s="3339"/>
      <c r="X57" s="3340"/>
      <c r="AZ57" s="1638"/>
      <c r="BA57" s="1401">
        <v>54</v>
      </c>
    </row>
    <row r="58" spans="1:53" s="99" customFormat="1" ht="12.6" customHeight="1">
      <c r="B58" s="3421">
        <f>C49+G55</f>
        <v>12134337.6</v>
      </c>
      <c r="C58" s="3422"/>
      <c r="E58" s="3424"/>
      <c r="F58" s="1369">
        <f>B58/'Part V-Revenues &amp; Expenses'!$P$166</f>
        <v>58.759364482903891</v>
      </c>
      <c r="G58" s="1370" t="s">
        <v>575</v>
      </c>
      <c r="H58" s="1371"/>
      <c r="I58" s="1371"/>
      <c r="J58" s="3333">
        <f>B58/'Part V-Revenues &amp; Expenses'!$P$168</f>
        <v>58.759364482903891</v>
      </c>
      <c r="K58" s="3333"/>
      <c r="L58" s="1371"/>
      <c r="M58" s="3334" t="s">
        <v>576</v>
      </c>
      <c r="N58" s="3334"/>
      <c r="O58" s="1371"/>
      <c r="P58" s="1371"/>
      <c r="Q58" s="1371"/>
      <c r="R58" s="1371"/>
      <c r="S58" s="1371"/>
      <c r="T58" s="1372"/>
      <c r="V58" s="679"/>
      <c r="W58" s="3339"/>
      <c r="X58" s="3340"/>
      <c r="AZ58" s="1638"/>
      <c r="BA58" s="1401">
        <v>55</v>
      </c>
    </row>
    <row r="59" spans="1:53" s="99" customFormat="1" ht="6" customHeight="1">
      <c r="A59" s="278"/>
      <c r="B59" s="278"/>
      <c r="C59" s="278"/>
      <c r="D59" s="278"/>
      <c r="E59" s="278"/>
      <c r="F59" s="278"/>
      <c r="G59" s="278"/>
      <c r="H59" s="278"/>
      <c r="I59" s="278"/>
      <c r="J59" s="278"/>
      <c r="K59" s="278"/>
      <c r="L59" s="278"/>
      <c r="M59" s="278"/>
      <c r="N59" s="278"/>
      <c r="O59" s="278"/>
      <c r="P59" s="278"/>
      <c r="Q59" s="278"/>
      <c r="R59" s="278"/>
      <c r="S59" s="278"/>
      <c r="T59" s="278"/>
      <c r="V59" s="679"/>
      <c r="W59" s="3341"/>
      <c r="X59" s="3342"/>
      <c r="AZ59" s="1638"/>
      <c r="BA59" s="1401">
        <v>53</v>
      </c>
    </row>
    <row r="60" spans="1:53" s="99" customFormat="1" ht="12" customHeight="1">
      <c r="B60" s="158" t="s">
        <v>584</v>
      </c>
      <c r="J60" s="195"/>
      <c r="K60" s="192"/>
      <c r="M60" s="195"/>
      <c r="N60" s="192"/>
      <c r="O60" s="194" t="str">
        <f>B60</f>
        <v>CONSTRUCTION PERIOD FINANCING</v>
      </c>
      <c r="P60" s="195"/>
      <c r="Q60" s="192"/>
      <c r="S60" s="195"/>
      <c r="T60" s="192"/>
      <c r="V60" s="679"/>
      <c r="W60" s="99" t="str">
        <f>B60</f>
        <v>CONSTRUCTION PERIOD FINANCING</v>
      </c>
      <c r="AZ60" s="1638"/>
      <c r="BA60" s="1401">
        <v>60</v>
      </c>
    </row>
    <row r="61" spans="1:53" s="99" customFormat="1" ht="12" customHeight="1">
      <c r="B61" s="99" t="s">
        <v>585</v>
      </c>
      <c r="G61" s="3177"/>
      <c r="H61" s="3178"/>
      <c r="J61" s="3177"/>
      <c r="K61" s="3178"/>
      <c r="L61" s="657"/>
      <c r="M61" s="3177"/>
      <c r="N61" s="3178"/>
      <c r="P61" s="3177"/>
      <c r="Q61" s="3178"/>
      <c r="S61" s="3177"/>
      <c r="T61" s="3178"/>
      <c r="V61" s="680"/>
      <c r="W61" s="3289"/>
      <c r="X61" s="3290"/>
      <c r="AZ61" s="1638"/>
      <c r="BA61" s="1401">
        <v>61</v>
      </c>
    </row>
    <row r="62" spans="1:53" s="99" customFormat="1" ht="12" customHeight="1">
      <c r="B62" s="99" t="s">
        <v>586</v>
      </c>
      <c r="G62" s="3188"/>
      <c r="H62" s="3189"/>
      <c r="J62" s="3188"/>
      <c r="K62" s="3189"/>
      <c r="L62" s="657"/>
      <c r="M62" s="3188"/>
      <c r="N62" s="3189"/>
      <c r="P62" s="3188"/>
      <c r="Q62" s="3189"/>
      <c r="S62" s="3188"/>
      <c r="T62" s="3189"/>
      <c r="V62" s="680"/>
      <c r="W62" s="3289"/>
      <c r="X62" s="3290"/>
      <c r="AZ62" s="1638"/>
      <c r="BA62" s="1401">
        <v>62</v>
      </c>
    </row>
    <row r="63" spans="1:53" s="99" customFormat="1" ht="12" customHeight="1">
      <c r="B63" s="99" t="s">
        <v>587</v>
      </c>
      <c r="G63" s="3188">
        <v>260000</v>
      </c>
      <c r="H63" s="3189"/>
      <c r="J63" s="3188"/>
      <c r="K63" s="3189"/>
      <c r="L63" s="657"/>
      <c r="M63" s="3188"/>
      <c r="N63" s="3189"/>
      <c r="P63" s="3188">
        <f>G63*0.5683</f>
        <v>147758</v>
      </c>
      <c r="Q63" s="3189"/>
      <c r="S63" s="3188">
        <f>G63-P63</f>
        <v>112242</v>
      </c>
      <c r="T63" s="3189"/>
      <c r="V63" s="680"/>
      <c r="W63" s="3289"/>
      <c r="X63" s="3290"/>
      <c r="AZ63" s="1638"/>
      <c r="BA63" s="1401">
        <v>63</v>
      </c>
    </row>
    <row r="64" spans="1:53" s="99" customFormat="1" ht="12" customHeight="1">
      <c r="B64" s="99" t="s">
        <v>588</v>
      </c>
      <c r="G64" s="3188">
        <f>P64+S64</f>
        <v>1658641</v>
      </c>
      <c r="H64" s="3189"/>
      <c r="J64" s="3188"/>
      <c r="K64" s="3189"/>
      <c r="L64" s="657"/>
      <c r="M64" s="3188"/>
      <c r="N64" s="3189"/>
      <c r="P64" s="3188">
        <v>1057741</v>
      </c>
      <c r="Q64" s="3189"/>
      <c r="S64" s="3188">
        <v>600900</v>
      </c>
      <c r="T64" s="3189"/>
      <c r="V64" s="680"/>
      <c r="W64" s="3289"/>
      <c r="X64" s="3290"/>
      <c r="AZ64" s="1638"/>
      <c r="BA64" s="1401">
        <v>64</v>
      </c>
    </row>
    <row r="65" spans="1:53" s="99" customFormat="1" ht="12" customHeight="1">
      <c r="B65" s="99" t="s">
        <v>589</v>
      </c>
      <c r="G65" s="3188">
        <v>68000</v>
      </c>
      <c r="H65" s="3189"/>
      <c r="J65" s="3188"/>
      <c r="K65" s="3189"/>
      <c r="L65" s="657"/>
      <c r="M65" s="3188"/>
      <c r="N65" s="3189"/>
      <c r="P65" s="3188">
        <f>G65*0.14</f>
        <v>9520</v>
      </c>
      <c r="Q65" s="3189"/>
      <c r="S65" s="3188">
        <f>G65-P65</f>
        <v>58480</v>
      </c>
      <c r="T65" s="3189"/>
      <c r="V65" s="680"/>
      <c r="W65" s="3289"/>
      <c r="X65" s="3290"/>
      <c r="AZ65" s="1638" t="s">
        <v>590</v>
      </c>
      <c r="BA65" s="1401">
        <v>65</v>
      </c>
    </row>
    <row r="66" spans="1:53" s="99" customFormat="1" ht="12" customHeight="1">
      <c r="B66" s="99" t="s">
        <v>591</v>
      </c>
      <c r="G66" s="3188">
        <f>21600+30500</f>
        <v>52100</v>
      </c>
      <c r="H66" s="3189"/>
      <c r="J66" s="3188"/>
      <c r="K66" s="3189"/>
      <c r="L66" s="657"/>
      <c r="M66" s="3188"/>
      <c r="N66" s="3189"/>
      <c r="P66" s="3188">
        <f t="shared" ref="P66:P70" si="3">G66</f>
        <v>52100</v>
      </c>
      <c r="Q66" s="3189"/>
      <c r="S66" s="3188"/>
      <c r="T66" s="3189"/>
      <c r="V66" s="680"/>
      <c r="W66" s="3289"/>
      <c r="X66" s="3290"/>
      <c r="AZ66" s="1638" t="s">
        <v>592</v>
      </c>
      <c r="BA66" s="1401">
        <v>66</v>
      </c>
    </row>
    <row r="67" spans="1:53" s="99" customFormat="1" ht="12" customHeight="1">
      <c r="B67" s="99" t="s">
        <v>593</v>
      </c>
      <c r="G67" s="3188">
        <v>114826</v>
      </c>
      <c r="H67" s="3189"/>
      <c r="J67" s="3188"/>
      <c r="K67" s="3189"/>
      <c r="L67" s="657"/>
      <c r="M67" s="3188"/>
      <c r="N67" s="3189"/>
      <c r="P67" s="3188">
        <f t="shared" si="3"/>
        <v>114826</v>
      </c>
      <c r="Q67" s="3189"/>
      <c r="S67" s="3188"/>
      <c r="T67" s="3189"/>
      <c r="V67" s="680"/>
      <c r="W67" s="3289"/>
      <c r="X67" s="3290"/>
      <c r="AZ67" s="1638" t="s">
        <v>594</v>
      </c>
      <c r="BA67" s="1401">
        <v>67</v>
      </c>
    </row>
    <row r="68" spans="1:53" s="99" customFormat="1" ht="12" customHeight="1">
      <c r="B68" s="99" t="s">
        <v>595</v>
      </c>
      <c r="G68" s="3188">
        <v>348384</v>
      </c>
      <c r="H68" s="3189"/>
      <c r="J68" s="3188"/>
      <c r="K68" s="3189"/>
      <c r="L68" s="657"/>
      <c r="M68" s="3188"/>
      <c r="N68" s="3189"/>
      <c r="P68" s="3188">
        <f>G68-S68</f>
        <v>221461</v>
      </c>
      <c r="Q68" s="3189"/>
      <c r="S68" s="3188">
        <v>126923</v>
      </c>
      <c r="T68" s="3189"/>
      <c r="V68" s="680"/>
      <c r="W68" s="3289"/>
      <c r="X68" s="3290"/>
      <c r="AZ68" s="1638"/>
      <c r="BA68" s="1401">
        <v>68</v>
      </c>
    </row>
    <row r="69" spans="1:53" s="99" customFormat="1" ht="12" customHeight="1">
      <c r="B69" s="99" t="s">
        <v>596</v>
      </c>
      <c r="G69" s="3188">
        <v>123722</v>
      </c>
      <c r="H69" s="3189"/>
      <c r="J69" s="3188"/>
      <c r="K69" s="3189"/>
      <c r="L69" s="657"/>
      <c r="M69" s="3188"/>
      <c r="N69" s="3189"/>
      <c r="P69" s="3188">
        <f t="shared" si="3"/>
        <v>123722</v>
      </c>
      <c r="Q69" s="3189"/>
      <c r="S69" s="3188"/>
      <c r="T69" s="3189"/>
      <c r="V69" s="680"/>
      <c r="W69" s="3289"/>
      <c r="X69" s="3290"/>
      <c r="AZ69" s="1638"/>
      <c r="BA69" s="1401">
        <v>69</v>
      </c>
    </row>
    <row r="70" spans="1:53" s="99" customFormat="1" ht="12" customHeight="1">
      <c r="B70" s="199" t="s">
        <v>597</v>
      </c>
      <c r="D70" s="197"/>
      <c r="E70" s="197"/>
      <c r="F70" s="198"/>
      <c r="G70" s="3188">
        <v>93762</v>
      </c>
      <c r="H70" s="3189"/>
      <c r="I70" s="100"/>
      <c r="J70" s="3188"/>
      <c r="K70" s="3189"/>
      <c r="L70" s="657"/>
      <c r="M70" s="3188"/>
      <c r="N70" s="3189"/>
      <c r="P70" s="3188">
        <f t="shared" si="3"/>
        <v>93762</v>
      </c>
      <c r="Q70" s="3189"/>
      <c r="S70" s="3188"/>
      <c r="T70" s="3189"/>
      <c r="V70" s="680"/>
      <c r="W70" s="3289"/>
      <c r="X70" s="3290"/>
      <c r="AZ70" s="1638"/>
      <c r="BA70" s="1401">
        <v>70</v>
      </c>
    </row>
    <row r="71" spans="1:53" s="99" customFormat="1" ht="12" customHeight="1">
      <c r="A71" s="214" t="str">
        <f>IF(AND(G71&gt;0,OR(C71="",C71="&lt;Enter detailed description here; use Comments section if needed&gt;")),"X","")</f>
        <v/>
      </c>
      <c r="B71" s="102" t="s">
        <v>598</v>
      </c>
      <c r="C71" s="3355"/>
      <c r="D71" s="3355"/>
      <c r="E71" s="3355"/>
      <c r="F71" s="3356"/>
      <c r="G71" s="3188"/>
      <c r="H71" s="3189"/>
      <c r="J71" s="3188"/>
      <c r="K71" s="3189"/>
      <c r="L71" s="657"/>
      <c r="M71" s="3188"/>
      <c r="N71" s="3189"/>
      <c r="P71" s="3188">
        <f t="shared" ref="P71" si="4">G71</f>
        <v>0</v>
      </c>
      <c r="Q71" s="3189"/>
      <c r="S71" s="3188"/>
      <c r="T71" s="3189"/>
      <c r="U71" s="213" t="str">
        <f>IF(AND(G71&gt;0,OR(C71="",C71="&lt;Enter detailed description here; use Comments section if needed&gt;")),"NO DESCRIPTION PROVIDED - please enter detailed description in Other box at left; use Comments section below if needed.","")</f>
        <v/>
      </c>
      <c r="V71" s="680"/>
      <c r="W71" s="3289"/>
      <c r="X71" s="3290"/>
      <c r="AZ71" s="1638"/>
      <c r="BA71" s="1401">
        <v>71</v>
      </c>
    </row>
    <row r="72" spans="1:53" s="99" customFormat="1" ht="12" customHeight="1" thickBot="1">
      <c r="A72" s="214" t="str">
        <f>IF(AND(G72&gt;0,OR(C72="",C72="&lt;Enter detailed description here; use Comments section if needed&gt;")),"X","")</f>
        <v/>
      </c>
      <c r="B72" s="102" t="s">
        <v>599</v>
      </c>
      <c r="C72" s="3353" t="s">
        <v>530</v>
      </c>
      <c r="D72" s="3353"/>
      <c r="E72" s="3353"/>
      <c r="F72" s="3354"/>
      <c r="G72" s="3137"/>
      <c r="H72" s="3138"/>
      <c r="J72" s="3137"/>
      <c r="K72" s="3138"/>
      <c r="L72" s="657"/>
      <c r="M72" s="3137"/>
      <c r="N72" s="3138"/>
      <c r="P72" s="3137"/>
      <c r="Q72" s="3138"/>
      <c r="S72" s="3137"/>
      <c r="T72" s="3138"/>
      <c r="U72" s="213" t="str">
        <f>IF(AND(G72&gt;0,OR(C72="",C72="&lt;Enter detailed description here; use Comments section if needed&gt;")),"NO DESCRIPTION PROVIDED - please enter detailed description in Other box at left; use Comments section below if needed.","")</f>
        <v/>
      </c>
      <c r="V72" s="680"/>
      <c r="W72" s="3296"/>
      <c r="X72" s="3297"/>
      <c r="AZ72" s="1638"/>
      <c r="BA72" s="1401">
        <v>72</v>
      </c>
    </row>
    <row r="73" spans="1:53" s="99" customFormat="1" ht="12" customHeight="1" thickTop="1">
      <c r="F73" s="193" t="s">
        <v>536</v>
      </c>
      <c r="G73" s="3285">
        <f>SUM(G61:G72)</f>
        <v>2719435</v>
      </c>
      <c r="H73" s="3286"/>
      <c r="J73" s="3285">
        <f>SUM(J61:J72)</f>
        <v>0</v>
      </c>
      <c r="K73" s="3286"/>
      <c r="L73" s="195"/>
      <c r="M73" s="3285">
        <f>SUM(M61:M72)</f>
        <v>0</v>
      </c>
      <c r="N73" s="3286"/>
      <c r="P73" s="3285">
        <f>SUM(P61:P72)</f>
        <v>1820890</v>
      </c>
      <c r="Q73" s="3286"/>
      <c r="S73" s="3285">
        <f>SUM(S61:S72)</f>
        <v>898545</v>
      </c>
      <c r="T73" s="3286"/>
      <c r="V73" s="2713">
        <f>SUM(V61:V72)</f>
        <v>0</v>
      </c>
      <c r="W73" s="3298"/>
      <c r="X73" s="3299"/>
      <c r="AZ73" s="1638"/>
      <c r="BA73" s="1401">
        <v>73</v>
      </c>
    </row>
    <row r="74" spans="1:53" s="99" customFormat="1" ht="12" customHeight="1">
      <c r="B74" s="158" t="s">
        <v>600</v>
      </c>
      <c r="G74" s="192"/>
      <c r="H74" s="192"/>
      <c r="J74" s="192"/>
      <c r="K74" s="192"/>
      <c r="M74" s="192"/>
      <c r="N74" s="192"/>
      <c r="O74" s="194" t="str">
        <f>B74</f>
        <v>PROFESSIONAL SERVICES</v>
      </c>
      <c r="P74" s="192"/>
      <c r="Q74" s="192"/>
      <c r="S74" s="192"/>
      <c r="T74" s="192"/>
      <c r="V74" s="679"/>
      <c r="W74" s="99" t="str">
        <f>B74</f>
        <v>PROFESSIONAL SERVICES</v>
      </c>
      <c r="AZ74" s="1638"/>
      <c r="BA74" s="1401">
        <v>74</v>
      </c>
    </row>
    <row r="75" spans="1:53" s="99" customFormat="1" ht="12" customHeight="1">
      <c r="B75" s="99" t="s">
        <v>601</v>
      </c>
      <c r="G75" s="3177">
        <v>290400</v>
      </c>
      <c r="H75" s="3178"/>
      <c r="J75" s="3177"/>
      <c r="K75" s="3178"/>
      <c r="L75" s="657"/>
      <c r="M75" s="3177"/>
      <c r="N75" s="3178"/>
      <c r="P75" s="3177">
        <f>G75</f>
        <v>290400</v>
      </c>
      <c r="Q75" s="3178"/>
      <c r="S75" s="3177"/>
      <c r="T75" s="3178"/>
      <c r="V75" s="676"/>
      <c r="W75" s="3289"/>
      <c r="X75" s="3290"/>
      <c r="AZ75" s="1638"/>
      <c r="BA75" s="1401">
        <v>75</v>
      </c>
    </row>
    <row r="76" spans="1:53" s="99" customFormat="1" ht="12" customHeight="1">
      <c r="B76" s="99" t="s">
        <v>602</v>
      </c>
      <c r="G76" s="3188">
        <v>72600</v>
      </c>
      <c r="H76" s="3189"/>
      <c r="J76" s="3188"/>
      <c r="K76" s="3189"/>
      <c r="L76" s="657"/>
      <c r="M76" s="3188"/>
      <c r="N76" s="3189"/>
      <c r="P76" s="3188">
        <f t="shared" ref="P76:P85" si="5">G76</f>
        <v>72600</v>
      </c>
      <c r="Q76" s="3189"/>
      <c r="S76" s="3188"/>
      <c r="T76" s="3189"/>
      <c r="V76" s="676"/>
      <c r="W76" s="3289"/>
      <c r="X76" s="3290"/>
      <c r="AZ76" s="1638"/>
      <c r="BA76" s="1401">
        <v>76</v>
      </c>
    </row>
    <row r="77" spans="1:53" s="99" customFormat="1" ht="12" customHeight="1">
      <c r="B77" s="99" t="s">
        <v>603</v>
      </c>
      <c r="D77" s="161"/>
      <c r="E77" s="671"/>
      <c r="F77" s="291"/>
      <c r="G77" s="3188">
        <v>42950</v>
      </c>
      <c r="H77" s="3189"/>
      <c r="J77" s="3188"/>
      <c r="K77" s="3189"/>
      <c r="L77" s="657"/>
      <c r="M77" s="3188"/>
      <c r="N77" s="3189"/>
      <c r="P77" s="3188">
        <f t="shared" si="5"/>
        <v>42950</v>
      </c>
      <c r="Q77" s="3189"/>
      <c r="S77" s="3188"/>
      <c r="T77" s="3189"/>
      <c r="V77" s="676"/>
      <c r="W77" s="3289"/>
      <c r="X77" s="3290"/>
      <c r="AZ77" s="1638"/>
      <c r="BA77" s="1401">
        <v>77</v>
      </c>
    </row>
    <row r="78" spans="1:53" s="99" customFormat="1" ht="12" customHeight="1">
      <c r="B78" s="99" t="s">
        <v>604</v>
      </c>
      <c r="G78" s="3188">
        <v>11100</v>
      </c>
      <c r="H78" s="3189"/>
      <c r="J78" s="3188"/>
      <c r="K78" s="3189"/>
      <c r="L78" s="657"/>
      <c r="M78" s="3188"/>
      <c r="N78" s="3189"/>
      <c r="P78" s="3188">
        <f t="shared" si="5"/>
        <v>11100</v>
      </c>
      <c r="Q78" s="3189"/>
      <c r="S78" s="3188"/>
      <c r="T78" s="3189"/>
      <c r="V78" s="676"/>
      <c r="W78" s="3289"/>
      <c r="X78" s="3290"/>
      <c r="AZ78" s="1638"/>
      <c r="BA78" s="1401">
        <v>78</v>
      </c>
    </row>
    <row r="79" spans="1:53" s="99" customFormat="1" ht="12" customHeight="1">
      <c r="B79" s="99" t="s">
        <v>605</v>
      </c>
      <c r="G79" s="3188">
        <v>15000</v>
      </c>
      <c r="H79" s="3189"/>
      <c r="J79" s="3188"/>
      <c r="K79" s="3189"/>
      <c r="L79" s="657"/>
      <c r="M79" s="3188"/>
      <c r="N79" s="3189"/>
      <c r="P79" s="3188">
        <f t="shared" si="5"/>
        <v>15000</v>
      </c>
      <c r="Q79" s="3189"/>
      <c r="S79" s="3188"/>
      <c r="T79" s="3189"/>
      <c r="V79" s="676"/>
      <c r="W79" s="3289"/>
      <c r="X79" s="3290"/>
      <c r="AZ79" s="1638" t="s">
        <v>606</v>
      </c>
      <c r="BA79" s="1401">
        <v>79</v>
      </c>
    </row>
    <row r="80" spans="1:53" s="99" customFormat="1" ht="12" customHeight="1">
      <c r="B80" s="99" t="s">
        <v>607</v>
      </c>
      <c r="G80" s="3188">
        <v>20000</v>
      </c>
      <c r="H80" s="3189"/>
      <c r="J80" s="3188"/>
      <c r="K80" s="3189"/>
      <c r="L80" s="657"/>
      <c r="M80" s="3188"/>
      <c r="N80" s="3189"/>
      <c r="P80" s="3188">
        <f t="shared" si="5"/>
        <v>20000</v>
      </c>
      <c r="Q80" s="3189"/>
      <c r="S80" s="3188"/>
      <c r="T80" s="3189"/>
      <c r="V80" s="676"/>
      <c r="W80" s="3289"/>
      <c r="X80" s="3290"/>
      <c r="AZ80" s="1638" t="s">
        <v>608</v>
      </c>
      <c r="BA80" s="1401">
        <v>80</v>
      </c>
    </row>
    <row r="81" spans="1:53" s="99" customFormat="1" ht="12" customHeight="1">
      <c r="B81" s="99" t="s">
        <v>609</v>
      </c>
      <c r="G81" s="3188">
        <f>70085</f>
        <v>70085</v>
      </c>
      <c r="H81" s="3189"/>
      <c r="J81" s="3188"/>
      <c r="K81" s="3189"/>
      <c r="L81" s="657"/>
      <c r="M81" s="3188"/>
      <c r="N81" s="3189"/>
      <c r="P81" s="3188">
        <f t="shared" si="5"/>
        <v>70085</v>
      </c>
      <c r="Q81" s="3189"/>
      <c r="S81" s="3188"/>
      <c r="T81" s="3189"/>
      <c r="V81" s="676"/>
      <c r="W81" s="3289"/>
      <c r="X81" s="3290"/>
      <c r="AZ81" s="591"/>
      <c r="BA81" s="1401">
        <v>81</v>
      </c>
    </row>
    <row r="82" spans="1:53" s="99" customFormat="1" ht="12" customHeight="1">
      <c r="B82" s="99" t="s">
        <v>610</v>
      </c>
      <c r="G82" s="3188">
        <v>172500</v>
      </c>
      <c r="H82" s="3189"/>
      <c r="J82" s="3188"/>
      <c r="K82" s="3189"/>
      <c r="L82" s="657"/>
      <c r="M82" s="3188"/>
      <c r="N82" s="3189"/>
      <c r="P82" s="3188">
        <f>G82*0.25</f>
        <v>43125</v>
      </c>
      <c r="Q82" s="3189"/>
      <c r="S82" s="3188">
        <f>G82-P82</f>
        <v>129375</v>
      </c>
      <c r="T82" s="3189"/>
      <c r="V82" s="676"/>
      <c r="W82" s="3289"/>
      <c r="X82" s="3290"/>
      <c r="AZ82" s="1638"/>
      <c r="BA82" s="1401">
        <v>82</v>
      </c>
    </row>
    <row r="83" spans="1:53" s="99" customFormat="1" ht="12" customHeight="1">
      <c r="B83" s="99" t="s">
        <v>611</v>
      </c>
      <c r="G83" s="3188">
        <f>34000+15000</f>
        <v>49000</v>
      </c>
      <c r="H83" s="3189"/>
      <c r="J83" s="3188"/>
      <c r="K83" s="3189"/>
      <c r="L83" s="657"/>
      <c r="M83" s="3188"/>
      <c r="N83" s="3189"/>
      <c r="P83" s="3188">
        <f t="shared" si="5"/>
        <v>49000</v>
      </c>
      <c r="Q83" s="3189"/>
      <c r="S83" s="3188"/>
      <c r="T83" s="3189"/>
      <c r="V83" s="676"/>
      <c r="W83" s="3289"/>
      <c r="X83" s="3290"/>
      <c r="AZ83" s="1638"/>
      <c r="BA83" s="1401">
        <v>83</v>
      </c>
    </row>
    <row r="84" spans="1:53" s="99" customFormat="1" ht="12" customHeight="1">
      <c r="B84" s="99" t="s">
        <v>612</v>
      </c>
      <c r="G84" s="3188">
        <v>35000</v>
      </c>
      <c r="H84" s="3189"/>
      <c r="J84" s="3188"/>
      <c r="K84" s="3189"/>
      <c r="L84" s="657"/>
      <c r="M84" s="3188"/>
      <c r="N84" s="3189"/>
      <c r="P84" s="3188">
        <f t="shared" si="5"/>
        <v>35000</v>
      </c>
      <c r="Q84" s="3189"/>
      <c r="S84" s="3188"/>
      <c r="T84" s="3189"/>
      <c r="V84" s="676"/>
      <c r="W84" s="3289"/>
      <c r="X84" s="3290"/>
      <c r="AZ84" s="1638"/>
      <c r="BA84" s="1401">
        <v>84</v>
      </c>
    </row>
    <row r="85" spans="1:53" s="99" customFormat="1" ht="12" customHeight="1" thickBot="1">
      <c r="A85" s="214" t="str">
        <f>IF(AND(G85&gt;0,OR(C85="",C85="&lt;Enter detailed description here; use Comments section if needed&gt;")),"X","")</f>
        <v/>
      </c>
      <c r="B85" s="102" t="s">
        <v>613</v>
      </c>
      <c r="C85" s="3324" t="s">
        <v>530</v>
      </c>
      <c r="D85" s="3324"/>
      <c r="E85" s="3324"/>
      <c r="F85" s="3325"/>
      <c r="G85" s="3137"/>
      <c r="H85" s="3138"/>
      <c r="J85" s="3137"/>
      <c r="K85" s="3138"/>
      <c r="L85" s="657"/>
      <c r="M85" s="3137"/>
      <c r="N85" s="3138"/>
      <c r="P85" s="3137">
        <f t="shared" si="5"/>
        <v>0</v>
      </c>
      <c r="Q85" s="3138"/>
      <c r="S85" s="3137"/>
      <c r="T85" s="3138"/>
      <c r="U85" s="213" t="str">
        <f>IF(AND(G85&gt;0,OR(C85="",C85="&lt;Enter detailed description here; use Comments section if needed&gt;")),"NO DESCRIPTION PROVIDED - please enter detailed description in Other box at left; use Comments section below if needed.","")</f>
        <v/>
      </c>
      <c r="V85" s="676"/>
      <c r="W85" s="3296"/>
      <c r="X85" s="3297"/>
      <c r="AZ85" s="1638"/>
      <c r="BA85" s="1401">
        <v>85</v>
      </c>
    </row>
    <row r="86" spans="1:53" s="99" customFormat="1" ht="12" customHeight="1" thickTop="1">
      <c r="F86" s="193" t="s">
        <v>536</v>
      </c>
      <c r="G86" s="3285">
        <f>SUM(G75:G85)</f>
        <v>778635</v>
      </c>
      <c r="H86" s="3286"/>
      <c r="J86" s="3285">
        <f>SUM(J75:J85)</f>
        <v>0</v>
      </c>
      <c r="K86" s="3286"/>
      <c r="L86" s="195"/>
      <c r="M86" s="3285">
        <f>SUM(M75:M85)</f>
        <v>0</v>
      </c>
      <c r="N86" s="3286"/>
      <c r="P86" s="3285">
        <f>SUM(P75:P85)</f>
        <v>649260</v>
      </c>
      <c r="Q86" s="3286"/>
      <c r="S86" s="3285">
        <f>SUM(S75:S85)</f>
        <v>129375</v>
      </c>
      <c r="T86" s="3286"/>
      <c r="V86" s="678">
        <f>SUM(V75:V85)</f>
        <v>0</v>
      </c>
      <c r="W86" s="3298"/>
      <c r="X86" s="3299"/>
      <c r="AZ86" s="1638" t="s">
        <v>614</v>
      </c>
      <c r="BA86" s="1401">
        <v>86</v>
      </c>
    </row>
    <row r="87" spans="1:53" ht="12" customHeight="1">
      <c r="A87" s="99"/>
      <c r="B87" s="158" t="s">
        <v>615</v>
      </c>
      <c r="C87" s="99"/>
      <c r="D87" s="545" t="s">
        <v>616</v>
      </c>
      <c r="E87" s="603">
        <f>G92/'Part V-Revenues &amp; Expenses'!$P$67</f>
        <v>402.0100502512563</v>
      </c>
      <c r="F87" s="99"/>
      <c r="G87" s="99"/>
      <c r="H87" s="99"/>
      <c r="I87" s="99"/>
      <c r="J87" s="195"/>
      <c r="K87" s="195"/>
      <c r="M87" s="195"/>
      <c r="N87" s="195"/>
      <c r="O87" s="194" t="str">
        <f>B87</f>
        <v>LOCAL GOVERNMENT FEES</v>
      </c>
      <c r="P87" s="195"/>
      <c r="Q87" s="195"/>
      <c r="S87" s="195"/>
      <c r="T87" s="195"/>
      <c r="V87" s="679"/>
      <c r="W87" s="99" t="str">
        <f>B87</f>
        <v>LOCAL GOVERNMENT FEES</v>
      </c>
      <c r="AZ87" s="1638"/>
      <c r="BA87" s="1401">
        <v>87</v>
      </c>
    </row>
    <row r="88" spans="1:53" s="99" customFormat="1" ht="12" customHeight="1">
      <c r="B88" s="99" t="s">
        <v>617</v>
      </c>
      <c r="G88" s="3177">
        <v>80000</v>
      </c>
      <c r="H88" s="3178"/>
      <c r="J88" s="3177"/>
      <c r="K88" s="3178"/>
      <c r="L88" s="657"/>
      <c r="M88" s="3177"/>
      <c r="N88" s="3178"/>
      <c r="P88" s="3177">
        <f>G88</f>
        <v>80000</v>
      </c>
      <c r="Q88" s="3178"/>
      <c r="S88" s="3177"/>
      <c r="T88" s="3178"/>
      <c r="V88" s="676"/>
      <c r="W88" s="3289"/>
      <c r="X88" s="3290"/>
      <c r="AZ88" s="1638"/>
      <c r="BA88" s="1401">
        <v>88</v>
      </c>
    </row>
    <row r="89" spans="1:53" s="99" customFormat="1" ht="12" customHeight="1">
      <c r="B89" s="99" t="s">
        <v>618</v>
      </c>
      <c r="G89" s="3188">
        <v>0</v>
      </c>
      <c r="H89" s="3189"/>
      <c r="J89" s="3188"/>
      <c r="K89" s="3189"/>
      <c r="L89" s="657"/>
      <c r="M89" s="3188"/>
      <c r="N89" s="3189"/>
      <c r="P89" s="3188"/>
      <c r="Q89" s="3189"/>
      <c r="S89" s="3188"/>
      <c r="T89" s="3189"/>
      <c r="V89" s="676"/>
      <c r="W89" s="3289"/>
      <c r="X89" s="3290"/>
      <c r="AZ89" s="1638"/>
      <c r="BA89" s="1401">
        <v>89</v>
      </c>
    </row>
    <row r="90" spans="1:53" s="99" customFormat="1" ht="12" customHeight="1">
      <c r="B90" s="99" t="s">
        <v>619</v>
      </c>
      <c r="D90" s="201" t="s">
        <v>620</v>
      </c>
      <c r="E90" s="2714"/>
      <c r="G90" s="3188">
        <v>0</v>
      </c>
      <c r="H90" s="3189"/>
      <c r="I90" s="100"/>
      <c r="J90" s="3188"/>
      <c r="K90" s="3189"/>
      <c r="L90" s="657"/>
      <c r="M90" s="3188"/>
      <c r="N90" s="3189"/>
      <c r="P90" s="3188"/>
      <c r="Q90" s="3189"/>
      <c r="S90" s="3188"/>
      <c r="T90" s="3189"/>
      <c r="V90" s="676"/>
      <c r="W90" s="3289"/>
      <c r="X90" s="3290"/>
      <c r="AZ90" s="1638"/>
      <c r="BA90" s="1401">
        <v>90</v>
      </c>
    </row>
    <row r="91" spans="1:53" s="99" customFormat="1" ht="12" customHeight="1" thickBot="1">
      <c r="B91" s="99" t="s">
        <v>621</v>
      </c>
      <c r="D91" s="201" t="s">
        <v>620</v>
      </c>
      <c r="E91" s="689"/>
      <c r="G91" s="3137">
        <v>0</v>
      </c>
      <c r="H91" s="3138"/>
      <c r="I91" s="100"/>
      <c r="J91" s="3137"/>
      <c r="K91" s="3138"/>
      <c r="L91" s="657"/>
      <c r="M91" s="3137"/>
      <c r="N91" s="3138"/>
      <c r="P91" s="3137"/>
      <c r="Q91" s="3138"/>
      <c r="S91" s="3137"/>
      <c r="T91" s="3138"/>
      <c r="V91" s="676"/>
      <c r="W91" s="3296"/>
      <c r="X91" s="3297"/>
      <c r="AZ91" s="1638"/>
      <c r="BA91" s="1401">
        <v>91</v>
      </c>
    </row>
    <row r="92" spans="1:53" s="99" customFormat="1" ht="12" customHeight="1" thickTop="1">
      <c r="F92" s="193" t="s">
        <v>536</v>
      </c>
      <c r="G92" s="3285">
        <f>SUM(G88:G91)</f>
        <v>80000</v>
      </c>
      <c r="H92" s="3286"/>
      <c r="J92" s="3285">
        <f>SUM(J88:J91)</f>
        <v>0</v>
      </c>
      <c r="K92" s="3286"/>
      <c r="L92" s="195"/>
      <c r="M92" s="3285">
        <f>SUM(M88:M91)</f>
        <v>0</v>
      </c>
      <c r="N92" s="3286"/>
      <c r="P92" s="3285">
        <f>SUM(P88:P91)</f>
        <v>80000</v>
      </c>
      <c r="Q92" s="3286"/>
      <c r="S92" s="3285">
        <f>SUM(S88:S91)</f>
        <v>0</v>
      </c>
      <c r="T92" s="3286"/>
      <c r="V92" s="678">
        <f>SUM(V88:V91)</f>
        <v>0</v>
      </c>
      <c r="W92" s="3298"/>
      <c r="X92" s="3299"/>
      <c r="AZ92" s="1638"/>
      <c r="BA92" s="1401">
        <v>92</v>
      </c>
    </row>
    <row r="93" spans="1:53" s="99" customFormat="1" ht="6" customHeight="1" thickBot="1">
      <c r="A93" s="278"/>
      <c r="B93" s="278"/>
      <c r="C93" s="278"/>
      <c r="D93" s="278"/>
      <c r="E93" s="278"/>
      <c r="F93" s="278"/>
      <c r="G93" s="278"/>
      <c r="H93" s="278"/>
      <c r="I93" s="278"/>
      <c r="J93" s="278"/>
      <c r="K93" s="278"/>
      <c r="L93" s="278"/>
      <c r="M93" s="278"/>
      <c r="N93" s="278"/>
      <c r="O93" s="278"/>
      <c r="P93" s="278"/>
      <c r="Q93" s="278"/>
      <c r="R93" s="278"/>
      <c r="S93" s="278"/>
      <c r="T93" s="278"/>
      <c r="V93" s="679"/>
      <c r="AZ93" s="1638"/>
      <c r="BA93" s="1401">
        <v>93</v>
      </c>
    </row>
    <row r="94" spans="1:53" s="99" customFormat="1" ht="18" customHeight="1" thickBot="1">
      <c r="A94" s="247" t="s">
        <v>21</v>
      </c>
      <c r="B94" s="247" t="s">
        <v>622</v>
      </c>
      <c r="J94" s="3305" t="s">
        <v>517</v>
      </c>
      <c r="K94" s="3306"/>
      <c r="L94" s="192"/>
      <c r="M94" s="3311" t="s">
        <v>518</v>
      </c>
      <c r="N94" s="3312"/>
      <c r="P94" s="3305" t="s">
        <v>519</v>
      </c>
      <c r="Q94" s="3306"/>
      <c r="S94" s="3305" t="s">
        <v>520</v>
      </c>
      <c r="T94" s="3306"/>
      <c r="V94" s="248" t="str">
        <f>B94</f>
        <v>DEVELOPMENT BUDGET  (cont'd)</v>
      </c>
      <c r="AZ94" s="1638"/>
      <c r="BA94" s="1401">
        <v>94</v>
      </c>
    </row>
    <row r="95" spans="1:53" s="99" customFormat="1" ht="18" customHeight="1" thickBot="1">
      <c r="G95" s="3291" t="s">
        <v>521</v>
      </c>
      <c r="H95" s="3292"/>
      <c r="J95" s="3307"/>
      <c r="K95" s="3308"/>
      <c r="L95" s="192"/>
      <c r="M95" s="3313"/>
      <c r="N95" s="3314"/>
      <c r="P95" s="3307"/>
      <c r="Q95" s="3308"/>
      <c r="S95" s="3307"/>
      <c r="T95" s="3308"/>
      <c r="V95" s="167" t="s">
        <v>358</v>
      </c>
      <c r="X95" s="167"/>
      <c r="AZ95" s="1638"/>
      <c r="BA95" s="1401">
        <v>95</v>
      </c>
    </row>
    <row r="96" spans="1:53" s="99" customFormat="1" ht="12" customHeight="1">
      <c r="B96" s="158" t="s">
        <v>623</v>
      </c>
      <c r="J96" s="195"/>
      <c r="K96" s="195"/>
      <c r="M96" s="195"/>
      <c r="N96" s="195"/>
      <c r="O96" s="194" t="str">
        <f>B96</f>
        <v>PERMANENT FINANCING FEES</v>
      </c>
      <c r="P96" s="195"/>
      <c r="Q96" s="195"/>
      <c r="S96" s="195"/>
      <c r="T96" s="195"/>
      <c r="V96" s="679"/>
      <c r="W96" s="99" t="str">
        <f>B96</f>
        <v>PERMANENT FINANCING FEES</v>
      </c>
      <c r="AZ96" s="1638" t="s">
        <v>624</v>
      </c>
      <c r="BA96" s="1401">
        <v>96</v>
      </c>
    </row>
    <row r="97" spans="1:53" s="99" customFormat="1" ht="12" customHeight="1">
      <c r="B97" s="99" t="s">
        <v>625</v>
      </c>
      <c r="G97" s="3177">
        <v>212770</v>
      </c>
      <c r="H97" s="3178"/>
      <c r="J97" s="3357"/>
      <c r="K97" s="3357"/>
      <c r="L97" s="657"/>
      <c r="M97" s="3357"/>
      <c r="N97" s="3357"/>
      <c r="P97" s="3357"/>
      <c r="Q97" s="3357"/>
      <c r="S97" s="3177">
        <f>G97</f>
        <v>212770</v>
      </c>
      <c r="T97" s="3178"/>
      <c r="V97" s="676"/>
      <c r="W97" s="3289"/>
      <c r="X97" s="3290"/>
      <c r="AZ97" s="1638" t="s">
        <v>626</v>
      </c>
      <c r="BA97" s="1401">
        <v>97</v>
      </c>
    </row>
    <row r="98" spans="1:53" s="99" customFormat="1" ht="12" customHeight="1">
      <c r="B98" s="99" t="s">
        <v>627</v>
      </c>
      <c r="G98" s="3188">
        <v>110000</v>
      </c>
      <c r="H98" s="3189"/>
      <c r="J98" s="3357"/>
      <c r="K98" s="3357"/>
      <c r="L98" s="657"/>
      <c r="M98" s="3357"/>
      <c r="N98" s="3357"/>
      <c r="P98" s="3357"/>
      <c r="Q98" s="3357"/>
      <c r="S98" s="3188">
        <f t="shared" ref="S98:S102" si="6">G98</f>
        <v>110000</v>
      </c>
      <c r="T98" s="3189"/>
      <c r="V98" s="676"/>
      <c r="W98" s="3289"/>
      <c r="X98" s="3290"/>
      <c r="AZ98" s="1638"/>
      <c r="BA98" s="1401">
        <v>98</v>
      </c>
    </row>
    <row r="99" spans="1:53" s="99" customFormat="1" ht="12" customHeight="1">
      <c r="B99" s="99" t="s">
        <v>596</v>
      </c>
      <c r="G99" s="3188">
        <v>10000</v>
      </c>
      <c r="H99" s="3189"/>
      <c r="J99" s="3357"/>
      <c r="K99" s="3357"/>
      <c r="L99" s="657"/>
      <c r="M99" s="3357"/>
      <c r="N99" s="3357"/>
      <c r="P99" s="3357"/>
      <c r="Q99" s="3357"/>
      <c r="S99" s="3188">
        <f t="shared" si="6"/>
        <v>10000</v>
      </c>
      <c r="T99" s="3189"/>
      <c r="V99" s="676"/>
      <c r="W99" s="3289"/>
      <c r="X99" s="3290"/>
      <c r="AZ99" s="1638"/>
      <c r="BA99" s="1401">
        <v>99</v>
      </c>
    </row>
    <row r="100" spans="1:53" s="99" customFormat="1" ht="12" customHeight="1">
      <c r="B100" s="99" t="s">
        <v>628</v>
      </c>
      <c r="G100" s="3188"/>
      <c r="H100" s="3189"/>
      <c r="J100" s="3357"/>
      <c r="K100" s="3357"/>
      <c r="L100" s="657"/>
      <c r="M100" s="3357"/>
      <c r="N100" s="3357"/>
      <c r="P100" s="3357"/>
      <c r="Q100" s="3357"/>
      <c r="S100" s="3188">
        <f t="shared" si="6"/>
        <v>0</v>
      </c>
      <c r="T100" s="3189"/>
      <c r="V100" s="676"/>
      <c r="W100" s="3289"/>
      <c r="X100" s="3290"/>
      <c r="AZ100" s="1638"/>
      <c r="BA100" s="1401">
        <v>100</v>
      </c>
    </row>
    <row r="101" spans="1:53" s="99" customFormat="1" ht="12" customHeight="1">
      <c r="B101" s="99" t="s">
        <v>629</v>
      </c>
      <c r="G101" s="3188">
        <v>407750</v>
      </c>
      <c r="H101" s="3189"/>
      <c r="J101" s="3357"/>
      <c r="K101" s="3357"/>
      <c r="L101" s="657"/>
      <c r="M101" s="3357"/>
      <c r="N101" s="3357"/>
      <c r="P101" s="3357"/>
      <c r="Q101" s="3357"/>
      <c r="S101" s="3188">
        <f t="shared" si="6"/>
        <v>407750</v>
      </c>
      <c r="T101" s="3189"/>
      <c r="V101" s="676"/>
      <c r="W101" s="3289"/>
      <c r="X101" s="3290"/>
      <c r="AZ101" s="1638"/>
      <c r="BA101" s="1401">
        <v>101</v>
      </c>
    </row>
    <row r="102" spans="1:53" s="99" customFormat="1" ht="12" customHeight="1" thickBot="1">
      <c r="A102" s="214" t="str">
        <f>IF(AND(G102&gt;0,OR(C102="",C102="&lt;Enter detailed description here; use Comments section if needed&gt;")),"X","")</f>
        <v/>
      </c>
      <c r="B102" s="102" t="s">
        <v>630</v>
      </c>
      <c r="C102" s="3324" t="s">
        <v>7059</v>
      </c>
      <c r="D102" s="3324"/>
      <c r="E102" s="3324"/>
      <c r="F102" s="3325"/>
      <c r="G102" s="3137">
        <v>162000</v>
      </c>
      <c r="H102" s="3138"/>
      <c r="J102" s="3357"/>
      <c r="K102" s="3357"/>
      <c r="L102" s="657"/>
      <c r="M102" s="3357"/>
      <c r="N102" s="3357"/>
      <c r="P102" s="3357"/>
      <c r="Q102" s="3357"/>
      <c r="S102" s="3137">
        <f t="shared" si="6"/>
        <v>162000</v>
      </c>
      <c r="T102" s="3138"/>
      <c r="U102" s="213" t="str">
        <f>IF(AND(G102&gt;0,OR(C102="",C102="&lt;Enter detailed description here; use Comments section if needed&gt;")),"NO DESCRIPTION PROVIDED - please enter detailed description in Other box at left; use Comments section below if needed.","")</f>
        <v/>
      </c>
      <c r="V102" s="676"/>
      <c r="W102" s="3296"/>
      <c r="X102" s="3297"/>
      <c r="AZ102" s="1638"/>
      <c r="BA102" s="1401">
        <v>102</v>
      </c>
    </row>
    <row r="103" spans="1:53" s="99" customFormat="1" ht="12" customHeight="1" thickTop="1">
      <c r="F103" s="193" t="s">
        <v>536</v>
      </c>
      <c r="G103" s="3285">
        <f>SUM(G97:G102)</f>
        <v>902520</v>
      </c>
      <c r="H103" s="3286"/>
      <c r="J103" s="3357"/>
      <c r="K103" s="3357"/>
      <c r="L103" s="195"/>
      <c r="M103" s="3357"/>
      <c r="N103" s="3357"/>
      <c r="P103" s="3357"/>
      <c r="Q103" s="3357"/>
      <c r="S103" s="3285">
        <f>SUM(S97:S102)</f>
        <v>902520</v>
      </c>
      <c r="T103" s="3286"/>
      <c r="V103" s="678">
        <f>SUM(V97:V102)</f>
        <v>0</v>
      </c>
      <c r="W103" s="3298"/>
      <c r="X103" s="3299"/>
      <c r="AZ103" s="1638"/>
      <c r="BA103" s="1401">
        <v>103</v>
      </c>
    </row>
    <row r="104" spans="1:53" s="99" customFormat="1" ht="13.35" customHeight="1">
      <c r="B104" s="158" t="s">
        <v>631</v>
      </c>
      <c r="J104" s="195"/>
      <c r="K104" s="195"/>
      <c r="M104" s="195"/>
      <c r="N104" s="195"/>
      <c r="O104" s="194" t="str">
        <f>B104</f>
        <v>DCA-RELATED COSTS</v>
      </c>
      <c r="P104" s="195"/>
      <c r="Q104" s="195"/>
      <c r="S104" s="195"/>
      <c r="T104" s="195"/>
      <c r="V104" s="679"/>
      <c r="W104" s="99" t="str">
        <f>B104</f>
        <v>DCA-RELATED COSTS</v>
      </c>
      <c r="AA104" s="102" t="s">
        <v>632</v>
      </c>
      <c r="AB104" s="102"/>
      <c r="AC104" s="102"/>
      <c r="AD104" s="1607" t="str">
        <f>IF(OR($M$38="9% Credit Competitive Round only", $M$38="9% Credit &amp; HOME"),"9%",IF(OR($M$38="4% Credit/TE Bond", $M$38="4% Credit/TE Bond &amp; HOME", $M$38="4% Credit/TE Bond &amp; HOME NOFA", $M$38="4% Credit &amp; NHTF", $M$38="4% Credit &amp; NHTF &amp; HOME"),"4%",""))</f>
        <v/>
      </c>
      <c r="AZ104" s="1638"/>
      <c r="BA104" s="1401">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3177"/>
      <c r="H105" s="3178"/>
      <c r="J105" s="195"/>
      <c r="K105" s="195"/>
      <c r="L105" s="657"/>
      <c r="M105" s="195"/>
      <c r="N105" s="195"/>
      <c r="P105" s="195"/>
      <c r="Q105" s="195"/>
      <c r="S105" s="3177">
        <f>G105</f>
        <v>0</v>
      </c>
      <c r="T105" s="3178"/>
      <c r="V105" s="676"/>
      <c r="W105" s="3289"/>
      <c r="X105" s="3290"/>
      <c r="Y105" s="3278" t="s">
        <v>633</v>
      </c>
      <c r="AA105" s="153" t="s">
        <v>634</v>
      </c>
      <c r="AB105" s="102"/>
      <c r="AC105" s="102"/>
      <c r="AD105" s="1606" t="str">
        <f>'Part V-Revenues &amp; Expenses'!$O$53</f>
        <v>40% of Units at 60% of AMI</v>
      </c>
      <c r="AE105" s="1605"/>
      <c r="AF105" s="1605"/>
      <c r="AZ105" s="1638"/>
      <c r="BA105" s="1401">
        <v>105</v>
      </c>
    </row>
    <row r="106" spans="1:53" s="99" customFormat="1" ht="12.6" customHeight="1">
      <c r="B106" s="99" t="str">
        <f>CONCATENATE("Tax Credit Application Fee ($",'DCA Underwriting Assumptions'!$Q$51, " ForProf/JntVent, $",'DCA Underwriting Assumptions'!$Q$52, " NonProf)")</f>
        <v>Tax Credit Application Fee ($10000 ForProf/JntVent, $8000 NonProf)</v>
      </c>
      <c r="G106" s="3188">
        <v>6500</v>
      </c>
      <c r="H106" s="3189"/>
      <c r="J106" s="195"/>
      <c r="K106" s="195"/>
      <c r="L106" s="202"/>
      <c r="M106" s="195"/>
      <c r="N106" s="195"/>
      <c r="P106" s="195"/>
      <c r="Q106" s="195"/>
      <c r="S106" s="3188">
        <f t="shared" ref="S106:S113" si="7">G106</f>
        <v>6500</v>
      </c>
      <c r="T106" s="3189"/>
      <c r="V106" s="676"/>
      <c r="W106" s="3289"/>
      <c r="X106" s="3290"/>
      <c r="Y106" s="3278"/>
      <c r="AA106" s="1608" t="s">
        <v>635</v>
      </c>
      <c r="AB106" s="1608"/>
      <c r="AC106" s="1608"/>
      <c r="AD106" s="1609">
        <f>'Part V-Revenues &amp; Expenses'!$P$67</f>
        <v>199</v>
      </c>
      <c r="AZ106" s="1638" t="s">
        <v>636</v>
      </c>
      <c r="BA106" s="1401">
        <v>106</v>
      </c>
    </row>
    <row r="107" spans="1:53" s="99" customFormat="1" ht="12.6" customHeight="1">
      <c r="B107" s="99" t="s">
        <v>637</v>
      </c>
      <c r="G107" s="3188"/>
      <c r="H107" s="3189"/>
      <c r="J107" s="195"/>
      <c r="K107" s="195"/>
      <c r="L107" s="202"/>
      <c r="M107" s="195"/>
      <c r="N107" s="195"/>
      <c r="P107" s="195"/>
      <c r="Q107" s="195"/>
      <c r="S107" s="3188">
        <f t="shared" si="7"/>
        <v>0</v>
      </c>
      <c r="T107" s="3189"/>
      <c r="V107" s="676"/>
      <c r="W107" s="3289"/>
      <c r="X107" s="3290"/>
      <c r="Y107" s="3278"/>
      <c r="Z107" s="212"/>
      <c r="AA107" s="143" t="s">
        <v>638</v>
      </c>
      <c r="AB107" s="102"/>
      <c r="AC107" s="102"/>
      <c r="AD107" s="102"/>
      <c r="AF107" s="1611" t="s">
        <v>639</v>
      </c>
      <c r="AZ107" s="1638" t="s">
        <v>640</v>
      </c>
      <c r="BA107" s="1401">
        <v>107</v>
      </c>
    </row>
    <row r="108" spans="1:53" s="99" customFormat="1" ht="12.6" customHeight="1">
      <c r="B108" s="99" t="s">
        <v>641</v>
      </c>
      <c r="E108" s="3358">
        <f ca="1">ROUNDUP('DCA Underwriting Assumptions'!$Q$56*J191,0)</f>
        <v>71685</v>
      </c>
      <c r="F108" s="3359"/>
      <c r="G108" s="3188">
        <f ca="1">E108</f>
        <v>71685</v>
      </c>
      <c r="H108" s="3189"/>
      <c r="J108" s="604" t="str">
        <f ca="1">IF(E108&gt;G108,"WARNING!  LIHTC Allocation Fee proposed is below minimum required.","")</f>
        <v/>
      </c>
      <c r="K108" s="195"/>
      <c r="L108" s="657"/>
      <c r="M108" s="195"/>
      <c r="N108" s="195"/>
      <c r="P108" s="195"/>
      <c r="Q108" s="195"/>
      <c r="S108" s="3188">
        <f t="shared" ca="1" si="7"/>
        <v>71685</v>
      </c>
      <c r="T108" s="3189"/>
      <c r="V108" s="676"/>
      <c r="W108" s="3289"/>
      <c r="X108" s="3290"/>
      <c r="Y108" s="3278"/>
      <c r="Z108" s="212"/>
      <c r="AA108" s="102" t="s">
        <v>642</v>
      </c>
      <c r="AB108" s="102"/>
      <c r="AC108" s="102"/>
      <c r="AD108" s="152">
        <f>'Part V-Revenues &amp; Expenses'!P136+'Part V-Revenues &amp; Expenses'!P137</f>
        <v>0</v>
      </c>
      <c r="AF108" s="1610">
        <f>AD108*'DCA Underwriting Assumptions'!$Q$63</f>
        <v>0</v>
      </c>
      <c r="AZ108" s="1638" t="s">
        <v>643</v>
      </c>
      <c r="BA108" s="1401">
        <v>108</v>
      </c>
    </row>
    <row r="109" spans="1:53" s="99" customFormat="1" ht="12.6" customHeight="1">
      <c r="B109" s="99" t="s">
        <v>644</v>
      </c>
      <c r="E109" s="3358">
        <f>AF111+AF115</f>
        <v>159200</v>
      </c>
      <c r="F109" s="3359"/>
      <c r="G109" s="3188">
        <f>E109</f>
        <v>159200</v>
      </c>
      <c r="H109" s="3189"/>
      <c r="I109" s="3293" t="str">
        <f>IF(E109&gt;G109,"WARNING!  LIHTC Compliance Fee proposed is below minimum required.","")</f>
        <v/>
      </c>
      <c r="J109" s="3294"/>
      <c r="K109" s="3294"/>
      <c r="L109" s="3294"/>
      <c r="M109" s="3294"/>
      <c r="N109" s="3294"/>
      <c r="O109" s="3294"/>
      <c r="P109" s="3294"/>
      <c r="Q109" s="3294"/>
      <c r="R109" s="3295"/>
      <c r="S109" s="3188">
        <f t="shared" si="7"/>
        <v>159200</v>
      </c>
      <c r="T109" s="3189"/>
      <c r="V109" s="676"/>
      <c r="W109" s="3289"/>
      <c r="X109" s="3290"/>
      <c r="Y109" s="3278"/>
      <c r="Z109" s="212"/>
      <c r="AA109" s="102" t="s">
        <v>645</v>
      </c>
      <c r="AB109" s="102"/>
      <c r="AC109" s="102"/>
      <c r="AD109" s="152">
        <f>'Part V-Revenues &amp; Expenses'!$P$140+'Part V-Revenues &amp; Expenses'!$P$141</f>
        <v>0</v>
      </c>
      <c r="AF109" s="1610">
        <f>AD109*'DCA Underwriting Assumptions'!$Q$63</f>
        <v>0</v>
      </c>
      <c r="AZ109" s="1638"/>
      <c r="BA109" s="1401">
        <v>109</v>
      </c>
    </row>
    <row r="110" spans="1:53" s="99" customFormat="1" ht="12.6" customHeight="1">
      <c r="B110" s="99" t="s">
        <v>646</v>
      </c>
      <c r="F110" s="781"/>
      <c r="G110" s="3188"/>
      <c r="H110" s="3189"/>
      <c r="I110" s="3293"/>
      <c r="J110" s="3294"/>
      <c r="K110" s="3294"/>
      <c r="L110" s="3294"/>
      <c r="M110" s="3294"/>
      <c r="N110" s="3294"/>
      <c r="O110" s="3294"/>
      <c r="P110" s="3294"/>
      <c r="Q110" s="3294"/>
      <c r="R110" s="3295"/>
      <c r="S110" s="3188">
        <f t="shared" si="7"/>
        <v>0</v>
      </c>
      <c r="T110" s="3189"/>
      <c r="V110" s="676"/>
      <c r="W110" s="3289"/>
      <c r="X110" s="3290"/>
      <c r="Y110" s="3278"/>
      <c r="AA110" s="102" t="s">
        <v>647</v>
      </c>
      <c r="AB110" s="102"/>
      <c r="AC110" s="102"/>
      <c r="AD110" s="152">
        <f>'Part V-Revenues &amp; Expenses'!$P$142+'Part V-Revenues &amp; Expenses'!$P$143</f>
        <v>0</v>
      </c>
      <c r="AF110" s="1610">
        <f>AD110*'DCA Underwriting Assumptions'!$Q$63</f>
        <v>0</v>
      </c>
      <c r="AZ110" s="1638"/>
      <c r="BA110" s="1401">
        <v>110</v>
      </c>
    </row>
    <row r="111" spans="1:53" s="99" customFormat="1" ht="12.6" customHeight="1">
      <c r="B111" s="99" t="s">
        <v>648</v>
      </c>
      <c r="F111" s="781">
        <f>ROUNDUP('DCA Underwriting Assumptions'!$Q$58,0)</f>
        <v>8000</v>
      </c>
      <c r="G111" s="3188">
        <v>8000</v>
      </c>
      <c r="H111" s="3189"/>
      <c r="J111" s="100"/>
      <c r="K111" s="100"/>
      <c r="L111" s="100"/>
      <c r="M111" s="100"/>
      <c r="N111" s="100"/>
      <c r="O111" s="100"/>
      <c r="P111" s="100"/>
      <c r="Q111" s="100"/>
      <c r="S111" s="3188">
        <f t="shared" si="7"/>
        <v>8000</v>
      </c>
      <c r="T111" s="3189"/>
      <c r="V111" s="676"/>
      <c r="W111" s="3289"/>
      <c r="X111" s="3290"/>
      <c r="AA111" s="102"/>
      <c r="AB111" s="1255" t="s">
        <v>649</v>
      </c>
      <c r="AC111" s="102"/>
      <c r="AD111" s="2715">
        <f>SUM(AD108:AD110)</f>
        <v>0</v>
      </c>
      <c r="AF111" s="2716">
        <f>SUM(AF108:AF110)</f>
        <v>0</v>
      </c>
      <c r="AZ111" s="1638"/>
      <c r="BA111" s="1401">
        <v>111</v>
      </c>
    </row>
    <row r="112" spans="1:53" s="99" customFormat="1" ht="12.6" customHeight="1">
      <c r="A112" s="214" t="str">
        <f>IF(AND(G112&gt;0,OR(C112="",C112="&lt;Enter detailed description here; use Comments section if needed&gt;")),"X","")</f>
        <v/>
      </c>
      <c r="B112" s="102" t="s">
        <v>650</v>
      </c>
      <c r="C112" s="3355" t="s">
        <v>530</v>
      </c>
      <c r="D112" s="3355"/>
      <c r="E112" s="3355"/>
      <c r="F112" s="3356"/>
      <c r="G112" s="3188"/>
      <c r="H112" s="3189"/>
      <c r="J112" s="100"/>
      <c r="K112" s="100"/>
      <c r="L112" s="100"/>
      <c r="M112" s="100"/>
      <c r="N112" s="100"/>
      <c r="O112" s="100"/>
      <c r="P112" s="100"/>
      <c r="Q112" s="100"/>
      <c r="S112" s="3188">
        <f t="shared" si="7"/>
        <v>0</v>
      </c>
      <c r="T112" s="3189"/>
      <c r="U112" s="213" t="str">
        <f>IF(AND(G112&gt;0,OR(C112="",C112="&lt;Enter detailed description here; use Comments section if needed&gt;")),"NO DESCRIPTION PROVIDED - please enter detailed description in Other box at left; use Comments section below if needed.","")</f>
        <v/>
      </c>
      <c r="V112" s="676"/>
      <c r="W112" s="3289"/>
      <c r="X112" s="3290"/>
      <c r="AA112" s="143" t="s">
        <v>651</v>
      </c>
      <c r="AB112" s="102"/>
      <c r="AC112" s="149"/>
      <c r="AD112" s="102"/>
      <c r="AF112" s="1610"/>
      <c r="AZ112" s="1638"/>
      <c r="BA112" s="1401">
        <v>112</v>
      </c>
    </row>
    <row r="113" spans="1:53" s="99" customFormat="1" ht="12.6" customHeight="1" thickBot="1">
      <c r="A113" s="214" t="str">
        <f>IF(AND(G113&gt;0,OR(C113="",C113="&lt;Enter detailed description here; use Comments section if needed&gt;")),"X","")</f>
        <v/>
      </c>
      <c r="B113" s="102" t="s">
        <v>650</v>
      </c>
      <c r="C113" s="3353" t="s">
        <v>530</v>
      </c>
      <c r="D113" s="3353"/>
      <c r="E113" s="3353"/>
      <c r="F113" s="3354"/>
      <c r="G113" s="3137"/>
      <c r="H113" s="3138"/>
      <c r="J113" s="100"/>
      <c r="K113" s="100"/>
      <c r="L113" s="100"/>
      <c r="M113" s="100"/>
      <c r="N113" s="100"/>
      <c r="O113" s="100"/>
      <c r="P113" s="100"/>
      <c r="Q113" s="100"/>
      <c r="S113" s="3137">
        <f t="shared" si="7"/>
        <v>0</v>
      </c>
      <c r="T113" s="3138"/>
      <c r="U113" s="213" t="str">
        <f>IF(AND(G113&gt;0,OR(C113="",C113="&lt;Enter detailed description here; use Comments section if needed&gt;")),"NO DESCRIPTION PROVIDED - please enter detailed description in Other box at left; use Comments section below if needed.","")</f>
        <v/>
      </c>
      <c r="V113" s="676"/>
      <c r="W113" s="3296"/>
      <c r="X113" s="3297"/>
      <c r="AA113" s="102" t="s">
        <v>652</v>
      </c>
      <c r="AB113" s="102"/>
      <c r="AC113" s="149"/>
      <c r="AD113" s="152">
        <f>'Part V-Revenues &amp; Expenses'!$P$127</f>
        <v>157</v>
      </c>
      <c r="AF113" s="1610">
        <f>IF($AD$105="Income Averaging",AD113*'DCA Underwriting Assumptions'!$Q$61,AD113*'DCA Underwriting Assumptions'!$Q$60)</f>
        <v>125600</v>
      </c>
      <c r="AZ113" s="1638" t="s">
        <v>653</v>
      </c>
      <c r="BA113" s="1401">
        <v>113</v>
      </c>
    </row>
    <row r="114" spans="1:53" s="99" customFormat="1" ht="12.6" customHeight="1" thickTop="1">
      <c r="F114" s="193" t="s">
        <v>536</v>
      </c>
      <c r="G114" s="3285">
        <f ca="1">SUM(G105:G113)</f>
        <v>245385</v>
      </c>
      <c r="H114" s="3286"/>
      <c r="J114" s="195"/>
      <c r="K114" s="195"/>
      <c r="L114" s="657"/>
      <c r="M114" s="195"/>
      <c r="N114" s="195"/>
      <c r="P114" s="195"/>
      <c r="Q114" s="195"/>
      <c r="S114" s="3285">
        <f ca="1">SUM(S105:S113)</f>
        <v>245385</v>
      </c>
      <c r="T114" s="3286"/>
      <c r="V114" s="678">
        <f>SUM(V105:V113)</f>
        <v>0</v>
      </c>
      <c r="W114" s="3407"/>
      <c r="X114" s="3408"/>
      <c r="AA114" s="102" t="s">
        <v>654</v>
      </c>
      <c r="AB114" s="102"/>
      <c r="AC114" s="157"/>
      <c r="AD114" s="152">
        <f>'Part V-Revenues &amp; Expenses'!$P$138+'Part V-Revenues &amp; Expenses'!$P$139</f>
        <v>42</v>
      </c>
      <c r="AF114" s="1610">
        <f>IF($AD$105="Income Averaging",AD114*'DCA Underwriting Assumptions'!$Q$61,AD114*'DCA Underwriting Assumptions'!$Q$60)</f>
        <v>33600</v>
      </c>
      <c r="AZ114" s="1638" t="s">
        <v>655</v>
      </c>
      <c r="BA114" s="1401">
        <v>114</v>
      </c>
    </row>
    <row r="115" spans="1:53" s="99" customFormat="1" ht="13.35" customHeight="1">
      <c r="B115" s="158" t="s">
        <v>656</v>
      </c>
      <c r="J115" s="195"/>
      <c r="K115" s="195"/>
      <c r="M115" s="195"/>
      <c r="N115" s="195"/>
      <c r="O115" s="194" t="str">
        <f>B115</f>
        <v>EQUITY COSTS</v>
      </c>
      <c r="P115" s="195"/>
      <c r="Q115" s="195"/>
      <c r="S115" s="195"/>
      <c r="T115" s="195"/>
      <c r="V115" s="679"/>
      <c r="W115" s="99" t="str">
        <f>B115</f>
        <v>EQUITY COSTS</v>
      </c>
      <c r="AA115" s="102"/>
      <c r="AB115" s="1255" t="s">
        <v>649</v>
      </c>
      <c r="AC115" s="102"/>
      <c r="AD115" s="2715">
        <f>SUM(AD113:AD114)</f>
        <v>199</v>
      </c>
      <c r="AF115" s="2716">
        <f>SUM(AF113:AF114)</f>
        <v>159200</v>
      </c>
      <c r="AZ115" s="1629"/>
      <c r="BA115" s="1401">
        <v>115</v>
      </c>
    </row>
    <row r="116" spans="1:53" s="99" customFormat="1" ht="12.6" customHeight="1">
      <c r="B116" s="99" t="s">
        <v>657</v>
      </c>
      <c r="G116" s="3177"/>
      <c r="H116" s="3178"/>
      <c r="J116" s="3357"/>
      <c r="K116" s="3357"/>
      <c r="L116" s="657"/>
      <c r="M116" s="3357"/>
      <c r="N116" s="3357"/>
      <c r="P116" s="3357"/>
      <c r="Q116" s="3357"/>
      <c r="S116" s="3177"/>
      <c r="T116" s="3178"/>
      <c r="V116" s="676"/>
      <c r="W116" s="3289"/>
      <c r="X116" s="3290"/>
      <c r="AZ116" s="1629"/>
      <c r="BA116" s="1401">
        <v>116</v>
      </c>
    </row>
    <row r="117" spans="1:53" s="99" customFormat="1" ht="12.6" customHeight="1">
      <c r="B117" s="99" t="s">
        <v>658</v>
      </c>
      <c r="G117" s="3188"/>
      <c r="H117" s="3189"/>
      <c r="J117" s="3357"/>
      <c r="K117" s="3357"/>
      <c r="L117" s="657"/>
      <c r="M117" s="3357"/>
      <c r="N117" s="3357"/>
      <c r="P117" s="3357"/>
      <c r="Q117" s="3357"/>
      <c r="S117" s="3188"/>
      <c r="T117" s="3189"/>
      <c r="V117" s="676"/>
      <c r="W117" s="3289"/>
      <c r="X117" s="3290"/>
      <c r="AZ117" s="1629"/>
      <c r="BA117" s="1401">
        <v>117</v>
      </c>
    </row>
    <row r="118" spans="1:53" s="99" customFormat="1" ht="12.6" customHeight="1">
      <c r="B118" s="99" t="s">
        <v>659</v>
      </c>
      <c r="G118" s="3188">
        <v>80000</v>
      </c>
      <c r="H118" s="3189"/>
      <c r="J118" s="3357"/>
      <c r="K118" s="3357"/>
      <c r="L118" s="657"/>
      <c r="M118" s="3357"/>
      <c r="N118" s="3357"/>
      <c r="P118" s="3357"/>
      <c r="Q118" s="3357"/>
      <c r="S118" s="3188">
        <f>G118</f>
        <v>80000</v>
      </c>
      <c r="T118" s="3189"/>
      <c r="V118" s="676"/>
      <c r="W118" s="3289"/>
      <c r="X118" s="3290"/>
      <c r="AZ118" s="1629"/>
      <c r="BA118" s="1401">
        <v>118</v>
      </c>
    </row>
    <row r="119" spans="1:53" s="99" customFormat="1" ht="12.6" customHeight="1" thickBot="1">
      <c r="A119" s="214" t="str">
        <f>IF(AND(G119&gt;0,OR(C119="",C119="&lt;Enter detailed description here; use Comments section if needed&gt;")),"X","")</f>
        <v/>
      </c>
      <c r="B119" s="102" t="s">
        <v>650</v>
      </c>
      <c r="C119" s="3324" t="s">
        <v>530</v>
      </c>
      <c r="D119" s="3324"/>
      <c r="E119" s="3324"/>
      <c r="F119" s="3325"/>
      <c r="G119" s="3137"/>
      <c r="H119" s="3138"/>
      <c r="J119" s="3357"/>
      <c r="K119" s="3357"/>
      <c r="L119" s="657"/>
      <c r="M119" s="3357"/>
      <c r="N119" s="3357"/>
      <c r="P119" s="3357"/>
      <c r="Q119" s="3357"/>
      <c r="S119" s="3137"/>
      <c r="T119" s="3138"/>
      <c r="U119" s="213" t="str">
        <f>IF(AND(G119&gt;0,OR(C119="",C119="&lt;Enter detailed description here; use Comments section if needed&gt;")),"NO DESCRIPTION PROVIDED - please enter detailed description in Other box at left; use Comments section below if needed.","")</f>
        <v/>
      </c>
      <c r="V119" s="676"/>
      <c r="W119" s="3296"/>
      <c r="X119" s="3297"/>
      <c r="AZ119" s="1629"/>
      <c r="BA119" s="1401">
        <v>119</v>
      </c>
    </row>
    <row r="120" spans="1:53" s="99" customFormat="1" ht="12.6" customHeight="1" thickTop="1">
      <c r="F120" s="193" t="s">
        <v>536</v>
      </c>
      <c r="G120" s="3285">
        <f>SUM(G116:G119)</f>
        <v>80000</v>
      </c>
      <c r="H120" s="3286"/>
      <c r="J120" s="3357"/>
      <c r="K120" s="3357"/>
      <c r="L120" s="657"/>
      <c r="M120" s="3357"/>
      <c r="N120" s="3357"/>
      <c r="P120" s="3357"/>
      <c r="Q120" s="3357"/>
      <c r="S120" s="3285">
        <f>SUM(S116:S119)</f>
        <v>80000</v>
      </c>
      <c r="T120" s="3286"/>
      <c r="V120" s="678">
        <f>SUM(V116:V119)</f>
        <v>0</v>
      </c>
      <c r="W120" s="3298"/>
      <c r="X120" s="3299"/>
      <c r="AC120" s="3309" t="s">
        <v>660</v>
      </c>
      <c r="AD120" s="3309" t="s">
        <v>661</v>
      </c>
      <c r="AE120" s="3323" t="s">
        <v>662</v>
      </c>
      <c r="AF120" s="3315" t="s">
        <v>663</v>
      </c>
      <c r="AG120" s="3323" t="s">
        <v>664</v>
      </c>
      <c r="AH120" s="3430" t="s">
        <v>665</v>
      </c>
      <c r="AI120" s="3430"/>
      <c r="AZ120" s="1629"/>
      <c r="BA120" s="1401">
        <v>120</v>
      </c>
    </row>
    <row r="121" spans="1:53" s="99" customFormat="1" ht="13.35" customHeight="1">
      <c r="B121" s="158" t="s">
        <v>666</v>
      </c>
      <c r="E121" s="362" t="s">
        <v>632</v>
      </c>
      <c r="F121" s="7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95"/>
      <c r="K121" s="192"/>
      <c r="M121" s="195"/>
      <c r="N121" s="192"/>
      <c r="O121" s="194" t="str">
        <f>B121</f>
        <v>DEVELOPER'S FEE</v>
      </c>
      <c r="P121" s="195"/>
      <c r="Q121" s="192"/>
      <c r="S121" s="195"/>
      <c r="T121" s="192"/>
      <c r="V121" s="679"/>
      <c r="W121" s="99" t="str">
        <f>B121</f>
        <v>DEVELOPER'S FEE</v>
      </c>
      <c r="Y121" s="1039" t="s">
        <v>667</v>
      </c>
      <c r="Z121" s="153"/>
      <c r="AA121" s="149" t="s">
        <v>668</v>
      </c>
      <c r="AB121" s="149" t="s">
        <v>669</v>
      </c>
      <c r="AC121" s="3310"/>
      <c r="AD121" s="3310"/>
      <c r="AE121" s="3118"/>
      <c r="AF121" s="3316"/>
      <c r="AG121" s="3323"/>
      <c r="AH121" s="3430"/>
      <c r="AI121" s="3430"/>
      <c r="AK121" s="27"/>
      <c r="AZ121" s="1629" t="s">
        <v>670</v>
      </c>
      <c r="BA121" s="1401">
        <v>121</v>
      </c>
    </row>
    <row r="122" spans="1:53" s="99" customFormat="1" ht="12.6" customHeight="1">
      <c r="B122" s="99" t="s">
        <v>671</v>
      </c>
      <c r="F122" s="233">
        <f>IF($G$127=0,0,G122/$G$127)</f>
        <v>0.2</v>
      </c>
      <c r="G122" s="3360">
        <f>F123</f>
        <v>700000</v>
      </c>
      <c r="H122" s="3360"/>
      <c r="J122" s="3335"/>
      <c r="K122" s="3336"/>
      <c r="L122" s="194"/>
      <c r="M122" s="3335"/>
      <c r="N122" s="3336"/>
      <c r="P122" s="3335">
        <f>G122</f>
        <v>700000</v>
      </c>
      <c r="Q122" s="3336"/>
      <c r="S122" s="3335"/>
      <c r="T122" s="3336"/>
      <c r="V122" s="676"/>
      <c r="W122" s="3289"/>
      <c r="X122" s="3290"/>
      <c r="Y122" s="79"/>
      <c r="Z122" s="1050">
        <v>0.09</v>
      </c>
      <c r="AA122" s="1047">
        <f>'DCA Underwriting Assumptions'!$J$67</f>
        <v>1</v>
      </c>
      <c r="AB122" s="1047">
        <f>'DCA Underwriting Assumptions'!$K$67</f>
        <v>50</v>
      </c>
      <c r="AC122" s="1044">
        <f>'DCA Underwriting Assumptions'!$Q$67</f>
        <v>27500</v>
      </c>
      <c r="AD122" s="1044">
        <f>AB122*AC122</f>
        <v>1375000</v>
      </c>
      <c r="AE122" s="1044">
        <f>IF('Part V-Revenues &amp; Expenses'!$P$67&lt;AA123,'Part V-Revenues &amp; Expenses'!$P$67*'Part III-A-Uses of Funds'!AC122,AB122*AC122)</f>
        <v>1375000</v>
      </c>
      <c r="AF122" s="3317">
        <f>SUM(AE122:AE124)</f>
        <v>2000000</v>
      </c>
      <c r="AG122" s="3439">
        <f>'DCA Underwriting Assumptions'!$Q$74</f>
        <v>2000000</v>
      </c>
      <c r="AH122" s="3431">
        <f>MIN(AF122,AG122)</f>
        <v>2000000</v>
      </c>
      <c r="AI122" s="3432"/>
      <c r="AZ122" s="1629"/>
      <c r="BA122" s="1401">
        <v>122</v>
      </c>
    </row>
    <row r="123" spans="1:53" s="99" customFormat="1" ht="12.6" customHeight="1">
      <c r="B123" s="99" t="s">
        <v>672</v>
      </c>
      <c r="F123" s="761">
        <f>3500000*0.2</f>
        <v>700000</v>
      </c>
      <c r="G123" s="157" t="s">
        <v>673</v>
      </c>
      <c r="V123" s="676"/>
      <c r="W123" s="3289"/>
      <c r="X123" s="3290"/>
      <c r="Y123" s="79"/>
      <c r="Z123" s="60"/>
      <c r="AA123" s="1048">
        <f>'DCA Underwriting Assumptions'!$J$68</f>
        <v>51</v>
      </c>
      <c r="AB123" s="1048">
        <f>'DCA Underwriting Assumptions'!$K$68</f>
        <v>70</v>
      </c>
      <c r="AC123" s="1045">
        <f>'DCA Underwriting Assumptions'!$Q$68</f>
        <v>22000</v>
      </c>
      <c r="AD123" s="1045">
        <f>(AB123-AB122)*AC123</f>
        <v>440000</v>
      </c>
      <c r="AE123" s="104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18"/>
      <c r="AG123" s="3440"/>
      <c r="AH123" s="3433"/>
      <c r="AI123" s="3434"/>
      <c r="AZ123" s="1629"/>
      <c r="BA123" s="1401">
        <v>123</v>
      </c>
    </row>
    <row r="124" spans="1:53" s="99" customFormat="1" ht="12.6" customHeight="1">
      <c r="B124" s="99" t="s">
        <v>674</v>
      </c>
      <c r="F124" s="233">
        <f>IF($G$127=0,0,G124/$G$127)</f>
        <v>0</v>
      </c>
      <c r="G124" s="3177"/>
      <c r="H124" s="3178"/>
      <c r="J124" s="3177"/>
      <c r="K124" s="3178"/>
      <c r="L124" s="657"/>
      <c r="M124" s="3177"/>
      <c r="N124" s="3178"/>
      <c r="P124" s="3177"/>
      <c r="Q124" s="3178"/>
      <c r="S124" s="3177"/>
      <c r="T124" s="3178"/>
      <c r="V124" s="676"/>
      <c r="W124" s="3289"/>
      <c r="X124" s="3290"/>
      <c r="Y124" s="79"/>
      <c r="Z124" s="60"/>
      <c r="AA124" s="1049">
        <f>'DCA Underwriting Assumptions'!$J$69</f>
        <v>71</v>
      </c>
      <c r="AB124" s="1054"/>
      <c r="AC124" s="1046">
        <f>'DCA Underwriting Assumptions'!$Q$69</f>
        <v>16500</v>
      </c>
      <c r="AD124" s="1046">
        <f>AG122-AD123-AD122</f>
        <v>185000</v>
      </c>
      <c r="AE124" s="1046">
        <f>MIN(AD124,IF('Part V-Revenues &amp; Expenses'!$P$67&gt;AB123,('Part V-Revenues &amp; Expenses'!$P$67-AB123)*AC124,0))</f>
        <v>185000</v>
      </c>
      <c r="AF124" s="3319"/>
      <c r="AG124" s="3441"/>
      <c r="AH124" s="3435"/>
      <c r="AI124" s="3436"/>
      <c r="AZ124" s="1629"/>
      <c r="BA124" s="1401">
        <v>124</v>
      </c>
    </row>
    <row r="125" spans="1:53" s="99" customFormat="1" ht="12.6" customHeight="1">
      <c r="B125" s="99" t="s">
        <v>675</v>
      </c>
      <c r="F125" s="233">
        <f>IF($G$127=0,0,G125/$G$127)</f>
        <v>0</v>
      </c>
      <c r="G125" s="3188"/>
      <c r="H125" s="3189"/>
      <c r="J125" s="3188"/>
      <c r="K125" s="3189"/>
      <c r="L125" s="657"/>
      <c r="M125" s="3188"/>
      <c r="N125" s="3189"/>
      <c r="P125" s="3188"/>
      <c r="Q125" s="3189"/>
      <c r="S125" s="3188"/>
      <c r="T125" s="3189"/>
      <c r="V125" s="676"/>
      <c r="W125" s="3289"/>
      <c r="X125" s="3290"/>
      <c r="Y125"/>
      <c r="Z125" s="1050">
        <v>0.04</v>
      </c>
      <c r="AA125" s="1053">
        <f>'DCA Underwriting Assumptions'!$J$70</f>
        <v>1</v>
      </c>
      <c r="AB125" s="1053">
        <f>'DCA Underwriting Assumptions'!$K$70</f>
        <v>50</v>
      </c>
      <c r="AC125" s="1044">
        <f>'DCA Underwriting Assumptions'!$Q$70</f>
        <v>27500</v>
      </c>
      <c r="AD125" s="1044">
        <f>AB125*AC125</f>
        <v>1375000</v>
      </c>
      <c r="AE125" s="1044">
        <f>IF('Part V-Revenues &amp; Expenses'!$P$67&lt;AA126,'Part V-Revenues &amp; Expenses'!$P$67*'Part III-A-Uses of Funds'!AC125,AB125*AC125)</f>
        <v>1375000</v>
      </c>
      <c r="AF125" s="3317">
        <f>SUM(AE125:AE127)</f>
        <v>3500000</v>
      </c>
      <c r="AG125" s="3317">
        <f>'DCA Underwriting Assumptions'!$Q$75</f>
        <v>3500000</v>
      </c>
      <c r="AH125" s="3431">
        <f>MIN(AF125,AG125)</f>
        <v>3500000</v>
      </c>
      <c r="AI125" s="3432"/>
      <c r="AZ125" s="1629"/>
      <c r="BA125" s="1401">
        <v>125</v>
      </c>
    </row>
    <row r="126" spans="1:53" s="99" customFormat="1" ht="12.6" customHeight="1" thickBot="1">
      <c r="B126" s="99" t="s">
        <v>676</v>
      </c>
      <c r="F126" s="233">
        <f>IF($G$127=0,0,G126/$G$127)</f>
        <v>0.8</v>
      </c>
      <c r="G126" s="3137">
        <f>E127-G122</f>
        <v>2800000</v>
      </c>
      <c r="H126" s="3138"/>
      <c r="J126" s="3137"/>
      <c r="K126" s="3138"/>
      <c r="L126" s="657"/>
      <c r="M126" s="3137"/>
      <c r="N126" s="3138"/>
      <c r="P126" s="3137">
        <f>G126</f>
        <v>2800000</v>
      </c>
      <c r="Q126" s="3138"/>
      <c r="S126" s="3137"/>
      <c r="T126" s="3138"/>
      <c r="V126" s="676"/>
      <c r="W126" s="3296"/>
      <c r="X126" s="3297"/>
      <c r="Y126"/>
      <c r="Z126" s="36"/>
      <c r="AA126" s="1048">
        <f>'DCA Underwriting Assumptions'!$J$71</f>
        <v>51</v>
      </c>
      <c r="AB126" s="1048">
        <f>'DCA Underwriting Assumptions'!$K$71</f>
        <v>70</v>
      </c>
      <c r="AC126" s="1045">
        <f>'DCA Underwriting Assumptions'!$Q$71</f>
        <v>22000</v>
      </c>
      <c r="AD126" s="1045">
        <f>(AB126-AB125)*AC126</f>
        <v>440000</v>
      </c>
      <c r="AE126" s="104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18"/>
      <c r="AG126" s="3318"/>
      <c r="AH126" s="3433"/>
      <c r="AI126" s="3434"/>
      <c r="AZ126" s="1638"/>
      <c r="BA126" s="1401">
        <v>126</v>
      </c>
    </row>
    <row r="127" spans="1:53" s="99" customFormat="1" ht="12.6" customHeight="1" thickTop="1">
      <c r="A127" s="1055" t="str">
        <f>IF(G127&gt;E127,"DF over limit!  Round down/Enter nbr.","")</f>
        <v/>
      </c>
      <c r="B127" s="1625"/>
      <c r="D127" s="362" t="s">
        <v>677</v>
      </c>
      <c r="E127" s="1626">
        <f>IF(AF122+AF125=0,"Fill in Rent Chart!",IF(F121="9%",AH122,IF(F121="4%",AH125,"Select App Type!")))</f>
        <v>3500000</v>
      </c>
      <c r="F127" s="193" t="s">
        <v>536</v>
      </c>
      <c r="G127" s="3285">
        <f>SUM(G122:G126)</f>
        <v>3500000</v>
      </c>
      <c r="H127" s="3286"/>
      <c r="J127" s="3285">
        <f>SUM(J122:J126)</f>
        <v>0</v>
      </c>
      <c r="K127" s="3286"/>
      <c r="L127" s="657"/>
      <c r="M127" s="3285">
        <f>SUM(M122:M126)</f>
        <v>0</v>
      </c>
      <c r="N127" s="3286"/>
      <c r="P127" s="3285">
        <f>SUM(P122:P126)</f>
        <v>3500000</v>
      </c>
      <c r="Q127" s="3286"/>
      <c r="S127" s="3285">
        <f>SUM(S122:S126)</f>
        <v>0</v>
      </c>
      <c r="T127" s="3286"/>
      <c r="V127" s="678">
        <f>SUM(V122:V126)</f>
        <v>0</v>
      </c>
      <c r="W127" s="3298"/>
      <c r="X127" s="3299"/>
      <c r="Y127"/>
      <c r="Z127" s="36"/>
      <c r="AA127" s="1049">
        <f>'DCA Underwriting Assumptions'!$J$72</f>
        <v>71</v>
      </c>
      <c r="AB127" s="1054"/>
      <c r="AC127" s="1046">
        <f>'DCA Underwriting Assumptions'!$Q$72</f>
        <v>16500</v>
      </c>
      <c r="AD127" s="1046">
        <f>AG125-AD126-AD125</f>
        <v>1685000</v>
      </c>
      <c r="AE127" s="1046">
        <f>MIN(AD127,IF('Part V-Revenues &amp; Expenses'!$P$67&gt;AB126,('Part V-Revenues &amp; Expenses'!$P$67-AB126)*AC127,0))</f>
        <v>1685000</v>
      </c>
      <c r="AF127" s="3319"/>
      <c r="AG127" s="3319"/>
      <c r="AH127" s="3435"/>
      <c r="AI127" s="3436"/>
      <c r="AZ127" s="1638"/>
      <c r="BA127" s="1401">
        <v>127</v>
      </c>
    </row>
    <row r="128" spans="1:53" s="99" customFormat="1" ht="13.35" customHeight="1">
      <c r="B128" s="158" t="s">
        <v>678</v>
      </c>
      <c r="J128" s="192"/>
      <c r="K128" s="192"/>
      <c r="M128" s="192"/>
      <c r="N128" s="192"/>
      <c r="O128" s="194" t="str">
        <f>B128</f>
        <v>START-UP AND RESERVES</v>
      </c>
      <c r="P128" s="192"/>
      <c r="Q128" s="192"/>
      <c r="S128" s="192"/>
      <c r="T128" s="192"/>
      <c r="V128" s="679"/>
      <c r="W128" s="99" t="str">
        <f>B128</f>
        <v>START-UP AND RESERVES</v>
      </c>
      <c r="Y128" s="27"/>
      <c r="Z128" s="1051"/>
      <c r="AB128" s="27"/>
      <c r="AC128"/>
      <c r="AD128"/>
      <c r="AF128"/>
      <c r="AG128"/>
      <c r="AH128"/>
      <c r="AI128"/>
      <c r="AJ128"/>
      <c r="AK128"/>
      <c r="AZ128" s="1638" t="s">
        <v>679</v>
      </c>
      <c r="BA128" s="1401">
        <v>128</v>
      </c>
    </row>
    <row r="129" spans="1:53" s="99" customFormat="1" ht="12.6" customHeight="1">
      <c r="B129" s="99" t="s">
        <v>680</v>
      </c>
      <c r="G129" s="3177">
        <v>30000</v>
      </c>
      <c r="H129" s="3178"/>
      <c r="J129" s="203"/>
      <c r="K129" s="203"/>
      <c r="L129" s="203"/>
      <c r="M129" s="203"/>
      <c r="N129" s="203"/>
      <c r="P129" s="203"/>
      <c r="Q129" s="203"/>
      <c r="S129" s="3177">
        <f>G129</f>
        <v>30000</v>
      </c>
      <c r="T129" s="3178"/>
      <c r="V129" s="676"/>
      <c r="W129" s="3289"/>
      <c r="X129" s="3290"/>
      <c r="Z129" s="1051"/>
      <c r="AB129" s="27"/>
      <c r="AC129"/>
      <c r="AD129"/>
      <c r="AF129"/>
      <c r="AG129"/>
      <c r="AH129"/>
      <c r="AI129"/>
      <c r="AJ129"/>
      <c r="AK129"/>
      <c r="AZ129" s="1638" t="s">
        <v>681</v>
      </c>
      <c r="BA129" s="1401">
        <v>129</v>
      </c>
    </row>
    <row r="130" spans="1:53" s="99" customFormat="1" ht="12.6" customHeight="1">
      <c r="B130" s="99" t="s">
        <v>682</v>
      </c>
      <c r="F130" s="268">
        <f>+'Part V-Revenues &amp; Expenses'!$Q$228*('DCA Underwriting Assumptions'!$Q$89/12)</f>
        <v>375450.25</v>
      </c>
      <c r="G130" s="3188">
        <v>50000</v>
      </c>
      <c r="H130" s="3189"/>
      <c r="J130" s="605" t="str">
        <f>IF(E130&gt;G130,"WARNING! Rent-Up Reserves proposed is below minimum - add comment.","")</f>
        <v/>
      </c>
      <c r="K130" s="605"/>
      <c r="L130" s="657"/>
      <c r="M130" s="593"/>
      <c r="N130" s="593"/>
      <c r="P130" s="593"/>
      <c r="Q130" s="593"/>
      <c r="S130" s="3188">
        <f>G130</f>
        <v>50000</v>
      </c>
      <c r="T130" s="3189"/>
      <c r="V130" s="676"/>
      <c r="W130" s="3289"/>
      <c r="X130" s="3290"/>
      <c r="Y130"/>
      <c r="Z130" s="1052"/>
      <c r="AB130" s="153"/>
      <c r="AD130"/>
      <c r="AG130"/>
      <c r="AH130"/>
      <c r="AI130"/>
      <c r="AZ130" s="1638"/>
      <c r="BA130" s="1401">
        <v>130</v>
      </c>
    </row>
    <row r="131" spans="1:53" s="99" customFormat="1" ht="12.6" customHeight="1">
      <c r="B131" s="99" t="s">
        <v>683</v>
      </c>
      <c r="F131" s="268">
        <f>'Part V-Revenues &amp; Expenses'!$Q$228*('DCA Underwriting Assumptions'!$Q$88/12)+('Part VI-Pro Forma'!$B$26+'Part VI-Pro Forma'!$B$27+'Part VI-Pro Forma'!$B$28+'Part VI-Pro Forma'!$B$29)*'DCA Underwriting Assumptions'!$Q$87/(-12)</f>
        <v>1325612.3682879163</v>
      </c>
      <c r="G131" s="3188">
        <f>F131</f>
        <v>1325612.3682879163</v>
      </c>
      <c r="H131" s="3189"/>
      <c r="J131" s="605" t="str">
        <f>IF(E131&gt;G131,"WARNING! ODR proposed is below minimum - add comment.","")</f>
        <v/>
      </c>
      <c r="K131" s="202"/>
      <c r="L131" s="202"/>
      <c r="M131" s="202"/>
      <c r="N131" s="202"/>
      <c r="P131" s="202"/>
      <c r="Q131" s="202"/>
      <c r="S131" s="3188">
        <f>G131</f>
        <v>1325612.3682879163</v>
      </c>
      <c r="T131" s="3189"/>
      <c r="V131" s="676"/>
      <c r="W131" s="3289"/>
      <c r="X131" s="3290"/>
      <c r="Y131"/>
      <c r="Z131" s="1052"/>
      <c r="AB131" s="153"/>
      <c r="AD131"/>
      <c r="AG131"/>
      <c r="AH131"/>
      <c r="AI131"/>
      <c r="AZ131" s="1638"/>
      <c r="BA131" s="1401">
        <v>131</v>
      </c>
    </row>
    <row r="132" spans="1:53" s="99" customFormat="1" ht="12.6" customHeight="1">
      <c r="B132" s="99" t="s">
        <v>684</v>
      </c>
      <c r="G132" s="3188"/>
      <c r="H132" s="3189"/>
      <c r="J132" s="203"/>
      <c r="K132" s="203"/>
      <c r="L132" s="203"/>
      <c r="M132" s="203"/>
      <c r="N132" s="203"/>
      <c r="P132" s="203"/>
      <c r="Q132" s="203"/>
      <c r="S132" s="3188"/>
      <c r="T132" s="3189"/>
      <c r="V132" s="676"/>
      <c r="W132" s="3289"/>
      <c r="X132" s="3290"/>
      <c r="AZ132" s="1638" t="s">
        <v>685</v>
      </c>
      <c r="BA132" s="1401">
        <v>132</v>
      </c>
    </row>
    <row r="133" spans="1:53" s="99" customFormat="1" ht="12.6" customHeight="1">
      <c r="B133" s="99" t="s">
        <v>686</v>
      </c>
      <c r="E133" s="520" t="s">
        <v>687</v>
      </c>
      <c r="F133" s="268">
        <f>IF('Part V-Revenues &amp; Expenses'!$P$67=0,0,G133/'Part V-Revenues &amp; Expenses'!$P$67)</f>
        <v>376.88442211055275</v>
      </c>
      <c r="G133" s="3188">
        <v>75000</v>
      </c>
      <c r="H133" s="3189"/>
      <c r="J133" s="3177"/>
      <c r="K133" s="3178"/>
      <c r="L133" s="657"/>
      <c r="M133" s="3177"/>
      <c r="N133" s="3178"/>
      <c r="P133" s="3177">
        <f>G133</f>
        <v>75000</v>
      </c>
      <c r="Q133" s="3178"/>
      <c r="S133" s="3188"/>
      <c r="T133" s="3189"/>
      <c r="V133" s="676"/>
      <c r="W133" s="3289"/>
      <c r="X133" s="3290"/>
      <c r="AZ133" s="1638" t="s">
        <v>688</v>
      </c>
      <c r="BA133" s="1401">
        <v>133</v>
      </c>
    </row>
    <row r="134" spans="1:53" s="99" customFormat="1" ht="12.6" customHeight="1" thickBot="1">
      <c r="A134" s="214" t="str">
        <f>IF(AND(G134&gt;0,OR(C134="",C134="&lt;Enter detailed description here; use Comments section if needed&gt;")),"X","")</f>
        <v/>
      </c>
      <c r="B134" s="102" t="s">
        <v>650</v>
      </c>
      <c r="C134" s="3324" t="s">
        <v>530</v>
      </c>
      <c r="D134" s="3324"/>
      <c r="E134" s="3324"/>
      <c r="F134" s="3325"/>
      <c r="G134" s="3137"/>
      <c r="H134" s="3138"/>
      <c r="J134" s="3287"/>
      <c r="K134" s="3288"/>
      <c r="L134" s="657"/>
      <c r="M134" s="3137"/>
      <c r="N134" s="3138"/>
      <c r="P134" s="3137"/>
      <c r="Q134" s="3138"/>
      <c r="S134" s="3137"/>
      <c r="T134" s="3138"/>
      <c r="U134" s="213" t="str">
        <f>IF(AND(G134&gt;0,OR(C134="",C134="&lt;Enter detailed description here; use Comments section if needed&gt;")),"NO DESCRIPTION PROVIDED - please enter detailed description in Other box at left; use Comments section below if needed.","")</f>
        <v/>
      </c>
      <c r="V134" s="676"/>
      <c r="W134" s="3296"/>
      <c r="X134" s="3297"/>
      <c r="AZ134" s="1638"/>
      <c r="BA134" s="1401">
        <v>134</v>
      </c>
    </row>
    <row r="135" spans="1:53" s="99" customFormat="1" ht="12.6" customHeight="1" thickTop="1">
      <c r="B135" s="204"/>
      <c r="F135" s="193" t="s">
        <v>536</v>
      </c>
      <c r="G135" s="3285">
        <f>SUM(G129:G134)</f>
        <v>1480612.3682879163</v>
      </c>
      <c r="H135" s="3286"/>
      <c r="J135" s="3285">
        <f>SUM(J133:J134)</f>
        <v>0</v>
      </c>
      <c r="K135" s="3286"/>
      <c r="L135" s="657"/>
      <c r="M135" s="3285">
        <f>SUM(M133:M134)</f>
        <v>0</v>
      </c>
      <c r="N135" s="3286"/>
      <c r="P135" s="3285">
        <f>SUM(P133:P134)</f>
        <v>75000</v>
      </c>
      <c r="Q135" s="3286"/>
      <c r="S135" s="3285">
        <f>SUM(S129:S134)</f>
        <v>1405612.3682879163</v>
      </c>
      <c r="T135" s="3286"/>
      <c r="V135" s="678">
        <f>SUM(V129:V134)</f>
        <v>0</v>
      </c>
      <c r="W135" s="3298"/>
      <c r="X135" s="3299"/>
      <c r="AZ135" s="1638"/>
      <c r="BA135" s="1401">
        <v>135</v>
      </c>
    </row>
    <row r="136" spans="1:53" s="99" customFormat="1" ht="3" customHeight="1">
      <c r="I136" s="205"/>
      <c r="L136" s="205"/>
      <c r="V136" s="679"/>
      <c r="AZ136" s="1638"/>
      <c r="BA136" s="1401">
        <v>136</v>
      </c>
    </row>
    <row r="137" spans="1:53" s="99" customFormat="1" ht="3.6" customHeight="1">
      <c r="D137" s="160"/>
      <c r="E137" s="160"/>
      <c r="I137" s="200"/>
      <c r="J137" s="200"/>
      <c r="K137" s="206"/>
      <c r="L137" s="160"/>
      <c r="V137" s="679"/>
      <c r="AZ137" s="1638"/>
      <c r="BA137" s="1401">
        <v>137</v>
      </c>
    </row>
    <row r="138" spans="1:53" s="99" customFormat="1" ht="6" customHeight="1" thickBot="1">
      <c r="A138" s="278"/>
      <c r="B138" s="278"/>
      <c r="C138" s="278"/>
      <c r="D138" s="278"/>
      <c r="E138" s="278"/>
      <c r="F138" s="278"/>
      <c r="G138" s="278"/>
      <c r="H138" s="278"/>
      <c r="I138" s="278"/>
      <c r="J138" s="278"/>
      <c r="K138" s="278"/>
      <c r="L138" s="278"/>
      <c r="M138" s="278"/>
      <c r="N138" s="278"/>
      <c r="O138" s="278"/>
      <c r="P138" s="278"/>
      <c r="Q138" s="278"/>
      <c r="R138" s="278"/>
      <c r="S138" s="278"/>
      <c r="T138" s="278"/>
      <c r="V138" s="679"/>
      <c r="AZ138" s="1638"/>
      <c r="BA138" s="1401">
        <v>138</v>
      </c>
    </row>
    <row r="139" spans="1:53" s="99" customFormat="1" ht="18" customHeight="1" thickBot="1">
      <c r="A139" s="247" t="s">
        <v>21</v>
      </c>
      <c r="B139" s="247" t="s">
        <v>622</v>
      </c>
      <c r="J139" s="3305" t="s">
        <v>517</v>
      </c>
      <c r="K139" s="3306"/>
      <c r="L139" s="192"/>
      <c r="M139" s="3311" t="s">
        <v>518</v>
      </c>
      <c r="N139" s="3312"/>
      <c r="P139" s="3305" t="s">
        <v>519</v>
      </c>
      <c r="Q139" s="3306"/>
      <c r="S139" s="3305" t="s">
        <v>520</v>
      </c>
      <c r="T139" s="3306"/>
      <c r="V139" s="248" t="str">
        <f>B139</f>
        <v>DEVELOPMENT BUDGET  (cont'd)</v>
      </c>
      <c r="AZ139" s="1638"/>
      <c r="BA139" s="1401">
        <v>139</v>
      </c>
    </row>
    <row r="140" spans="1:53" s="99" customFormat="1" ht="18" customHeight="1" thickBot="1">
      <c r="G140" s="3291" t="s">
        <v>521</v>
      </c>
      <c r="H140" s="3292"/>
      <c r="J140" s="3307"/>
      <c r="K140" s="3308"/>
      <c r="L140" s="192"/>
      <c r="M140" s="3313"/>
      <c r="N140" s="3314"/>
      <c r="P140" s="3307"/>
      <c r="Q140" s="3308"/>
      <c r="S140" s="3307"/>
      <c r="T140" s="3308"/>
      <c r="V140" s="167" t="s">
        <v>358</v>
      </c>
      <c r="X140" s="167"/>
      <c r="AZ140" s="1638"/>
      <c r="BA140" s="1401">
        <v>140</v>
      </c>
    </row>
    <row r="141" spans="1:53" s="99" customFormat="1" ht="13.35" customHeight="1">
      <c r="B141" s="158" t="s">
        <v>689</v>
      </c>
      <c r="C141" s="160"/>
      <c r="H141" s="200"/>
      <c r="I141" s="200"/>
      <c r="J141" s="192"/>
      <c r="K141" s="192"/>
      <c r="M141" s="192"/>
      <c r="N141" s="192"/>
      <c r="O141" s="194" t="str">
        <f>B141</f>
        <v>OTHER COSTS</v>
      </c>
      <c r="P141" s="192"/>
      <c r="Q141" s="192"/>
      <c r="S141" s="192"/>
      <c r="T141" s="192"/>
      <c r="V141" s="679"/>
      <c r="W141" s="99" t="str">
        <f>B141</f>
        <v>OTHER COSTS</v>
      </c>
      <c r="AZ141" s="1638"/>
      <c r="BA141" s="1401">
        <v>141</v>
      </c>
    </row>
    <row r="142" spans="1:53" s="99" customFormat="1" ht="12.6" customHeight="1">
      <c r="B142" s="99" t="s">
        <v>690</v>
      </c>
      <c r="C142" s="160"/>
      <c r="G142" s="3177">
        <v>547250</v>
      </c>
      <c r="H142" s="3178"/>
      <c r="J142" s="3177"/>
      <c r="K142" s="3178"/>
      <c r="L142" s="194"/>
      <c r="M142" s="3177"/>
      <c r="N142" s="3178"/>
      <c r="P142" s="3177">
        <f>G142</f>
        <v>547250</v>
      </c>
      <c r="Q142" s="3178"/>
      <c r="S142" s="3177"/>
      <c r="T142" s="3178"/>
      <c r="V142" s="676"/>
      <c r="W142" s="3289"/>
      <c r="X142" s="3290"/>
      <c r="AZ142" s="1638"/>
      <c r="BA142" s="1401">
        <v>142</v>
      </c>
    </row>
    <row r="143" spans="1:53" s="99" customFormat="1" ht="12.6" customHeight="1" thickBot="1">
      <c r="A143" s="214" t="str">
        <f>IF(AND(G143&gt;0,OR(C143="",C143="&lt;Enter detailed description here; use Comments section if needed&gt;")),"X","")</f>
        <v/>
      </c>
      <c r="B143" s="102" t="s">
        <v>650</v>
      </c>
      <c r="C143" s="3324" t="s">
        <v>530</v>
      </c>
      <c r="D143" s="3324"/>
      <c r="E143" s="3324"/>
      <c r="F143" s="3325"/>
      <c r="G143" s="3137"/>
      <c r="H143" s="3138"/>
      <c r="J143" s="3137"/>
      <c r="K143" s="3138"/>
      <c r="L143" s="657"/>
      <c r="M143" s="3137"/>
      <c r="N143" s="3138"/>
      <c r="P143" s="3137"/>
      <c r="Q143" s="3138"/>
      <c r="S143" s="3137"/>
      <c r="T143" s="3138"/>
      <c r="U143" s="213" t="str">
        <f>IF(AND(G143&gt;0,OR(C143="",C143="&lt;Enter detailed description here; use Comments section if needed&gt;")),"NO DESCRIPTION PROVIDED - please enter detailed description in Other box at left; use Comments section below if needed.","")</f>
        <v/>
      </c>
      <c r="V143" s="676"/>
      <c r="W143" s="3296"/>
      <c r="X143" s="3297"/>
      <c r="AZ143" s="1638"/>
      <c r="BA143" s="1401">
        <v>143</v>
      </c>
    </row>
    <row r="144" spans="1:53" s="99" customFormat="1" ht="12.6" customHeight="1" thickTop="1">
      <c r="C144" s="160"/>
      <c r="F144" s="193" t="s">
        <v>536</v>
      </c>
      <c r="G144" s="3285">
        <f>SUM(G142:G143)</f>
        <v>547250</v>
      </c>
      <c r="H144" s="3286"/>
      <c r="J144" s="3285">
        <f>SUM(J142:J143)</f>
        <v>0</v>
      </c>
      <c r="K144" s="3286"/>
      <c r="L144" s="657"/>
      <c r="M144" s="3285">
        <f>SUM(M142:M143)</f>
        <v>0</v>
      </c>
      <c r="N144" s="3286"/>
      <c r="P144" s="3285">
        <f>SUM(P142:P143)</f>
        <v>547250</v>
      </c>
      <c r="Q144" s="3286"/>
      <c r="S144" s="3285">
        <f>SUM(S142:S143)</f>
        <v>0</v>
      </c>
      <c r="T144" s="3286"/>
      <c r="V144" s="678">
        <f>SUM(V142:V143)</f>
        <v>0</v>
      </c>
      <c r="W144" s="3298"/>
      <c r="X144" s="3299"/>
      <c r="AZ144" s="1638"/>
      <c r="BA144" s="1401">
        <v>144</v>
      </c>
    </row>
    <row r="145" spans="1:53" s="99" customFormat="1" ht="15" customHeight="1" thickBot="1">
      <c r="C145" s="160"/>
      <c r="H145" s="200"/>
      <c r="I145" s="200"/>
      <c r="V145" s="679"/>
      <c r="W145" s="674"/>
      <c r="X145" s="675"/>
      <c r="AZ145" s="1638"/>
      <c r="BA145" s="1401">
        <v>145</v>
      </c>
    </row>
    <row r="146" spans="1:53" s="99" customFormat="1" ht="18.75" customHeight="1" thickBot="1">
      <c r="B146" s="1409" t="s">
        <v>691</v>
      </c>
      <c r="E146" s="520"/>
      <c r="F146" s="1056"/>
      <c r="G146" s="3428">
        <f ca="1">G18+G24+G28+G36+G41+G46+G55+G73+G86+G92+G103+G114+G120+G127+G135+G144</f>
        <v>35829793.968287915</v>
      </c>
      <c r="H146" s="3429"/>
      <c r="J146" s="3428">
        <f>J18+J24+J28+J36+J41+J46+J55+J73+J86+J92+J103+J114+J120+J127+J135+J144</f>
        <v>0</v>
      </c>
      <c r="K146" s="3429"/>
      <c r="M146" s="3428">
        <f>M18+M24+M28+M36+M41+M46+M55+M73+M86+M92+M103+M114+M120+M127+M135+M144</f>
        <v>13259000</v>
      </c>
      <c r="N146" s="3429"/>
      <c r="P146" s="3428">
        <f>P18+P24+P28+P36+P41+P46+P55+P73+P86+P92+P103+P114+P120+P127+P135+P144</f>
        <v>18909356.600000001</v>
      </c>
      <c r="Q146" s="3429"/>
      <c r="S146" s="3428">
        <f ca="1">S18+S24+S28+S36+S41+S46+S55+S73+S86+S92+S103+S114+S120+S127+S135+S144</f>
        <v>3661437.3682879163</v>
      </c>
      <c r="T146" s="3429"/>
      <c r="V146" s="681">
        <f>V18+V24+V28+V36+V41+V46+V55+V73+V86+V92+V103+V114+V120+V127+V135+V144</f>
        <v>0</v>
      </c>
      <c r="W146" s="3409"/>
      <c r="X146" s="3299"/>
      <c r="AZ146" s="1638"/>
      <c r="BA146" s="1401">
        <v>146</v>
      </c>
    </row>
    <row r="147" spans="1:53" s="99" customFormat="1" ht="12" customHeight="1">
      <c r="C147" s="160"/>
      <c r="H147" s="200"/>
      <c r="I147" s="200"/>
      <c r="V147" s="679"/>
      <c r="AZ147" s="1638"/>
      <c r="BA147" s="1401">
        <v>147</v>
      </c>
    </row>
    <row r="148" spans="1:53" s="99" customFormat="1" ht="14.1" customHeight="1">
      <c r="B148" s="2894" t="s">
        <v>692</v>
      </c>
      <c r="C148" s="2895"/>
      <c r="D148" s="3425">
        <f ca="1">IF('Part V-Revenues &amp; Expenses'!$P$67=0,0,G146/'Part V-Revenues &amp; Expenses'!$P$67)</f>
        <v>180049.21592104479</v>
      </c>
      <c r="E148" s="3425"/>
      <c r="F148" s="2896" t="s">
        <v>693</v>
      </c>
      <c r="G148" s="3426">
        <f ca="1">IF('Part V-Revenues &amp; Expenses'!$K$175=0,0,G146/'Part V-Revenues &amp; Expenses'!$K$175)</f>
        <v>167.12904866169077</v>
      </c>
      <c r="H148" s="3427"/>
      <c r="I148" s="205"/>
      <c r="V148" s="679"/>
      <c r="AZ148" s="1638"/>
      <c r="BA148" s="1401">
        <v>148</v>
      </c>
    </row>
    <row r="149" spans="1:53" s="99" customFormat="1" ht="21" customHeight="1" thickBot="1">
      <c r="B149" s="1403"/>
      <c r="C149" s="1404"/>
      <c r="D149" s="1405"/>
      <c r="E149" s="1405"/>
      <c r="F149" s="1406"/>
      <c r="G149" s="1226"/>
      <c r="H149" s="1226"/>
      <c r="I149" s="205"/>
      <c r="V149" s="679"/>
      <c r="AZ149" s="1638"/>
      <c r="BA149" s="1401">
        <v>149</v>
      </c>
    </row>
    <row r="150" spans="1:53" s="99" customFormat="1" ht="26.1" customHeight="1">
      <c r="A150" s="247" t="s">
        <v>25</v>
      </c>
      <c r="B150" s="249" t="s">
        <v>694</v>
      </c>
      <c r="C150" s="278"/>
      <c r="D150" s="657"/>
      <c r="E150" s="657"/>
      <c r="F150" s="657"/>
      <c r="I150" s="207"/>
      <c r="J150" s="3305" t="s">
        <v>517</v>
      </c>
      <c r="K150" s="3306"/>
      <c r="M150" s="3305" t="s">
        <v>695</v>
      </c>
      <c r="N150" s="3306"/>
      <c r="P150" s="3305" t="s">
        <v>519</v>
      </c>
      <c r="Q150" s="3306"/>
      <c r="V150" s="679"/>
      <c r="W150" s="248" t="str">
        <f>B150</f>
        <v>TAX CREDIT CALCULATION - BASIS METHOD</v>
      </c>
      <c r="AZ150" s="1638"/>
      <c r="BA150" s="1401">
        <v>150</v>
      </c>
    </row>
    <row r="151" spans="1:53" s="99" customFormat="1" ht="15" customHeight="1" thickBot="1">
      <c r="B151" s="140" t="s">
        <v>696</v>
      </c>
      <c r="D151" s="657"/>
      <c r="E151" s="657"/>
      <c r="I151" s="207"/>
      <c r="J151" s="3307"/>
      <c r="K151" s="3308"/>
      <c r="L151" s="278"/>
      <c r="M151" s="3307"/>
      <c r="N151" s="3308"/>
      <c r="P151" s="3307"/>
      <c r="Q151" s="3308"/>
      <c r="V151" s="679"/>
      <c r="W151" s="99" t="str">
        <f>B151</f>
        <v>Subtractions From Eligible Basis</v>
      </c>
      <c r="X151" s="167"/>
      <c r="AZ151" s="1638"/>
      <c r="BA151" s="1401">
        <v>151</v>
      </c>
    </row>
    <row r="152" spans="1:53" s="99" customFormat="1" ht="6" customHeight="1">
      <c r="D152" s="160"/>
      <c r="E152" s="160"/>
      <c r="I152" s="200"/>
      <c r="J152" s="200"/>
      <c r="K152" s="206"/>
      <c r="L152" s="160"/>
      <c r="V152" s="679"/>
      <c r="AZ152" s="1638"/>
      <c r="BA152" s="1401">
        <v>152</v>
      </c>
    </row>
    <row r="153" spans="1:53" s="99" customFormat="1" ht="14.1" customHeight="1">
      <c r="B153" s="160" t="s">
        <v>697</v>
      </c>
      <c r="I153" s="207"/>
      <c r="J153" s="3442"/>
      <c r="K153" s="3443"/>
      <c r="P153" s="3442"/>
      <c r="Q153" s="3443"/>
      <c r="V153" s="676"/>
      <c r="W153" s="3289"/>
      <c r="X153" s="3290"/>
      <c r="AZ153" s="1638"/>
      <c r="BA153" s="1401">
        <v>153</v>
      </c>
    </row>
    <row r="154" spans="1:53" s="99" customFormat="1" ht="14.1" customHeight="1">
      <c r="B154" s="99" t="s">
        <v>698</v>
      </c>
      <c r="I154" s="207"/>
      <c r="J154" s="3444"/>
      <c r="K154" s="3445"/>
      <c r="P154" s="3444"/>
      <c r="Q154" s="3445"/>
      <c r="V154" s="676"/>
      <c r="W154" s="3289"/>
      <c r="X154" s="3290"/>
      <c r="AZ154" s="1638"/>
      <c r="BA154" s="1401">
        <v>154</v>
      </c>
    </row>
    <row r="155" spans="1:53" s="99" customFormat="1" ht="14.1" customHeight="1">
      <c r="B155" s="99" t="s">
        <v>699</v>
      </c>
      <c r="I155" s="207"/>
      <c r="J155" s="3444"/>
      <c r="K155" s="3445"/>
      <c r="P155" s="3444"/>
      <c r="Q155" s="3445"/>
      <c r="V155" s="676"/>
      <c r="W155" s="3289"/>
      <c r="X155" s="3290"/>
      <c r="AZ155" s="1638"/>
      <c r="BA155" s="1401">
        <v>155</v>
      </c>
    </row>
    <row r="156" spans="1:53" s="99" customFormat="1" ht="14.1" customHeight="1">
      <c r="B156" s="99" t="s">
        <v>700</v>
      </c>
      <c r="I156" s="207"/>
      <c r="J156" s="3444"/>
      <c r="K156" s="3445"/>
      <c r="P156" s="3444"/>
      <c r="Q156" s="3445"/>
      <c r="V156" s="676"/>
      <c r="W156" s="3289"/>
      <c r="X156" s="3290"/>
      <c r="AZ156" s="1638"/>
      <c r="BA156" s="1401">
        <v>156</v>
      </c>
    </row>
    <row r="157" spans="1:53" s="99" customFormat="1" ht="14.1" customHeight="1">
      <c r="B157" s="99" t="s">
        <v>701</v>
      </c>
      <c r="I157" s="207"/>
      <c r="J157" s="3444"/>
      <c r="K157" s="3445"/>
      <c r="P157" s="3444"/>
      <c r="Q157" s="3445"/>
      <c r="V157" s="676"/>
      <c r="W157" s="3289"/>
      <c r="X157" s="3290"/>
      <c r="AZ157" s="1638"/>
      <c r="BA157" s="1401">
        <v>157</v>
      </c>
    </row>
    <row r="158" spans="1:53" s="99" customFormat="1" ht="14.1" customHeight="1" thickBot="1">
      <c r="B158" s="99" t="s">
        <v>702</v>
      </c>
      <c r="C158" s="3437" t="s">
        <v>703</v>
      </c>
      <c r="D158" s="3437"/>
      <c r="E158" s="3437"/>
      <c r="F158" s="3437"/>
      <c r="G158" s="3437"/>
      <c r="H158" s="3437"/>
      <c r="I158" s="3438"/>
      <c r="J158" s="3361"/>
      <c r="K158" s="3362"/>
      <c r="P158" s="3361"/>
      <c r="Q158" s="3362"/>
      <c r="V158" s="676"/>
      <c r="W158" s="3296"/>
      <c r="X158" s="3297"/>
      <c r="AZ158" s="1638"/>
      <c r="BA158" s="1401">
        <v>158</v>
      </c>
    </row>
    <row r="159" spans="1:53" s="99" customFormat="1" ht="14.1" customHeight="1" thickBot="1">
      <c r="B159" s="158" t="s">
        <v>704</v>
      </c>
      <c r="C159" s="164"/>
      <c r="J159" s="3261">
        <f>SUM(J153:K158)</f>
        <v>0</v>
      </c>
      <c r="K159" s="3262"/>
      <c r="P159" s="3261">
        <f>SUM(P153:Q158)</f>
        <v>0</v>
      </c>
      <c r="Q159" s="3262"/>
      <c r="V159" s="678">
        <f>SUM(V153:V158)</f>
        <v>0</v>
      </c>
      <c r="W159" s="3298"/>
      <c r="X159" s="3299"/>
      <c r="AZ159" s="1638"/>
      <c r="BA159" s="1401">
        <v>159</v>
      </c>
    </row>
    <row r="160" spans="1:53" s="99" customFormat="1" ht="3" customHeight="1">
      <c r="V160" s="679"/>
      <c r="AZ160" s="1638"/>
      <c r="BA160" s="1401">
        <v>160</v>
      </c>
    </row>
    <row r="161" spans="1:53" s="99" customFormat="1" ht="15" customHeight="1">
      <c r="B161" s="158" t="s">
        <v>705</v>
      </c>
      <c r="V161" s="679"/>
      <c r="W161" s="99" t="str">
        <f>B161</f>
        <v>Eligible Basis Calculation</v>
      </c>
      <c r="AZ161" s="1638"/>
      <c r="BA161" s="1401">
        <v>161</v>
      </c>
    </row>
    <row r="162" spans="1:53" s="99" customFormat="1" ht="14.1" customHeight="1">
      <c r="B162" s="99" t="s">
        <v>706</v>
      </c>
      <c r="J162" s="3281">
        <f>J146</f>
        <v>0</v>
      </c>
      <c r="K162" s="3282"/>
      <c r="M162" s="3283">
        <f>M146</f>
        <v>13259000</v>
      </c>
      <c r="N162" s="3284"/>
      <c r="P162" s="3281">
        <f>P146</f>
        <v>18909356.600000001</v>
      </c>
      <c r="Q162" s="3282"/>
      <c r="R162" s="3411" t="s">
        <v>707</v>
      </c>
      <c r="S162" s="3377"/>
      <c r="T162" s="3377"/>
      <c r="V162" s="676"/>
      <c r="W162" s="3289"/>
      <c r="X162" s="3290"/>
      <c r="AZ162" s="1638"/>
      <c r="BA162" s="1401">
        <v>162</v>
      </c>
    </row>
    <row r="163" spans="1:53" s="99" customFormat="1" ht="14.1" customHeight="1">
      <c r="B163" s="99" t="s">
        <v>708</v>
      </c>
      <c r="J163" s="3302">
        <f>J159</f>
        <v>0</v>
      </c>
      <c r="K163" s="3303"/>
      <c r="M163" s="3304"/>
      <c r="N163" s="3304"/>
      <c r="P163" s="3302">
        <f>P159</f>
        <v>0</v>
      </c>
      <c r="Q163" s="3303"/>
      <c r="R163" s="3411"/>
      <c r="S163" s="3377"/>
      <c r="T163" s="3377"/>
      <c r="U163" s="938"/>
      <c r="V163" s="676"/>
      <c r="W163" s="3289"/>
      <c r="X163" s="3290"/>
      <c r="AZ163" s="1638"/>
      <c r="BA163" s="1401">
        <v>163</v>
      </c>
    </row>
    <row r="164" spans="1:53" s="99" customFormat="1" ht="14.1" customHeight="1">
      <c r="B164" s="99" t="s">
        <v>709</v>
      </c>
      <c r="J164" s="3302">
        <f>J162-J163</f>
        <v>0</v>
      </c>
      <c r="K164" s="3303"/>
      <c r="M164" s="3300">
        <f>M162</f>
        <v>13259000</v>
      </c>
      <c r="N164" s="3301"/>
      <c r="P164" s="3302">
        <f>P162-P163</f>
        <v>18909356.600000001</v>
      </c>
      <c r="Q164" s="3303"/>
      <c r="R164" s="3411"/>
      <c r="S164" s="3377"/>
      <c r="T164" s="3377"/>
      <c r="U164" s="938"/>
      <c r="V164" s="676"/>
      <c r="W164" s="3289"/>
      <c r="X164" s="3290"/>
      <c r="AZ164" s="1638"/>
      <c r="BA164" s="1401">
        <v>164</v>
      </c>
    </row>
    <row r="165" spans="1:53" s="99" customFormat="1" ht="14.1" customHeight="1">
      <c r="B165" s="99" t="s">
        <v>710</v>
      </c>
      <c r="G165" s="162" t="s">
        <v>711</v>
      </c>
      <c r="H165" s="3224" t="s">
        <v>7060</v>
      </c>
      <c r="I165" s="3225"/>
      <c r="J165" s="3363"/>
      <c r="K165" s="3364"/>
      <c r="M165" s="3365"/>
      <c r="N165" s="3365"/>
      <c r="P165" s="3363">
        <v>1.3</v>
      </c>
      <c r="Q165" s="3364"/>
      <c r="R165" s="3412" t="s">
        <v>713</v>
      </c>
      <c r="S165" s="3413"/>
      <c r="T165" s="3414"/>
      <c r="U165" s="939"/>
      <c r="V165" s="676"/>
      <c r="W165" s="3289"/>
      <c r="X165" s="3290"/>
      <c r="AZ165" s="1638"/>
      <c r="BA165" s="1401">
        <v>165</v>
      </c>
    </row>
    <row r="166" spans="1:53" s="99" customFormat="1" ht="14.1" customHeight="1">
      <c r="B166" s="99" t="s">
        <v>714</v>
      </c>
      <c r="J166" s="3302">
        <f>J164*J165</f>
        <v>0</v>
      </c>
      <c r="K166" s="3303"/>
      <c r="M166" s="3281">
        <f>+M164</f>
        <v>13259000</v>
      </c>
      <c r="N166" s="3282"/>
      <c r="P166" s="3302">
        <f>P164*P165</f>
        <v>24582163.580000002</v>
      </c>
      <c r="Q166" s="3303"/>
      <c r="R166" s="3415"/>
      <c r="S166" s="3416"/>
      <c r="T166" s="3417"/>
      <c r="U166" s="939"/>
      <c r="V166" s="676"/>
      <c r="W166" s="3289"/>
      <c r="X166" s="3290"/>
      <c r="AZ166" s="1638"/>
      <c r="BA166" s="1401">
        <v>166</v>
      </c>
    </row>
    <row r="167" spans="1:53" s="99" customFormat="1" ht="14.1" customHeight="1">
      <c r="B167" s="99" t="s">
        <v>715</v>
      </c>
      <c r="J167" s="3366">
        <f>MIN('Part V-Revenues &amp; Expenses'!$P$63/'Part V-Revenues &amp; Expenses'!$P$65,'Part V-Revenues &amp; Expenses'!$P$164/'Part V-Revenues &amp; Expenses'!$P$166)</f>
        <v>0.59198388447961103</v>
      </c>
      <c r="K167" s="3367"/>
      <c r="M167" s="3366">
        <f>MIN('Part V-Revenues &amp; Expenses'!$P$63/'Part V-Revenues &amp; Expenses'!$P$65,'Part V-Revenues &amp; Expenses'!$P$164/'Part V-Revenues &amp; Expenses'!$P$166)</f>
        <v>0.59198388447961103</v>
      </c>
      <c r="N167" s="3367"/>
      <c r="P167" s="3366">
        <f>MIN('Part V-Revenues &amp; Expenses'!$P$63/'Part V-Revenues &amp; Expenses'!$P$65,'Part V-Revenues &amp; Expenses'!$P$164/'Part V-Revenues &amp; Expenses'!$P$166)</f>
        <v>0.59198388447961103</v>
      </c>
      <c r="Q167" s="3367"/>
      <c r="R167" s="3418"/>
      <c r="S167" s="3419"/>
      <c r="T167" s="3420"/>
      <c r="V167" s="676"/>
      <c r="W167" s="3289"/>
      <c r="X167" s="3290"/>
      <c r="AZ167" s="1638"/>
      <c r="BA167" s="1401">
        <v>167</v>
      </c>
    </row>
    <row r="168" spans="1:53" s="99" customFormat="1" ht="14.1" customHeight="1">
      <c r="B168" s="99" t="s">
        <v>716</v>
      </c>
      <c r="J168" s="3302">
        <f>J166*J167</f>
        <v>0</v>
      </c>
      <c r="K168" s="3303"/>
      <c r="M168" s="3302">
        <f>M166*M167</f>
        <v>7849114.3243151624</v>
      </c>
      <c r="N168" s="3303"/>
      <c r="P168" s="3302">
        <f>P166*P167</f>
        <v>14552244.685001623</v>
      </c>
      <c r="Q168" s="3303"/>
      <c r="V168" s="676"/>
      <c r="W168" s="3289"/>
      <c r="X168" s="3290"/>
      <c r="AZ168" s="1638"/>
      <c r="BA168" s="1401">
        <v>168</v>
      </c>
    </row>
    <row r="169" spans="1:53" s="99" customFormat="1" ht="14.1" customHeight="1">
      <c r="B169" s="99" t="s">
        <v>717</v>
      </c>
      <c r="J169" s="3363"/>
      <c r="K169" s="3364"/>
      <c r="M169" s="3363">
        <v>0.04</v>
      </c>
      <c r="N169" s="3364"/>
      <c r="P169" s="3363">
        <v>0.04</v>
      </c>
      <c r="Q169" s="3364"/>
      <c r="V169" s="676"/>
      <c r="W169" s="3289"/>
      <c r="X169" s="3290"/>
      <c r="AZ169" s="1638"/>
      <c r="BA169" s="1401">
        <v>169</v>
      </c>
    </row>
    <row r="170" spans="1:53" s="99" customFormat="1" ht="14.1" customHeight="1" thickBot="1">
      <c r="B170" s="99" t="s">
        <v>718</v>
      </c>
      <c r="J170" s="3368">
        <f>J168*J169</f>
        <v>0</v>
      </c>
      <c r="K170" s="3369"/>
      <c r="M170" s="3368">
        <f>M168*M169</f>
        <v>313964.57297260652</v>
      </c>
      <c r="N170" s="3369"/>
      <c r="P170" s="3368">
        <f>P168*P169</f>
        <v>582089.78740006487</v>
      </c>
      <c r="Q170" s="3369"/>
      <c r="V170" s="682"/>
      <c r="W170" s="3296"/>
      <c r="X170" s="3297"/>
      <c r="AZ170" s="1638"/>
      <c r="BA170" s="1401">
        <v>170</v>
      </c>
    </row>
    <row r="171" spans="1:53" s="99" customFormat="1" ht="14.1" customHeight="1" thickBot="1">
      <c r="B171" s="158" t="s">
        <v>719</v>
      </c>
      <c r="J171" s="3261">
        <f>ROUNDDOWN(J170+M170+P170,0)</f>
        <v>896054</v>
      </c>
      <c r="K171" s="3370"/>
      <c r="L171" s="3370"/>
      <c r="M171" s="3370"/>
      <c r="N171" s="3370"/>
      <c r="O171" s="3370"/>
      <c r="P171" s="3370"/>
      <c r="Q171" s="3262"/>
      <c r="V171" s="678"/>
      <c r="W171" s="3407"/>
      <c r="X171" s="3408"/>
      <c r="AZ171" s="1638"/>
      <c r="BA171" s="1401">
        <v>171</v>
      </c>
    </row>
    <row r="172" spans="1:53" s="99" customFormat="1" ht="6" customHeight="1">
      <c r="B172" s="208"/>
      <c r="L172" s="209"/>
      <c r="M172" s="209"/>
      <c r="N172" s="209"/>
      <c r="O172" s="209"/>
      <c r="V172" s="679"/>
      <c r="AZ172" s="1638"/>
      <c r="BA172" s="1401">
        <v>172</v>
      </c>
    </row>
    <row r="173" spans="1:53" s="99" customFormat="1" ht="14.1" customHeight="1">
      <c r="A173" s="248" t="s">
        <v>31</v>
      </c>
      <c r="B173" s="248" t="s">
        <v>720</v>
      </c>
      <c r="H173" s="200"/>
      <c r="I173" s="200"/>
      <c r="M173" s="274"/>
      <c r="V173" s="679"/>
      <c r="AZ173" s="1638"/>
      <c r="BA173" s="1401">
        <v>173</v>
      </c>
    </row>
    <row r="174" spans="1:53" s="99" customFormat="1" ht="3" customHeight="1">
      <c r="H174" s="200"/>
      <c r="I174" s="200"/>
      <c r="M174" s="274"/>
      <c r="O174" s="3371"/>
      <c r="P174" s="3371"/>
      <c r="Q174" s="3371"/>
      <c r="R174" s="3371"/>
      <c r="S174" s="3371"/>
      <c r="T174" s="3371"/>
      <c r="U174" s="3371"/>
      <c r="V174" s="3371"/>
      <c r="AZ174" s="1638"/>
      <c r="BA174" s="1401">
        <v>174</v>
      </c>
    </row>
    <row r="175" spans="1:53" s="99" customFormat="1" ht="15" customHeight="1" thickBot="1">
      <c r="B175" s="158" t="s">
        <v>721</v>
      </c>
      <c r="V175" s="679"/>
      <c r="W175" s="248" t="str">
        <f>B173</f>
        <v>TAX CREDIT CALCULATION - GAP METHOD</v>
      </c>
      <c r="AZ175" s="1638"/>
      <c r="BA175" s="1401">
        <v>175</v>
      </c>
    </row>
    <row r="176" spans="1:53" s="99" customFormat="1" ht="15" customHeight="1">
      <c r="B176" s="99" t="s">
        <v>722</v>
      </c>
      <c r="J176" s="3281">
        <f ca="1">G146</f>
        <v>35829793.968287915</v>
      </c>
      <c r="K176" s="3394"/>
      <c r="L176" s="3282"/>
      <c r="N176" s="3373" t="s">
        <v>723</v>
      </c>
      <c r="O176" s="3374"/>
      <c r="P176" s="3374"/>
      <c r="Q176" s="3375"/>
      <c r="S176" s="3390" t="s">
        <v>724</v>
      </c>
      <c r="T176" s="3391"/>
      <c r="V176" s="676"/>
      <c r="W176" s="3289"/>
      <c r="X176" s="3290"/>
      <c r="AZ176" s="1638"/>
      <c r="BA176" s="1401">
        <v>176</v>
      </c>
    </row>
    <row r="177" spans="1:53" s="99" customFormat="1" ht="14.1" customHeight="1">
      <c r="B177" s="99" t="s">
        <v>725</v>
      </c>
      <c r="J177" s="3302">
        <f ca="1">'Part II-Sources of Funds'!$I$60-'Part II-Sources of Funds'!$I$44-'Part II-Sources of Funds'!$I$45-'Part II-Sources of Funds'!$I$51-'Part II-Sources of Funds'!$I$52</f>
        <v>22376059.999999996</v>
      </c>
      <c r="K177" s="3395"/>
      <c r="L177" s="3303"/>
      <c r="M177" s="1640"/>
      <c r="N177" s="3376"/>
      <c r="O177" s="3377"/>
      <c r="P177" s="3377"/>
      <c r="Q177" s="3378"/>
      <c r="S177" s="3392"/>
      <c r="T177" s="3393"/>
      <c r="V177" s="676"/>
      <c r="W177" s="3289"/>
      <c r="X177" s="3290"/>
      <c r="AZ177" s="1638"/>
      <c r="BA177" s="1401">
        <v>177</v>
      </c>
    </row>
    <row r="178" spans="1:53" s="99" customFormat="1" ht="14.1" customHeight="1">
      <c r="B178" s="99" t="s">
        <v>726</v>
      </c>
      <c r="J178" s="3396">
        <f ca="1">+J176-J177</f>
        <v>13453733.968287919</v>
      </c>
      <c r="K178" s="3397"/>
      <c r="L178" s="3398"/>
      <c r="M178" s="1640"/>
      <c r="N178" s="3379"/>
      <c r="O178" s="3380"/>
      <c r="P178" s="3380"/>
      <c r="Q178" s="3381"/>
      <c r="S178" s="3392"/>
      <c r="T178" s="3393"/>
      <c r="V178" s="676"/>
      <c r="W178" s="3289"/>
      <c r="X178" s="3290"/>
      <c r="AZ178" s="1638"/>
      <c r="BA178" s="1401">
        <v>178</v>
      </c>
    </row>
    <row r="179" spans="1:53" s="99" customFormat="1" ht="14.1" customHeight="1" thickBot="1">
      <c r="B179" s="99" t="s">
        <v>727</v>
      </c>
      <c r="J179" s="3248" t="str">
        <f>"/ 10"</f>
        <v>/ 10</v>
      </c>
      <c r="K179" s="3248"/>
      <c r="L179" s="3248"/>
      <c r="M179" s="141"/>
      <c r="N179" s="3399">
        <f>'Part II-Sources of Funds'!$I$44</f>
        <v>0</v>
      </c>
      <c r="O179" s="3400"/>
      <c r="P179" s="3400"/>
      <c r="Q179" s="3401"/>
      <c r="S179" s="236" t="s">
        <v>728</v>
      </c>
      <c r="T179" s="2717"/>
      <c r="V179" s="676"/>
      <c r="W179" s="3289"/>
      <c r="X179" s="3290"/>
      <c r="AZ179" s="1638"/>
      <c r="BA179" s="1401">
        <v>179</v>
      </c>
    </row>
    <row r="180" spans="1:53" s="99" customFormat="1" ht="14.1" customHeight="1">
      <c r="B180" s="99" t="s">
        <v>729</v>
      </c>
      <c r="J180" s="3300">
        <f ca="1">J178/10</f>
        <v>1345373.3968287918</v>
      </c>
      <c r="K180" s="3304"/>
      <c r="L180" s="3301"/>
      <c r="N180" s="272"/>
      <c r="O180" s="272"/>
      <c r="P180" s="272"/>
      <c r="Q180" s="272"/>
      <c r="R180" s="272"/>
      <c r="V180" s="676"/>
      <c r="W180" s="3289"/>
      <c r="X180" s="3290"/>
      <c r="AZ180" s="1638"/>
      <c r="BA180" s="1401">
        <v>180</v>
      </c>
    </row>
    <row r="181" spans="1:53" s="99" customFormat="1" ht="14.1" customHeight="1">
      <c r="M181" s="100"/>
      <c r="N181" s="3133" t="s">
        <v>730</v>
      </c>
      <c r="O181" s="3133"/>
      <c r="Q181" s="3133" t="s">
        <v>201</v>
      </c>
      <c r="R181" s="3133"/>
      <c r="V181" s="676"/>
      <c r="W181" s="3289"/>
      <c r="X181" s="3290"/>
      <c r="Z181" s="1499" t="s">
        <v>712</v>
      </c>
      <c r="AZ181" s="1638"/>
      <c r="BA181" s="1401">
        <v>181</v>
      </c>
    </row>
    <row r="182" spans="1:53" s="99" customFormat="1" ht="14.1" customHeight="1" thickBot="1">
      <c r="B182" s="99" t="s">
        <v>731</v>
      </c>
      <c r="J182" s="3382">
        <f>N182+Q182</f>
        <v>1.3900000000000001</v>
      </c>
      <c r="K182" s="3383"/>
      <c r="L182" s="3384"/>
      <c r="M182" s="162" t="s">
        <v>732</v>
      </c>
      <c r="N182" s="3385">
        <v>0.87</v>
      </c>
      <c r="O182" s="3386"/>
      <c r="P182" s="162" t="s">
        <v>733</v>
      </c>
      <c r="Q182" s="3385">
        <v>0.52</v>
      </c>
      <c r="R182" s="3386"/>
      <c r="V182" s="676"/>
      <c r="W182" s="3289"/>
      <c r="X182" s="3290"/>
      <c r="Z182" s="1500">
        <f>'DCA Underwriting Assumptions'!Q114</f>
        <v>1105000</v>
      </c>
      <c r="AZ182" s="1638"/>
      <c r="BA182" s="1401">
        <v>182</v>
      </c>
    </row>
    <row r="183" spans="1:53" s="99" customFormat="1" ht="14.1" customHeight="1" thickBot="1">
      <c r="B183" s="158" t="s">
        <v>734</v>
      </c>
      <c r="J183" s="3261">
        <f ca="1">ROUNDDOWN(IF(J182=0,"",J180/J182),0)</f>
        <v>967894</v>
      </c>
      <c r="K183" s="3370"/>
      <c r="L183" s="3262"/>
      <c r="M183" s="100"/>
      <c r="V183" s="676"/>
      <c r="W183" s="3289"/>
      <c r="X183" s="3290"/>
      <c r="Z183" s="1500">
        <f>'DCA Underwriting Assumptions'!Q115</f>
        <v>1225000</v>
      </c>
      <c r="AZ183" s="1638"/>
      <c r="BA183" s="1401">
        <v>183</v>
      </c>
    </row>
    <row r="184" spans="1:53" s="99" customFormat="1" ht="6" customHeight="1">
      <c r="J184" s="210"/>
      <c r="K184" s="210"/>
      <c r="L184" s="210"/>
      <c r="M184" s="100"/>
      <c r="N184" s="162"/>
      <c r="O184" s="162"/>
      <c r="V184" s="679"/>
      <c r="W184" s="1350"/>
      <c r="X184" s="1350"/>
      <c r="AZ184" s="1638"/>
      <c r="BA184" s="1401">
        <v>184</v>
      </c>
    </row>
    <row r="185" spans="1:53" s="99" customFormat="1" ht="14.1" customHeight="1">
      <c r="A185" s="248" t="s">
        <v>50</v>
      </c>
      <c r="B185" s="248" t="s">
        <v>735</v>
      </c>
      <c r="H185" s="200"/>
      <c r="I185" s="200"/>
      <c r="V185" s="679"/>
      <c r="AZ185" s="1638"/>
      <c r="BA185" s="1401">
        <v>185</v>
      </c>
    </row>
    <row r="186" spans="1:53" s="99" customFormat="1" ht="3" customHeight="1">
      <c r="H186" s="200"/>
      <c r="I186" s="200"/>
      <c r="Q186" s="322"/>
      <c r="R186" s="322"/>
      <c r="S186" s="692"/>
      <c r="T186" s="692"/>
      <c r="U186" s="291"/>
      <c r="V186" s="291"/>
      <c r="AZ186" s="591"/>
      <c r="BA186" s="1401">
        <v>186</v>
      </c>
    </row>
    <row r="187" spans="1:53" s="99" customFormat="1" ht="16.350000000000001" customHeight="1">
      <c r="B187" s="158" t="s">
        <v>736</v>
      </c>
      <c r="J187" s="3387">
        <f ca="1">MIN(J171,J183)</f>
        <v>896054</v>
      </c>
      <c r="K187" s="3388"/>
      <c r="L187" s="3389"/>
      <c r="Q187" s="102" t="s">
        <v>737</v>
      </c>
      <c r="R187" s="102"/>
      <c r="S187" s="3279" t="str">
        <f>'Part VIII Scoring Criteria'!$J$36</f>
        <v>Atlanta Metro</v>
      </c>
      <c r="T187" s="3280"/>
      <c r="U187" s="1324" t="str">
        <f>IF(OR(S187="Atlanta Metro", "Other Metro"), "Metro", IF(S187="Rural","Rural",""))</f>
        <v>Metro</v>
      </c>
      <c r="V187" s="676"/>
      <c r="W187" s="3289"/>
      <c r="X187" s="3290"/>
      <c r="AZ187" s="591"/>
      <c r="BA187" s="1401">
        <v>187</v>
      </c>
    </row>
    <row r="188" spans="1:53" s="99" customFormat="1" ht="3" customHeight="1">
      <c r="J188" s="210"/>
      <c r="K188" s="210"/>
      <c r="L188" s="210"/>
      <c r="M188" s="100"/>
      <c r="N188" s="162"/>
      <c r="O188" s="162"/>
      <c r="Q188" s="102"/>
      <c r="R188" s="102"/>
      <c r="S188" s="157"/>
      <c r="T188" s="157"/>
      <c r="V188" s="679"/>
      <c r="W188" s="674"/>
      <c r="X188" s="675"/>
      <c r="AZ188" s="591"/>
      <c r="BA188" s="1401">
        <v>188</v>
      </c>
    </row>
    <row r="189" spans="1:53" s="99" customFormat="1" ht="16.350000000000001" customHeight="1">
      <c r="B189" s="158" t="s">
        <v>738</v>
      </c>
      <c r="J189" s="3387">
        <f ca="1">J187</f>
        <v>896054</v>
      </c>
      <c r="K189" s="3388"/>
      <c r="L189" s="3389"/>
      <c r="M189" s="3372" t="str">
        <f ca="1">IF(J187=0,"",IF(J189&gt;J187,"Request can't exceed Maximum - REVISE (Try Round Down)!",""))</f>
        <v/>
      </c>
      <c r="N189" s="3372"/>
      <c r="O189" s="3372"/>
      <c r="P189" s="3372"/>
      <c r="Q189" s="157" t="s">
        <v>739</v>
      </c>
      <c r="R189" s="102"/>
      <c r="S189" s="3279" t="str">
        <f>'Part VIII Scoring Criteria'!$F$36</f>
        <v>Preservation</v>
      </c>
      <c r="T189" s="3280"/>
      <c r="V189" s="676"/>
      <c r="W189" s="3289"/>
      <c r="X189" s="3290"/>
      <c r="AZ189" s="591"/>
      <c r="BA189" s="1401">
        <v>189</v>
      </c>
    </row>
    <row r="190" spans="1:53" s="99" customFormat="1" ht="3" customHeight="1">
      <c r="J190" s="210"/>
      <c r="K190" s="210"/>
      <c r="L190" s="210"/>
      <c r="M190" s="3372"/>
      <c r="N190" s="3372"/>
      <c r="O190" s="3372"/>
      <c r="P190" s="3372"/>
      <c r="Q190" s="102"/>
      <c r="R190" s="102"/>
      <c r="S190" s="157"/>
      <c r="T190" s="157"/>
      <c r="V190" s="679"/>
      <c r="W190" s="674"/>
      <c r="X190" s="675"/>
      <c r="AZ190" s="591"/>
      <c r="BA190" s="1401">
        <v>190</v>
      </c>
    </row>
    <row r="191" spans="1:53" s="99" customFormat="1" ht="16.350000000000001" customHeight="1">
      <c r="A191" s="248"/>
      <c r="B191" s="248" t="s">
        <v>740</v>
      </c>
      <c r="D191" s="100"/>
      <c r="E191" s="100"/>
      <c r="F191" s="160"/>
      <c r="J191" s="3402">
        <f ca="1">IF(J189="",0,+MIN(J187,J189))</f>
        <v>896054</v>
      </c>
      <c r="K191" s="3403"/>
      <c r="L191" s="3404"/>
      <c r="M191" s="3372"/>
      <c r="N191" s="3372"/>
      <c r="O191" s="3372"/>
      <c r="P191" s="3372"/>
      <c r="Q191" s="153" t="s">
        <v>632</v>
      </c>
      <c r="R191" s="153"/>
      <c r="S191" s="13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951"/>
      <c r="V191" s="676"/>
      <c r="W191" s="3289"/>
      <c r="X191" s="3290"/>
      <c r="AZ191" s="591"/>
      <c r="BA191" s="1401">
        <v>191</v>
      </c>
    </row>
    <row r="192" spans="1:53" ht="3" customHeight="1">
      <c r="BA192" s="1401">
        <v>192</v>
      </c>
    </row>
    <row r="193" spans="1:53" ht="6" customHeight="1">
      <c r="BA193" s="1401">
        <v>193</v>
      </c>
    </row>
    <row r="194" spans="1:53" ht="12" customHeight="1">
      <c r="A194" s="158" t="s">
        <v>66</v>
      </c>
      <c r="B194" s="167" t="s">
        <v>76</v>
      </c>
      <c r="N194" s="158" t="s">
        <v>75</v>
      </c>
      <c r="O194" s="158" t="s">
        <v>78</v>
      </c>
      <c r="AZ194" s="1638"/>
      <c r="BA194" s="1401">
        <v>194</v>
      </c>
    </row>
    <row r="195" spans="1:53" ht="287.25" customHeight="1">
      <c r="A195" s="3251" t="s">
        <v>741</v>
      </c>
      <c r="B195" s="3251"/>
      <c r="C195" s="3251"/>
      <c r="D195" s="3251"/>
      <c r="E195" s="3251"/>
      <c r="F195" s="3251"/>
      <c r="G195" s="3251"/>
      <c r="H195" s="3251"/>
      <c r="I195" s="3251"/>
      <c r="J195" s="3251"/>
      <c r="K195" s="3251"/>
      <c r="L195" s="3251"/>
      <c r="M195" s="3251"/>
      <c r="N195" s="3405"/>
      <c r="O195" s="3405"/>
      <c r="P195" s="3405"/>
      <c r="Q195" s="3405"/>
      <c r="R195" s="3405"/>
      <c r="S195" s="3405"/>
      <c r="T195" s="3405"/>
      <c r="V195" s="595"/>
      <c r="W195" s="3249" t="s">
        <v>297</v>
      </c>
      <c r="X195" s="3249"/>
      <c r="AZ195" s="1638"/>
      <c r="BA195" s="1401">
        <v>195</v>
      </c>
    </row>
    <row r="196" spans="1:53" ht="11.25" customHeight="1">
      <c r="AZ196" s="1638"/>
      <c r="BA196" s="1438"/>
    </row>
    <row r="197" spans="1:53" ht="12" customHeight="1">
      <c r="BA197" s="1438"/>
    </row>
    <row r="198" spans="1:53" ht="12" customHeight="1">
      <c r="AZ198" s="1638"/>
    </row>
    <row r="199" spans="1:53" ht="14.65" customHeight="1">
      <c r="BA199" s="1438"/>
    </row>
    <row r="200" spans="1:53" s="99" customFormat="1" ht="14.65" customHeight="1">
      <c r="AZ200" s="1638"/>
      <c r="BA200" s="1433"/>
    </row>
    <row r="201" spans="1:53" s="99" customFormat="1" ht="14.65" customHeight="1">
      <c r="AZ201" s="1638"/>
      <c r="BA201" s="1438"/>
    </row>
    <row r="202" spans="1:53" s="99" customFormat="1" ht="14.65" customHeight="1">
      <c r="AZ202" s="1638"/>
      <c r="BA202" s="1438"/>
    </row>
    <row r="203" spans="1:53" ht="14.65" customHeight="1">
      <c r="AZ203" s="1638"/>
      <c r="BA203" s="1438"/>
    </row>
    <row r="204" spans="1:53" s="99" customFormat="1" ht="14.65" customHeight="1">
      <c r="A204" s="140"/>
      <c r="AZ204" s="1638"/>
      <c r="BA204" s="1438"/>
    </row>
    <row r="205" spans="1:53" ht="14.65" customHeight="1">
      <c r="AZ205" s="1638"/>
      <c r="BA205" s="1438"/>
    </row>
    <row r="206" spans="1:53" s="99" customFormat="1" ht="14.65" customHeight="1">
      <c r="AZ206" s="1638"/>
      <c r="BA206" s="1438"/>
    </row>
    <row r="207" spans="1:53" s="99" customFormat="1" ht="14.65" customHeight="1">
      <c r="A207" s="140"/>
      <c r="AZ207" s="1638"/>
      <c r="BA207" s="1438"/>
    </row>
    <row r="208" spans="1:53" s="99" customFormat="1" ht="14.65" customHeight="1">
      <c r="A208" s="278"/>
      <c r="AZ208" s="1638"/>
      <c r="BA208" s="1438"/>
    </row>
    <row r="209" spans="1:53" s="99" customFormat="1" ht="14.65" customHeight="1">
      <c r="AZ209" s="591"/>
      <c r="BA209" s="1438"/>
    </row>
    <row r="210" spans="1:53" s="99" customFormat="1" ht="14.65" customHeight="1">
      <c r="A210" s="173"/>
      <c r="AZ210" s="591"/>
      <c r="BA210" s="1433"/>
    </row>
    <row r="211" spans="1:53" s="99" customFormat="1" ht="14.65" customHeight="1">
      <c r="A211" s="173"/>
      <c r="AZ211" s="591"/>
      <c r="BA211" s="1433"/>
    </row>
    <row r="212" spans="1:53" s="99" customFormat="1" ht="14.65" customHeight="1">
      <c r="A212" s="173"/>
      <c r="AZ212" s="591"/>
      <c r="BA212" s="1433"/>
    </row>
    <row r="213" spans="1:53" s="99" customFormat="1" ht="14.65" customHeight="1">
      <c r="AZ213" s="591"/>
      <c r="BA213" s="1433"/>
    </row>
    <row r="214" spans="1:53" s="99" customFormat="1" ht="14.65" customHeight="1">
      <c r="AZ214" s="591"/>
      <c r="BA214" s="1433"/>
    </row>
    <row r="215" spans="1:53" ht="14.65" customHeight="1"/>
    <row r="216" spans="1:53" ht="14.65" customHeight="1"/>
    <row r="217" spans="1:53" ht="14.65" customHeight="1">
      <c r="AZ217" s="1638"/>
    </row>
    <row r="218" spans="1:53" ht="14.65" customHeight="1">
      <c r="BA218" s="1438"/>
    </row>
    <row r="219" spans="1:53" ht="14.65" customHeight="1"/>
    <row r="220" spans="1:53" ht="14.65" customHeight="1"/>
    <row r="221" spans="1:53" ht="14.65" customHeight="1"/>
    <row r="222" spans="1:53" ht="14.65" customHeight="1"/>
    <row r="223" spans="1:53" s="99" customFormat="1" ht="14.65" customHeight="1">
      <c r="AZ223" s="591"/>
      <c r="BA223" s="1433"/>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379"/>
      <c r="L237" s="99"/>
    </row>
    <row r="238" spans="11:12" ht="14.65" customHeight="1">
      <c r="K238" s="1379"/>
      <c r="L238" s="99"/>
    </row>
    <row r="239" spans="11:12" ht="12.75" customHeight="1">
      <c r="K239" s="1379"/>
      <c r="L239" s="99"/>
    </row>
    <row r="240" spans="11:12">
      <c r="K240" s="1379"/>
      <c r="L240" s="99"/>
    </row>
    <row r="241" spans="11:12">
      <c r="K241" s="1379"/>
      <c r="L241" s="99"/>
    </row>
    <row r="242" spans="11:12">
      <c r="K242" s="1379"/>
      <c r="L242" s="99"/>
    </row>
    <row r="243" spans="11:12">
      <c r="K243" s="1379"/>
      <c r="L243" s="99"/>
    </row>
    <row r="244" spans="11:12">
      <c r="K244" s="1379"/>
      <c r="L244" s="99"/>
    </row>
    <row r="245" spans="11:12" ht="12.75" customHeight="1">
      <c r="K245" s="1379"/>
      <c r="L245" s="99"/>
    </row>
    <row r="246" spans="11:12">
      <c r="K246" s="1379"/>
      <c r="L246" s="99"/>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 zoomScaleNormal="100" workbookViewId="0">
      <selection activeCell="H49" sqref="H49"/>
    </sheetView>
  </sheetViews>
  <sheetFormatPr defaultColWidth="9.28515625" defaultRowHeight="12.75"/>
  <cols>
    <col min="1" max="1" width="7.28515625" style="324" customWidth="1"/>
    <col min="2" max="2" width="12.7109375" style="324" customWidth="1"/>
    <col min="3" max="3" width="7.7109375" style="324" customWidth="1"/>
    <col min="4" max="4" width="12.7109375" style="324" customWidth="1"/>
    <col min="5" max="5" width="0.7109375" style="324" customWidth="1"/>
    <col min="6" max="6" width="46.7109375" style="324" customWidth="1"/>
    <col min="7" max="7" width="0.7109375" style="324" customWidth="1"/>
    <col min="8" max="8" width="46.7109375" style="324" customWidth="1"/>
    <col min="9" max="16384" width="9.28515625" style="324"/>
  </cols>
  <sheetData>
    <row r="1" spans="1:14" ht="15.75">
      <c r="A1" s="3446" t="str">
        <f>CONCATENATE("PART THREE (B) -  OTHER COSTS","  -  ",'Part I-Project Identification'!$O$7," - ",'Part I-Project Identification'!$F$25,"  -  ",'Part I-Project Identification'!$F$26,"  -  ",'Part I-Project Identification'!$J$26,",  ","County")</f>
        <v>PART THREE (B) -  OTHER COSTS  -  2023-5 - Ashley Collegetown Phase I  -  Atlanta  -  Fulton,  County</v>
      </c>
      <c r="B1" s="3447"/>
      <c r="C1" s="3447"/>
      <c r="D1" s="3447"/>
      <c r="E1" s="3447"/>
      <c r="F1" s="3447"/>
      <c r="G1" s="3447"/>
      <c r="H1" s="3447"/>
      <c r="I1" s="570"/>
      <c r="J1" s="570"/>
      <c r="K1" s="570"/>
      <c r="L1" s="570"/>
      <c r="M1" s="570"/>
      <c r="N1" s="570"/>
    </row>
    <row r="2" spans="1:14" ht="9" customHeight="1"/>
    <row r="3" spans="1:14" ht="57" customHeight="1">
      <c r="A3" s="3448" t="s">
        <v>742</v>
      </c>
      <c r="B3" s="3449"/>
      <c r="C3" s="3449"/>
      <c r="D3" s="3449"/>
      <c r="E3" s="3449"/>
      <c r="F3" s="3449"/>
      <c r="G3" s="3449"/>
      <c r="H3" s="3450"/>
    </row>
    <row r="4" spans="1:14" ht="6" customHeight="1"/>
    <row r="5" spans="1:14" ht="38.25" customHeight="1">
      <c r="A5" s="3451" t="s">
        <v>743</v>
      </c>
      <c r="B5" s="3451"/>
      <c r="C5" s="3451"/>
      <c r="D5" s="3451"/>
      <c r="F5" s="571" t="s">
        <v>744</v>
      </c>
      <c r="G5" s="331"/>
      <c r="H5" s="571" t="s">
        <v>745</v>
      </c>
    </row>
    <row r="6" spans="1:14" ht="6.75" customHeight="1">
      <c r="A6" s="331"/>
      <c r="B6" s="331"/>
      <c r="C6" s="331"/>
      <c r="D6" s="331"/>
    </row>
    <row r="7" spans="1:14" s="573" customFormat="1" ht="4.5" customHeight="1">
      <c r="A7" s="572"/>
      <c r="B7" s="572"/>
      <c r="C7" s="572"/>
      <c r="D7" s="572"/>
      <c r="E7" s="572"/>
      <c r="F7" s="572"/>
      <c r="G7" s="572"/>
    </row>
    <row r="8" spans="1:14" s="573" customFormat="1">
      <c r="A8" s="584" t="s">
        <v>522</v>
      </c>
      <c r="B8" s="574"/>
      <c r="C8" s="574"/>
      <c r="D8" s="574"/>
      <c r="E8" s="574"/>
      <c r="F8" s="574"/>
      <c r="G8" s="574"/>
      <c r="H8" s="574"/>
    </row>
    <row r="9" spans="1:14" s="573" customFormat="1" ht="41.25" customHeight="1">
      <c r="A9" s="3452" t="str">
        <f>'Part III-A-Uses of Funds'!$C$15</f>
        <v>&lt;&lt; Enter description here; provide detail &amp; justification in tab Part III-b &gt;&gt;</v>
      </c>
      <c r="B9" s="3453"/>
      <c r="C9" s="3453"/>
      <c r="D9" s="3454"/>
      <c r="F9" s="3458"/>
      <c r="G9" s="574"/>
      <c r="H9" s="3458"/>
    </row>
    <row r="10" spans="1:14" s="573" customFormat="1" ht="41.25" customHeight="1">
      <c r="A10" s="3455"/>
      <c r="B10" s="3456"/>
      <c r="C10" s="3456"/>
      <c r="D10" s="3457"/>
      <c r="F10" s="3459"/>
      <c r="G10" s="574"/>
      <c r="H10" s="3459"/>
    </row>
    <row r="11" spans="1:14" s="573" customFormat="1" ht="4.5" customHeight="1">
      <c r="F11" s="3459"/>
      <c r="G11" s="574"/>
      <c r="H11" s="3459"/>
    </row>
    <row r="12" spans="1:14" s="573" customFormat="1" ht="15" customHeight="1">
      <c r="A12" s="583" t="s">
        <v>746</v>
      </c>
      <c r="B12" s="582">
        <f>'Part III-A-Uses of Funds'!$G$15</f>
        <v>0</v>
      </c>
      <c r="C12" s="583" t="s">
        <v>706</v>
      </c>
      <c r="D12" s="582">
        <f>'Part III-A-Uses of Funds'!$J$15+'Part III-A-Uses of Funds'!$M$15+'Part III-A-Uses of Funds'!$P$15</f>
        <v>0</v>
      </c>
      <c r="F12" s="3459"/>
      <c r="G12" s="574"/>
      <c r="H12" s="3459"/>
    </row>
    <row r="13" spans="1:14" s="573" customFormat="1" ht="6" customHeight="1">
      <c r="A13" s="574"/>
      <c r="B13" s="575"/>
      <c r="C13" s="574"/>
      <c r="D13" s="574"/>
      <c r="F13" s="3459"/>
      <c r="G13" s="576"/>
      <c r="H13" s="3459"/>
    </row>
    <row r="14" spans="1:14" s="573" customFormat="1" ht="41.25" customHeight="1">
      <c r="A14" s="3452" t="str">
        <f>'Part III-A-Uses of Funds'!$C$16</f>
        <v>&lt;&lt; Enter description here; provide detail &amp; justification in tab Part III-b &gt;&gt;</v>
      </c>
      <c r="B14" s="3453"/>
      <c r="C14" s="3453"/>
      <c r="D14" s="3454"/>
      <c r="F14" s="3459"/>
      <c r="G14" s="574"/>
      <c r="H14" s="3459"/>
    </row>
    <row r="15" spans="1:14" s="573" customFormat="1" ht="41.25" customHeight="1">
      <c r="A15" s="3455"/>
      <c r="B15" s="3456"/>
      <c r="C15" s="3456"/>
      <c r="D15" s="3457"/>
      <c r="F15" s="3459"/>
      <c r="G15" s="574"/>
      <c r="H15" s="3459"/>
    </row>
    <row r="16" spans="1:14" s="573" customFormat="1" ht="4.5" customHeight="1">
      <c r="F16" s="3459"/>
      <c r="G16" s="574"/>
      <c r="H16" s="3459"/>
    </row>
    <row r="17" spans="1:8" s="573" customFormat="1" ht="15" customHeight="1">
      <c r="A17" s="583" t="s">
        <v>746</v>
      </c>
      <c r="B17" s="582">
        <f>'Part III-A-Uses of Funds'!$G$16</f>
        <v>0</v>
      </c>
      <c r="C17" s="583" t="s">
        <v>706</v>
      </c>
      <c r="D17" s="582">
        <f>'Part III-A-Uses of Funds'!$J$16+'Part III-A-Uses of Funds'!$M$16+'Part III-A-Uses of Funds'!$P$16</f>
        <v>0</v>
      </c>
      <c r="F17" s="3459"/>
      <c r="G17" s="574"/>
      <c r="H17" s="3459"/>
    </row>
    <row r="18" spans="1:8" s="573" customFormat="1" ht="6" customHeight="1">
      <c r="A18" s="574"/>
      <c r="B18" s="575"/>
      <c r="C18" s="574"/>
      <c r="D18" s="574"/>
      <c r="F18" s="3459"/>
      <c r="G18" s="576"/>
      <c r="H18" s="3459"/>
    </row>
    <row r="19" spans="1:8" s="573" customFormat="1" ht="41.25" customHeight="1">
      <c r="A19" s="3452" t="str">
        <f>'Part III-A-Uses of Funds'!$C$17</f>
        <v>&lt;&lt; Enter description here; provide detail &amp; justification in tab Part III-b &gt;&gt;</v>
      </c>
      <c r="B19" s="3453"/>
      <c r="C19" s="3453"/>
      <c r="D19" s="3454"/>
      <c r="F19" s="3459"/>
      <c r="G19" s="574"/>
      <c r="H19" s="3459"/>
    </row>
    <row r="20" spans="1:8" s="573" customFormat="1" ht="41.25" customHeight="1">
      <c r="A20" s="3455"/>
      <c r="B20" s="3456"/>
      <c r="C20" s="3456"/>
      <c r="D20" s="3457"/>
      <c r="F20" s="3459"/>
      <c r="G20" s="574"/>
      <c r="H20" s="3459"/>
    </row>
    <row r="21" spans="1:8" s="573" customFormat="1" ht="4.5" customHeight="1">
      <c r="F21" s="3459"/>
      <c r="G21" s="574"/>
      <c r="H21" s="3459"/>
    </row>
    <row r="22" spans="1:8" s="573" customFormat="1" ht="15" customHeight="1">
      <c r="A22" s="583" t="s">
        <v>746</v>
      </c>
      <c r="B22" s="582">
        <f>'Part III-A-Uses of Funds'!$G$17</f>
        <v>0</v>
      </c>
      <c r="C22" s="583" t="s">
        <v>706</v>
      </c>
      <c r="D22" s="582">
        <f>'Part III-A-Uses of Funds'!$J$17+'Part III-A-Uses of Funds'!$M$17+'Part III-A-Uses of Funds'!$P$17</f>
        <v>0</v>
      </c>
      <c r="F22" s="3459"/>
      <c r="G22" s="574"/>
      <c r="H22" s="3459"/>
    </row>
    <row r="23" spans="1:8" s="573" customFormat="1" ht="6" customHeight="1">
      <c r="A23" s="574"/>
      <c r="B23" s="575"/>
      <c r="C23" s="574"/>
      <c r="D23" s="574"/>
      <c r="F23" s="3460"/>
      <c r="G23" s="576"/>
      <c r="H23" s="3460"/>
    </row>
    <row r="24" spans="1:8" s="573" customFormat="1">
      <c r="A24" s="584" t="s">
        <v>747</v>
      </c>
      <c r="B24" s="574"/>
      <c r="C24" s="574"/>
      <c r="D24" s="574"/>
      <c r="E24" s="574"/>
      <c r="F24" s="574"/>
      <c r="G24" s="574"/>
    </row>
    <row r="25" spans="1:8" s="573" customFormat="1" ht="41.25" customHeight="1">
      <c r="A25" s="3452">
        <f>'Part III-A-Uses of Funds'!$C$46</f>
        <v>0</v>
      </c>
      <c r="B25" s="3453"/>
      <c r="C25" s="3453"/>
      <c r="D25" s="3454"/>
      <c r="E25" s="574"/>
      <c r="F25" s="3461"/>
      <c r="G25" s="574"/>
      <c r="H25" s="3461"/>
    </row>
    <row r="26" spans="1:8" s="573" customFormat="1" ht="41.25" customHeight="1">
      <c r="A26" s="3455"/>
      <c r="B26" s="3456"/>
      <c r="C26" s="3456"/>
      <c r="D26" s="3457"/>
      <c r="E26" s="574"/>
      <c r="F26" s="3462"/>
      <c r="G26" s="574"/>
      <c r="H26" s="3462"/>
    </row>
    <row r="27" spans="1:8" s="573" customFormat="1" ht="4.5" customHeight="1">
      <c r="A27" s="574"/>
      <c r="B27" s="574"/>
      <c r="C27" s="574"/>
      <c r="D27" s="574"/>
      <c r="E27" s="574"/>
      <c r="F27" s="3462"/>
      <c r="G27" s="574"/>
      <c r="H27" s="3462"/>
    </row>
    <row r="28" spans="1:8" s="573" customFormat="1" ht="25.5">
      <c r="A28" s="583" t="s">
        <v>746</v>
      </c>
      <c r="B28" s="582">
        <f>'Part III-A-Uses of Funds'!$G$46</f>
        <v>0</v>
      </c>
      <c r="C28" s="583" t="s">
        <v>706</v>
      </c>
      <c r="D28" s="582">
        <f>'Part III-A-Uses of Funds'!$J$46+'Part III-A-Uses of Funds'!$M$46+'Part III-A-Uses of Funds'!$P$46</f>
        <v>0</v>
      </c>
      <c r="E28" s="574"/>
      <c r="F28" s="3462"/>
      <c r="G28" s="574"/>
      <c r="H28" s="3462"/>
    </row>
    <row r="29" spans="1:8" s="573" customFormat="1" ht="6" customHeight="1">
      <c r="A29" s="574"/>
      <c r="B29" s="575"/>
      <c r="C29" s="574"/>
      <c r="D29" s="574"/>
      <c r="E29" s="574"/>
      <c r="F29" s="3463"/>
      <c r="G29" s="576"/>
      <c r="H29" s="3463"/>
    </row>
    <row r="30" spans="1:8" s="573" customFormat="1">
      <c r="A30" s="584" t="s">
        <v>584</v>
      </c>
      <c r="B30" s="574"/>
      <c r="C30" s="574"/>
      <c r="D30" s="574"/>
      <c r="E30" s="574"/>
      <c r="F30" s="574"/>
      <c r="G30" s="574"/>
    </row>
    <row r="31" spans="1:8" s="573" customFormat="1" ht="41.25" customHeight="1">
      <c r="A31" s="3464">
        <f>'Part III-A-Uses of Funds'!$C$71</f>
        <v>0</v>
      </c>
      <c r="B31" s="3465"/>
      <c r="C31" s="3465"/>
      <c r="D31" s="3466"/>
      <c r="E31" s="574"/>
      <c r="F31" s="3458"/>
      <c r="G31" s="574"/>
      <c r="H31" s="3458"/>
    </row>
    <row r="32" spans="1:8" s="573" customFormat="1" ht="41.25" customHeight="1">
      <c r="A32" s="3455"/>
      <c r="B32" s="3456"/>
      <c r="C32" s="3456"/>
      <c r="D32" s="3457"/>
      <c r="E32" s="574"/>
      <c r="F32" s="3459"/>
      <c r="G32" s="574"/>
      <c r="H32" s="3459"/>
    </row>
    <row r="33" spans="1:8" s="573" customFormat="1" ht="4.5" customHeight="1">
      <c r="A33" s="574"/>
      <c r="B33" s="574"/>
      <c r="C33" s="574"/>
      <c r="D33" s="574"/>
      <c r="E33" s="574"/>
      <c r="F33" s="3459"/>
      <c r="G33" s="574"/>
      <c r="H33" s="3459"/>
    </row>
    <row r="34" spans="1:8" s="573" customFormat="1" ht="14.25" customHeight="1">
      <c r="A34" s="583" t="s">
        <v>746</v>
      </c>
      <c r="B34" s="582">
        <f>'Part III-A-Uses of Funds'!$G$71</f>
        <v>0</v>
      </c>
      <c r="C34" s="583" t="s">
        <v>706</v>
      </c>
      <c r="D34" s="582">
        <f>'Part III-A-Uses of Funds'!$J$71+'Part III-A-Uses of Funds'!$M$71+'Part III-A-Uses of Funds'!$P$71</f>
        <v>0</v>
      </c>
      <c r="E34" s="574"/>
      <c r="F34" s="3459"/>
      <c r="G34" s="574"/>
      <c r="H34" s="3459"/>
    </row>
    <row r="35" spans="1:8" s="573" customFormat="1" ht="6" customHeight="1">
      <c r="D35" s="574"/>
      <c r="E35" s="574"/>
      <c r="F35" s="3459"/>
      <c r="G35" s="576"/>
      <c r="H35" s="3459"/>
    </row>
    <row r="36" spans="1:8" s="573" customFormat="1" ht="41.25" customHeight="1">
      <c r="A36" s="3464" t="str">
        <f>'Part III-A-Uses of Funds'!$C$72</f>
        <v>&lt;&lt; Enter description here; provide detail &amp; justification in tab Part III-b &gt;&gt;</v>
      </c>
      <c r="B36" s="3465"/>
      <c r="C36" s="3465"/>
      <c r="D36" s="3466"/>
      <c r="E36" s="574"/>
      <c r="F36" s="3459"/>
      <c r="G36" s="574"/>
      <c r="H36" s="3459"/>
    </row>
    <row r="37" spans="1:8" s="573" customFormat="1" ht="41.25" customHeight="1">
      <c r="A37" s="3455"/>
      <c r="B37" s="3456"/>
      <c r="C37" s="3456"/>
      <c r="D37" s="3457"/>
      <c r="E37" s="574"/>
      <c r="F37" s="3459"/>
      <c r="G37" s="574"/>
      <c r="H37" s="3459"/>
    </row>
    <row r="38" spans="1:8" s="573" customFormat="1" ht="4.5" customHeight="1">
      <c r="A38" s="574"/>
      <c r="B38" s="574"/>
      <c r="C38" s="574"/>
      <c r="D38" s="574"/>
      <c r="E38" s="574"/>
      <c r="F38" s="3459"/>
      <c r="G38" s="574"/>
      <c r="H38" s="3459"/>
    </row>
    <row r="39" spans="1:8" s="573" customFormat="1" ht="14.25" customHeight="1">
      <c r="A39" s="583" t="s">
        <v>746</v>
      </c>
      <c r="B39" s="582">
        <f>'Part III-A-Uses of Funds'!$G$72</f>
        <v>0</v>
      </c>
      <c r="C39" s="583" t="s">
        <v>706</v>
      </c>
      <c r="D39" s="582">
        <f>'Part III-A-Uses of Funds'!$J$72+'Part III-A-Uses of Funds'!$M$72+'Part III-A-Uses of Funds'!$P$72</f>
        <v>0</v>
      </c>
      <c r="E39" s="574"/>
      <c r="F39" s="3459"/>
      <c r="G39" s="574"/>
      <c r="H39" s="3459"/>
    </row>
    <row r="40" spans="1:8" s="573" customFormat="1" ht="6" customHeight="1">
      <c r="D40" s="574"/>
      <c r="E40" s="574"/>
      <c r="F40" s="3460"/>
      <c r="G40" s="576"/>
      <c r="H40" s="3460"/>
    </row>
    <row r="41" spans="1:8" s="573" customFormat="1">
      <c r="A41" s="584" t="s">
        <v>600</v>
      </c>
      <c r="B41" s="574"/>
      <c r="C41" s="574"/>
      <c r="D41" s="574"/>
      <c r="E41" s="578"/>
      <c r="F41" s="578"/>
      <c r="G41" s="574"/>
    </row>
    <row r="42" spans="1:8" s="573" customFormat="1" ht="41.25" customHeight="1">
      <c r="A42" s="3464" t="str">
        <f>'Part III-A-Uses of Funds'!$C$85</f>
        <v>&lt;&lt; Enter description here; provide detail &amp; justification in tab Part III-b &gt;&gt;</v>
      </c>
      <c r="B42" s="3465"/>
      <c r="C42" s="3465"/>
      <c r="D42" s="3466"/>
      <c r="F42" s="3461"/>
      <c r="G42" s="574"/>
      <c r="H42" s="3461"/>
    </row>
    <row r="43" spans="1:8" s="573" customFormat="1" ht="41.25" customHeight="1">
      <c r="A43" s="3455"/>
      <c r="B43" s="3456"/>
      <c r="C43" s="3456"/>
      <c r="D43" s="3457"/>
      <c r="E43" s="574"/>
      <c r="F43" s="3462"/>
      <c r="G43" s="574"/>
      <c r="H43" s="3462"/>
    </row>
    <row r="44" spans="1:8" s="573" customFormat="1" ht="4.5" customHeight="1">
      <c r="A44" s="574"/>
      <c r="B44" s="574"/>
      <c r="C44" s="574"/>
      <c r="D44" s="574"/>
      <c r="E44" s="574"/>
      <c r="F44" s="3462"/>
      <c r="G44" s="574"/>
      <c r="H44" s="3462"/>
    </row>
    <row r="45" spans="1:8" s="573" customFormat="1" ht="13.5" customHeight="1">
      <c r="A45" s="583" t="s">
        <v>746</v>
      </c>
      <c r="B45" s="582">
        <f>'Part III-A-Uses of Funds'!$G$85</f>
        <v>0</v>
      </c>
      <c r="C45" s="583" t="s">
        <v>706</v>
      </c>
      <c r="D45" s="582">
        <f>'Part III-A-Uses of Funds'!$J$85+'Part III-A-Uses of Funds'!$M$85+'Part III-A-Uses of Funds'!$P$85</f>
        <v>0</v>
      </c>
      <c r="E45" s="574"/>
      <c r="F45" s="3462"/>
      <c r="G45" s="574"/>
      <c r="H45" s="3462"/>
    </row>
    <row r="46" spans="1:8" s="573" customFormat="1" ht="6" customHeight="1">
      <c r="A46" s="574"/>
      <c r="B46" s="575"/>
      <c r="C46" s="574"/>
      <c r="D46" s="574"/>
      <c r="E46" s="574"/>
      <c r="F46" s="3463"/>
      <c r="G46" s="576"/>
      <c r="H46" s="3463"/>
    </row>
    <row r="47" spans="1:8" s="573" customFormat="1">
      <c r="A47" s="584" t="s">
        <v>623</v>
      </c>
      <c r="B47" s="574"/>
      <c r="C47" s="574"/>
      <c r="D47" s="574"/>
      <c r="E47" s="574"/>
      <c r="F47" s="574"/>
      <c r="G47" s="574"/>
    </row>
    <row r="48" spans="1:8" s="573" customFormat="1" ht="41.25" customHeight="1">
      <c r="A48" s="3464" t="str">
        <f>'Part III-A-Uses of Funds'!$C$102</f>
        <v>Subordinate Debt Fees</v>
      </c>
      <c r="B48" s="3465"/>
      <c r="C48" s="3465"/>
      <c r="D48" s="3466"/>
      <c r="F48" s="3461" t="s">
        <v>7088</v>
      </c>
      <c r="G48" s="574"/>
    </row>
    <row r="49" spans="1:7" s="573" customFormat="1" ht="41.25" customHeight="1">
      <c r="A49" s="3455"/>
      <c r="B49" s="3456"/>
      <c r="C49" s="3456"/>
      <c r="D49" s="3457"/>
      <c r="E49" s="574"/>
      <c r="F49" s="3462"/>
      <c r="G49" s="574"/>
    </row>
    <row r="50" spans="1:7" s="573" customFormat="1" ht="3" customHeight="1">
      <c r="A50" s="574"/>
      <c r="B50" s="574"/>
      <c r="C50" s="574"/>
      <c r="D50" s="574"/>
      <c r="E50" s="574"/>
      <c r="F50" s="3462"/>
      <c r="G50" s="574"/>
    </row>
    <row r="51" spans="1:7" s="573" customFormat="1" ht="13.5" customHeight="1">
      <c r="A51" s="583" t="s">
        <v>746</v>
      </c>
      <c r="B51" s="582">
        <f>'Part III-A-Uses of Funds'!$G$102</f>
        <v>162000</v>
      </c>
      <c r="C51" s="577"/>
      <c r="D51" s="577"/>
      <c r="E51" s="574"/>
      <c r="F51" s="3462"/>
      <c r="G51" s="574"/>
    </row>
    <row r="52" spans="1:7" s="573" customFormat="1" ht="3.75" customHeight="1">
      <c r="A52" s="574"/>
      <c r="B52" s="574"/>
      <c r="C52" s="574"/>
      <c r="D52" s="574"/>
      <c r="E52" s="574"/>
      <c r="F52" s="3463"/>
      <c r="G52" s="576"/>
    </row>
    <row r="53" spans="1:7" s="573" customFormat="1">
      <c r="A53" s="584" t="s">
        <v>748</v>
      </c>
      <c r="B53" s="574"/>
      <c r="C53" s="574"/>
      <c r="D53" s="574"/>
      <c r="E53" s="574"/>
      <c r="F53" s="574"/>
      <c r="G53" s="574"/>
    </row>
    <row r="54" spans="1:7" s="573" customFormat="1" ht="41.25" customHeight="1">
      <c r="A54" s="3464" t="str">
        <f>'Part III-A-Uses of Funds'!$C$112</f>
        <v>&lt;&lt; Enter description here; provide detail &amp; justification in tab Part III-b &gt;&gt;</v>
      </c>
      <c r="B54" s="3465"/>
      <c r="C54" s="3465"/>
      <c r="D54" s="3466"/>
      <c r="F54" s="3458"/>
      <c r="G54" s="574"/>
    </row>
    <row r="55" spans="1:7" s="573" customFormat="1" ht="41.25" customHeight="1">
      <c r="A55" s="3455"/>
      <c r="B55" s="3456"/>
      <c r="C55" s="3456"/>
      <c r="D55" s="3457"/>
      <c r="E55" s="574"/>
      <c r="F55" s="3459"/>
      <c r="G55" s="574"/>
    </row>
    <row r="56" spans="1:7" s="573" customFormat="1" ht="3" customHeight="1">
      <c r="A56" s="574"/>
      <c r="B56" s="574"/>
      <c r="C56" s="574"/>
      <c r="D56" s="574"/>
      <c r="E56" s="574"/>
      <c r="F56" s="3459"/>
      <c r="G56" s="574"/>
    </row>
    <row r="57" spans="1:7" s="573" customFormat="1" ht="25.5">
      <c r="A57" s="583" t="s">
        <v>746</v>
      </c>
      <c r="B57" s="582">
        <f>'Part III-A-Uses of Funds'!$G$112</f>
        <v>0</v>
      </c>
      <c r="C57" s="577"/>
      <c r="D57" s="577"/>
      <c r="E57" s="574"/>
      <c r="F57" s="3459"/>
      <c r="G57" s="574"/>
    </row>
    <row r="58" spans="1:7" s="573" customFormat="1" ht="3.75" customHeight="1">
      <c r="A58" s="572"/>
      <c r="B58" s="572"/>
      <c r="C58" s="572"/>
      <c r="D58" s="572"/>
      <c r="E58" s="572"/>
      <c r="F58" s="3459"/>
      <c r="G58" s="576"/>
    </row>
    <row r="59" spans="1:7" s="573" customFormat="1" ht="41.25" customHeight="1">
      <c r="A59" s="3464" t="str">
        <f>'Part III-A-Uses of Funds'!$C$113</f>
        <v>&lt;&lt; Enter description here; provide detail &amp; justification in tab Part III-b &gt;&gt;</v>
      </c>
      <c r="B59" s="3465"/>
      <c r="C59" s="3465"/>
      <c r="D59" s="3466"/>
      <c r="F59" s="3459"/>
      <c r="G59" s="574"/>
    </row>
    <row r="60" spans="1:7" s="573" customFormat="1" ht="41.25" customHeight="1">
      <c r="A60" s="3455"/>
      <c r="B60" s="3456"/>
      <c r="C60" s="3456"/>
      <c r="D60" s="3457"/>
      <c r="E60" s="574"/>
      <c r="F60" s="3459"/>
      <c r="G60" s="574"/>
    </row>
    <row r="61" spans="1:7" s="573" customFormat="1" ht="3" customHeight="1">
      <c r="A61" s="574"/>
      <c r="B61" s="574"/>
      <c r="C61" s="574"/>
      <c r="D61" s="574"/>
      <c r="E61" s="574"/>
      <c r="F61" s="3459"/>
      <c r="G61" s="574"/>
    </row>
    <row r="62" spans="1:7" s="573" customFormat="1" ht="25.5">
      <c r="A62" s="583" t="s">
        <v>746</v>
      </c>
      <c r="B62" s="582">
        <f>'Part III-A-Uses of Funds'!$G$113</f>
        <v>0</v>
      </c>
      <c r="C62" s="577"/>
      <c r="D62" s="577"/>
      <c r="E62" s="574"/>
      <c r="F62" s="3459"/>
      <c r="G62" s="574"/>
    </row>
    <row r="63" spans="1:7" s="573" customFormat="1" ht="3.75" customHeight="1">
      <c r="A63" s="572"/>
      <c r="B63" s="572"/>
      <c r="C63" s="572"/>
      <c r="D63" s="572"/>
      <c r="E63" s="572"/>
      <c r="F63" s="3460"/>
      <c r="G63" s="576"/>
    </row>
    <row r="64" spans="1:7" s="573" customFormat="1">
      <c r="A64" s="584" t="s">
        <v>749</v>
      </c>
      <c r="B64" s="574"/>
      <c r="C64" s="574"/>
      <c r="D64" s="574"/>
      <c r="E64" s="574"/>
      <c r="F64" s="574"/>
      <c r="G64" s="574"/>
    </row>
    <row r="65" spans="1:8" s="573" customFormat="1" ht="41.25" customHeight="1">
      <c r="A65" s="3464" t="str">
        <f>'Part III-A-Uses of Funds'!$C$119</f>
        <v>&lt;&lt; Enter description here; provide detail &amp; justification in tab Part III-b &gt;&gt;</v>
      </c>
      <c r="B65" s="3465"/>
      <c r="C65" s="3465"/>
      <c r="D65" s="3466"/>
      <c r="F65" s="3461"/>
      <c r="G65" s="574"/>
    </row>
    <row r="66" spans="1:8" s="573" customFormat="1" ht="41.25" customHeight="1">
      <c r="A66" s="3455"/>
      <c r="B66" s="3456"/>
      <c r="C66" s="3456"/>
      <c r="D66" s="3457"/>
      <c r="E66" s="574"/>
      <c r="F66" s="3462"/>
      <c r="G66" s="574"/>
    </row>
    <row r="67" spans="1:8" s="573" customFormat="1" ht="3" customHeight="1">
      <c r="A67" s="574"/>
      <c r="B67" s="574"/>
      <c r="C67" s="574"/>
      <c r="D67" s="574"/>
      <c r="E67" s="574"/>
      <c r="F67" s="3462"/>
      <c r="G67" s="574"/>
    </row>
    <row r="68" spans="1:8" s="573" customFormat="1" ht="25.5">
      <c r="A68" s="583" t="s">
        <v>746</v>
      </c>
      <c r="B68" s="582">
        <f>'Part III-A-Uses of Funds'!$G$119</f>
        <v>0</v>
      </c>
      <c r="C68" s="577"/>
      <c r="D68" s="577"/>
      <c r="E68" s="574"/>
      <c r="F68" s="3462"/>
      <c r="G68" s="574"/>
    </row>
    <row r="69" spans="1:8" s="573" customFormat="1" ht="3.75" customHeight="1">
      <c r="A69" s="574"/>
      <c r="B69" s="575"/>
      <c r="C69" s="574"/>
      <c r="D69" s="574"/>
      <c r="E69" s="574"/>
      <c r="F69" s="3463"/>
      <c r="G69" s="576"/>
    </row>
    <row r="70" spans="1:8" s="573" customFormat="1">
      <c r="A70" s="584" t="s">
        <v>678</v>
      </c>
      <c r="B70" s="574"/>
      <c r="C70" s="574"/>
      <c r="D70" s="574"/>
      <c r="E70" s="574"/>
      <c r="F70" s="574"/>
      <c r="G70" s="574"/>
    </row>
    <row r="71" spans="1:8" s="573" customFormat="1" ht="41.25" customHeight="1">
      <c r="A71" s="3464" t="str">
        <f>'Part III-A-Uses of Funds'!$C$134</f>
        <v>&lt;&lt; Enter description here; provide detail &amp; justification in tab Part III-b &gt;&gt;</v>
      </c>
      <c r="B71" s="3465"/>
      <c r="C71" s="3465"/>
      <c r="D71" s="3466"/>
      <c r="F71" s="3461"/>
      <c r="G71" s="574"/>
      <c r="H71" s="3461"/>
    </row>
    <row r="72" spans="1:8" s="573" customFormat="1" ht="41.25" customHeight="1">
      <c r="A72" s="3455"/>
      <c r="B72" s="3456"/>
      <c r="C72" s="3456"/>
      <c r="D72" s="3457"/>
      <c r="E72" s="574"/>
      <c r="F72" s="3462"/>
      <c r="G72" s="574"/>
      <c r="H72" s="3462"/>
    </row>
    <row r="73" spans="1:8" s="573" customFormat="1" ht="4.5" customHeight="1">
      <c r="A73" s="574"/>
      <c r="B73" s="574"/>
      <c r="C73" s="574"/>
      <c r="D73" s="574"/>
      <c r="E73" s="574"/>
      <c r="F73" s="3462"/>
      <c r="G73" s="574"/>
      <c r="H73" s="3462"/>
    </row>
    <row r="74" spans="1:8" s="573" customFormat="1" ht="12.75" customHeight="1">
      <c r="A74" s="583" t="s">
        <v>746</v>
      </c>
      <c r="B74" s="582">
        <f>'Part III-A-Uses of Funds'!$G$134</f>
        <v>0</v>
      </c>
      <c r="C74" s="583" t="s">
        <v>706</v>
      </c>
      <c r="D74" s="582">
        <f>'Part III-A-Uses of Funds'!$J$134+'Part III-A-Uses of Funds'!$M$134+'Part III-A-Uses of Funds'!$P$134</f>
        <v>0</v>
      </c>
      <c r="E74" s="574"/>
      <c r="F74" s="3462"/>
      <c r="G74" s="574"/>
      <c r="H74" s="3462"/>
    </row>
    <row r="75" spans="1:8" s="573" customFormat="1" ht="6" customHeight="1">
      <c r="A75" s="574"/>
      <c r="B75" s="575"/>
      <c r="C75" s="574"/>
      <c r="D75" s="574"/>
      <c r="E75" s="574"/>
      <c r="F75" s="3463"/>
      <c r="G75" s="576"/>
      <c r="H75" s="3463"/>
    </row>
    <row r="76" spans="1:8" s="573" customFormat="1">
      <c r="A76" s="584" t="s">
        <v>750</v>
      </c>
      <c r="B76" s="575"/>
      <c r="C76" s="574"/>
      <c r="D76" s="574"/>
      <c r="E76" s="574"/>
      <c r="F76" s="574"/>
      <c r="G76" s="576"/>
    </row>
    <row r="77" spans="1:8" s="573" customFormat="1" ht="41.25" customHeight="1">
      <c r="A77" s="3464" t="str">
        <f>'Part III-A-Uses of Funds'!$C$143</f>
        <v>&lt;&lt; Enter description here; provide detail &amp; justification in tab Part III-b &gt;&gt;</v>
      </c>
      <c r="B77" s="3465"/>
      <c r="C77" s="3465"/>
      <c r="D77" s="3466"/>
      <c r="F77" s="3461"/>
      <c r="G77" s="574"/>
      <c r="H77" s="3461"/>
    </row>
    <row r="78" spans="1:8" s="573" customFormat="1" ht="41.25" customHeight="1">
      <c r="A78" s="3455"/>
      <c r="B78" s="3456"/>
      <c r="C78" s="3456"/>
      <c r="D78" s="3457"/>
      <c r="E78" s="574"/>
      <c r="F78" s="3462"/>
      <c r="G78" s="574"/>
      <c r="H78" s="3462"/>
    </row>
    <row r="79" spans="1:8" s="573" customFormat="1" ht="4.5" customHeight="1">
      <c r="A79" s="574"/>
      <c r="B79" s="574"/>
      <c r="C79" s="574"/>
      <c r="D79" s="574"/>
      <c r="E79" s="574"/>
      <c r="F79" s="3462"/>
      <c r="G79" s="574"/>
      <c r="H79" s="3462"/>
    </row>
    <row r="80" spans="1:8" s="573" customFormat="1" ht="12.75" customHeight="1">
      <c r="A80" s="583" t="s">
        <v>746</v>
      </c>
      <c r="B80" s="582">
        <f>'Part III-A-Uses of Funds'!$G$143</f>
        <v>0</v>
      </c>
      <c r="C80" s="583" t="s">
        <v>706</v>
      </c>
      <c r="D80" s="582">
        <f>'Part III-A-Uses of Funds'!$J$143+'Part III-A-Uses of Funds'!$M$143+'Part III-A-Uses of Funds'!$P$143</f>
        <v>0</v>
      </c>
      <c r="E80" s="579"/>
      <c r="F80" s="3462"/>
      <c r="G80" s="574"/>
      <c r="H80" s="3462"/>
    </row>
    <row r="81" spans="4:8" s="573" customFormat="1" ht="6" customHeight="1">
      <c r="D81" s="580"/>
      <c r="E81" s="581"/>
      <c r="F81" s="3463"/>
      <c r="G81" s="576"/>
      <c r="H81" s="3463"/>
    </row>
    <row r="82" spans="4:8" s="573" customFormat="1"/>
    <row r="83" spans="4:8" s="573" customFormat="1"/>
    <row r="84" spans="4:8" s="573" customFormat="1"/>
    <row r="85" spans="4:8" s="573" customFormat="1"/>
    <row r="86" spans="4:8" s="573" customFormat="1"/>
    <row r="87" spans="4:8" s="573" customFormat="1"/>
    <row r="88" spans="4:8" s="573" customFormat="1"/>
    <row r="89" spans="4:8" s="573" customFormat="1"/>
    <row r="90" spans="4:8" s="573" customFormat="1"/>
    <row r="91" spans="4:8" s="573" customFormat="1"/>
    <row r="92" spans="4:8" s="573"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1" zoomScaleNormal="100"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5" customFormat="1" ht="14.1" customHeight="1">
      <c r="A1" s="3471" t="str">
        <f>CONCATENATE("PART FOUR - UTILITY ALLOWANCES","  -  ",'Part I-Project Identification'!$O$7," ",'Part I-Project Identification'!$F$25,", ",'Part I-Project Identification'!F26,", ",'Part I-Project Identification'!J26," County")</f>
        <v>PART FOUR - UTILITY ALLOWANCES  -  2023-5 Ashley Collegetown Phase I, Atlanta, Fulton County</v>
      </c>
      <c r="B1" s="3472"/>
      <c r="C1" s="3472"/>
      <c r="D1" s="3472"/>
      <c r="E1" s="3472"/>
      <c r="F1" s="3472"/>
      <c r="G1" s="3472"/>
      <c r="H1" s="3472"/>
      <c r="I1" s="3472"/>
      <c r="J1" s="3472"/>
      <c r="K1" s="3472"/>
      <c r="L1" s="3472"/>
      <c r="M1" s="3472"/>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3479" t="str">
        <f>'Part I-Project Identification'!$A$6</f>
        <v>Sept 2023</v>
      </c>
      <c r="C3" s="3479"/>
      <c r="D3" s="3479"/>
      <c r="E3" s="3479"/>
      <c r="F3" s="4" t="s">
        <v>751</v>
      </c>
      <c r="G3" s="79"/>
      <c r="H3" s="79"/>
      <c r="I3" s="3480" t="str">
        <f>VLOOKUP('Part I-Project Identification'!$J$26,'DCA Underwriting Assumptions'!$G$141:$H$300,2)</f>
        <v>Local PHA</v>
      </c>
      <c r="J3" s="3481"/>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c r="A5" s="135" t="s">
        <v>752</v>
      </c>
      <c r="O5" s="666"/>
      <c r="P5" s="666"/>
      <c r="Q5" s="666"/>
      <c r="R5" s="666"/>
      <c r="S5" s="666"/>
      <c r="T5" s="666"/>
      <c r="U5" s="666"/>
      <c r="V5" s="291"/>
      <c r="W5" s="291"/>
      <c r="X5" s="291"/>
      <c r="Y5" s="291"/>
    </row>
    <row r="6" spans="1:25" ht="6" customHeight="1">
      <c r="A6" s="79"/>
      <c r="O6" s="666"/>
      <c r="P6" s="666"/>
      <c r="Q6" s="666"/>
      <c r="R6" s="666"/>
      <c r="S6" s="666"/>
      <c r="T6" s="666"/>
      <c r="U6" s="666"/>
      <c r="V6" s="291"/>
      <c r="W6" s="291"/>
      <c r="X6" s="291"/>
      <c r="Y6" s="291"/>
    </row>
    <row r="7" spans="1:25" s="5" customFormat="1" ht="13.5" customHeight="1">
      <c r="A7" s="7" t="s">
        <v>21</v>
      </c>
      <c r="B7" s="7" t="s">
        <v>753</v>
      </c>
      <c r="C7" s="79"/>
      <c r="D7" s="79"/>
      <c r="E7" s="79"/>
      <c r="F7" s="45" t="s">
        <v>754</v>
      </c>
      <c r="G7" s="45"/>
      <c r="H7" s="45"/>
      <c r="I7" s="3473" t="s">
        <v>7063</v>
      </c>
      <c r="J7" s="3474"/>
      <c r="K7" s="3474"/>
      <c r="L7" s="3474"/>
      <c r="M7" s="3475"/>
      <c r="N7" s="79"/>
      <c r="O7" s="666"/>
      <c r="P7" s="666"/>
      <c r="Q7" s="666"/>
      <c r="R7" s="666"/>
      <c r="S7" s="666"/>
      <c r="T7" s="666"/>
      <c r="U7" s="666"/>
      <c r="V7" s="291"/>
      <c r="W7" s="291"/>
      <c r="X7" s="291"/>
      <c r="Y7" s="291"/>
    </row>
    <row r="8" spans="1:25" s="5" customFormat="1" ht="13.35" customHeight="1">
      <c r="A8" s="7"/>
      <c r="B8" s="79"/>
      <c r="C8" s="79"/>
      <c r="D8" s="79"/>
      <c r="E8" s="79"/>
      <c r="F8" s="45" t="s">
        <v>755</v>
      </c>
      <c r="G8" s="45"/>
      <c r="H8" s="13"/>
      <c r="I8" s="3476">
        <v>45132</v>
      </c>
      <c r="J8" s="3477"/>
      <c r="K8" s="34" t="s">
        <v>756</v>
      </c>
      <c r="L8" s="3467" t="s">
        <v>1205</v>
      </c>
      <c r="M8" s="3468"/>
      <c r="N8" s="79"/>
      <c r="O8" s="666"/>
      <c r="P8" s="666"/>
      <c r="Q8" s="666"/>
      <c r="R8" s="666"/>
      <c r="S8" s="666"/>
      <c r="T8" s="666"/>
      <c r="U8" s="666"/>
      <c r="V8" s="291"/>
      <c r="W8" s="291"/>
      <c r="X8" s="291"/>
      <c r="Y8" s="291"/>
    </row>
    <row r="9" spans="1:25" s="5" customFormat="1" ht="4.5" customHeight="1">
      <c r="A9" s="7"/>
      <c r="B9" s="79"/>
      <c r="C9" s="79"/>
      <c r="D9" s="79"/>
      <c r="E9" s="79"/>
      <c r="F9" s="79"/>
      <c r="G9" s="79"/>
      <c r="H9" s="79"/>
      <c r="I9" s="79"/>
      <c r="J9" s="79"/>
      <c r="K9" s="79"/>
      <c r="L9" s="79"/>
      <c r="M9" s="79"/>
      <c r="N9" s="79"/>
      <c r="O9" s="666"/>
      <c r="P9" s="666"/>
      <c r="Q9" s="666"/>
      <c r="R9" s="666"/>
      <c r="S9" s="666"/>
      <c r="T9" s="666"/>
      <c r="U9" s="666"/>
      <c r="V9" s="291"/>
      <c r="W9" s="291"/>
      <c r="X9" s="291"/>
      <c r="Y9" s="291"/>
    </row>
    <row r="10" spans="1:25" s="7" customFormat="1" ht="13.5" customHeight="1">
      <c r="F10" s="3478" t="s">
        <v>757</v>
      </c>
      <c r="G10" s="3478"/>
      <c r="I10" s="3478" t="s">
        <v>758</v>
      </c>
      <c r="J10" s="3478"/>
      <c r="K10" s="3478"/>
      <c r="L10" s="3478"/>
      <c r="M10" s="3478"/>
      <c r="O10" s="666"/>
      <c r="P10" s="666"/>
      <c r="Q10" s="666"/>
      <c r="R10" s="666"/>
      <c r="S10" s="666"/>
      <c r="T10" s="666"/>
      <c r="U10" s="666"/>
    </row>
    <row r="11" spans="1:25" s="7" customFormat="1" ht="13.5" customHeight="1">
      <c r="B11" s="7" t="s">
        <v>759</v>
      </c>
      <c r="D11" s="7" t="s">
        <v>760</v>
      </c>
      <c r="F11" s="11" t="s">
        <v>761</v>
      </c>
      <c r="G11" s="11" t="s">
        <v>762</v>
      </c>
      <c r="I11" s="133" t="s">
        <v>763</v>
      </c>
      <c r="J11" s="133">
        <v>1</v>
      </c>
      <c r="K11" s="133">
        <v>2</v>
      </c>
      <c r="L11" s="133">
        <v>3</v>
      </c>
      <c r="M11" s="133">
        <v>4</v>
      </c>
      <c r="O11" s="666"/>
      <c r="P11" s="666"/>
      <c r="Q11" s="666"/>
      <c r="R11" s="666"/>
      <c r="S11" s="666"/>
      <c r="T11" s="666"/>
      <c r="U11" s="666"/>
    </row>
    <row r="12" spans="1:25" s="5" customFormat="1" ht="12" customHeight="1">
      <c r="A12" s="79"/>
      <c r="B12" s="2897" t="s">
        <v>764</v>
      </c>
      <c r="C12" s="2718"/>
      <c r="D12" s="3469" t="s">
        <v>770</v>
      </c>
      <c r="E12" s="3470"/>
      <c r="F12" s="2719" t="s">
        <v>1716</v>
      </c>
      <c r="G12" s="2719"/>
      <c r="H12" s="2898"/>
      <c r="I12" s="2720"/>
      <c r="J12" s="2720">
        <v>5</v>
      </c>
      <c r="K12" s="2720">
        <v>6</v>
      </c>
      <c r="L12" s="2720">
        <v>8</v>
      </c>
      <c r="M12" s="2720"/>
      <c r="N12" s="79"/>
      <c r="O12" s="666"/>
      <c r="P12" s="666"/>
      <c r="Q12" s="666"/>
      <c r="R12" s="666"/>
      <c r="S12" s="666"/>
      <c r="T12" s="666"/>
      <c r="U12" s="666"/>
      <c r="V12" s="79"/>
      <c r="W12" s="79"/>
      <c r="X12" s="79"/>
      <c r="Y12" s="79"/>
    </row>
    <row r="13" spans="1:25" s="5" customFormat="1" ht="12" customHeight="1">
      <c r="A13" s="79"/>
      <c r="B13" s="1025" t="s">
        <v>766</v>
      </c>
      <c r="C13" s="2721"/>
      <c r="D13" s="3489" t="s">
        <v>770</v>
      </c>
      <c r="E13" s="3490"/>
      <c r="F13" s="136" t="s">
        <v>1716</v>
      </c>
      <c r="G13" s="136"/>
      <c r="H13" s="2722"/>
      <c r="I13" s="1023"/>
      <c r="J13" s="1023">
        <v>8</v>
      </c>
      <c r="K13" s="1023">
        <v>10</v>
      </c>
      <c r="L13" s="2723">
        <v>13</v>
      </c>
      <c r="M13" s="2723"/>
      <c r="N13" s="79"/>
      <c r="O13" s="3482" t="s">
        <v>767</v>
      </c>
      <c r="P13" s="3482"/>
      <c r="Q13" s="3482"/>
      <c r="R13" s="79"/>
      <c r="S13" s="79"/>
      <c r="T13" s="79"/>
      <c r="U13" s="79"/>
      <c r="V13" s="79"/>
      <c r="W13" s="79"/>
      <c r="X13" s="79"/>
      <c r="Y13" s="79"/>
    </row>
    <row r="14" spans="1:25" s="5" customFormat="1" ht="12" customHeight="1">
      <c r="A14" s="79"/>
      <c r="B14" s="1026" t="s">
        <v>768</v>
      </c>
      <c r="C14" s="2724"/>
      <c r="D14" s="3489" t="s">
        <v>770</v>
      </c>
      <c r="E14" s="3490"/>
      <c r="F14" s="136" t="s">
        <v>1716</v>
      </c>
      <c r="G14" s="136"/>
      <c r="H14" s="2725"/>
      <c r="I14" s="1023"/>
      <c r="J14" s="1023">
        <v>22</v>
      </c>
      <c r="K14" s="1023">
        <v>25</v>
      </c>
      <c r="L14" s="2723">
        <v>33</v>
      </c>
      <c r="M14" s="2723"/>
      <c r="N14" s="79"/>
      <c r="O14" s="3482"/>
      <c r="P14" s="3482"/>
      <c r="Q14" s="3482"/>
      <c r="R14" s="79"/>
      <c r="S14" s="79"/>
      <c r="T14" s="79"/>
      <c r="U14" s="79"/>
      <c r="V14" s="79"/>
      <c r="W14" s="79"/>
      <c r="X14" s="79"/>
      <c r="Y14" s="79"/>
    </row>
    <row r="15" spans="1:25" s="5" customFormat="1" ht="12" customHeight="1">
      <c r="A15" s="79"/>
      <c r="B15" s="1027" t="s">
        <v>769</v>
      </c>
      <c r="C15" s="2726"/>
      <c r="D15" s="1027" t="s">
        <v>770</v>
      </c>
      <c r="E15" s="2727"/>
      <c r="F15" s="136" t="s">
        <v>1716</v>
      </c>
      <c r="G15" s="136"/>
      <c r="H15" s="2728"/>
      <c r="I15" s="1023"/>
      <c r="J15" s="1023">
        <v>9</v>
      </c>
      <c r="K15" s="1023">
        <v>11</v>
      </c>
      <c r="L15" s="2723">
        <v>14</v>
      </c>
      <c r="M15" s="2723"/>
      <c r="N15" s="79"/>
      <c r="O15" s="3482"/>
      <c r="P15" s="3482"/>
      <c r="Q15" s="3482"/>
      <c r="R15" s="79"/>
      <c r="S15" s="79"/>
      <c r="T15" s="79"/>
      <c r="U15" s="79"/>
      <c r="V15" s="79"/>
      <c r="W15" s="79"/>
      <c r="X15" s="79"/>
      <c r="Y15" s="79"/>
    </row>
    <row r="16" spans="1:25" s="5" customFormat="1" ht="12" customHeight="1">
      <c r="A16" s="79"/>
      <c r="B16" s="1028" t="s">
        <v>771</v>
      </c>
      <c r="C16" s="2721"/>
      <c r="D16" s="1025" t="s">
        <v>770</v>
      </c>
      <c r="E16" s="2729"/>
      <c r="F16" s="136"/>
      <c r="G16" s="136"/>
      <c r="H16" s="2722"/>
      <c r="I16" s="1023"/>
      <c r="J16" s="1023"/>
      <c r="K16" s="1023"/>
      <c r="L16" s="2723"/>
      <c r="M16" s="2723"/>
      <c r="N16" s="79"/>
      <c r="O16" s="3482"/>
      <c r="P16" s="3482"/>
      <c r="Q16" s="3482"/>
      <c r="R16" s="79"/>
      <c r="S16" s="79"/>
      <c r="T16" s="79"/>
      <c r="U16" s="79"/>
      <c r="V16" s="79"/>
      <c r="W16" s="79"/>
      <c r="X16" s="79"/>
      <c r="Y16" s="79"/>
    </row>
    <row r="17" spans="1:25" s="5" customFormat="1" ht="12" customHeight="1">
      <c r="A17" s="79"/>
      <c r="B17" s="1028" t="s">
        <v>772</v>
      </c>
      <c r="C17" s="2721"/>
      <c r="D17" s="1025" t="s">
        <v>770</v>
      </c>
      <c r="E17" s="2729"/>
      <c r="F17" s="136"/>
      <c r="G17" s="136"/>
      <c r="H17" s="2722"/>
      <c r="I17" s="1023"/>
      <c r="J17" s="1023"/>
      <c r="K17" s="1023"/>
      <c r="L17" s="2723"/>
      <c r="M17" s="2723"/>
      <c r="N17" s="79"/>
      <c r="O17" s="3482"/>
      <c r="P17" s="3482"/>
      <c r="Q17" s="3482"/>
      <c r="R17" s="79"/>
      <c r="S17" s="79"/>
      <c r="T17" s="79"/>
      <c r="U17" s="79"/>
      <c r="V17" s="79"/>
      <c r="W17" s="79"/>
      <c r="X17" s="79"/>
      <c r="Y17" s="79"/>
    </row>
    <row r="18" spans="1:25" s="5" customFormat="1" ht="12" customHeight="1">
      <c r="A18" s="79"/>
      <c r="B18" s="1029" t="s">
        <v>773</v>
      </c>
      <c r="C18" s="2724"/>
      <c r="D18" s="1026" t="s">
        <v>770</v>
      </c>
      <c r="E18" s="2729"/>
      <c r="F18" s="136" t="s">
        <v>1716</v>
      </c>
      <c r="G18" s="136"/>
      <c r="H18" s="2725"/>
      <c r="I18" s="1023"/>
      <c r="J18" s="1023">
        <v>30</v>
      </c>
      <c r="K18" s="1023">
        <v>36</v>
      </c>
      <c r="L18" s="2723">
        <v>47</v>
      </c>
      <c r="M18" s="2723"/>
      <c r="N18" s="79"/>
      <c r="O18" s="3482"/>
      <c r="P18" s="3482"/>
      <c r="Q18" s="3482"/>
      <c r="R18" s="79"/>
      <c r="S18" s="79"/>
      <c r="T18" s="79"/>
      <c r="U18" s="79"/>
      <c r="V18" s="79"/>
      <c r="W18" s="79"/>
      <c r="X18" s="79"/>
      <c r="Y18" s="79"/>
    </row>
    <row r="19" spans="1:25" s="5" customFormat="1" ht="12" customHeight="1">
      <c r="A19" s="79"/>
      <c r="B19" s="1027" t="s">
        <v>774</v>
      </c>
      <c r="C19" s="2726"/>
      <c r="D19" s="1031" t="s">
        <v>775</v>
      </c>
      <c r="E19" s="979" t="s">
        <v>1402</v>
      </c>
      <c r="F19" s="136" t="s">
        <v>1716</v>
      </c>
      <c r="G19" s="136"/>
      <c r="H19" s="2728"/>
      <c r="I19" s="1023"/>
      <c r="J19" s="1023">
        <f>18+46</f>
        <v>64</v>
      </c>
      <c r="K19" s="1023">
        <f>24+61</f>
        <v>85</v>
      </c>
      <c r="L19" s="2723">
        <f>29+72</f>
        <v>101</v>
      </c>
      <c r="M19" s="2723"/>
      <c r="N19" s="79"/>
      <c r="O19" s="3482"/>
      <c r="P19" s="3482"/>
      <c r="Q19" s="3482"/>
      <c r="R19" s="79"/>
      <c r="S19" s="79"/>
      <c r="T19" s="79"/>
      <c r="U19" s="79"/>
      <c r="V19" s="79"/>
      <c r="W19" s="79"/>
      <c r="X19" s="79"/>
      <c r="Y19" s="79"/>
    </row>
    <row r="20" spans="1:25" s="5" customFormat="1" ht="12" customHeight="1">
      <c r="A20" s="79"/>
      <c r="B20" s="1030" t="s">
        <v>777</v>
      </c>
      <c r="C20" s="2730"/>
      <c r="D20" s="134"/>
      <c r="E20" s="2731"/>
      <c r="F20" s="136"/>
      <c r="G20" s="136" t="s">
        <v>1716</v>
      </c>
      <c r="H20" s="2722"/>
      <c r="I20" s="1023"/>
      <c r="J20" s="1023"/>
      <c r="K20" s="1023"/>
      <c r="L20" s="2723"/>
      <c r="M20" s="2723"/>
      <c r="N20" s="79"/>
      <c r="O20" s="3482"/>
      <c r="P20" s="3482"/>
      <c r="Q20" s="3482"/>
      <c r="R20" s="79"/>
      <c r="S20" s="79"/>
      <c r="T20" s="79"/>
      <c r="U20" s="79"/>
      <c r="V20" s="79"/>
      <c r="W20" s="79"/>
      <c r="X20" s="79"/>
      <c r="Y20" s="79"/>
    </row>
    <row r="21" spans="1:25" s="5" customFormat="1" ht="12" customHeight="1">
      <c r="A21" s="79"/>
      <c r="B21" s="1030" t="s">
        <v>440</v>
      </c>
      <c r="C21" s="3491"/>
      <c r="D21" s="3492"/>
      <c r="E21" s="3493"/>
      <c r="F21" s="137"/>
      <c r="G21" s="137"/>
      <c r="H21" s="2732"/>
      <c r="I21" s="1024"/>
      <c r="J21" s="1024"/>
      <c r="K21" s="1024"/>
      <c r="L21" s="2733"/>
      <c r="M21" s="2733"/>
      <c r="N21" s="79"/>
      <c r="O21" s="3482"/>
      <c r="P21" s="3482"/>
      <c r="Q21" s="3482"/>
      <c r="R21" s="79"/>
      <c r="S21" s="79"/>
      <c r="T21" s="79"/>
      <c r="U21" s="79"/>
      <c r="V21" s="79"/>
      <c r="W21" s="79"/>
      <c r="X21" s="79"/>
      <c r="Y21" s="79"/>
    </row>
    <row r="22" spans="1:25" s="5" customFormat="1">
      <c r="A22" s="79"/>
      <c r="B22" s="7" t="s">
        <v>778</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138</v>
      </c>
      <c r="K22" s="82">
        <f>IF(SUM(K12:K21)=0,0,IF(OR($D12="&lt;&lt;Select Fuel &gt;&gt;",$D13="&lt;&lt;Select Fuel &gt;&gt;",$D14="&lt;&lt;Select Fuel &gt;&gt;"),"Select Fuel",IF($E19="&lt;Select&gt;","Submeter?",SUM(K12:K21))))</f>
        <v>173</v>
      </c>
      <c r="L22" s="82">
        <f>IF(SUM(L12:L21)=0,0,IF(OR($D12="&lt;&lt;Select Fuel &gt;&gt;",$D13="&lt;&lt;Select Fuel &gt;&gt;",$D14="&lt;&lt;Select Fuel &gt;&gt;"),"Select Fuel",IF($E19="&lt;Select&gt;","Submeter?",SUM(L12:L21))))</f>
        <v>216</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66"/>
      <c r="P23" s="666"/>
      <c r="Q23" s="666"/>
      <c r="R23" s="666"/>
      <c r="S23" s="666"/>
      <c r="T23" s="666"/>
      <c r="U23" s="666"/>
      <c r="V23" s="291"/>
      <c r="W23" s="291"/>
      <c r="X23" s="291"/>
      <c r="Y23" s="291"/>
    </row>
    <row r="24" spans="1:25" s="5" customFormat="1" ht="12.75" customHeight="1">
      <c r="A24" s="7" t="s">
        <v>25</v>
      </c>
      <c r="B24" s="7" t="s">
        <v>779</v>
      </c>
      <c r="C24" s="79"/>
      <c r="D24" s="79"/>
      <c r="E24" s="79"/>
      <c r="F24" s="45" t="s">
        <v>754</v>
      </c>
      <c r="G24" s="45"/>
      <c r="H24" s="45"/>
      <c r="I24" s="3473"/>
      <c r="J24" s="3474"/>
      <c r="K24" s="3474"/>
      <c r="L24" s="3474"/>
      <c r="M24" s="3475"/>
      <c r="N24" s="79"/>
      <c r="O24" s="666"/>
      <c r="P24" s="666"/>
      <c r="Q24" s="666"/>
      <c r="R24" s="666"/>
      <c r="S24" s="666"/>
      <c r="T24" s="666"/>
      <c r="U24" s="666"/>
      <c r="V24" s="291"/>
      <c r="W24" s="291"/>
      <c r="X24" s="291"/>
      <c r="Y24" s="291"/>
    </row>
    <row r="25" spans="1:25" s="5" customFormat="1" ht="13.35" customHeight="1">
      <c r="A25" s="7"/>
      <c r="B25" s="7"/>
      <c r="C25" s="79"/>
      <c r="D25" s="79"/>
      <c r="E25" s="79"/>
      <c r="F25" s="45" t="s">
        <v>755</v>
      </c>
      <c r="G25" s="45"/>
      <c r="H25" s="13"/>
      <c r="I25" s="3476"/>
      <c r="J25" s="3477"/>
      <c r="K25" s="34" t="s">
        <v>756</v>
      </c>
      <c r="L25" s="3467"/>
      <c r="M25" s="3468"/>
      <c r="N25" s="79"/>
      <c r="O25" s="666"/>
      <c r="P25" s="666"/>
      <c r="Q25" s="666"/>
      <c r="R25" s="666"/>
      <c r="S25" s="666"/>
      <c r="T25" s="666"/>
      <c r="U25" s="666"/>
      <c r="V25" s="291"/>
      <c r="W25" s="291"/>
      <c r="X25" s="291"/>
      <c r="Y25" s="291"/>
    </row>
    <row r="26" spans="1:25" s="5" customFormat="1" ht="4.5" customHeight="1">
      <c r="A26" s="7"/>
      <c r="B26" s="79"/>
      <c r="C26" s="79"/>
      <c r="D26" s="79"/>
      <c r="E26" s="79"/>
      <c r="F26" s="79"/>
      <c r="G26" s="79"/>
      <c r="H26" s="79"/>
      <c r="I26" s="79"/>
      <c r="J26" s="79"/>
      <c r="K26" s="79"/>
      <c r="L26" s="79"/>
      <c r="M26" s="79"/>
      <c r="N26" s="79"/>
      <c r="O26" s="666"/>
      <c r="P26" s="666"/>
      <c r="Q26" s="666"/>
      <c r="R26" s="666"/>
      <c r="S26" s="666"/>
      <c r="T26" s="666"/>
      <c r="U26" s="666"/>
      <c r="V26" s="291"/>
      <c r="W26" s="291"/>
      <c r="X26" s="291"/>
      <c r="Y26" s="291"/>
    </row>
    <row r="27" spans="1:25" s="7" customFormat="1">
      <c r="F27" s="3478" t="s">
        <v>757</v>
      </c>
      <c r="G27" s="3478"/>
      <c r="I27" s="3478" t="s">
        <v>758</v>
      </c>
      <c r="J27" s="3478"/>
      <c r="K27" s="3478"/>
      <c r="L27" s="3478"/>
      <c r="M27" s="3478"/>
      <c r="O27" s="666"/>
      <c r="P27" s="666"/>
      <c r="Q27" s="666"/>
      <c r="R27" s="666"/>
      <c r="S27" s="666"/>
      <c r="T27" s="666"/>
      <c r="U27" s="666"/>
      <c r="V27" s="291"/>
      <c r="W27" s="291"/>
      <c r="X27" s="291"/>
      <c r="Y27" s="291"/>
    </row>
    <row r="28" spans="1:25" s="7" customFormat="1">
      <c r="B28" s="7" t="s">
        <v>759</v>
      </c>
      <c r="D28" s="7" t="s">
        <v>760</v>
      </c>
      <c r="F28" s="11" t="s">
        <v>761</v>
      </c>
      <c r="G28" s="11" t="s">
        <v>762</v>
      </c>
      <c r="I28" s="133" t="s">
        <v>763</v>
      </c>
      <c r="J28" s="133">
        <v>1</v>
      </c>
      <c r="K28" s="133">
        <v>2</v>
      </c>
      <c r="L28" s="133">
        <v>3</v>
      </c>
      <c r="M28" s="133">
        <v>4</v>
      </c>
      <c r="O28" s="666"/>
      <c r="P28" s="666"/>
      <c r="Q28" s="666"/>
      <c r="R28" s="666"/>
      <c r="S28" s="666"/>
      <c r="T28" s="666"/>
      <c r="U28" s="666"/>
    </row>
    <row r="29" spans="1:25" s="5" customFormat="1" ht="12" customHeight="1">
      <c r="A29" s="79"/>
      <c r="B29" s="2897" t="s">
        <v>764</v>
      </c>
      <c r="C29" s="2718"/>
      <c r="D29" s="3469" t="s">
        <v>765</v>
      </c>
      <c r="E29" s="3470"/>
      <c r="F29" s="2719"/>
      <c r="G29" s="2719"/>
      <c r="H29" s="2898"/>
      <c r="I29" s="2720"/>
      <c r="J29" s="2720"/>
      <c r="K29" s="2720"/>
      <c r="L29" s="2720"/>
      <c r="M29" s="2720"/>
      <c r="N29" s="79"/>
      <c r="O29" s="666"/>
      <c r="P29" s="666"/>
      <c r="Q29" s="666"/>
      <c r="R29" s="666"/>
      <c r="S29" s="666"/>
      <c r="T29" s="666"/>
      <c r="U29" s="666"/>
      <c r="V29" s="7"/>
      <c r="W29" s="7"/>
      <c r="X29" s="7"/>
      <c r="Y29" s="7"/>
    </row>
    <row r="30" spans="1:25" s="5" customFormat="1" ht="12" customHeight="1">
      <c r="A30" s="79"/>
      <c r="B30" s="1025" t="s">
        <v>766</v>
      </c>
      <c r="C30" s="2721"/>
      <c r="D30" s="3489" t="s">
        <v>765</v>
      </c>
      <c r="E30" s="3490"/>
      <c r="F30" s="136"/>
      <c r="G30" s="136"/>
      <c r="H30" s="2722"/>
      <c r="I30" s="1023"/>
      <c r="J30" s="1023"/>
      <c r="K30" s="1023"/>
      <c r="L30" s="2723"/>
      <c r="M30" s="2723"/>
      <c r="N30" s="79"/>
      <c r="O30" s="666"/>
      <c r="P30" s="666"/>
      <c r="Q30" s="666"/>
      <c r="R30" s="666"/>
      <c r="S30" s="666"/>
      <c r="T30" s="666"/>
      <c r="U30" s="666"/>
      <c r="V30" s="79"/>
      <c r="W30" s="79"/>
      <c r="X30" s="79"/>
      <c r="Y30" s="79"/>
    </row>
    <row r="31" spans="1:25" s="5" customFormat="1" ht="12" customHeight="1">
      <c r="A31" s="79"/>
      <c r="B31" s="1026" t="s">
        <v>768</v>
      </c>
      <c r="C31" s="2724"/>
      <c r="D31" s="3489" t="s">
        <v>765</v>
      </c>
      <c r="E31" s="3490"/>
      <c r="F31" s="136"/>
      <c r="G31" s="136"/>
      <c r="H31" s="2725"/>
      <c r="I31" s="1023"/>
      <c r="J31" s="1023"/>
      <c r="K31" s="1023"/>
      <c r="L31" s="2723"/>
      <c r="M31" s="2723"/>
      <c r="N31" s="79"/>
      <c r="O31" s="3482" t="s">
        <v>767</v>
      </c>
      <c r="P31" s="3482"/>
      <c r="Q31" s="3482"/>
      <c r="R31" s="79"/>
      <c r="S31" s="79"/>
      <c r="T31" s="79"/>
      <c r="U31" s="79"/>
      <c r="V31" s="79"/>
      <c r="W31" s="79"/>
      <c r="X31" s="79"/>
      <c r="Y31" s="79"/>
    </row>
    <row r="32" spans="1:25" s="5" customFormat="1" ht="12" customHeight="1">
      <c r="A32" s="79"/>
      <c r="B32" s="1027" t="s">
        <v>769</v>
      </c>
      <c r="C32" s="2726"/>
      <c r="D32" s="1027" t="s">
        <v>770</v>
      </c>
      <c r="E32" s="2727"/>
      <c r="F32" s="136"/>
      <c r="G32" s="136"/>
      <c r="H32" s="2728"/>
      <c r="I32" s="1023"/>
      <c r="J32" s="1023"/>
      <c r="K32" s="1023"/>
      <c r="L32" s="2723"/>
      <c r="M32" s="2723"/>
      <c r="N32" s="79"/>
      <c r="O32" s="3482"/>
      <c r="P32" s="3482"/>
      <c r="Q32" s="3482"/>
      <c r="R32" s="79"/>
      <c r="S32" s="79"/>
      <c r="T32" s="79"/>
      <c r="U32" s="79"/>
      <c r="V32" s="79"/>
      <c r="W32" s="79"/>
      <c r="X32" s="79"/>
      <c r="Y32" s="79"/>
    </row>
    <row r="33" spans="1:19" s="5" customFormat="1" ht="12" customHeight="1">
      <c r="A33" s="79"/>
      <c r="B33" s="1028" t="s">
        <v>771</v>
      </c>
      <c r="C33" s="2721"/>
      <c r="D33" s="1025" t="s">
        <v>770</v>
      </c>
      <c r="E33" s="2729"/>
      <c r="F33" s="136"/>
      <c r="G33" s="136"/>
      <c r="H33" s="2722"/>
      <c r="I33" s="1023"/>
      <c r="J33" s="1023"/>
      <c r="K33" s="1023"/>
      <c r="L33" s="2723"/>
      <c r="M33" s="2723"/>
      <c r="N33" s="79"/>
      <c r="O33" s="3482"/>
      <c r="P33" s="3482"/>
      <c r="Q33" s="3482"/>
      <c r="R33" s="79"/>
      <c r="S33" s="79"/>
    </row>
    <row r="34" spans="1:19" s="5" customFormat="1" ht="12" customHeight="1">
      <c r="A34" s="79"/>
      <c r="B34" s="1028" t="s">
        <v>772</v>
      </c>
      <c r="C34" s="2721"/>
      <c r="D34" s="1025" t="s">
        <v>770</v>
      </c>
      <c r="E34" s="2729"/>
      <c r="F34" s="136"/>
      <c r="G34" s="136"/>
      <c r="H34" s="2722"/>
      <c r="I34" s="1023"/>
      <c r="J34" s="1023"/>
      <c r="K34" s="1023"/>
      <c r="L34" s="2723"/>
      <c r="M34" s="2723"/>
      <c r="N34" s="79"/>
      <c r="O34" s="3482"/>
      <c r="P34" s="3482"/>
      <c r="Q34" s="3482"/>
      <c r="R34" s="79"/>
      <c r="S34" s="79"/>
    </row>
    <row r="35" spans="1:19" s="5" customFormat="1" ht="12" customHeight="1">
      <c r="A35" s="79"/>
      <c r="B35" s="1029" t="s">
        <v>773</v>
      </c>
      <c r="C35" s="2724"/>
      <c r="D35" s="1026" t="s">
        <v>770</v>
      </c>
      <c r="E35" s="2729"/>
      <c r="F35" s="136"/>
      <c r="G35" s="136"/>
      <c r="H35" s="2725"/>
      <c r="I35" s="1023"/>
      <c r="J35" s="1023"/>
      <c r="K35" s="1023"/>
      <c r="L35" s="2723"/>
      <c r="M35" s="2723"/>
      <c r="N35" s="79"/>
      <c r="O35" s="3482"/>
      <c r="P35" s="3482"/>
      <c r="Q35" s="3482"/>
      <c r="R35" s="79"/>
      <c r="S35" s="79"/>
    </row>
    <row r="36" spans="1:19" s="5" customFormat="1" ht="12" customHeight="1">
      <c r="A36" s="79"/>
      <c r="B36" s="1027" t="s">
        <v>774</v>
      </c>
      <c r="C36" s="2726"/>
      <c r="D36" s="1031" t="s">
        <v>775</v>
      </c>
      <c r="E36" s="979" t="s">
        <v>776</v>
      </c>
      <c r="F36" s="136"/>
      <c r="G36" s="136"/>
      <c r="H36" s="2728"/>
      <c r="I36" s="1023"/>
      <c r="J36" s="1023"/>
      <c r="K36" s="1023"/>
      <c r="L36" s="2723"/>
      <c r="M36" s="2723"/>
      <c r="N36" s="79"/>
      <c r="O36" s="3482"/>
      <c r="P36" s="3482"/>
      <c r="Q36" s="3482"/>
      <c r="R36" s="79"/>
      <c r="S36" s="79"/>
    </row>
    <row r="37" spans="1:19" s="5" customFormat="1" ht="12" customHeight="1">
      <c r="A37" s="79"/>
      <c r="B37" s="1030" t="s">
        <v>777</v>
      </c>
      <c r="C37" s="2730"/>
      <c r="D37" s="134"/>
      <c r="E37" s="2731"/>
      <c r="F37" s="136"/>
      <c r="G37" s="136"/>
      <c r="H37" s="2722"/>
      <c r="I37" s="1023"/>
      <c r="J37" s="1023"/>
      <c r="K37" s="1023"/>
      <c r="L37" s="2723"/>
      <c r="M37" s="2723"/>
      <c r="N37" s="79"/>
      <c r="O37" s="3482"/>
      <c r="P37" s="3482"/>
      <c r="Q37" s="3482"/>
      <c r="R37" s="79"/>
      <c r="S37" s="79"/>
    </row>
    <row r="38" spans="1:19" s="5" customFormat="1" ht="12" customHeight="1">
      <c r="A38" s="79"/>
      <c r="B38" s="1030" t="s">
        <v>440</v>
      </c>
      <c r="C38" s="3491"/>
      <c r="D38" s="3492"/>
      <c r="E38" s="3493"/>
      <c r="F38" s="137"/>
      <c r="G38" s="137"/>
      <c r="H38" s="2732"/>
      <c r="I38" s="1024"/>
      <c r="J38" s="1024"/>
      <c r="K38" s="1024"/>
      <c r="L38" s="2733"/>
      <c r="M38" s="2733"/>
      <c r="N38" s="79"/>
      <c r="O38" s="3482"/>
      <c r="P38" s="3482"/>
      <c r="Q38" s="3482"/>
      <c r="R38" s="79"/>
      <c r="S38" s="79"/>
    </row>
    <row r="39" spans="1:19" s="5" customFormat="1">
      <c r="A39" s="79"/>
      <c r="B39" s="7" t="s">
        <v>778</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482"/>
      <c r="P39" s="3482"/>
      <c r="Q39" s="3482"/>
      <c r="R39" s="79"/>
      <c r="S39" s="79"/>
    </row>
    <row r="40" spans="1:19" ht="6" customHeight="1">
      <c r="A40" s="79"/>
    </row>
    <row r="41" spans="1:19" s="5" customFormat="1">
      <c r="A41" s="79"/>
      <c r="B41" s="27" t="s">
        <v>780</v>
      </c>
      <c r="C41" s="79"/>
      <c r="D41"/>
      <c r="E41"/>
      <c r="F41" s="36"/>
      <c r="G41" s="36"/>
      <c r="H41" s="79"/>
      <c r="I41" s="11"/>
      <c r="J41" s="11"/>
      <c r="K41" s="11"/>
      <c r="L41" s="11"/>
      <c r="M41" s="11"/>
      <c r="N41" s="79"/>
      <c r="O41" s="79"/>
      <c r="P41" s="79"/>
      <c r="Q41" s="79"/>
      <c r="R41" s="79"/>
      <c r="S41" s="79"/>
    </row>
    <row r="42" spans="1:19" s="5" customFormat="1" ht="12" customHeight="1">
      <c r="A42" s="7"/>
      <c r="B42" s="7" t="s">
        <v>76</v>
      </c>
      <c r="C42" s="79"/>
      <c r="D42" s="79"/>
      <c r="E42" s="79"/>
      <c r="F42" s="79"/>
      <c r="G42" s="79"/>
      <c r="H42" s="79"/>
      <c r="I42" s="79"/>
      <c r="J42" s="79"/>
      <c r="K42" s="79"/>
      <c r="L42" s="79"/>
      <c r="M42"/>
      <c r="N42"/>
      <c r="O42"/>
      <c r="P42"/>
      <c r="Q42"/>
      <c r="R42"/>
      <c r="S42"/>
    </row>
    <row r="43" spans="1:19" s="5" customFormat="1" ht="49.5" customHeight="1">
      <c r="A43" s="79"/>
      <c r="B43" s="3483" t="s">
        <v>7089</v>
      </c>
      <c r="C43" s="3484"/>
      <c r="D43" s="3484"/>
      <c r="E43" s="3484"/>
      <c r="F43" s="3484"/>
      <c r="G43" s="3484"/>
      <c r="H43" s="3484"/>
      <c r="I43" s="3484"/>
      <c r="J43" s="3484"/>
      <c r="K43" s="3484"/>
      <c r="L43" s="3484"/>
      <c r="M43" s="3485"/>
      <c r="N43"/>
      <c r="O43" s="2964" t="s">
        <v>297</v>
      </c>
      <c r="P43" s="2964"/>
      <c r="Q43" s="2964"/>
      <c r="R43" s="2964"/>
      <c r="S43" s="2964"/>
    </row>
    <row r="44" spans="1:19" s="5" customFormat="1" ht="3" customHeight="1">
      <c r="A44" s="79"/>
      <c r="B44" s="79"/>
      <c r="C44" s="79"/>
      <c r="D44" s="79"/>
      <c r="E44" s="79"/>
      <c r="F44" s="79"/>
      <c r="G44" s="79"/>
      <c r="H44" s="79"/>
      <c r="I44" s="79"/>
      <c r="J44" s="79"/>
      <c r="K44" s="79"/>
      <c r="L44" s="79"/>
      <c r="M44"/>
      <c r="N44"/>
      <c r="O44" s="2964"/>
      <c r="P44" s="2964"/>
      <c r="Q44" s="2964"/>
      <c r="R44" s="2964"/>
      <c r="S44" s="2964"/>
    </row>
    <row r="45" spans="1:19" s="5" customFormat="1" ht="12" customHeight="1">
      <c r="A45" s="7"/>
      <c r="B45" s="7" t="s">
        <v>781</v>
      </c>
      <c r="C45" s="79"/>
      <c r="D45" s="79"/>
      <c r="E45" s="79"/>
      <c r="F45" s="79"/>
      <c r="G45" s="79"/>
      <c r="H45" s="79"/>
      <c r="I45" s="79"/>
      <c r="J45" s="79"/>
      <c r="K45" s="79"/>
      <c r="L45" s="79"/>
      <c r="M45"/>
      <c r="N45"/>
      <c r="O45" s="2964"/>
      <c r="P45" s="2964"/>
      <c r="Q45" s="2964"/>
      <c r="R45" s="2964"/>
      <c r="S45" s="2964"/>
    </row>
    <row r="46" spans="1:19" s="5" customFormat="1" ht="24.75" customHeight="1">
      <c r="A46" s="79"/>
      <c r="B46" s="3486"/>
      <c r="C46" s="3487"/>
      <c r="D46" s="3487"/>
      <c r="E46" s="3487"/>
      <c r="F46" s="3487"/>
      <c r="G46" s="3487"/>
      <c r="H46" s="3487"/>
      <c r="I46" s="3487"/>
      <c r="J46" s="3487"/>
      <c r="K46" s="3487"/>
      <c r="L46" s="3487"/>
      <c r="M46" s="3488"/>
      <c r="N46"/>
      <c r="O46" s="2964"/>
      <c r="P46" s="2964"/>
      <c r="Q46" s="2964"/>
      <c r="R46" s="2964"/>
      <c r="S46" s="2964"/>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SEntityName xmlns="82040263-173a-4f5d-9f85-dd34969cdf7e" xsi:nil="true"/>
    <RSMonth xmlns="82040263-173a-4f5d-9f85-dd34969cdf7e" xsi:nil="true"/>
    <RSYear xmlns="82040263-173a-4f5d-9f85-dd34969cdf7e" xsi:nil="true"/>
    <l7757aed1b084d989220e981cdb17210 xmlns="82040263-173a-4f5d-9f85-dd34969cdf7e">
      <Terms xmlns="http://schemas.microsoft.com/office/infopath/2007/PartnerControls">
        <TermInfo xmlns="http://schemas.microsoft.com/office/infopath/2007/PartnerControls">
          <TermName xmlns="http://schemas.microsoft.com/office/infopath/2007/PartnerControls">Atlanta</TermName>
          <TermId xmlns="http://schemas.microsoft.com/office/infopath/2007/PartnerControls">ed36c8b3-6a03-4019-8c99-686d30e8b2fb</TermId>
        </TermInfo>
      </Terms>
    </l7757aed1b084d989220e981cdb17210>
    <TaxCatchAllLabel xmlns="722e555d-dea1-4322-8756-9357daa1d7c0" xsi:nil="true"/>
    <d6083a64797b41ca9c20bc61b932b399 xmlns="82040263-173a-4f5d-9f85-dd34969cdf7e">
      <Terms xmlns="http://schemas.microsoft.com/office/infopath/2007/PartnerControls"/>
    </d6083a64797b41ca9c20bc61b932b399>
    <g669910c86ee42e6960fdc10f2b6995b xmlns="82040263-173a-4f5d-9f85-dd34969cdf7e">
      <Terms xmlns="http://schemas.microsoft.com/office/infopath/2007/PartnerControls">
        <TermInfo xmlns="http://schemas.microsoft.com/office/infopath/2007/PartnerControls">
          <TermName xmlns="http://schemas.microsoft.com/office/infopath/2007/PartnerControls">Multi Family Home</TermName>
          <TermId xmlns="http://schemas.microsoft.com/office/infopath/2007/PartnerControls">d4c09b9f-fafe-4e9b-8f53-abf60cbd7767</TermId>
        </TermInfo>
      </Terms>
    </g669910c86ee42e6960fdc10f2b6995b>
    <RSYardiID xmlns="82040263-173a-4f5d-9f85-dd34969cdf7e">0049</RSYardiID>
    <h554c38a626c40e9869625ca774e80be xmlns="82040263-173a-4f5d-9f85-dd34969cdf7e">
      <Terms xmlns="http://schemas.microsoft.com/office/infopath/2007/PartnerControls">
        <TermInfo xmlns="http://schemas.microsoft.com/office/infopath/2007/PartnerControls">
          <TermName xmlns="http://schemas.microsoft.com/office/infopath/2007/PartnerControls">Ashley Collegetown Phase I</TermName>
          <TermId xmlns="http://schemas.microsoft.com/office/infopath/2007/PartnerControls">89747375-a8e4-401c-9dd1-45579f1eaadf</TermId>
        </TermInfo>
      </Terms>
    </h554c38a626c40e9869625ca774e80be>
    <lcf76f155ced4ddcb4097134ff3c332f xmlns="2a205dfd-85ad-4052-93bd-20ba9996cfc7">
      <Terms xmlns="http://schemas.microsoft.com/office/infopath/2007/PartnerControls"/>
    </lcf76f155ced4ddcb4097134ff3c332f>
    <TaxCatchAll xmlns="722e555d-dea1-4322-8756-9357daa1d7c0">
      <Value>3</Value>
      <Value>2</Value>
      <Value>1</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Financing Document" ma:contentTypeID="0x0101009A2DD37AFEE847298290D7CE5D6D7B290800AEB8737C0544B94BB0B81B8CAE7E3326" ma:contentTypeVersion="16" ma:contentTypeDescription="Create a new document." ma:contentTypeScope="" ma:versionID="a9e2286f5b7519c590064e086ad5af05">
  <xsd:schema xmlns:xsd="http://www.w3.org/2001/XMLSchema" xmlns:xs="http://www.w3.org/2001/XMLSchema" xmlns:p="http://schemas.microsoft.com/office/2006/metadata/properties" xmlns:ns2="82040263-173a-4f5d-9f85-dd34969cdf7e" xmlns:ns3="722e555d-dea1-4322-8756-9357daa1d7c0" xmlns:ns4="2a205dfd-85ad-4052-93bd-20ba9996cfc7" targetNamespace="http://schemas.microsoft.com/office/2006/metadata/properties" ma:root="true" ma:fieldsID="0c929ab06b0d0961f05c067bd1c203ad" ns2:_="" ns3:_="" ns4:_="">
    <xsd:import namespace="82040263-173a-4f5d-9f85-dd34969cdf7e"/>
    <xsd:import namespace="722e555d-dea1-4322-8756-9357daa1d7c0"/>
    <xsd:import namespace="2a205dfd-85ad-4052-93bd-20ba9996cfc7"/>
    <xsd:element name="properties">
      <xsd:complexType>
        <xsd:sequence>
          <xsd:element name="documentManagement">
            <xsd:complexType>
              <xsd:all>
                <xsd:element ref="ns2:RSYardiID" minOccurs="0"/>
                <xsd:element ref="ns2:h554c38a626c40e9869625ca774e80be" minOccurs="0"/>
                <xsd:element ref="ns3:TaxCatchAll" minOccurs="0"/>
                <xsd:element ref="ns3:TaxCatchAllLabel" minOccurs="0"/>
                <xsd:element ref="ns2:g669910c86ee42e6960fdc10f2b6995b" minOccurs="0"/>
                <xsd:element ref="ns2:l7757aed1b084d989220e981cdb17210" minOccurs="0"/>
                <xsd:element ref="ns2:d6083a64797b41ca9c20bc61b932b399" minOccurs="0"/>
                <xsd:element ref="ns2:RSMonth" minOccurs="0"/>
                <xsd:element ref="ns2:RSYear" minOccurs="0"/>
                <xsd:element ref="ns2:RSEntityName"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040263-173a-4f5d-9f85-dd34969cdf7e" elementFormDefault="qualified">
    <xsd:import namespace="http://schemas.microsoft.com/office/2006/documentManagement/types"/>
    <xsd:import namespace="http://schemas.microsoft.com/office/infopath/2007/PartnerControls"/>
    <xsd:element name="RSYardiID" ma:index="8" nillable="true" ma:displayName="Yardi ID" ma:default="0049" ma:internalName="RSYardiID" ma:readOnly="false">
      <xsd:simpleType>
        <xsd:restriction base="dms:Text"/>
      </xsd:simpleType>
    </xsd:element>
    <xsd:element name="h554c38a626c40e9869625ca774e80be" ma:index="9" nillable="true" ma:taxonomy="true" ma:internalName="h554c38a626c40e9869625ca774e80be" ma:taxonomyFieldName="RSProjectName" ma:displayName="Project Name" ma:readOnly="false" ma:default="1;#Ashley Collegetown Phase I|89747375-a8e4-401c-9dd1-45579f1eaadf" ma:fieldId="{1554c38a-626c-40e9-8696-25ca774e80be}" ma:sspId="8a045f28-c1ec-4595-a477-8a3e76b87a1b" ma:termSetId="6ecc9320-607b-4183-9cbb-a550d6afe5b3" ma:anchorId="00000000-0000-0000-0000-000000000000" ma:open="false" ma:isKeyword="false">
      <xsd:complexType>
        <xsd:sequence>
          <xsd:element ref="pc:Terms" minOccurs="0" maxOccurs="1"/>
        </xsd:sequence>
      </xsd:complexType>
    </xsd:element>
    <xsd:element name="g669910c86ee42e6960fdc10f2b6995b" ma:index="13" nillable="true" ma:taxonomy="true" ma:internalName="g669910c86ee42e6960fdc10f2b6995b" ma:taxonomyFieldName="RSProductType" ma:displayName="Product Type" ma:readOnly="false" ma:default="2;#Multi Family Home|d4c09b9f-fafe-4e9b-8f53-abf60cbd7767" ma:fieldId="{0669910c-86ee-42e6-960f-dc10f2b6995b}" ma:sspId="8a045f28-c1ec-4595-a477-8a3e76b87a1b" ma:termSetId="bd210258-bbfe-46dc-8e51-23c921c1bd95" ma:anchorId="00000000-0000-0000-0000-000000000000" ma:open="false" ma:isKeyword="false">
      <xsd:complexType>
        <xsd:sequence>
          <xsd:element ref="pc:Terms" minOccurs="0" maxOccurs="1"/>
        </xsd:sequence>
      </xsd:complexType>
    </xsd:element>
    <xsd:element name="l7757aed1b084d989220e981cdb17210" ma:index="15" nillable="true" ma:taxonomy="true" ma:internalName="l7757aed1b084d989220e981cdb17210" ma:taxonomyFieldName="RSMarket" ma:displayName="Market" ma:readOnly="false" ma:default="3;#Atlanta|ed36c8b3-6a03-4019-8c99-686d30e8b2fb" ma:fieldId="{57757aed-1b08-4d98-9220-e981cdb17210}" ma:sspId="8a045f28-c1ec-4595-a477-8a3e76b87a1b" ma:termSetId="2662a4e6-f149-4957-963e-b890fff7e015" ma:anchorId="00000000-0000-0000-0000-000000000000" ma:open="false" ma:isKeyword="false">
      <xsd:complexType>
        <xsd:sequence>
          <xsd:element ref="pc:Terms" minOccurs="0" maxOccurs="1"/>
        </xsd:sequence>
      </xsd:complexType>
    </xsd:element>
    <xsd:element name="d6083a64797b41ca9c20bc61b932b399" ma:index="17" nillable="true" ma:taxonomy="true" ma:internalName="d6083a64797b41ca9c20bc61b932b399" ma:taxonomyFieldName="RSDocumentType" ma:displayName="Document Type" ma:readOnly="false" ma:default="" ma:fieldId="{d6083a64-797b-41ca-9c20-bc61b932b399}" ma:sspId="8a045f28-c1ec-4595-a477-8a3e76b87a1b" ma:termSetId="fbaf59bd-89fc-4083-9fc3-3b38861cfff4" ma:anchorId="00000000-0000-0000-0000-000000000000" ma:open="false" ma:isKeyword="false">
      <xsd:complexType>
        <xsd:sequence>
          <xsd:element ref="pc:Terms" minOccurs="0" maxOccurs="1"/>
        </xsd:sequence>
      </xsd:complexType>
    </xsd:element>
    <xsd:element name="RSMonth" ma:index="19" nillable="true" ma:displayName="Month" ma:internalName="RSMonth" ma:readOnly="fals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element name="RSYear" ma:index="20" nillable="true" ma:displayName="Year" ma:internalName="RSYear" ma:readOnly="false">
      <xsd:simpleType>
        <xsd:restriction base="dms:Text"/>
      </xsd:simpleType>
    </xsd:element>
    <xsd:element name="RSEntityName" ma:index="21" nillable="true" ma:displayName="Entity Name" ma:internalName="RSEntityNam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2e555d-dea1-4322-8756-9357daa1d7c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aaa69b6-cf76-4fc4-a8f1-34ab345206c0}" ma:internalName="TaxCatchAll" ma:readOnly="false" ma:showField="CatchAllData" ma:web="722e555d-dea1-4322-8756-9357daa1d7c0">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baaa69b6-cf76-4fc4-a8f1-34ab345206c0}" ma:internalName="TaxCatchAllLabel" ma:readOnly="false" ma:showField="CatchAllDataLabel" ma:web="722e555d-dea1-4322-8756-9357daa1d7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205dfd-85ad-4052-93bd-20ba9996cfc7"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8a045f28-c1ec-4595-a477-8a3e76b87a1b" ma:termSetId="09814cd3-568e-fe90-9814-8d621ff8fb84" ma:anchorId="fba54fb3-c3e1-fe81-a776-ca4b69148c4d" ma:open="true" ma:isKeyword="false">
      <xsd:complexType>
        <xsd:sequence>
          <xsd:element ref="pc:Terms" minOccurs="0" maxOccurs="1"/>
        </xsd:sequence>
      </xsd:complexType>
    </xsd:element>
    <xsd:element name="MediaServiceDateTaken" ma:index="27" nillable="true" ma:displayName="MediaServiceDateTaken" ma:hidden="true" ma:indexed="true" ma:internalName="MediaServiceDateTaken"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08519E-10F7-4377-9464-E3769FBEE779}">
  <ds:schemaRefs>
    <ds:schemaRef ds:uri="http://schemas.microsoft.com/office/2006/metadata/properties"/>
    <ds:schemaRef ds:uri="http://schemas.microsoft.com/office/infopath/2007/PartnerControls"/>
    <ds:schemaRef ds:uri="82040263-173a-4f5d-9f85-dd34969cdf7e"/>
    <ds:schemaRef ds:uri="722e555d-dea1-4322-8756-9357daa1d7c0"/>
    <ds:schemaRef ds:uri="2a205dfd-85ad-4052-93bd-20ba9996cfc7"/>
  </ds:schemaRefs>
</ds:datastoreItem>
</file>

<file path=customXml/itemProps2.xml><?xml version="1.0" encoding="utf-8"?>
<ds:datastoreItem xmlns:ds="http://schemas.openxmlformats.org/officeDocument/2006/customXml" ds:itemID="{E211EBF6-BC10-47BD-9776-8A51CDBAA197}">
  <ds:schemaRefs>
    <ds:schemaRef ds:uri="http://schemas.microsoft.com/sharepoint/v3/contenttype/forms"/>
  </ds:schemaRefs>
</ds:datastoreItem>
</file>

<file path=customXml/itemProps3.xml><?xml version="1.0" encoding="utf-8"?>
<ds:datastoreItem xmlns:ds="http://schemas.openxmlformats.org/officeDocument/2006/customXml" ds:itemID="{06E1903F-63AF-4A3A-8187-EA25FE094C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040263-173a-4f5d-9f85-dd34969cdf7e"/>
    <ds:schemaRef ds:uri="722e555d-dea1-4322-8756-9357daa1d7c0"/>
    <ds:schemaRef ds:uri="2a205dfd-85ad-4052-93bd-20ba9996cf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Trey Williams</cp:lastModifiedBy>
  <cp:revision/>
  <dcterms:created xsi:type="dcterms:W3CDTF">2005-09-15T20:51:37Z</dcterms:created>
  <dcterms:modified xsi:type="dcterms:W3CDTF">2023-10-06T17:42:27Z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SProductType">
    <vt:lpwstr>2;#Multi Family Home|d4c09b9f-fafe-4e9b-8f53-abf60cbd7767</vt:lpwstr>
  </property>
  <property fmtid="{D5CDD505-2E9C-101B-9397-08002B2CF9AE}" pid="3" name="RSProjectName">
    <vt:lpwstr>1;#Ashley Collegetown Phase I|89747375-a8e4-401c-9dd1-45579f1eaadf</vt:lpwstr>
  </property>
  <property fmtid="{D5CDD505-2E9C-101B-9397-08002B2CF9AE}" pid="4" name="RSMarket">
    <vt:lpwstr>3;#Atlanta|ed36c8b3-6a03-4019-8c99-686d30e8b2fb</vt:lpwstr>
  </property>
  <property fmtid="{D5CDD505-2E9C-101B-9397-08002B2CF9AE}" pid="5" name="ContentTypeId">
    <vt:lpwstr>0x0101009A2DD37AFEE847298290D7CE5D6D7B290800AEB8737C0544B94BB0B81B8CAE7E3326</vt:lpwstr>
  </property>
  <property fmtid="{D5CDD505-2E9C-101B-9397-08002B2CF9AE}" pid="6" name="MediaServiceImageTags">
    <vt:lpwstr/>
  </property>
  <property fmtid="{D5CDD505-2E9C-101B-9397-08002B2CF9AE}" pid="7" name="RSDocumentType">
    <vt:lpwstr/>
  </property>
</Properties>
</file>